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comments1.xml" ContentType="application/vnd.openxmlformats-officedocument.spreadsheetml.comments+xml"/>
  <Override PartName="/xl/comments2.xml" ContentType="application/vnd.openxmlformats-officedocument.spreadsheetml.comment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미국" sheetId="1" r:id="rId1"/>
    <sheet name="중국" sheetId="2" r:id="rId2"/>
    <sheet name="유럽(독일)" sheetId="3" r:id="rId3"/>
    <sheet name="배송비 조회" sheetId="4" r:id="rId4"/>
    <sheet name="etc" sheetId="5" r:id="rId5"/>
  </sheets>
  <definedNames>
    <definedName name="_xlnm._FilterDatabase" localSheetId="0" hidden="1">'미국'!A2:AW1018</definedName>
    <definedName name="_xlnm._FilterDatabase" localSheetId="1" hidden="1">'중국'!A2:AU1009</definedName>
  </definedNames>
</workbook>
</file>

<file path=xl/comments1.xml><?xml version="1.0" encoding="utf-8"?>
<comments xmlns="http://schemas.openxmlformats.org/spreadsheetml/2006/main">
  <authors>
    <author>sheetjsghost</author>
  </authors>
  <commentList>
    <comment ref="AW5" authorId="0">
      <text>
        <t>현재 품절</t>
      </text>
    </comment>
    <comment ref="C9" authorId="0">
      <text>
        <t xml:space="preserve">-시계사러와서 필름을 사가서 혼돈을 불러옴 삭제 (20190819)
- 유입수 줄어들어서 다시 판매
시계와 세트 상품으로 판매 변경
아래 항목으로 변경됨</t>
      </text>
    </comment>
    <comment ref="F31" authorId="0">
      <text>
        <t xml:space="preserve">해당 옵션 없어짐
</t>
      </text>
    </comment>
    <comment ref="AW61" authorId="0">
      <text>
        <t xml:space="preserve">가격협의 필요
지금 잘나가는데 떨어진 아마존 가격에 맞출것인가?
</t>
      </text>
    </comment>
    <comment ref="C73" authorId="0">
      <text>
        <t xml:space="preserve">처음에 올렸던 색상의 옵션이 없음 
상품이 변경된것 같음
</t>
      </text>
    </comment>
    <comment ref="C94" authorId="0">
      <text>
        <t xml:space="preserve">30팩은 상품 못찾겠음 
품절</t>
      </text>
    </comment>
    <comment ref="F106" authorId="0">
      <text>
        <t>아마존 상품 품절 (20190819)</t>
      </text>
    </comment>
    <comment ref="F117" authorId="0">
      <text>
        <t xml:space="preserve">상품 못찾겠음
</t>
      </text>
    </comment>
    <comment ref="C126" authorId="0">
      <text>
        <t xml:space="preserve">품절
</t>
      </text>
    </comment>
    <comment ref="A138" authorId="0">
      <text>
        <t xml:space="preserve">품절
</t>
      </text>
    </comment>
    <comment ref="C147" authorId="0">
      <text>
        <t xml:space="preserve">관부가세 확인필요
</t>
      </text>
    </comment>
    <comment ref="A151" authorId="0">
      <text>
        <t xml:space="preserve">품절
</t>
      </text>
    </comment>
    <comment ref="C155" authorId="0">
      <text>
        <t>근호야 이거 까먹지 말고 올려~</t>
      </text>
    </comment>
    <comment ref="D156" authorId="0">
      <text>
        <t>20200101 범진 여기까지 확인</t>
      </text>
    </comment>
    <comment ref="J157" authorId="0">
      <text>
        <t xml:space="preserve">품절
</t>
      </text>
    </comment>
    <comment ref="A199" authorId="0">
      <text>
        <t xml:space="preserve">품절
</t>
      </text>
    </comment>
    <comment ref="AW224" authorId="0">
      <text>
        <t xml:space="preserve">200달러 넘김 
일시 판매 중지
</t>
      </text>
    </comment>
    <comment ref="J227" authorId="0">
      <text>
        <t xml:space="preserve">품절처리
</t>
      </text>
    </comment>
    <comment ref="J243" authorId="0">
      <text>
        <t xml:space="preserve">품절 해제
</t>
      </text>
    </comment>
    <comment ref="AW266" authorId="0">
      <text>
        <t xml:space="preserve">가격 변동 자주 있을 것 같음 
수시로 확인 필요
</t>
      </text>
    </comment>
    <comment ref="J268" authorId="0">
      <text>
        <t xml:space="preserve">가격이 싸졌는데 딴데랑 가격차이 극심해서 가격내림
</t>
      </text>
    </comment>
    <comment ref="AW275" authorId="0">
      <text>
        <t xml:space="preserve">현재 테스트로 만원할인 가격으로 수정
판매가 83,000원</t>
      </text>
    </comment>
    <comment ref="J290" authorId="0">
      <text>
        <t>200달러 넘음 - 품절처리</t>
      </text>
    </comment>
    <comment ref="F291" authorId="0">
      <text>
        <t xml:space="preserve">일시 품절
</t>
      </text>
    </comment>
    <comment ref="J292" authorId="0">
      <text>
        <t xml:space="preserve">일시 품절
</t>
      </text>
    </comment>
    <comment ref="F293" authorId="0">
      <text>
        <t xml:space="preserve">usb모델 사라짐
</t>
      </text>
    </comment>
    <comment ref="AW295" authorId="0">
      <text>
        <t xml:space="preserve">가격폭등 200달러 넘기기 쉬울듯 
자주체크필요
</t>
      </text>
    </comment>
    <comment ref="A303" authorId="0">
      <text>
        <t>판매불가 상품 삭제</t>
      </text>
    </comment>
    <comment ref="A311" authorId="0">
      <text>
        <t>판매불가 상품 삭제</t>
      </text>
    </comment>
    <comment ref="A330" authorId="0">
      <text>
        <t xml:space="preserve">가격경쟁력 무너져서 버림
품절처리
</t>
      </text>
    </comment>
    <comment ref="J330" authorId="0">
      <text>
        <t xml:space="preserve">옵션 변경
-&gt; mix Grey, pure Grey 
아래 추가함
기존꺼 숨김
</t>
      </text>
    </comment>
    <comment ref="AW330" authorId="0">
      <text>
        <t xml:space="preserve">재고 수량 10개 내외임 
자주 확인필요!</t>
      </text>
    </comment>
    <comment ref="J334" authorId="0">
      <text>
        <t xml:space="preserve">링크 삭제됨 품절처리하고
RGB / Grey / PL 이 제품만 남아있음</t>
      </text>
    </comment>
    <comment ref="A340" authorId="0">
      <text>
        <t xml:space="preserve">가격경쟁력 무너져서 버림
품절처리</t>
      </text>
    </comment>
    <comment ref="A349" authorId="0">
      <text>
        <t xml:space="preserve">가격경쟁력 무너져서 버림
품절처리
</t>
      </text>
    </comment>
    <comment ref="AW349" authorId="0">
      <text>
        <t xml:space="preserve">재고 수량 10개 내외임 
자주 확인필요!</t>
      </text>
    </comment>
    <comment ref="AW362" authorId="0">
      <text>
        <t>199.99달러임 200 넘어가는지 자주확인 필요</t>
      </text>
    </comment>
    <comment ref="A366" authorId="0">
      <text>
        <t>미출시제품</t>
      </text>
    </comment>
    <comment ref="A373" authorId="0">
      <text>
        <t>판매 불가 삭제</t>
      </text>
    </comment>
    <comment ref="AW373" authorId="0">
      <text>
        <t xml:space="preserve">블랙, 레드 색상만 판매
나머지 색상은 없는 도수가 많음.
</t>
      </text>
    </comment>
    <comment ref="A412" authorId="0">
      <text>
        <t>판매 불가 삭제</t>
      </text>
    </comment>
    <comment ref="AW470" authorId="0">
      <text>
        <t xml:space="preserve">200달러 넘은 일시 품절 처리
</t>
      </text>
    </comment>
    <comment ref="J495" authorId="0">
      <text>
        <t xml:space="preserve">품절
</t>
      </text>
    </comment>
    <comment ref="J532" authorId="0">
      <text>
        <t xml:space="preserve">품절
</t>
      </text>
    </comment>
    <comment ref="J609" authorId="0">
      <text>
        <t xml:space="preserve">그레이 상품 확인 필요
</t>
      </text>
    </comment>
    <comment ref="A639" authorId="0">
      <text>
        <t xml:space="preserve">중국 아이템소싱으로 이동
</t>
      </text>
    </comment>
    <comment ref="A646" authorId="0">
      <text>
        <t xml:space="preserve">배송비 40000원
</t>
      </text>
    </comment>
    <comment ref="C648" authorId="0">
      <text>
        <t xml:space="preserve">20000원 유료배송
</t>
      </text>
    </comment>
    <comment ref="A649" authorId="0">
      <text>
        <t xml:space="preserve">배송비 20000원
</t>
      </text>
    </comment>
    <comment ref="A650" authorId="0">
      <text>
        <t xml:space="preserve">일시세일 가격으로 올려놓음 자주 확인필요
</t>
      </text>
    </comment>
    <comment ref="A652" authorId="0">
      <text>
        <t xml:space="preserve">배송비 10000원
</t>
      </text>
    </comment>
    <comment ref="A653" authorId="0">
      <text>
        <t xml:space="preserve">배송비 15000원
</t>
      </text>
    </comment>
    <comment ref="A655" authorId="0">
      <text>
        <t xml:space="preserve">배송비 20000원
</t>
      </text>
    </comment>
  </commentList>
</comments>
</file>

<file path=xl/comments2.xml><?xml version="1.0" encoding="utf-8"?>
<comments xmlns="http://schemas.openxmlformats.org/spreadsheetml/2006/main">
  <authors>
    <author>sheetjsghost</author>
  </authors>
  <commentList>
    <comment ref="C91" authorId="0">
      <text>
        <t xml:space="preserve">짭같아서 판매중지
</t>
      </text>
    </comment>
    <comment ref="A96" authorId="0">
      <text>
        <t xml:space="preserve">가격임의로 수기작성 
가격수정시 수기로 재작성 필요
- 최저가 맞추기위함
+ 유료배송 상품</t>
      </text>
    </comment>
    <comment ref="A125" authorId="0">
      <text>
        <t xml:space="preserve">배송비10000원
</t>
      </text>
    </comment>
    <comment ref="A127" authorId="0">
      <text>
        <t xml:space="preserve">배송비10000원
</t>
      </text>
    </comment>
    <comment ref="A132" authorId="0">
      <text>
        <t xml:space="preserve">배송비8000원
</t>
      </text>
    </comment>
    <comment ref="A134" authorId="0">
      <text>
        <t xml:space="preserve">배송비25000원
</t>
      </text>
    </comment>
    <comment ref="A138" authorId="0">
      <text>
        <t xml:space="preserve">배송비10000원
</t>
      </text>
    </comment>
    <comment ref="A139" authorId="0">
      <text>
        <t xml:space="preserve">배송비15000원
</t>
      </text>
    </comment>
    <comment ref="A141" authorId="0">
      <text>
        <t xml:space="preserve">배송비10000원
</t>
      </text>
    </comment>
    <comment ref="A146" authorId="0">
      <text>
        <t xml:space="preserve">배송비10000원
</t>
      </text>
    </comment>
    <comment ref="A147" authorId="0">
      <text>
        <t xml:space="preserve">배송비10000원
</t>
      </text>
    </comment>
    <comment ref="A150" authorId="0">
      <text>
        <t xml:space="preserve">배송비10000원
</t>
      </text>
    </comment>
    <comment ref="A155" authorId="0">
      <text>
        <t xml:space="preserve">배송비5000원
</t>
      </text>
    </comment>
    <comment ref="A159" authorId="0">
      <text>
        <t xml:space="preserve">배송비10000원
</t>
      </text>
    </comment>
    <comment ref="A160" authorId="0">
      <text>
        <t xml:space="preserve">배송비10000원
</t>
      </text>
    </comment>
    <comment ref="A161" authorId="0">
      <text>
        <t xml:space="preserve">배송비15000원
</t>
      </text>
    </comment>
    <comment ref="A171" authorId="0">
      <text>
        <t>배송비10000원</t>
      </text>
    </comment>
    <comment ref="A173" authorId="0">
      <text>
        <t>배송비10000원</t>
      </text>
    </comment>
    <comment ref="A175" authorId="0">
      <text>
        <t>배송비10000원</t>
      </text>
    </comment>
    <comment ref="A176" authorId="0">
      <text>
        <t>배송비10000원</t>
      </text>
    </comment>
  </commentList>
</comments>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76" formatCode="#,##0&quot;원&quot;"/>
    <numFmt numFmtId="177" formatCode="_-[$₩-412]* #,##0_-;\-[$₩-412]* #,##0_-;_-[$₩-412]* &quot;-&quot;_-;_-@"/>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Klymit-12PLTL01D-Pillow-Large-Turquoise/dp/B071159267/ref=pd_sbs_468_1/141-0729808-3547103?_encoding=UTF8&amp;amp;pd_rd_i=B071159267&amp;amp;pd_rd_r=08e1f942-6cb8-11e9-aa9e-d325bbd273f6&amp;amp;pd_rd_w=neCPb&amp;amp;pd_rd_wg=qjBrF&amp;amp;pf_rd_p=588939de-d3f8-42f1-a3d8-d%22&amp;amp;%22556eae5797d&amp;amp;pf_rd_r=2F6MK08JT0QCD6RBGGGW&amp;amp;psc=1&amp;amp;refRID=2F6MK08JT0QCD6RBGGGW" TargetMode="External"/><Relationship Id="rId2" Type="http://schemas.openxmlformats.org/officeDocument/2006/relationships/hyperlink" Target="https://www.amazon.com/Fit-Healthy-Portable-Organizer-Containers/dp/B003V5D4RC/ref=pd_sbs_121_1/132-5058687-4719452?_encoding=UTF8&amp;amp;pd_rd_i=B003V5D4RC&amp;amp;pd_rd_r=49b66215-6e71-11e9-8571-61275becdf34&amp;amp;pd_rd_w=UApQ7&amp;amp;pd_rd_wg=41XVV&amp;amp;pf_rd_p=588939de-d3f8-42f1-a3d8%22&amp;amp;%22-d556eae5797d&amp;amp;pf_rd_r=Y13KYM2M7FDA3M8CKM70&amp;amp;psc=1&amp;amp;refRID=Y13KYM2M7FDA3M8CKM70" TargetMode="External"/><Relationship Id="rId3" Type="http://schemas.openxmlformats.org/officeDocument/2006/relationships/hyperlink" Target="https://www.amazon.com/Kodak-Wireless-Portable-Instant-Printer/dp/B077BFDT2V/ref=pd_bxgy_229_img_3/141-0729808-3547103?_encoding=UTF8&amp;amp;pd_rd_i=B077BFDT2V&amp;amp;pd_rd_r=25268ec4-85a6-11e9-9b09-4f16de09a724&amp;amp;pd_rd_w=4Yg00&amp;amp;pd_rd_wg=mxuaB&amp;amp;pf_rd_p=a2006322-0bc0-4db9-a%22&amp;amp;%2208e-d168c18ce6f0&amp;amp;pf_rd_r=QYZSMVG8TX0K15ADADD2&amp;amp;psc=1&amp;amp;refRID=QYZSMVG8TX0K15ADADD2" TargetMode="External"/><Relationship Id="rId4" Type="http://schemas.openxmlformats.org/officeDocument/2006/relationships/hyperlink" Target="https://www.amazon.com/Kodak-Mini-Photo-Printer-Cartridge/dp/B01M6ZJJPB/ref=pd_bxgy_421_img_3/141-0729808-3547103?_encoding=UTF8&amp;amp;pd_rd_i=B01M6ZJJPB&amp;amp;pd_rd_r=4e03e703-8cd2-11e9-8305-b7ed7ab58cc3&amp;amp;pd_rd_w=dwuUe&amp;amp;pd_rd_wg=Ybuwm&amp;amp;pf_rd_p=a2006322-0bc0-4db9-a08e-d%22&amp;amp;%22168c18ce6f0&amp;amp;pf_rd_r=VV8RD7B640Y32WGPF25Z&amp;amp;psc=1&amp;amp;refRID=VV8RD7B640Y32WGPF25Z" TargetMode="External"/><Relationship Id="rId5" Type="http://schemas.openxmlformats.org/officeDocument/2006/relationships/hyperlink" Target="https://www.amazon.com/Kodak-Mini-Photo-Printer-Cartridge/dp/B01M6ZJJPB/ref=pd_bxgy_421_img_3/141-0729808-3547103?_encoding=UTF8&amp;amp;pd_rd_i=B01M6ZJJPB&amp;amp;pd_rd_r=4e03e703-8cd2-11e9-8305-b7ed7ab58cc3&amp;amp;pd_rd_w=dwuUe&amp;amp;pd_rd_wg=Ybuwm&amp;amp;pf_rd_p=a2006322-0bc0-4db9-a08e-d%22&amp;amp;%22168c18ce6f0&amp;amp;pf_rd_r=VV8RD7B640Y32WGPF25Z&amp;amp;psc=1&amp;amp;refRID=VV8RD7B640Y32WGPF25Z" TargetMode="External"/><Relationship Id="rId6" Type="http://schemas.openxmlformats.org/officeDocument/2006/relationships/hyperlink" Target="http://e4hats.com/" TargetMode="External"/><Relationship Id="rId7" Type="http://schemas.openxmlformats.org/officeDocument/2006/relationships/hyperlink" Target="https://www.amazon.com/Bose-QuietComfort-Acoustic-Cancelling-Headphones/dp/B00M1NEUKK/ref=sr_1_2?crid=36GR44VQSJ4IH&amp;amp;keywords=bose%2Bqc25%2Bnoise%2Bcancelling%2Bheadphones&amp;amp;qid=1561257446&amp;amp;refinements=p_89%3ABose&amp;amp;rnid=2528832011&amp;amp;s=gateway&amp;amp;sprefix=bose%2Bqc25%22&amp;amp;%22%2Bno%2Caps%2C318&amp;amp;sr=8-2&amp;amp;th=1" TargetMode="External"/><Relationship Id="rId8" Type="http://schemas.openxmlformats.org/officeDocument/2006/relationships/hyperlink" Target="https://www.amazon.com/Bose-QuietComfort-Acoustic-Cancelling-Headphones/dp/B00VW7U8X4/ref=sr_1_2?crid=36GR44VQSJ4IH&amp;amp;keywords=bose%2Bqc25%2Bnoise%2Bcancelling%2Bheadphones&amp;amp;qid=1561257446&amp;amp;refinements=p_89%3ABose&amp;amp;rnid=2528832011&amp;amp;s=gateway&amp;amp;sprefix=bose%2Bqc25%22&amp;amp;%22%2Bno%2Caps%2C318&amp;amp;sr=8-2&amp;amp;th=1" TargetMode="External"/><Relationship Id="rId9" Type="http://schemas.openxmlformats.org/officeDocument/2006/relationships/hyperlink" Target="https://www.amazon.com/CVLIFE-Military-Tactical-Backpacks-Rucksacks/dp/B075CHKRQ6/ref=sr_1_1?keywords=CVLIFE%2BMilitary%2BTactical%2BMolle%2BBackpacks%2B3%2BDay%2BAssault%2BPack%2BBug%2BOut%2BBag%2BArmy%2BRucksacks%2Bfor%2BOutdoor%2BHiking%2BCamping%2BFis%22&amp;amp;%22hing%2BHunting%2Bwith%2BTactical%2BFlag%2BPatch&amp;amp;qid=1562312614&amp;amp;s=gateway&amp;amp;sr=8-1&amp;amp;th=1" TargetMode="External"/><Relationship Id="rId10" Type="http://schemas.openxmlformats.org/officeDocument/2006/relationships/hyperlink" Target="https://www.amazon.com/CVLIFE-Military-Tactical-Backpacks-Rucksacks/dp/B07KY7BFKC/ref=sr_1_1?keywords=CVLIFE%2BMilitary%2BTactical%2BMolle%2BBackpacks%2B3%2BDay%2BAssault%2BPack%2BBug%2BOut%2BBag%2BArmy%2BRucksacks%2Bfor%2BOutdoor%2BHiking%2BCamping%2BFis%22&amp;amp;%22hing%2BHunting%2Bwith%2BTactical%2BFlag%2BPatch&amp;amp;qid=1562312614&amp;amp;s=gateway&amp;amp;sr=8-1&amp;amp;th=1" TargetMode="External"/><Relationship Id="rId11" Type="http://schemas.openxmlformats.org/officeDocument/2006/relationships/hyperlink" Target="https://www.amazon.com/Backpack-Charging-Compartment-Anti-Theft-Waterproof/dp/B07Q1GN3VG/ref=sr_1_4?keywords=Tigernu+Travel+Laptop+Backpack+with+USB+Charging+Port+Business+Computer+Backpack+with+Laptop+Compartment+Anti-Theft+Waterproof+Work+Backpack+for+M&amp;amp;en+Women+Fit+15.6+inch+Laptop%2FMacBook&amp;amp;qid=1567065292&amp;amp;s=gateway&amp;amp;sr=8-4" TargetMode="External"/><Relationship Id="rId12" Type="http://schemas.openxmlformats.org/officeDocument/2006/relationships/hyperlink" Target="https://www.amazon.com/IUNION-Electronic-Accessory-Organizer-Management/dp/B07TJ51JSW/ref=sr_1_15_sspa?crid=AJ0640OO374T&amp;amp;keywords=surface+pro+6&amp;amp;qid=1565445144&amp;amp;refinements=p_72%3A1248879011&amp;amp;rnid=1248877011&amp;amp;s=pc&amp;amp;sprefix=surface%2Caps%2C378&amp;amp;sr=1-15-spons&amp;amp;psc&amp;amp;=1&amp;amp;spLa=ZW5jcnlwdGVkUXVhbGlmaWVyPUEyMTJXUVo2NE9ZUjVZJmVuY3J5cHRlZElkPUEwMTIzMDQ1R1lONktIRzlaSzNSJmVuY3J5cHRlZEFkSWQ9QTA0OTYzMDEyMlo0SDNUNEFXMUlSJndpZGdldE5hbWU9c3BfbXRmJmFjdGlvbj1jbGlja1JlZGlyZWN0JmRvTm90TG9nQ2xpY2s9dHJ1ZQ==" TargetMode="External"/><Relationship Id="rId13" Type="http://schemas.openxmlformats.org/officeDocument/2006/relationships/hyperlink" Target="https://www.amazon.com/dp/B07JG7C6LX/ref=sspa_dk_detail_0?pd_rd_i=B07JG7C6LX&amp;amp;pd_rd_w=SFaG0&amp;amp;pf_rd_p=8a8f3917-7900-4ce8-ad90-adf0d53c0985&amp;amp;pd_rd_wg=0pAdY&amp;amp;pf_rd_r=36R5QRTQW05TFXD9M5CE&amp;amp;pd_rd_r=6ad846e4-f12e-4668-b20c-dc5a0b96f9bc&amp;amp;spLa=ZW5jcnlwdGVkUXVhbGlmaWVyP&amp;amp;UEyOUpLSE1VR1AxR1M3JmVuY3J5cHRlZElkPUEwNDU4OTE0MUhCSk85NUZMNkJDRCZlbmNyeXB0ZWRBZElkPUEwMTM4NzQzMkwwTFgxSVNTTktCVyZ3aWRnZXROYW1lPXNwX2RldGFpbCZhY3Rpb249Y2xpY2tSZWRpcmVjdCZkb05vdExvZ0NsaWNrPXRydWU&amp;amp;th=1" TargetMode="External"/><Relationship Id="rId14" Type="http://schemas.openxmlformats.org/officeDocument/2006/relationships/hyperlink" Target="https://www.amazon.com/Extreme-Microsoft-Surface-Protective-Military/dp/B07BZ5B8S5/ref=sr_1_49_sspa?keywords=surface+pro+6+case&amp;amp;qid=1565711900&amp;amp;s=gateway&amp;amp;sr=8-49-spons&amp;amp;psc=1&amp;amp;spLa=ZW5jcnlwdGVkUXVhbGlmaWVyPUFGNExSUkZFVllTQzcmZW5jcnlwdGVkSWQ9QTAxOTA5OTQxSTVJS&amp;amp;1dKWlNTMTNEJmVuY3J5cHRlZEFkSWQ9QTEwMDE3OTAyVFBWMThENlZCMTNDJndpZGdldE5hbWU9c3BfYnRmJmFjdGlvbj1jbGlja1JlZGlyZWN0JmRvTm90TG9nQ2xpY2s9dHJ1ZQ==" TargetMode="External"/><Relationship Id="rId15" Type="http://schemas.openxmlformats.org/officeDocument/2006/relationships/hyperlink" Target="https://www.amazon.com/Youtec-Shockproof-Protective-Kickstand-Compatible/dp/B07MC736KP/ref=sr_1_58_sspa?keywords=surface%2Bpro%2B6%2Bcase&amp;amp;qid=1565783812&amp;amp;s=gateway&amp;amp;sr=8-58-spons&amp;amp;spLa=ZW5jcnlwdGVkUXVhbGlmaWVyPUEySjMzVUpZR0wzTEo3JmVuY3J5cHRlZElkPUEwMDc4NzEyM&amp;amp;jU3VVlYNkhMSU40MCZlbmNyeXB0ZWRBZElkPUEwMjYyMzE0MkRNMDFaM1BGUUtUTSZ3aWRnZXROYW1lPXNwX2J0ZiZhY3Rpb249Y2xpY2tSZWRpcmVjdCZkb05vdExvZ0NsaWNrPXRydWU&amp;amp;th=1" TargetMode="External"/><Relationship Id="rId16" Type="http://schemas.openxmlformats.org/officeDocument/2006/relationships/hyperlink" Target="https://www.amazon.com/Youtec-Shockproof-Protective-Kickstand-Compatible/dp/B07MTTH21Y/ref=sr_1_58_sspa?keywords=surface%2Bpro%2B6%2Bcase&amp;amp;qid=1565783812&amp;amp;s=gateway&amp;amp;sr=8-58-spons&amp;amp;spLa=ZW5jcnlwdGVkUXVhbGlmaWVyPUEySjMzVUpZR0wzTEo3JmVuY3J5cHRlZElkPUEwMDc4NzEyM&amp;amp;jU3VVlYNkhMSU40MCZlbmNyeXB0ZWRBZElkPUEwMjYyMzE0MkRNMDFaM1BGUUtUTSZ3aWRnZXROYW1lPXNwX2J0ZiZhY3Rpb249Y2xpY2tSZWRpcmVjdCZkb05vdExvZ0NsaWNrPXRydWU&amp;amp;th=1" TargetMode="External"/><Relationship Id="rId17" Type="http://schemas.openxmlformats.org/officeDocument/2006/relationships/hyperlink" Target="https://www.amazon.com/Youtec-Shockproof-Protective-Kickstand-Compatible/dp/B07MTSZ7K1/ref=sr_1_58_sspa?keywords=surface%2Bpro%2B6%2Bcase&amp;amp;qid=1565783812&amp;amp;s=gateway&amp;amp;sr=8-58-spons&amp;amp;spLa=ZW5jcnlwdGVkUXVhbGlmaWVyPUEySjMzVUpZR0wzTEo3JmVuY3J5cHRlZElkPUEwMDc4NzEyM&amp;amp;jU3VVlYNkhMSU40MCZlbmNyeXB0ZWRBZElkPUEwMjYyMzE0MkRNMDFaM1BGUUtUTSZ3aWRnZXROYW1lPXNwX2J0ZiZhY3Rpb249Y2xpY2tSZWRpcmVjdCZkb05vdExvZ0NsaWNrPXRydWU&amp;amp;th=1" TargetMode="External"/><Relationship Id="rId18" Type="http://schemas.openxmlformats.org/officeDocument/2006/relationships/hyperlink" Target="https://www.amazon.com/Youtec-Shockproof-Protective-Kickstand-Compatible/dp/B07MTTJ92P/ref=sr_1_58_sspa?keywords=surface%2Bpro%2B6%2Bcase&amp;amp;qid=1565783812&amp;amp;s=gateway&amp;amp;sr=8-58-spons&amp;amp;spLa=ZW5jcnlwdGVkUXVhbGlmaWVyPUEySjMzVUpZR0wzTEo3JmVuY3J5cHRlZElkPUEwMDc4NzEyM&amp;amp;jU3VVlYNkhMSU40MCZlbmNyeXB0ZWRBZElkPUEwMjYyMzE0MkRNMDFaM1BGUUtUTSZ3aWRnZXROYW1lPXNwX2J0ZiZhY3Rpb249Y2xpY2tSZWRpcmVjdCZkb05vdExvZ0NsaWNrPXRydWU&amp;amp;th=1" TargetMode="External"/><Relationship Id="rId19" Type="http://schemas.openxmlformats.org/officeDocument/2006/relationships/hyperlink" Target="https://www.amazon.com/dp/B06XFXTG29/ref=pd_luc_rh_sspa_dk_huc_pt_expsub_1?spLa=ZW5jcnlwdGVkUXVhbGlmaWVyPUEzVVRJUkYwOFM5Q0xEJmVuY3J5cHRlZElkPUEwNTEyNDQ2NTkzWUk2N1pQMVRBJmVuY3J5cHRlZEFkSWQ9QTA1NDU2NzMzUzFPMTJOSVJUR1A1JndpZGdldE5hbWU9c3BfaHVjX21yYWkmYWN0aW9&amp;amp;uPWNsaWNrUmVkaXJlY3QmZG9Ob3RMb2dDbGljaz10cnVl&amp;amp;th=1" TargetMode="External"/><Relationship Id="rId20" Type="http://schemas.openxmlformats.org/officeDocument/2006/relationships/hyperlink" Target="https://www.amazon.com/dp/B06XG8VRSD/ref=pd_luc_rh_sspa_dk_huc_pt_expsub_1?spLa=ZW5jcnlwdGVkUXVhbGlmaWVyPUEzVVRJUkYwOFM5Q0xEJmVuY3J5cHRlZElkPUEwNTEyNDQ2NTkzWUk2N1pQMVRBJmVuY3J5cHRlZEFkSWQ9QTA1NDU2NzMzUzFPMTJOSVJUR1A1JndpZGdldE5hbWU9c3BfaHVjX21yYWkmYWN0aW9&amp;amp;uPWNsaWNrUmVkaXJlY3QmZG9Ob3RMb2dDbGljaz10cnVl&amp;amp;th=1" TargetMode="External"/><Relationship Id="rId21" Type="http://schemas.openxmlformats.org/officeDocument/2006/relationships/hyperlink" Target="https://www.amazon.com/dp/B079HXN8TM/ref=sspa_dk_detail_2?pd_rd_i=B079HXBVMX&amp;amp;pd_rd_w=ywnZj&amp;amp;pf_rd_p=45a72588-80f7-4414-9851-786f6c16d42b&amp;amp;pd_rd_wg=Th5jn&amp;amp;pf_rd_r=KY3P5R7QXYEEQG7897XT&amp;amp;pd_rd_r=5f903a92-738a-4518-8174-0069fc3c186d&amp;amp;spLa=ZW5jcnlwdGVkUXVhbGlmaWVyP&amp;amp;UEzR1VUTlhaWkZSRVZQJmVuY3J5cHRlZElkPUEwNjQ3NDEzM0tKMFVKQVdNMDVOJmVuY3J5cHRlZEFkSWQ9QTAxNjEwOTAyRDQ5T1JFQzZISTZSJndpZGdldE5hbWU9c3BfZGV0YWlsJmFjdGlvbj1jbGlja1JlZGlyZWN0JmRvTm90TG9nQ2xpY2s9dHJ1ZQ&amp;amp;th=1" TargetMode="External"/><Relationship Id="rId22" Type="http://schemas.openxmlformats.org/officeDocument/2006/relationships/hyperlink" Target="https://www.amazon.com/dp/B079HXN8TM/ref=sspa_dk_detail_2?pd_rd_i=B079HXBVMX&amp;amp;pd_rd_w=ywnZj&amp;amp;pf_rd_p=45a72588-80f7-4414-9851-786f6c16d42b&amp;amp;pd_rd_wg=Th5jn&amp;amp;pf_rd_r=KY3P5R7QXYEEQG7897XT&amp;amp;pd_rd_r=5f903a92-738a-4518-8174-0069fc3c186d&amp;amp;spLa=ZW5jcnlwdGVkUXVhbGlmaWVyP&amp;amp;UEzR1VUTlhaWkZSRVZQJmVuY3J5cHRlZElkPUEwNjQ3NDEzM0tKMFVKQVdNMDVOJmVuY3J5cHRlZEFkSWQ9QTAxNjEwOTAyRDQ5T1JFQzZISTZSJndpZGdldE5hbWU9c3BfZGV0YWlsJmFjdGlvbj1jbGlja1JlZGlyZWN0JmRvTm90TG9nQ2xpY2s9dHJ1ZQ&amp;amp;th=1" TargetMode="External"/><Relationship Id="rId23" Type="http://schemas.openxmlformats.org/officeDocument/2006/relationships/hyperlink" Target="https://www.amazon.com/dp/B079JB8FV7/ref=sspa_dk_detail_2?pd_rd_i=B079HXBVMX&amp;amp;pd_rd_w=ywnZj&amp;amp;pf_rd_p=45a72588-80f7-4414-9851-786f6c16d42b&amp;amp;pd_rd_wg=Th5jn&amp;amp;pf_rd_r=KY3P5R7QXYEEQG7897XT&amp;amp;pd_rd_r=5f903a92-738a-4518-8174-0069fc3c186d&amp;amp;spLa=ZW5jcnlwdGVkUXVhbGlmaWVyP&amp;amp;UEzR1VUTlhaWkZSRVZQJmVuY3J5cHRlZElkPUEwNjQ3NDEzM0tKMFVKQVdNMDVOJmVuY3J5cHRlZEFkSWQ9QTAxNjEwOTAyRDQ5T1JFQzZISTZSJndpZGdldE5hbWU9c3BfZGV0YWlsJmFjdGlvbj1jbGlja1JlZGlyZWN0JmRvTm90TG9nQ2xpY2s9dHJ1ZQ&amp;amp;th=1" TargetMode="External"/><Relationship Id="rId24" Type="http://schemas.openxmlformats.org/officeDocument/2006/relationships/hyperlink" Target="https://www.amazon.com/dp/B079J9R4KD/ref=sspa_dk_detail_2?pd_rd_i=B079HXBVMX&amp;amp;pd_rd_w=ywnZj&amp;amp;pf_rd_p=45a72588-80f7-4414-9851-786f6c16d42b&amp;amp;pd_rd_wg=Th5jn&amp;amp;pf_rd_r=KY3P5R7QXYEEQG7897XT&amp;amp;pd_rd_r=5f903a92-738a-4518-8174-0069fc3c186d&amp;amp;spLa=ZW5jcnlwdGVkUXVhbGlmaWVyP&amp;amp;UEzR1VUTlhaWkZSRVZQJmVuY3J5cHRlZElkPUEwNjQ3NDEzM0tKMFVKQVdNMDVOJmVuY3J5cHRlZEFkSWQ9QTAxNjEwOTAyRDQ5T1JFQzZISTZSJndpZGdldE5hbWU9c3BfZGV0YWlsJmFjdGlvbj1jbGlja1JlZGlyZWN0JmRvTm90TG9nQ2xpY2s9dHJ1ZQ&amp;amp;th=1" TargetMode="External"/><Relationship Id="rId25" Type="http://schemas.openxmlformats.org/officeDocument/2006/relationships/hyperlink" Target="https://www.amazon.com/Surface-Go-Case-Microsoft-Blue/dp/B07PMBR3N7/ref=mp_s_a_1_37_sspa?keywords=surface+go+case&amp;amp;qid=1566305135&amp;amp;s=gateway&amp;amp;sr=8-37-spons&amp;amp;psc=1&amp;amp;spLa=ZW5jcnlwdGVkUXVhbGlmaWVyPUExTThOMlYzOFRKNzZUJmVuY3J5cHRlZElkPUEwNzk1MDg2MlZHUjA0OEc2RzJYOCZ&amp;amp;lbmNyeXB0ZWRBZElkPUEwNDY3ODkxMVhPNUZaRzBXNzRJVSZ3aWRnZXROYW1lPXNwX3Bob25lX3NlYXJjaF9tdGYmYWN0aW9uPWNsaWNrUmVkaXJlY3QmZG9Ob3RMb2dDbGljaz10cnVl" TargetMode="External"/><Relationship Id="rId26" Type="http://schemas.openxmlformats.org/officeDocument/2006/relationships/hyperlink" Target="https://www.amazon.com/CharJenPro-Surface-Docking-Delivery-Headphone/dp/B07PXWWQVM/ref=sr_1_53_sspa?crid=5JX2IAGBIL21&amp;amp;keywords=surface+go+accessories&amp;amp;qid=1566308363&amp;amp;s=gateway&amp;amp;sprefix=surface+go+a%2Caps%2C365&amp;amp;sr=8-53-spons&amp;amp;psc=1&amp;amp;spLa=ZW5jcnlwdGVkUXVhbGlmaW&amp;amp;VyPUEyMVVCSkIxMTA2OE9IJmVuY3J5cHRlZElkPUEwNzIxMjkzMkI4NEM2STk4WEcwNiZlbmNyeXB0ZWRBZElkPUEwMDU3NjA5MjY3Ukc4ODJYSldXNyZ3aWRnZXROYW1lPXNwX2J0ZiZhY3Rpb249Y2xpY2tSZWRpcmVjdCZkb05vdExvZ0NsaWNrPXRydWU=" TargetMode="External"/><Relationship Id="rId27" Type="http://schemas.openxmlformats.org/officeDocument/2006/relationships/hyperlink" Target="https://www.amazon.com/BenQ-ScreenBar-Auto-Dimming-Adjustment-ScreenBar_Black/dp/B076VNFZJG/ref=sr_1_1_sspa?crid=84IKYIV08DBD&amp;amp;keywords=benq%2Bscreenbar&amp;amp;qid=1567157221&amp;amp;s=gateway&amp;amp;sprefix=benq%2Bscreen%2Caps%2C500&amp;amp;sr=8-1-spons&amp;amp;spLa=ZW5jcnlwdGVkUXVhbGlmaWVyPU&amp;amp;EzMEtVNThHN09EWlY0JmVuY3J5cHRlZElkPUExMDI2MTc2MzBWU0VCWjVTU0xUTiZlbmNyeXB0ZWRBZElkPUEwNjY4MjQ3MlRMS1Q2RFMzUVJQVSZ3aWRnZXROYW1lPXNwX2F0ZiZhY3Rpb249Y2xpY2tSZWRpcmVjdCZkb05vdExvZ0NsaWNrPXRydWU&amp;amp;th=1" TargetMode="External"/><Relationship Id="rId28" Type="http://schemas.openxmlformats.org/officeDocument/2006/relationships/hyperlink" Target="https://www.amazon.com/Caseling-Harman-Kardon-Wireless-Speaker/dp/B01LXC8L9W/ref=pd_bxgy_23_img_2/141-3649162-7485647?_encoding=UTF8&amp;amp;pd_rd_i=B01LXC8L9W&amp;amp;pd_rd_r=b3164885-2d7f-4ec3-acd2-384bde52af77&amp;amp;pd_rd_w=za9rI&amp;amp;pd_rd_wg=hJJmt&amp;amp;pf_rd_p=a2006322-0bc0-4db9-a0&amp;amp;8e-d168c18ce6f0&amp;amp;pf_rd_r=P750FT5R5TR35M24X1Q4&amp;amp;psc=1&amp;amp;refRID=P750FT5R5TR35M24X1Q4" TargetMode="External"/><Relationship Id="rId29" Type="http://schemas.openxmlformats.org/officeDocument/2006/relationships/hyperlink" Target="https://www.amazon.com/dp/B07CMK551C/ref=sspa_dk_detail_0?pd_rd_i=B07CMK551C&amp;amp;pd_rd_w=NSPTw&amp;amp;pf_rd_p=45a72588-80f7-4414-9851-786f6c16d42b&amp;amp;pd_rd_wg=Ugg1X&amp;amp;pf_rd_r=0PG518VY4NGAWQTAD9TS&amp;amp;pd_rd_r=6ce717c2-5983-43b7-840f-f89bb0926a1f&amp;amp;spLa=ZW5jcnlwdGVkUXVhbGlmaWVyP&amp;amp;UFXRDMxQUlCODRCQUcmZW5jcnlwdGVkSWQ9QTA5MTM4MjQzN0E3V0NVQ1NWN0dOJmVuY3J5cHRlZEFkSWQ9QTA1NDMyNjAzUlJHTFg5Q05FTEsmd2lkZ2V0TmFtZT1zcF9kZXRhaWwmYWN0aW9uPWNsaWNrUmVkaXJlY3QmZG9Ob3RMb2dDbGljaz10cnVl&amp;amp;th=1" TargetMode="External"/><Relationship Id="rId30" Type="http://schemas.openxmlformats.org/officeDocument/2006/relationships/hyperlink" Target="https://www.amazon.com/UBeesize-Ringlight-YouTube-Photography-Compatible/dp/B07GDC39Y2?ref_=Oct_MWishedForC_2335752011_6&amp;amp;pf_rd_r=5MZZ7GX717FMDG4MGGAR&amp;amp;pf_rd_p=820cc294-2d7a-563a-8c5f-4f4162b17a5a&amp;amp;pf_rd_s=merchandised-search-10&amp;amp;pf_rd_t=101&amp;amp;pf_rd_i=233575201&amp;amp;1&amp;amp;pf_rd_m=ATVPDKIKX0DER" TargetMode="External"/><Relationship Id="rId31" Type="http://schemas.openxmlformats.org/officeDocument/2006/relationships/hyperlink" Target="https://www.amazon.com/iPad-Pro-12-9-Magnetically-2018/dp/B07QB5V7P5/ref=sr_1_1_sspa?crid=4PG7S43NNHSQ&amp;amp;keywords=ipad%2Bpro%2B12.9%2Bkeyboard&amp;amp;qid=1567869426&amp;amp;s=electronics&amp;amp;sprefix=ipad%2Bpro%2B12.9%2Celectronics%2C331&amp;amp;sr=1-1-spons&amp;amp;spLa=ZW5jcnlwdGVkUXVhbGlma&amp;amp;WVyPUEzNTY3VElDUlVKQTk0JmVuY3J5cHRlZElkPUEwOTc1Njg1MkJGSFhCMVBGWEdOMiZlbmNyeXB0ZWRBZElkPUEwNjk1MDkxMUI0R1NUT1lKNFZNNyZ3aWRnZXROYW1lPXNwX2F0ZiZhY3Rpb249Y2xpY2tSZWRpcmVjdCZkb05vdExvZ0NsaWNrPXRydWU&amp;amp;th=1" TargetMode="External"/><Relationship Id="rId32" Type="http://schemas.openxmlformats.org/officeDocument/2006/relationships/hyperlink" Target="https://www.amazon.com/iPad-Pro-12-9-Magnetically-2018/dp/B07QG925SZ/ref=sr_1_1_sspa?crid=4PG7S43NNHSQ&amp;amp;keywords=ipad%2Bpro%2B12.9%2Bkeyboard&amp;amp;qid=1567869426&amp;amp;s=electronics&amp;amp;sprefix=ipad%2Bpro%2B12.9%2Celectronics%2C331&amp;amp;sr=1-1-spons&amp;amp;spLa=ZW5jcnlwdGVkUXVhbGlma&amp;amp;WVyPUEzNTY3VElDUlVKQTk0JmVuY3J5cHRlZElkPUEwOTc1Njg1MkJGSFhCMVBGWEdOMiZlbmNyeXB0ZWRBZElkPUEwNjk1MDkxMUI0R1NUT1lKNFZNNyZ3aWRnZXROYW1lPXNwX2F0ZiZhY3Rpb249Y2xpY2tSZWRpcmVjdCZkb05vdExvZ0NsaWNrPXRydWU&amp;amp;th=1" TargetMode="External"/><Relationship Id="rId33" Type="http://schemas.openxmlformats.org/officeDocument/2006/relationships/hyperlink" Target="https://www.amazon.com/iPad-Pro-12-9-Magnetically-2018/dp/B07QF6BVDP/ref=sr_1_1_sspa?crid=4PG7S43NNHSQ&amp;amp;keywords=ipad%2Bpro%2B12.9%2Bkeyboard&amp;amp;qid=1567869426&amp;amp;s=electronics&amp;amp;sprefix=ipad%2Bpro%2B12.9%2Celectronics%2C331&amp;amp;sr=1-1-spons&amp;amp;spLa=ZW5jcnlwdGVkUXVhbGlma&amp;amp;WVyPUEzNTY3VElDUlVKQTk0JmVuY3J5cHRlZElkPUEwOTc1Njg1MkJGSFhCMVBGWEdOMiZlbmNyeXB0ZWRBZElkPUEwNjk1MDkxMUI0R1NUT1lKNFZNNyZ3aWRnZXROYW1lPXNwX2F0ZiZhY3Rpb249Y2xpY2tSZWRpcmVjdCZkb05vdExvZ0NsaWNrPXRydWU&amp;amp;th=1" TargetMode="External"/><Relationship Id="rId34" Type="http://schemas.openxmlformats.org/officeDocument/2006/relationships/hyperlink" Target="https://www.amazon.com/iPad-Pro-12-9-Magnetically-2018/dp/B07T2B4B5D/ref=sr_1_1_sspa?crid=4PG7S43NNHSQ&amp;amp;keywords=ipad%2Bpro%2B12.9%2Bkeyboard&amp;amp;qid=1567869426&amp;amp;s=electronics&amp;amp;sprefix=ipad%2Bpro%2B12.9%2Celectronics%2C331&amp;amp;sr=1-1-spons&amp;amp;spLa=ZW5jcnlwdGVkUXVhbGlma&amp;amp;WVyPUEzNTY3VElDUlVKQTk0JmVuY3J5cHRlZElkPUEwOTc1Njg1MkJGSFhCMVBGWEdOMiZlbmNyeXB0ZWRBZElkPUEwNjk1MDkxMUI0R1NUT1lKNFZNNyZ3aWRnZXROYW1lPXNwX2F0ZiZhY3Rpb249Y2xpY2tSZWRpcmVjdCZkb05vdExvZ0NsaWNrPXRydWU&amp;amp;th=1" TargetMode="External"/><Relationship Id="rId35" Type="http://schemas.openxmlformats.org/officeDocument/2006/relationships/hyperlink" Target="https://www.amazon.com/Nooz-Armless-Reading-Rectangular-Wherever/dp/B071LG94J3/ref=sr_1_5?keywords=nooz&amp;amp;pd_rd_r=c869fe96-7949-4d25-b5f0-b9ae0cc2e78e&amp;amp;pd_rd_w=LulmW&amp;amp;pd_rd_wg=PQVKw&amp;amp;pf_rd_p=67c9d84c-d98a-4415-a549-dd3360e9d207&amp;amp;pf_rd_r=TEENF981P3C3GSSYF087&amp;amp;qid&amp;amp;=1568792786&amp;amp;s=gateway&amp;amp;sr=8-5&amp;amp;th=1&amp;amp;psc=1" TargetMode="External"/><Relationship Id="rId36" Type="http://schemas.openxmlformats.org/officeDocument/2006/relationships/hyperlink" Target="https://www.amazon.com/Nooz-Armless-Reading-Rectangular-Wherever/dp/B079M79W12/ref=sr_1_5?keywords=nooz&amp;amp;pd_rd_r=c869fe96-7949-4d25-b5f0-b9ae0cc2e78e&amp;amp;pd_rd_w=LulmW&amp;amp;pd_rd_wg=PQVKw&amp;amp;pf_rd_p=67c9d84c-d98a-4415-a549-dd3360e9d207&amp;amp;pf_rd_r=TEENF981P3C3GSSYF087&amp;amp;qid&amp;amp;=1568792786&amp;amp;s=gateway&amp;amp;sr=8-5&amp;amp;th=1" TargetMode="External"/><Relationship Id="rId37" Type="http://schemas.openxmlformats.org/officeDocument/2006/relationships/hyperlink" Target="https://www.amazon.com/Nooz-Armless-Reading-Rectangular-Wherever/dp/B07171T3NC/ref=sr_1_5?keywords=nooz&amp;amp;pd_rd_r=c869fe96-7949-4d25-b5f0-b9ae0cc2e78e&amp;amp;pd_rd_w=LulmW&amp;amp;pd_rd_wg=PQVKw&amp;amp;pf_rd_p=67c9d84c-d98a-4415-a549-dd3360e9d207&amp;amp;pf_rd_r=TEENF981P3C3GSSYF087&amp;amp;qid&amp;amp;=1568792786&amp;amp;s=gateway&amp;amp;sr=8-5&amp;amp;th=1" TargetMode="External"/><Relationship Id="rId38" Type="http://schemas.openxmlformats.org/officeDocument/2006/relationships/hyperlink" Target="https://www.amazon.com/Nooz-Armless-Reading-Rectangular-Wherever/dp/B0728DJBYC/ref=sr_1_5?keywords=nooz&amp;amp;pd_rd_r=c869fe96-7949-4d25-b5f0-b9ae0cc2e78e&amp;amp;pd_rd_w=LulmW&amp;amp;pd_rd_wg=PQVKw&amp;amp;pf_rd_p=67c9d84c-d98a-4415-a549-dd3360e9d207&amp;amp;pf_rd_r=TEENF981P3C3GSSYF087&amp;amp;qid&amp;amp;=1568792786&amp;amp;s=gateway&amp;amp;sr=8-5&amp;amp;th=1" TargetMode="External"/><Relationship Id="rId39" Type="http://schemas.openxmlformats.org/officeDocument/2006/relationships/hyperlink" Target="https://www.amazon.com/Nooz-Armless-Reading-Rectangular-Wherever/dp/B079MHXNNY/ref=sr_1_5?keywords=nooz&amp;amp;pd_rd_r=c869fe96-7949-4d25-b5f0-b9ae0cc2e78e&amp;amp;pd_rd_w=LulmW&amp;amp;pd_rd_wg=PQVKw&amp;amp;pf_rd_p=67c9d84c-d98a-4415-a549-dd3360e9d207&amp;amp;pf_rd_r=TEENF981P3C3GSSYF087&amp;amp;qid&amp;amp;=1568792786&amp;amp;s=gateway&amp;amp;sr=8-5&amp;amp;th=1" TargetMode="External"/><Relationship Id="rId40" Type="http://schemas.openxmlformats.org/officeDocument/2006/relationships/hyperlink" Target="https://www.amazon.com/Nooz-Armless-Reading-Rectangular-Wherever/dp/B079M6RQBM/ref=sr_1_5?keywords=nooz&amp;amp;pd_rd_r=c869fe96-7949-4d25-b5f0-b9ae0cc2e78e&amp;amp;pd_rd_w=LulmW&amp;amp;pd_rd_wg=PQVKw&amp;amp;pf_rd_p=67c9d84c-d98a-4415-a549-dd3360e9d207&amp;amp;pf_rd_r=TEENF981P3C3GSSYF087&amp;amp;qid&amp;amp;=1568792786&amp;amp;s=gateway&amp;amp;sr=8-5&amp;amp;th=1" TargetMode="External"/><Relationship Id="rId41" Type="http://schemas.openxmlformats.org/officeDocument/2006/relationships/hyperlink" Target="https://www.amazon.com/Maxboost-mWallet-Designed-Galaxy-Note/dp/B07V25NT1H/ref=pd_cp_107_1/146-8978066-9628062?_encoding=UTF8&amp;amp;pd_rd_i=B07V25NT1H&amp;amp;pd_rd_r=680041e3-ef8a-499c-95f5-9c7f656877d5&amp;amp;pd_rd_w=RJjbH&amp;amp;pd_rd_wg=yTsXM&amp;amp;pf_rd_p=ef4dc990-a9ca-4945-ae0b-f8d5&amp;amp;49198ed6&amp;amp;pf_rd_r=DKPKRSBTREJR1JGAW6HQ&amp;amp;psc=1&amp;amp;refRID=DKPKRSBTREJR1JGAW6HQ" TargetMode="External"/><Relationship Id="rId42" Type="http://schemas.openxmlformats.org/officeDocument/2006/relationships/hyperlink" Target="https://www.amazon.com/dp/B07X7YN7V3/ref=sspa_dk_detail_6?pd_rd_i=B07X943VN8&amp;amp;pd_rd_w=cPp14&amp;amp;pf_rd_p=45a72588-80f7-4414-9851-786f6c16d42b&amp;amp;pd_rd_wg=FwZsv&amp;amp;pf_rd_r=E5REA5XB6R4BACRS51RH&amp;amp;pd_rd_r=9a2d3104-85e5-42fb-a78d-8490c31753f1&amp;amp;spLa=ZW5jcnlwdGVkUXVhbGlmaWVyP&amp;amp;UExSFpIQVZVN0tUMTQmZW5jcnlwdGVkSWQ9QTAxNDc1OTEyNkU0OTcyQk5IQ0FRJmVuY3J5cHRlZEFkSWQ9QTA0NzQzNjUzUlNTQ0ExVUdEMERFJndpZGdldE5hbWU9c3BfZGV0YWlsJmFjdGlvbj1jbGlja1JlZGlyZWN0JmRvTm90TG9nQ2xpY2s9dHJ1ZQ&amp;amp;th=1" TargetMode="External"/><Relationship Id="rId43" Type="http://schemas.openxmlformats.org/officeDocument/2006/relationships/hyperlink" Target="https://www.amazon.com/dp/B07X943VN8/ref=sspa_dk_detail_6?pd_rd_i=B07X943VN8&amp;amp;pd_rd_w=cPp14&amp;amp;pf_rd_p=45a72588-80f7-4414-9851-786f6c16d42b&amp;amp;pd_rd_wg=FwZsv&amp;amp;pf_rd_r=E5REA5XB6R4BACRS51RH&amp;amp;pd_rd_r=9a2d3104-85e5-42fb-a78d-8490c31753f1&amp;amp;spLa=ZW5jcnlwdGVkUXVhbGlmaWVyP&amp;amp;UExSFpIQVZVN0tUMTQmZW5jcnlwdGVkSWQ9QTAxNDc1OTEyNkU0OTcyQk5IQ0FRJmVuY3J5cHRlZEFkSWQ9QTA0NzQzNjUzUlNTQ0ExVUdEMERFJndpZGdldE5hbWU9c3BfZGV0YWlsJmFjdGlvbj1jbGlja1JlZGlyZWN0JmRvTm90TG9nQ2xpY2s9dHJ1ZQ&amp;amp;th=1" TargetMode="External"/><Relationship Id="rId44" Type="http://schemas.openxmlformats.org/officeDocument/2006/relationships/hyperlink" Target="https://www.amazon.com/dp/B07X7F7LTK/ref=sspa_dk_detail_6?pd_rd_i=B07X943VN8&amp;amp;pd_rd_w=cPp14&amp;amp;pf_rd_p=45a72588-80f7-4414-9851-786f6c16d42b&amp;amp;pd_rd_wg=FwZsv&amp;amp;pf_rd_r=E5REA5XB6R4BACRS51RH&amp;amp;pd_rd_r=9a2d3104-85e5-42fb-a78d-8490c31753f1&amp;amp;spLa=ZW5jcnlwdGVkUXVhbGlmaWVyP&amp;amp;UExSFpIQVZVN0tUMTQmZW5jcnlwdGVkSWQ9QTAxNDc1OTEyNkU0OTcyQk5IQ0FRJmVuY3J5cHRlZEFkSWQ9QTA0NzQzNjUzUlNTQ0ExVUdEMERFJndpZGdldE5hbWU9c3BfZGV0YWlsJmFjdGlvbj1jbGlja1JlZGlyZWN0JmRvTm90TG9nQ2xpY2s9dHJ1ZQ&amp;amp;th=1" TargetMode="External"/><Relationship Id="rId45" Type="http://schemas.openxmlformats.org/officeDocument/2006/relationships/hyperlink" Target="https://www.amazon.com/Infiland-Multiple-Samsung-SM-T860-Charging/dp/B07X1J2Y5Q/ref=sr_1_1_sspa?keywords=Galaxy%2Btab%2Bs6%2Bcase&amp;amp;qid=1569668849&amp;amp;s=gateway&amp;amp;sr=8-1-spons&amp;amp;spLa=ZW5jcnlwdGVkUXVhbGlmaWVyPUExM0RFRDAyRTg0MFhVJmVuY3J5cHRlZElkPUEwNDUxNDM1MjlZT1pGV1&amp;amp;FaRkY4MSZlbmNyeXB0ZWRBZElkPUEwMTY4NTM1MkhWVDdSOVFQUjRHQSZ3aWRnZXROYW1lPXNwX2F0ZiZhY3Rpb249Y2xpY2tSZWRpcmVjdCZkb05vdExvZ0NsaWNrPXRydWU&amp;amp;th=1" TargetMode="External"/><Relationship Id="rId46" Type="http://schemas.openxmlformats.org/officeDocument/2006/relationships/hyperlink" Target="https://www.amazon.com/Infiland-Multiple-Samsung-SM-T860-Charging/dp/B07WYXW4LV/ref=sr_1_1_sspa?keywords=Galaxy%2Btab%2Bs6%2Bcase&amp;amp;qid=1569668849&amp;amp;s=gateway&amp;amp;sr=8-1-spons&amp;amp;spLa=ZW5jcnlwdGVkUXVhbGlmaWVyPUExM0RFRDAyRTg0MFhVJmVuY3J5cHRlZElkPUEwNDUxNDM1MjlZT1pGV1&amp;amp;FaRkY4MSZlbmNyeXB0ZWRBZElkPUEwMTY4NTM1MkhWVDdSOVFQUjRHQSZ3aWRnZXROYW1lPXNwX2F0ZiZhY3Rpb249Y2xpY2tSZWRpcmVjdCZkb05vdExvZ0NsaWNrPXRydWU&amp;amp;th=1" TargetMode="External"/><Relationship Id="rId47" Type="http://schemas.openxmlformats.org/officeDocument/2006/relationships/hyperlink" Target="https://www.amazon.com/Infiland-Multiple-Samsung-SM-T860-Charging/dp/B07X3G8LRV/ref=sr_1_1_sspa?keywords=Galaxy%2Btab%2Bs6%2Bcase&amp;amp;qid=1569668849&amp;amp;s=gateway&amp;amp;sr=8-1-spons&amp;amp;spLa=ZW5jcnlwdGVkUXVhbGlmaWVyPUExM0RFRDAyRTg0MFhVJmVuY3J5cHRlZElkPUEwNDUxNDM1MjlZT1pGV1&amp;amp;FaRkY4MSZlbmNyeXB0ZWRBZElkPUEwMTY4NTM1MkhWVDdSOVFQUjRHQSZ3aWRnZXROYW1lPXNwX2F0ZiZhY3Rpb249Y2xpY2tSZWRpcmVjdCZkb05vdExvZ0NsaWNrPXRydWU&amp;amp;th=1" TargetMode="External"/><Relationship Id="rId48" Type="http://schemas.openxmlformats.org/officeDocument/2006/relationships/hyperlink" Target="https://www.amazon.com/Infiland-Multiple-Samsung-SM-T860-Charging/dp/B07X2GQMVT/ref=sr_1_1_sspa?keywords=Galaxy%2Btab%2Bs6%2Bcase&amp;amp;qid=1569668849&amp;amp;s=gateway&amp;amp;sr=8-1-spons&amp;amp;spLa=ZW5jcnlwdGVkUXVhbGlmaWVyPUExM0RFRDAyRTg0MFhVJmVuY3J5cHRlZElkPUEwNDUxNDM1MjlZT1pGV1&amp;amp;FaRkY4MSZlbmNyeXB0ZWRBZElkPUEwMTY4NTM1MkhWVDdSOVFQUjRHQSZ3aWRnZXROYW1lPXNwX2F0ZiZhY3Rpb249Y2xpY2tSZWRpcmVjdCZkb05vdExvZ0NsaWNrPXRydWU&amp;amp;th=1" TargetMode="External"/><Relationship Id="rId49" Type="http://schemas.openxmlformats.org/officeDocument/2006/relationships/hyperlink" Target="https://www.amazon.com/Infiland-Multiple-Samsung-SM-T860-Charging/dp/B07X2HQD7L/ref=sr_1_1_sspa?keywords=Galaxy%2Btab%2Bs6%2Bcase&amp;amp;qid=1569668849&amp;amp;s=gateway&amp;amp;sr=8-1-spons&amp;amp;spLa=ZW5jcnlwdGVkUXVhbGlmaWVyPUExM0RFRDAyRTg0MFhVJmVuY3J5cHRlZElkPUEwNDUxNDM1MjlZT1pGV1&amp;amp;FaRkY4MSZlbmNyeXB0ZWRBZElkPUEwMTY4NTM1MkhWVDdSOVFQUjRHQSZ3aWRnZXROYW1lPXNwX2F0ZiZhY3Rpb249Y2xpY2tSZWRpcmVjdCZkb05vdExvZ0NsaWNrPXRydWU&amp;amp;th=1" TargetMode="External"/><Relationship Id="rId50" Type="http://schemas.openxmlformats.org/officeDocument/2006/relationships/hyperlink" Target="https://www.amazon.com/Infiland-Multiple-Samsung-SM-T860-Charging/dp/B07WPT7NTR/ref=sr_1_1_sspa?keywords=Galaxy%2Btab%2Bs6%2Bcase&amp;amp;qid=1569668849&amp;amp;s=gateway&amp;amp;sr=8-1-spons&amp;amp;spLa=ZW5jcnlwdGVkUXVhbGlmaWVyPUExM0RFRDAyRTg0MFhVJmVuY3J5cHRlZElkPUEwNDUxNDM1MjlZT1pGV1&amp;amp;FaRkY4MSZlbmNyeXB0ZWRBZElkPUEwMTY4NTM1MkhWVDdSOVFQUjRHQSZ3aWRnZXROYW1lPXNwX2F0ZiZhY3Rpb249Y2xpY2tSZWRpcmVjdCZkb05vdExvZ0NsaWNrPXRydWU&amp;amp;th=1" TargetMode="External"/><Relationship Id="rId51" Type="http://schemas.openxmlformats.org/officeDocument/2006/relationships/hyperlink" Target="https://www.amazon.com/Infiland-Multiple-Samsung-SM-T860-Charging/dp/B07XNW18ZV/ref=sr_1_1_sspa?keywords=Galaxy%2Btab%2Bs6%2Bcase&amp;amp;qid=1569668849&amp;amp;s=gateway&amp;amp;sr=8-1-spons&amp;amp;spLa=ZW5jcnlwdGVkUXVhbGlmaWVyPUExM0RFRDAyRTg0MFhVJmVuY3J5cHRlZElkPUEwNDUxNDM1MjlZT1pGV1&amp;amp;FaRkY4MSZlbmNyeXB0ZWRBZElkPUEwMTY4NTM1MkhWVDdSOVFQUjRHQSZ3aWRnZXROYW1lPXNwX2F0ZiZhY3Rpb249Y2xpY2tSZWRpcmVjdCZkb05vdExvZ0NsaWNrPXRydWU&amp;amp;th=1" TargetMode="External"/><Relationship Id="rId52" Type="http://schemas.openxmlformats.org/officeDocument/2006/relationships/hyperlink" Target="https://www.amazon.com/Infiland-Multiple-Samsung-SM-T860-Charging/dp/B07XNXBFY7/ref=sr_1_1_sspa?keywords=Galaxy%2Btab%2Bs6%2Bcase&amp;amp;qid=1569668849&amp;amp;s=gateway&amp;amp;sr=8-1-spons&amp;amp;spLa=ZW5jcnlwdGVkUXVhbGlmaWVyPUExM0RFRDAyRTg0MFhVJmVuY3J5cHRlZElkPUEwNDUxNDM1MjlZT1pGV1&amp;amp;FaRkY4MSZlbmNyeXB0ZWRBZElkPUEwMTY4NTM1MkhWVDdSOVFQUjRHQSZ3aWRnZXROYW1lPXNwX2F0ZiZhY3Rpb249Y2xpY2tSZWRpcmVjdCZkb05vdExvZ0NsaWNrPXRydWU&amp;amp;th=1" TargetMode="External"/><Relationship Id="rId53" Type="http://schemas.openxmlformats.org/officeDocument/2006/relationships/hyperlink" Target="https://www.amazon.com/Headphones-Soundcore-SweatGuard-Technology-Bluetooth/dp/B07BMV5T2N/ref=sr_1_1_sspa?keywords=Anker%2BSoundcore%2BSpirit%2BPro&amp;amp;qid=1569918348&amp;amp;s=gateway&amp;amp;sr=8-1-spons&amp;amp;spLa=ZW5jcnlwdGVkUXVhbGlmaWVyPUEyQjdLTzgyT0o3NkomZW5jcnlwdGVkSWQ9QTAz&amp;amp;ODkwMjVZOFUwMDhQMVk0SDUmZW5jcnlwdGVkQWRJZD1BMDE4MjQxMDNUQUIzWVE1U05ITTImd2lkZ2V0TmFtZT1zcF9hdGYmYWN0aW9uPWNsaWNrUmVkaXJlY3QmZG9Ob3RMb2dDbGljaz10cnVl&amp;amp;th=1" TargetMode="External"/><Relationship Id="rId54" Type="http://schemas.openxmlformats.org/officeDocument/2006/relationships/hyperlink" Target="https://www.amazon.com/Headphones-Soundcore-SweatGuard-Technology-Bluetooth/dp/B07HFQ1DX1/ref=sr_1_1_sspa?keywords=Anker%2BSoundcore%2BSpirit%2BPro&amp;amp;qid=1569918348&amp;amp;s=gateway&amp;amp;sr=8-1-spons&amp;amp;spLa=ZW5jcnlwdGVkUXVhbGlmaWVyPUEyQjdLTzgyT0o3NkomZW5jcnlwdGVkSWQ9QTAz&amp;amp;ODkwMjVZOFUwMDhQMVk0SDUmZW5jcnlwdGVkQWRJZD1BMDE4MjQxMDNUQUIzWVE1U05ITTImd2lkZ2V0TmFtZT1zcF9hdGYmYWN0aW9uPWNsaWNrUmVkaXJlY3QmZG9Ob3RMb2dDbGljaz10cnVl&amp;amp;th=1" TargetMode="External"/><Relationship Id="rId55" Type="http://schemas.openxmlformats.org/officeDocument/2006/relationships/hyperlink" Target="https://www.amazon.com/Headphones-Soundcore-SweatGuard-Technology-Bluetooth/dp/B07HFQ7NPX/ref=sr_1_1_sspa?keywords=Anker%2BSoundcore%2BSpirit%2BPro&amp;amp;qid=1569918348&amp;amp;s=gateway&amp;amp;sr=8-1-spons&amp;amp;spLa=ZW5jcnlwdGVkUXVhbGlmaWVyPUEyQjdLTzgyT0o3NkomZW5jcnlwdGVkSWQ9QTAz&amp;amp;ODkwMjVZOFUwMDhQMVk0SDUmZW5jcnlwdGVkQWRJZD1BMDE4MjQxMDNUQUIzWVE1U05ITTImd2lkZ2V0TmFtZT1zcF9hdGYmYWN0aW9uPWNsaWNrUmVkaXJlY3QmZG9Ob3RMb2dDbGljaz10cnVl&amp;amp;th=1" TargetMode="External"/><Relationship Id="rId56" Type="http://schemas.openxmlformats.org/officeDocument/2006/relationships/hyperlink" Target="https://www.amazon.com/Wilson-Advantage-II-Tennis-Bag/dp/B01AYGLUHG/ref=sr_1_1?crid=1SA02EKDVVKXV&amp;amp;keywords=wilson%2Btennis%2Bbag&amp;amp;qid=1569990916&amp;amp;refinements=p_89%3AWilson%2Cp_72%3A2661618011&amp;amp;rnid=2661617011&amp;amp;s=gateway&amp;amp;sprefix=wilson%2Btennis%2Bba%2Caps%2C33&amp;amp;0&amp;amp;sr=8-1&amp;amp;th=1" TargetMode="External"/><Relationship Id="rId57" Type="http://schemas.openxmlformats.org/officeDocument/2006/relationships/hyperlink" Target="https://www.amazon.com/Wilson-Advantage-II-Tennis-Bag/dp/B00I14X9PU/ref=sr_1_1?crid=1SA02EKDVVKXV&amp;amp;keywords=wilson%2Btennis%2Bbag&amp;amp;qid=1569990916&amp;amp;refinements=p_89%3AWilson%2Cp_72%3A2661618011&amp;amp;rnid=2661617011&amp;amp;s=gateway&amp;amp;sprefix=wilson%2Btennis%2Bba%2Caps%2C33&amp;amp;0&amp;amp;sr=8-1&amp;amp;th=1" TargetMode="External"/><Relationship Id="rId58" Type="http://schemas.openxmlformats.org/officeDocument/2006/relationships/hyperlink" Target="https://www.amazon.com/Wilson-Advantage-II-Tennis-Bag/dp/B07X21XQXQ/ref=sr_1_1?crid=1SA02EKDVVKXV&amp;amp;keywords=wilson%2Btennis%2Bbag&amp;amp;qid=1569990916&amp;amp;refinements=p_89%3AWilson%2Cp_72%3A2661618011&amp;amp;rnid=2661617011&amp;amp;s=gateway&amp;amp;sprefix=wilson%2Btennis%2Bba%2Caps%2C33&amp;amp;0&amp;amp;sr=8-1&amp;amp;th=1" TargetMode="External"/><Relationship Id="rId59" Type="http://schemas.openxmlformats.org/officeDocument/2006/relationships/hyperlink" Target="https://www.amazon.com/Wilson-Advantage-II-Tennis-Bag/dp/B01BOU7868/ref=sr_1_1?crid=1SA02EKDVVKXV&amp;amp;keywords=wilson%2Btennis%2Bbag&amp;amp;qid=1569990916&amp;amp;refinements=p_89%3AWilson%2Cp_72%3A2661618011&amp;amp;rnid=2661617011&amp;amp;s=gateway&amp;amp;sprefix=wilson%2Btennis%2Bba%2Caps%2C33&amp;amp;0&amp;amp;sr=8-1&amp;amp;th=1" TargetMode="External"/><Relationship Id="rId60" Type="http://schemas.openxmlformats.org/officeDocument/2006/relationships/hyperlink" Target="https://www.amazon.com/DUNLOP-Performance-8-Racquet-Bag/dp/B072YWWPK1/ref=sxbs_sxwds-stvp?keywords=Dunlop+tennis&amp;amp;pd_rd_i=B072YWWPK1&amp;amp;pd_rd_r=6d153e92-3c59-4ff9-907b-2d1734f7052d&amp;amp;pd_rd_w=6Xdtd&amp;amp;pd_rd_wg=BYuHS&amp;amp;pf_rd_p=a6d018ad-f20b-46c9-8920-433972c7d9b7&amp;amp;pf_r&amp;amp;d_r=FWRBT9J5X1WND7HXESHT&amp;amp;qid=1569990769&amp;amp;refinements=p_89%3ADunlop%7CDunlop+Sports%2Cp_72%3A2661618011&amp;amp;rnid=2661617011&amp;amp;s=gateway" TargetMode="External"/><Relationship Id="rId61" Type="http://schemas.openxmlformats.org/officeDocument/2006/relationships/hyperlink" Target="https://www.amazon.com/dp/B07BB54HXT/ref=sspa_dk_detail_0?psc=1&amp;amp;pd_rd_i=B07BB54HXT&amp;amp;pd_rd_w=OjQLt&amp;amp;pf_rd_p=45a72588-80f7-4414-9851-786f6c16d42b&amp;amp;pd_rd_wg=AqMKo&amp;amp;pf_rd_r=8G4D5XEXX6C2YX04SHE0&amp;amp;pd_rd_r=7cdf3142-38fc-4e09-a353-90146b185c32&amp;amp;smid=A3PKSUAVGUP5IE&amp;amp;spLa&amp;amp;=ZW5jcnlwdGVkUXVhbGlmaWVyPUEzSUxJSkVLUU5YMEtIJmVuY3J5cHRlZElkPUEwNTQyOTk4Mkk4T1g0WUNZMURHVCZlbmNyeXB0ZWRBZElkPUEwNjgzMDgxMk5XSTZWRTI3RUhWSyZ3aWRnZXROYW1lPXNwX2RldGFpbCZhY3Rpb249Y2xpY2tSZWRpcmVjdCZkb05vdExvZ0NsaWNrPXRydWU=" TargetMode="External"/><Relationship Id="rId62" Type="http://schemas.openxmlformats.org/officeDocument/2006/relationships/hyperlink" Target="https://www.amazon.com/dp/B010W6W8OW?aaxitk=M04FPpxtEpBnDUX-rEE4Lw&amp;amp;pd_rd_i=B010W6W8OW&amp;amp;pf_rd_p=44fc3e0f-4b9e-4ed8-b33b-363a7257163d&amp;amp;hsa_cr_id=7022892800201&amp;amp;sb-ci-n=asinImage&amp;amp;sb-ci-v=https%3A%2F%2Fm.media-amazon.com%2Fimages%2FI%2F71QLK3YvJYL.jpg&amp;amp;sb-ci-a=B0&amp;amp;10W6W8OW" TargetMode="External"/><Relationship Id="rId63" Type="http://schemas.openxmlformats.org/officeDocument/2006/relationships/hyperlink" Target="https://www.amazon.com/Brydge-Keyboard-12-9-inch-Generation-Bluetooth/dp/B07MJCMN14/ref=sr_1_2_sspa?keywords=Brydge+Pro+12.9+Bluetooth+Keyboard&amp;amp;qid=1570422624&amp;amp;sr=8-2-spons&amp;amp;psc=1&amp;amp;spLa=ZW5jcnlwdGVkUXVhbGlmaWVyPUEyM05ETVpWVEIwM1JPJmVuY3J5cHRlZElkPUEwMDcyNTg4&amp;amp;MUo3UUhBNFg2U0tESyZlbmNyeXB0ZWRBZElkPUEwNzM4NTMwMTFFUTlQNjE3RzdMOSZ3aWRnZXROYW1lPXNwX2F0ZiZhY3Rpb249Y2xpY2tSZWRpcmVjdCZkb05vdExvZ0NsaWNrPXRydWU=" TargetMode="External"/><Relationship Id="rId64" Type="http://schemas.openxmlformats.org/officeDocument/2006/relationships/hyperlink" Target="https://www.amazon.com/Brydge-Keyboard-12-9-inch-Generation-Bluetooth/dp/B07MSFMCSZ/ref=sr_1_2_sspa?keywords=Brydge%2BPro%2B12.9%2BBluetooth%2BKeyboard&amp;amp;qid=1570422624&amp;amp;sr=8-2-spons&amp;amp;spLa=ZW5jcnlwdGVkUXVhbGlmaWVyPUEyM05ETVpWVEIwM1JPJmVuY3J5cHRlZElkPUEwMDcyNT&amp;amp;g4MUo3UUhBNFg2U0tESyZlbmNyeXB0ZWRBZElkPUEwNzM4NTMwMTFFUTlQNjE3RzdMOSZ3aWRnZXROYW1lPXNwX2F0ZiZhY3Rpb249Y2xpY2tSZWRpcmVjdCZkb05vdExvZ0NsaWNrPXRydWU&amp;amp;th=1" TargetMode="External"/><Relationship Id="rId65" Type="http://schemas.openxmlformats.org/officeDocument/2006/relationships/hyperlink" Target="https://www.amazon.com/TEWELL-Bluetooth-Speaker-Extended-Control/dp/B06XT5R7CJ/ref=pd_bxgy_23_img_2/146-8978066-9628062?_encoding=UTF8&amp;amp;pd_rd_i=B06XT5R7CJ&amp;amp;pd_rd_r=38c407d0-802b-4712-ad88-52bfbc63a9ba&amp;amp;pd_rd_w=fFI6E&amp;amp;pd_rd_wg=t1nVN&amp;amp;pf_rd_p=3edd75bb-e36e-488e-&amp;amp;b666-80dd1a52c658&amp;amp;pf_rd_r=AJYK0MZH9EY8SW4E9D6R&amp;amp;psc=1&amp;amp;refRID=AJYK0MZH9EY8SW4E9D6R" TargetMode="External"/><Relationship Id="rId66" Type="http://schemas.openxmlformats.org/officeDocument/2006/relationships/hyperlink" Target="https://www.amazon.com/Asobu-Coldbrew-Portable-Insulated-Stainless/dp/B075X3CV1X/ref=mp_s_a_1_2_sspa?keywords=Asobu&amp;amp;qid=1566041865&amp;amp;s=gateway&amp;amp;sr=8-2-spons&amp;amp;spLa=ZW5jcnlwdGVkUXVhbGlmaWVyPUExSVRDOEJEWEY2MERGJmVuY3J5cHRlZElkPUEwNjMwMzg1S05PN1MzMTAxMUQxJmVuY3J5&amp;amp;cHRlZEFkSWQ9QTA0MDU3OTkzMlFaWlZOUTg4RUpOJndpZGdldE5hbWU9c3BfcGhvbmVfc2VhcmNoX2F0ZiZhY3Rpb249Y2xpY2tSZWRpcmVjdCZkb05vdExvZ0NsaWNrPXRydWU&amp;amp;th=1" TargetMode="External"/><Relationship Id="rId67" Type="http://schemas.openxmlformats.org/officeDocument/2006/relationships/hyperlink" Target="https://www.amazon.com/Asobu-Coldbrew-Portable-Insulated-Stainless/dp/B075X411RP/ref=mp_s_a_1_2_sspa?keywords=Asobu&amp;amp;qid=1566041865&amp;amp;s=gateway&amp;amp;sr=8-2-spons&amp;amp;spLa=ZW5jcnlwdGVkUXVhbGlmaWVyPUExSVRDOEJEWEY2MERGJmVuY3J5cHRlZElkPUEwNjMwMzg1S05PN1MzMTAxMUQxJmVuY3J5&amp;amp;cHRlZEFkSWQ9QTA0MDU3OTkzMlFaWlZOUTg4RUpOJndpZGdldE5hbWU9c3BfcGhvbmVfc2VhcmNoX2F0ZiZhY3Rpb249Y2xpY2tSZWRpcmVjdCZkb05vdExvZ0NsaWNrPXRydWU&amp;amp;th=1" TargetMode="External"/><Relationship Id="rId68" Type="http://schemas.openxmlformats.org/officeDocument/2006/relationships/hyperlink" Target="https://www.amazon.com/Asobu-Coldbrew-Portable-Insulated-Stainless/dp/B075X48Z98/ref=mp_s_a_1_2_sspa?keywords=Asobu&amp;amp;qid=1566041865&amp;amp;s=gateway&amp;amp;sr=8-2-spons&amp;amp;spLa=ZW5jcnlwdGVkUXVhbGlmaWVyPUExSVRDOEJEWEY2MERGJmVuY3J5cHRlZElkPUEwNjMwMzg1S05PN1MzMTAxMUQxJmVuY3J5&amp;amp;cHRlZEFkSWQ9QTA0MDU3OTkzMlFaWlZOUTg4RUpOJndpZGdldE5hbWU9c3BfcGhvbmVfc2VhcmNoX2F0ZiZhY3Rpb249Y2xpY2tSZWRpcmVjdCZkb05vdExvZ0NsaWNrPXRydWU&amp;amp;th=1" TargetMode="External"/><Relationship Id="rId69" Type="http://schemas.openxmlformats.org/officeDocument/2006/relationships/hyperlink" Target="https://www.amazon.com/Asobu-Coldbrew-Portable-Insulated-Stainless/dp/B075X3ZVDY/ref=mp_s_a_1_2_sspa?keywords=Asobu&amp;amp;qid=1566041865&amp;amp;s=gateway&amp;amp;sr=8-2-spons&amp;amp;spLa=ZW5jcnlwdGVkUXVhbGlmaWVyPUExSVRDOEJEWEY2MERGJmVuY3J5cHRlZElkPUEwNjMwMzg1S05PN1MzMTAxMUQxJmVuY3J5&amp;amp;cHRlZEFkSWQ9QTA0MDU3OTkzMlFaWlZOUTg4RUpOJndpZGdldE5hbWU9c3BfcGhvbmVfc2VhcmNoX2F0ZiZhY3Rpb249Y2xpY2tSZWRpcmVjdCZkb05vdExvZ0NsaWNrPXRydWU&amp;amp;th=1" TargetMode="External"/><Relationship Id="rId70" Type="http://schemas.openxmlformats.org/officeDocument/2006/relationships/hyperlink" Target="https://www.amazon.com/CalDigit-USB-C-Pro-Dock-Thunderbolt/dp/B07VL675DT/ref=sr_1_1_sspa?keywords=Caldigit+USB-C+Pro&amp;amp;qid=1570971547&amp;amp;refinements=p_89%3ACalDigit&amp;amp;rnid=2528832011&amp;amp;sr=8-1-spons&amp;amp;psc=1&amp;amp;spLa=ZW5jcnlwdGVkUXVhbGlmaWVyPUEyUkY3WlNGN1BCVDVaJmVuY3J5cHR&amp;amp;lZElkPUEwOTQ2NTQ1MzM3MVFIQVZaQjZGTCZlbmNyeXB0ZWRBZElkPUEwNjQ2NDIyMzY2S0s1WTlGUUtOWiZ3aWRnZXROYW1lPXNwX2F0ZiZhY3Rpb249Y2xpY2tSZWRpcmVjdCZkb05vdExvZ0NsaWNrPXRydWU=" TargetMode="External"/><Relationship Id="rId71" Type="http://schemas.openxmlformats.org/officeDocument/2006/relationships/hyperlink" Target="https://www.amazon.com/Tile-RE-23001-Slim-1-Pack/dp/B07WLYYP9R/ref=sr_1_1_sspa?keywords=tile%2BSlim&amp;amp;qid=1570770274&amp;amp;sr=8-1-spons&amp;amp;spLa=ZW5jcnlwdGVkUXVhbGlmaWVyPUEyTVNDVThNQ1RSVDM1JmVuY3J5cHRlZElkPUEwNDg2NzkyMUY4QzBLMEZMTFlHNyZlbmNyeXB0ZWRBZElkPUEwMTIwODEyMz&amp;amp;k4Q0I1RVVPWVU0NSZ3aWRnZXROYW1lPXNwX2F0ZiZhY3Rpb249Y2xpY2tSZWRpcmVjdCZkb05vdExvZ0NsaWNrPXRydWU&amp;amp;th=1" TargetMode="External"/><Relationship Id="rId72" Type="http://schemas.openxmlformats.org/officeDocument/2006/relationships/hyperlink" Target="https://www.amazon.com/Tile-RE-23001-Slim-1-Pack/dp/B07W73PTJB/ref=sr_1_1_sspa?keywords=tile%2BSlim&amp;amp;qid=1570770274&amp;amp;sr=8-1-spons&amp;amp;spLa=ZW5jcnlwdGVkUXVhbGlmaWVyPUEyTVNDVThNQ1RSVDM1JmVuY3J5cHRlZElkPUEwNDg2NzkyMUY4QzBLMEZMTFlHNyZlbmNyeXB0ZWRBZElkPUEwMTIwODEyMz&amp;amp;k4Q0I1RVVPWVU0NSZ3aWRnZXROYW1lPXNwX2F0ZiZhY3Rpb249Y2xpY2tSZWRpcmVjdCZkb05vdExvZ0NsaWNrPXRydWU&amp;amp;th=1" TargetMode="External"/><Relationship Id="rId73" Type="http://schemas.openxmlformats.org/officeDocument/2006/relationships/hyperlink" Target="https://www.amazon.com/Portable-Utensils-including-Chopsticks-Stainless/dp/B07PG1M8VG/ref=pd_rhf_dp_s_bmx_0_1/146-8978066-9628062?_encoding=UTF8&amp;amp;pd_rd_i=B07PG1M8VG&amp;amp;pd_rd_r=b6b131de-b4a9-49af-8be0-89e0cbea785a&amp;amp;pd_rd_w=bzEqq&amp;amp;pd_rd_wg=K4NAb&amp;amp;pf_rd_p=2684f94a-&amp;amp;14cb-42dd-922b-fb62d142690f&amp;amp;pf_rd_r=H5KYGD3BBNXXARJGBJKG&amp;amp;psc=1&amp;amp;refRID=H5KYGD3BBNXXARJGBJKG" TargetMode="External"/><Relationship Id="rId74" Type="http://schemas.openxmlformats.org/officeDocument/2006/relationships/hyperlink" Target="https://www.amazon.com/Portable-Utensils-including-Chopsticks-Stainless/dp/B07RFRDJL9/ref=pd_rhf_dp_s_bmx_0_1/146-8978066-9628062?_encoding=UTF8&amp;amp;pd_rd_i=B07PG1M8VG&amp;amp;pd_rd_r=b6b131de-b4a9-49af-8be0-89e0cbea785a&amp;amp;pd_rd_w=bzEqq&amp;amp;pd_rd_wg=K4NAb&amp;amp;pf_rd_p=2684f94a-&amp;amp;14cb-42dd-922b-fb62d142690f&amp;amp;pf_rd_r=H5KYGD3BBNXXARJGBJKG&amp;amp;refRID=H5KYGD3BBNXXARJGBJKG&amp;amp;th=1" TargetMode="External"/><Relationship Id="rId75" Type="http://schemas.openxmlformats.org/officeDocument/2006/relationships/hyperlink" Target="https://www.amazon.com/Portable-Utensils-including-Chopsticks-Stainless/dp/B07W5ZKVGP/ref=pd_rhf_dp_s_bmx_0_1/146-8978066-9628062?_encoding=UTF8&amp;amp;pd_rd_i=B07PG1M8VG&amp;amp;pd_rd_r=b6b131de-b4a9-49af-8be0-89e0cbea785a&amp;amp;pd_rd_w=bzEqq&amp;amp;pd_rd_wg=K4NAb&amp;amp;pf_rd_p=2684f94a-&amp;amp;14cb-42dd-922b-fb62d142690f&amp;amp;pf_rd_r=H5KYGD3BBNXXARJGBJKG&amp;amp;refRID=H5KYGD3BBNXXARJGBJKG&amp;amp;th=1" TargetMode="External"/><Relationship Id="rId76" Type="http://schemas.openxmlformats.org/officeDocument/2006/relationships/hyperlink" Target="https://www.amazon.com/Portable-Utensils-including-Chopsticks-Stainless/dp/B07W7198TH/ref=pd_rhf_dp_s_bmx_0_1/146-8978066-9628062?_encoding=UTF8&amp;amp;pd_rd_i=B07PG1M8VG&amp;amp;pd_rd_r=b6b131de-b4a9-49af-8be0-89e0cbea785a&amp;amp;pd_rd_w=bzEqq&amp;amp;pd_rd_wg=K4NAb&amp;amp;pf_rd_p=2684f94a-&amp;amp;14cb-42dd-922b-fb62d142690f&amp;amp;pf_rd_r=H5KYGD3BBNXXARJGBJKG&amp;amp;refRID=H5KYGD3BBNXXARJGBJKG&amp;amp;th=1" TargetMode="External"/><Relationship Id="rId77" Type="http://schemas.openxmlformats.org/officeDocument/2006/relationships/hyperlink" Target="https://www.amazon.com/Portable-Utensils-including-Chopsticks-Stainless/dp/B07WLK12S3/ref=pd_rhf_dp_s_bmx_0_1/146-8978066-9628062?_encoding=UTF8&amp;amp;pd_rd_i=B07PG1M8VG&amp;amp;pd_rd_r=b6b131de-b4a9-49af-8be0-89e0cbea785a&amp;amp;pd_rd_w=bzEqq&amp;amp;pd_rd_wg=K4NAb&amp;amp;pf_rd_p=2684f94a-&amp;amp;14cb-42dd-922b-fb62d142690f&amp;amp;pf_rd_r=H5KYGD3BBNXXARJGBJKG&amp;amp;refRID=H5KYGD3BBNXXARJGBJKG&amp;amp;th=1" TargetMode="External"/><Relationship Id="rId78" Type="http://schemas.openxmlformats.org/officeDocument/2006/relationships/hyperlink" Target="https://www.amazon.com/Portable-Utensils-including-Chopsticks-Stainless/dp/B07FR7LNXY/ref=pd_rhf_dp_s_bmx_0_1/146-8978066-9628062?_encoding=UTF8&amp;amp;pd_rd_i=B07PG1M8VG&amp;amp;pd_rd_r=b6b131de-b4a9-49af-8be0-89e0cbea785a&amp;amp;pd_rd_w=bzEqq&amp;amp;pd_rd_wg=K4NAb&amp;amp;pf_rd_p=2684f94a-&amp;amp;14cb-42dd-922b-fb62d142690f&amp;amp;pf_rd_r=H5KYGD3BBNXXARJGBJKG&amp;amp;refRID=H5KYGD3BBNXXARJGBJKG&amp;amp;th=1" TargetMode="External"/><Relationship Id="rId79" Type="http://schemas.openxmlformats.org/officeDocument/2006/relationships/hyperlink" Target="https://www.amazon.com/Fisher-Space-Pen-Bullet-Clip/dp/B0002ZQB4M/ref=sr_1_2_sspa?crid=19YZQR89L8YG1&amp;amp;keywords=fisher+space+pen&amp;amp;qid=1570972158&amp;amp;sprefix=Fisher+%2Caps%2C364&amp;amp;sr=8-2-spons&amp;amp;psc=1&amp;amp;spLa=ZW5jcnlwdGVkUXVhbGlmaWVyPUExUTVSVksxWlRaUFVaJmVuY3J5cHRlZElkP&amp;amp;UExMDIxNjExMlE1RllQS1BNMDZDNSZlbmNyeXB0ZWRBZElkPUEwMDUwNzExMjNIWjFXUFlFQlJYUyZ3aWRnZXROYW1lPXNwX2F0ZiZhY3Rpb249Y2xpY2tSZWRpcmVjdCZkb05vdExvZ0NsaWNrPXRydWU=" TargetMode="External"/><Relationship Id="rId80" Type="http://schemas.openxmlformats.org/officeDocument/2006/relationships/hyperlink" Target="https://www.amazon.com/Cooler-Master-Lightweight-Ultralight-Ultraweave/dp/B07T4VW9WP/ref=sr_1_1_sspa?crid=2P2ECT9OXLS99&amp;amp;keywords=mm710+mouse&amp;amp;qid=1571576637&amp;amp;sprefix=MM710+%2Caps%2C364&amp;amp;sr=8-1-spons&amp;amp;psc=1&amp;amp;spLa=ZW5jcnlwdGVkUXVhbGlmaWVyPUEzNVUzM0xHRTE5RTdUJmVu&amp;amp;Y3J5cHRlZElkPUEwODgxNzI3MzRUVUI2N1hGUjVYWCZlbmNyeXB0ZWRBZElkPUEwNTE3ODEyMTY1MEdGOEszUFVYOSZ3aWRnZXROYW1lPXNwX2F0ZiZhY3Rpb249Y2xpY2tSZWRpcmVjdCZkb05vdExvZ0NsaWNrPXRydWU=" TargetMode="External"/><Relationship Id="rId81" Type="http://schemas.openxmlformats.org/officeDocument/2006/relationships/hyperlink" Target="https://www.amazon.com/Incase-CL55603-Sling-Pack-Diamond/dp/B01E6BAERM/ref=pd_sbs_147_8?_encoding=UTF8&amp;amp;pd_rd_i=B01E6BAERM&amp;amp;pd_rd_r=a8ce96ac-4313-48b7-8900-705cb13ebc3a&amp;amp;pd_rd_w=EhPLR&amp;amp;pd_rd_wg=IvPqA&amp;amp;pf_rd_p=52b7592c-2dc9-4ac6-84d4-4bda6360045e&amp;amp;pf_rd_r=3VMZ6K&amp;amp;03RK3Y7Q1F8AAC&amp;amp;psc=1&amp;amp;refRID=3VMZ6K03RK3Y7Q1F8AAC" TargetMode="External"/><Relationship Id="rId82" Type="http://schemas.openxmlformats.org/officeDocument/2006/relationships/hyperlink" Target="https://www.amazon.com/Satechi-Aluminum-Bluetooth-Keyboard-3-Device/dp/B07F2SF4RH/ref=ya_od_pd_dx_qp_2/141-3649162-7485647?_encoding=UTF8&amp;amp;pd_rd_i=B07F2RW6PJ&amp;amp;pd_rd_r=b4862f20-76c2-446f-8d98-726c4af05e3e&amp;amp;pd_rd_w=u2X7l&amp;amp;pd_rd_wg=RmSj8&amp;amp;refRID=FAVWAWMH8FTEV7792&amp;amp;JPQ&amp;amp;th=1" TargetMode="External"/><Relationship Id="rId83" Type="http://schemas.openxmlformats.org/officeDocument/2006/relationships/hyperlink" Target="https://www.amazon.com/Satechi-Aluminum-Bluetooth-Keyboard-3-Device/dp/B07G1XV2FQ/ref=ya_od_pd_dx_qp_2/141-3649162-7485647?_encoding=UTF8&amp;amp;pd_rd_i=B07F2RW6PJ&amp;amp;pd_rd_r=b4862f20-76c2-446f-8d98-726c4af05e3e&amp;amp;pd_rd_w=u2X7l&amp;amp;pd_rd_wg=RmSj8&amp;amp;refRID=FAVWAWMH8FTEV7792&amp;amp;JPQ&amp;amp;th=1" TargetMode="External"/><Relationship Id="rId84" Type="http://schemas.openxmlformats.org/officeDocument/2006/relationships/hyperlink" Target="https://www.amazon.com/Satechi-Aluminum-Bluetooth-Keyboard-3-Device/dp/B07G29LQ8Y/ref=ya_od_pd_dx_qp_2/141-3649162-7485647?_encoding=UTF8&amp;amp;pd_rd_i=B07F2RW6PJ&amp;amp;pd_rd_r=b4862f20-76c2-446f-8d98-726c4af05e3e&amp;amp;pd_rd_w=u2X7l&amp;amp;pd_rd_wg=RmSj8&amp;amp;refRID=FAVWAWMH8FTEV7792&amp;amp;JPQ&amp;amp;th=1" TargetMode="External"/><Relationship Id="rId85" Type="http://schemas.openxmlformats.org/officeDocument/2006/relationships/hyperlink" Target="https://www.amazon.com/Satechi-Aluminum-Bluetooth-Keyboard-3-Device/dp/B07F2RW6PJ/ref=ya_od_pd_dx_qp_2/141-3649162-7485647?_encoding=UTF8&amp;amp;pd_rd_i=B07F2RW6PJ&amp;amp;pd_rd_r=b4862f20-76c2-446f-8d98-726c4af05e3e&amp;amp;pd_rd_w=u2X7l&amp;amp;pd_rd_wg=RmSj8&amp;amp;refRID=FAVWAWMH8FTEV7792&amp;amp;JPQ&amp;amp;th=1" TargetMode="External"/><Relationship Id="rId86" Type="http://schemas.openxmlformats.org/officeDocument/2006/relationships/hyperlink" Target="https://www.amazon.com/Instant-Pot-Programmable-Pressure-Steamer/dp/B06Y1YD5W7/ref=sxin_2_osp127-eda72637_cov?ascsubtag=eda72637-4466-4487-8126-29ae2c2c2e9f&amp;amp;creativeASIN=B01B1VC13K&amp;amp;cv_ct_id=amzn1.osp.eda72637-4466-4487-8126-29ae2c2c2e9f&amp;amp;cv_ct_pg=search&amp;amp;cv&amp;amp;_ct_wn=osp-search&amp;amp;keywords=instant%2Bpot&amp;amp;linkCode=oas&amp;amp;pd_rd_i=B01B1VC13K&amp;amp;pd_rd_r=926dfc11-13e4-48b0-821c-75e3c150e8d0&amp;amp;pd_rd_w=NDN8j&amp;amp;pd_rd_wg=OA80s&amp;amp;pf_rd_p=a23a388c-add5-49df-b293-a31ade89c6bf&amp;amp;pf_rd_r=6YZMRZXW9EM61XRJ9YRY&amp;amp;qid=1572169828&amp;amp;tag=betteryou_os-20&amp;amp;&amp;amp;th=1" TargetMode="External"/><Relationship Id="rId87" Type="http://schemas.openxmlformats.org/officeDocument/2006/relationships/hyperlink" Target="https://www.amazon.com/Titleist-TA8CLBP-0-Club-Backpack/dp/B0799CLCTK/ref=sxbs_sxwds-stvp?crid=1ZWQ4I9Y79IX9&amp;amp;keywords=titleist+golf+pouch+bag&amp;amp;pd_rd_i=B0799CLCTK&amp;amp;pd_rd_r=85beda92-c05f-4164-a060-d44ceb2fa9c4&amp;amp;pd_rd_w=YisAM&amp;amp;pd_rd_wg=YQQWv&amp;amp;pf_rd_p=a6d018ad-f20&amp;amp;b-46c9-8920-433972c7d9b7&amp;amp;pf_rd_r=N8GHWFHBZ3PHV6SKDNQ2&amp;amp;qid=1572155716&amp;amp;sprefix=titleist+golf+pouch%2Caps%2C392" TargetMode="External"/><Relationship Id="rId88" Type="http://schemas.openxmlformats.org/officeDocument/2006/relationships/hyperlink" Target="https://www.amazon.com/Polaroid-OneStep-Viewfinder-Lumintrail-Cleaning/dp/B07PKR18QB/ref=sr_1_1_sspa?keywords=polaroid+onestep+2&amp;amp;qid=1573569296&amp;amp;sr=8-1-spons&amp;amp;psc=1&amp;amp;spLa=ZW5jcnlwdGVkUXVhbGlmaWVyPUExRkdXTTBYWjVYN0ZPJmVuY3J5cHRlZElkPUEwMzA4ODkxMktZV1JSWEJLMjR%22&amp;amp;%22NSCZlbmNyeXB0ZWRBZElkPUEwMjA0OTA5Mkk5MEhaUjJEWU5aVCZ3aWRnZXROYW1lPXNwX2F0ZiZhY3Rpb249Y2xpY2tSZWRpcmVjdCZkb05vdExvZ0NsaWNrPXRydWU=" TargetMode="External"/><Relationship Id="rId89" Type="http://schemas.openxmlformats.org/officeDocument/2006/relationships/hyperlink" Target="https://www.amazon.com/dp/B07SS1ZT11/ref=sspa_dk_detail_2?psc=1&amp;amp;pd_rd_i=B07SS1ZT11&amp;amp;pd_rd_w=cIN2c&amp;amp;pf_rd_p=45a72588-80f7-4414-9851-786f6c16d42b&amp;amp;pd_rd_wg=WhxI2&amp;amp;pf_rd_r=6WX5M312P8PWZA97SXAV&amp;amp;pd_rd_r=131aa8d9-dc60-47f9-a036-6cfa1f109032&amp;amp;spLa=ZW5jcnlwdGVkUXVhbGl&amp;amp;maWVyPUEyTkVaQlFDTUIzT1cyJmVuY3J5cHRlZElkPUEwOTEzMDI4MzNYVUVVUDM5UFJEOCZlbmNyeXB0ZWRBZElkPUEwNjQ3MjM3MTk3RUdHOFJTSENSWCZ3aWRnZXROYW1lPXNwX2RldGFpbCZhY3Rpb249Y2xpY2tSZWRpcmVjdCZkb05vdExvZ0NsaWNrPXRydWU=" TargetMode="External"/><Relationship Id="rId90" Type="http://schemas.openxmlformats.org/officeDocument/2006/relationships/hyperlink" Target="https://www.amazon.com/dp/B07PN6V83T/ref=sspa_dk_detail_0?psc=1&amp;amp;pd_rd_i=B07PN6V83T&amp;amp;pd_rd_w=cIN2c&amp;amp;pf_rd_p=45a72588-80f7-4414-9851-786f6c16d42b&amp;amp;pd_rd_wg=WhxI2&amp;amp;pf_rd_r=6WX5M312P8PWZA97SXAV&amp;amp;pd_rd_r=131aa8d9-dc60-47f9-a036-6cfa1f109032&amp;amp;spLa=ZW5jcnlwdGVkUXVhbGl&amp;amp;maWVyPUEyTkVaQlFDTUIzT1cyJmVuY3J5cHRlZElkPUEwOTEzMDI4MzNYVUVVUDM5UFJEOCZlbmNyeXB0ZWRBZElkPUEwNjQyMzYyM0dSR0hDRzFPUVhXMiZ3aWRnZXROYW1lPXNwX2RldGFpbCZhY3Rpb249Y2xpY2tSZWRpcmVjdCZkb05vdExvZ0NsaWNrPXRydWU=" TargetMode="External"/><Relationship Id="rId91" Type="http://schemas.openxmlformats.org/officeDocument/2006/relationships/hyperlink" Target="https://www.amazon.com/dp/B07MHQZV62?aaxitk=DpocuWOpaKLukB2ZKmX6Pg&amp;amp;pd_rd_i=B07MHQZV62&amp;amp;pf_rd_p=44fc3e0f-4b9e-4ed8-b33b-363a7257163d&amp;amp;hsa_cr_id=8513576550401&amp;amp;sb-ci-n=asinImage&amp;amp;sb-ci-v=https%3A%2F%2Fm.media-amazon.com%2Fimages%2FI%2F81Xr3Lm2qrL.jpg&amp;amp;sb-ci-a=B0&amp;amp;7MHQZV62" TargetMode="External"/><Relationship Id="rId92" Type="http://schemas.openxmlformats.org/officeDocument/2006/relationships/hyperlink" Target="https://www.amazon.com/Oasis-Supply-Grade-Wafer-11-Inch/dp/B00GGLHXPM/ref=sr_1_1_sspa?keywords=Oasis%2BSupply%2BO-grade%2Bwafer%2Bpaper&amp;amp;qid=1576730403&amp;amp;sr=8-1-spons&amp;amp;spLa=ZW5jcnlwdGVkUXVhbGlmaWVyPUEzQTZORlo1RUxNTlFCJmVuY3J5cHRlZElkPUEwOTc1OTgwMzhLRklKQzJMRV&amp;amp;hWSCZlbmNyeXB0ZWRBZElkPUEwMzM1NzQ3M1BYSTRPMlY4SzZVSSZ3aWRnZXROYW1lPXNwX2F0ZiZhY3Rpb249Y2xpY2tSZWRpcmVjdCZkb05vdExvZ0NsaWNrPXRydWU&amp;amp;th=1" TargetMode="External"/><Relationship Id="rId93" Type="http://schemas.openxmlformats.org/officeDocument/2006/relationships/hyperlink" Target="https://www.amazon.com/Oasis-Supply-Grade-Wafer-11-Inch/dp/B00024WNVI/ref=sr_1_1_sspa?keywords=Oasis%2BSupply%2BO-grade%2Bwafer%2Bpaper&amp;amp;qid=1576730403&amp;amp;sr=8-1-spons&amp;amp;spLa=ZW5jcnlwdGVkUXVhbGlmaWVyPUEzQTZORlo1RUxNTlFCJmVuY3J5cHRlZElkPUEwOTc1OTgwMzhLRklKQzJMRV&amp;amp;hWSCZlbmNyeXB0ZWRBZElkPUEwMzM1NzQ3M1BYSTRPMlY4SzZVSSZ3aWRnZXROYW1lPXNwX2F0ZiZhY3Rpb249Y2xpY2tSZWRpcmVjdCZkb05vdExvZ0NsaWNrPXRydWU&amp;amp;th=1" TargetMode="External"/><Relationship Id="rId94" Type="http://schemas.openxmlformats.org/officeDocument/2006/relationships/hyperlink" Target="https://www.amazon.com/dp/B00MCJOP3K/ref=sspa_dk_detail_0?spLa=ZW5jcnlwdGVkUXVhbGlmaWVyPUFCS1dPWjg4TERESTkmZW5jcnlwdGVkSWQ9QTAzMDYyNjRVODZCRFRLNVBKS1omZW5jcnlwdGVkQWRJZD1BMDE2NjY5MTFVRzJTMEhaUThESEMmd2lkZ2V0TmFtZT1zcF9kZXRhaWwyJmFjdGlvbj1jbGlja1JlZGlyZWN0&amp;amp;JmRvTm90TG9nQ2xpY2s9dHJ1ZQ&amp;amp;th=1" TargetMode="External"/><Relationship Id="rId95" Type="http://schemas.openxmlformats.org/officeDocument/2006/relationships/hyperlink" Target="https://www.amazon.com/dp/B079G8LTNV/ref=sspa_dk_detail_0?spLa=ZW5jcnlwdGVkUXVhbGlmaWVyPUFCS1dPWjg4TERESTkmZW5jcnlwdGVkSWQ9QTAzMDYyNjRVODZCRFRLNVBKS1omZW5jcnlwdGVkQWRJZD1BMDE2NjY5MTFVRzJTMEhaUThESEMmd2lkZ2V0TmFtZT1zcF9kZXRhaWwyJmFjdGlvbj1jbGlja1JlZGlyZWN0&amp;amp;JmRvTm90TG9nQ2xpY2s9dHJ1ZQ&amp;amp;th=1" TargetMode="External"/><Relationship Id="rId96" Type="http://schemas.openxmlformats.org/officeDocument/2006/relationships/hyperlink" Target="https://www.amazon.com/dp/B079G6W2GH/ref=sspa_dk_detail_0?spLa=ZW5jcnlwdGVkUXVhbGlmaWVyPUFCS1dPWjg4TERESTkmZW5jcnlwdGVkSWQ9QTAzMDYyNjRVODZCRFRLNVBKS1omZW5jcnlwdGVkQWRJZD1BMDE2NjY5MTFVRzJTMEhaUThESEMmd2lkZ2V0TmFtZT1zcF9kZXRhaWwyJmFjdGlvbj1jbGlja1JlZGlyZWN0&amp;amp;JmRvTm90TG9nQ2xpY2s9dHJ1ZQ&amp;amp;th=1" TargetMode="External"/><Relationship Id="rId97" Type="http://schemas.openxmlformats.org/officeDocument/2006/relationships/vmlDrawing" Target="../drawings/vmlDrawing1.vml"/><Relationship Id="rId98"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detail.tmall.com/item.htm?spm=a220o.1000855.1998025129.2.4a3c617fV8P8Rs&amp;amp;pvid=5f82906f-7dd9-4def-8ce2-315c89f50397&amp;amp;pos=2&amp;amp;acm=03054.1003.1.2768562&amp;amp;id=535016569856&amp;amp;scm=1007.16862.95220.23864_0_0&amp;amp;utparam=%7B%22x_hestia_source%22:%2223864%22,%22x_objec%22&amp;amp;%22t_type%22:%22item%22,%22x_mt%22:0,%22x_src%22:%2223864%22,%22x_pos%22:2,%22x_pvid%22:%225f82906f-7dd9-4def-8ce2-315c89f50397%22,%22x_object_id%22:535016569856%7D&amp;amp;skuId=3193507581282" TargetMode="External"/><Relationship Id="rId2" Type="http://schemas.openxmlformats.org/officeDocument/2006/relationships/hyperlink" Target="https://item.taobao.com/item.htm?spm=2013.1.0.0.cfd230eaLEntpA&amp;amp;id=551005887400&amp;amp;scm=1007.12144.95220.42296_0_0&amp;amp;pvid=18821b6a-1096-4973-a232-5b45693a2036&amp;amp;utparam=%7B%22x_hestia_source%22%3A%2242296%22%2C%22x_object_type%22%3A%22item%22%2C%22x_mt%22%3A0%2C%252%22&amp;amp;%222x_src%22%3A%2242296%22%2C%22x_pos%22%3A1%2C%22x_pvid%22%3A%2218821b6a-1096-4973-a232-5b45693a2036%22%2C%22x_object_id%22%3A551005887400%7D" TargetMode="External"/><Relationship Id="rId3" Type="http://schemas.openxmlformats.org/officeDocument/2006/relationships/vmlDrawing" Target="../drawings/vmlDrawing2.v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amazon.com/Huzi-Infinity-Pillow-Design-Travel/dp/B077ZLHXXZ" TargetMode="External"/></Relationships>
</file>

<file path=xl/worksheets/sheet1.xml><?xml version="1.0" encoding="utf-8"?>
<worksheet xmlns="http://schemas.openxmlformats.org/spreadsheetml/2006/main" xmlns:r="http://schemas.openxmlformats.org/officeDocument/2006/relationships">
  <dimension ref="A1:AW1018"/>
  <sheetViews>
    <sheetView workbookViewId="0" rightToLeft="0"/>
  </sheetViews>
  <sheetData>
    <row r="1" xml:space="preserve">
      <c r="A1" t="str">
        <v>등록번호</v>
      </c>
      <c r="C1" t="str">
        <v>상품명 국문</v>
      </c>
      <c r="E1" t="str">
        <v>상품명 영문</v>
      </c>
      <c r="F1" t="str">
        <v>옵션 구성</v>
      </c>
      <c r="G1" t="str">
        <v>판매처 URL</v>
      </c>
      <c r="I1" t="str" xml:space="preserve">
        <v xml:space="preserve">재고유무_x000d_
(Tool)</v>
      </c>
      <c r="J1" t="str" xml:space="preserve">
        <v xml:space="preserve">매입단가_x000d_
(Tool)</v>
      </c>
      <c r="K1" t="str">
        <v>무게</v>
      </c>
      <c r="N1" t="str">
        <v>세금</v>
      </c>
      <c r="O1" t="str">
        <v>배송비</v>
      </c>
      <c r="P1" t="str">
        <v>합계</v>
      </c>
      <c r="Q1" t="str" xml:space="preserve">
        <v xml:space="preserve">매입단가_x000d_
(원화)</v>
      </c>
      <c r="R1" t="str">
        <v>자체 마진 1</v>
      </c>
      <c r="S1" t="str">
        <v>판매가</v>
      </c>
      <c r="T1" t="str">
        <v>배송비</v>
      </c>
      <c r="U1" t="str">
        <v>관부가세</v>
      </c>
      <c r="V1" t="str">
        <v>자체마진 2</v>
      </c>
      <c r="X1" t="str">
        <v>배송비 포함 판매가</v>
      </c>
      <c r="Z1" t="str">
        <v>세금&amp;수수료</v>
      </c>
      <c r="AD1" t="str">
        <v>정산금액</v>
      </c>
      <c r="AG1" t="str">
        <v>실제예상마진</v>
      </c>
      <c r="AI1" t="str">
        <v>실제 마진율</v>
      </c>
    </row>
    <row r="2">
      <c r="A2" t="str">
        <v>스마트스토어</v>
      </c>
      <c r="B2" t="str">
        <v>쿠팡</v>
      </c>
      <c r="C2" t="str">
        <v>스마트스토어</v>
      </c>
      <c r="D2" t="str">
        <v>쿠팡</v>
      </c>
      <c r="K2" t="str">
        <v>lb</v>
      </c>
      <c r="L2" t="str">
        <v>oz</v>
      </c>
      <c r="M2" t="str">
        <v>kg</v>
      </c>
      <c r="V2" t="str">
        <v>스스</v>
      </c>
      <c r="W2" t="str">
        <v>쿠팡</v>
      </c>
      <c r="X2" t="str">
        <v>스스</v>
      </c>
      <c r="Y2" t="str">
        <v>쿠팡</v>
      </c>
      <c r="Z2" t="str">
        <v>실제 관/부가세</v>
      </c>
      <c r="AA2" t="str">
        <v>네이버페이수수료 3.8%</v>
      </c>
      <c r="AB2" t="str">
        <v>스스수수료 2%</v>
      </c>
      <c r="AC2" t="str">
        <v>쿠팡수수료10%</v>
      </c>
      <c r="AD2" t="str">
        <v>스스</v>
      </c>
      <c r="AE2" t="str">
        <v>쿠팡</v>
      </c>
      <c r="AF2" t="str">
        <v>카드수수료 1%</v>
      </c>
      <c r="AG2" t="str">
        <v>스스</v>
      </c>
      <c r="AH2" t="str">
        <v>쿠팡</v>
      </c>
      <c r="AI2" t="str">
        <v>스스</v>
      </c>
      <c r="AJ2" t="str">
        <v>쿠팡</v>
      </c>
      <c r="AK2" t="str">
        <v>유료배송 측정</v>
      </c>
      <c r="AL2" t="str">
        <v>배송비 측정 후 상품가</v>
      </c>
    </row>
    <row r="3">
      <c r="A3" t="str">
        <v>환율</v>
      </c>
      <c r="C3">
        <v>1250</v>
      </c>
    </row>
    <row r="4" xml:space="preserve">
      <c r="A4">
        <f>HYPERLINK("https://smartstore.naver.com/brickstore2019/products/4404573419",AW:AW)</f>
        <v>4404573419</v>
      </c>
      <c r="C4" t="str">
        <v>후지 여행용 목베개 쿠션 - Huzi Infinity Pillow</v>
      </c>
      <c r="E4" t="str" xml:space="preserve">
        <v xml:space="preserve">Huzi Infinity Pillow - Travel Pillow - Versatile Soft Neck Pillow for Sleep in Airplane, Train, Bus, Office (Tan)_x000d_
</v>
      </c>
      <c r="G4" t="str">
        <f>HYPERLINK("https://www.amazon.com/Huzi-Infinity-Pillow-Design-Travel/dp/B077ZLHXXZ","A")</f>
        <v>A</v>
      </c>
      <c r="J4">
        <v>40</v>
      </c>
      <c r="K4">
        <f>IF(L4&gt;0,L4*0.0625,)</f>
        <v>0.25</v>
      </c>
      <c r="L4">
        <v>4</v>
      </c>
      <c r="M4">
        <f>IF(K4&gt;0,K4*0.453592,IF(L4&gt;0,L4*0.02835,))</f>
        <v>0.113398</v>
      </c>
      <c r="N4">
        <v>0</v>
      </c>
      <c r="O4">
        <v>0</v>
      </c>
      <c r="P4">
        <f>J4+O4+N4</f>
        <v>40</v>
      </c>
      <c r="Q4">
        <f>P4*C3</f>
        <v>50000</v>
      </c>
      <c r="R4">
        <v>0</v>
      </c>
      <c r="S4">
        <f>ROUND(SUM(Q4:R4), -2)</f>
        <v>50000</v>
      </c>
      <c r="T4">
        <f>ROUNDUP(HLOOKUP(ROUNDUP(K4,0),'배송비 조회'!A$10:U$22,7,0)*C$3,-2)</f>
        <v>9000</v>
      </c>
      <c r="U4">
        <v>0</v>
      </c>
      <c r="V4">
        <f>ROUND(IF(R4&gt;0,0,(S4+T4)*0.3),-2)</f>
        <v>17700</v>
      </c>
      <c r="W4">
        <f>V4+(S4+T4)*0.1</f>
        <v>23600</v>
      </c>
      <c r="X4">
        <f>IF(R4&gt;0,SUM(S4:T4),SUM(S4:V4))</f>
        <v>76700</v>
      </c>
      <c r="Y4">
        <f>IF(R4&gt;0,SUM(S4:T4),SUM(S4:U4)+W4)</f>
        <v>82600</v>
      </c>
      <c r="Z4">
        <v>0</v>
      </c>
      <c r="AA4">
        <f>X4*0.038</f>
        <v>2914.6</v>
      </c>
      <c r="AB4">
        <f>X4*0.02</f>
        <v>1534</v>
      </c>
      <c r="AC4">
        <f>Y4*0.1</f>
        <v>8260</v>
      </c>
      <c r="AD4">
        <f>X4-AA4-AB4</f>
        <v>72251.4</v>
      </c>
      <c r="AE4">
        <f>Y4-AC4</f>
        <v>74340</v>
      </c>
      <c r="AF4">
        <f>AD4*0.01</f>
        <v>722.514</v>
      </c>
      <c r="AG4">
        <f>AD4-Q4-AF4-T4</f>
        <v>12528.885999999995</v>
      </c>
      <c r="AH4">
        <f>AE4-Q4-AF4-T4</f>
        <v>14617.486</v>
      </c>
      <c r="AI4">
        <f>AG4/X4</f>
        <v>0.1633492307692307</v>
      </c>
      <c r="AJ4">
        <f>AH4/Y4</f>
        <v>0.17696714285714288</v>
      </c>
      <c r="AW4">
        <v>4404573419</v>
      </c>
    </row>
    <row r="5">
      <c r="A5">
        <f>HYPERLINK("https://smartstore.naver.com/brickstore2019/products/4406500739",AW:AW)</f>
        <v>4406500739</v>
      </c>
      <c r="C5" t="str">
        <v>접히는 포켓 사이즈 여행용 물병 - HYDAWAY New Collapsible Pocket-sized Travel Water Bottle - 21 oz.</v>
      </c>
      <c r="G5" t="str">
        <f>HYPERLINK("https://www.amazon.com/HYDAWAY-Collapsible-Pocket-sized-Travel-Bottle/dp/B073R14BWS/ref=sr_1_21?keywords=que+Bottle&amp;qid=1554022418&amp;s=home-garden&amp;sr=1-21","A")</f>
        <v>A</v>
      </c>
      <c r="H5" t="str">
        <v>품절</v>
      </c>
      <c r="J5">
        <v>22.83</v>
      </c>
      <c r="K5">
        <f>IF(L5&gt;0,L5*0.0625,)</f>
        <v>0.25</v>
      </c>
      <c r="L5">
        <v>4</v>
      </c>
      <c r="M5">
        <f>IF(K5&gt;0,K5*0.453592,IF(L5&gt;0,L5*0.02835,))</f>
        <v>0.113398</v>
      </c>
      <c r="N5">
        <v>0</v>
      </c>
      <c r="O5">
        <v>0</v>
      </c>
      <c r="P5">
        <f>J5+O5+N5</f>
        <v>22.83</v>
      </c>
      <c r="Q5">
        <f>P5*C$3</f>
        <v>28537.499999999996</v>
      </c>
      <c r="R5">
        <f>ROUND(Q5*0.5,-2)</f>
        <v>14300</v>
      </c>
      <c r="S5">
        <f>ROUND(SUM(Q5:R5), -2)</f>
        <v>42800</v>
      </c>
      <c r="T5">
        <f>ROUNDUP(HLOOKUP(ROUNDUP(K5,0),'배송비 조회'!A$10:U$22,7,0)*C$3,-2)</f>
        <v>9000</v>
      </c>
      <c r="U5">
        <v>0</v>
      </c>
      <c r="V5">
        <f>ROUND(IF(R5&gt;0,0,(S5+T5)*0.3),-2)</f>
        <v>0</v>
      </c>
      <c r="W5">
        <f>ROUND(IF(R5&gt;0,0,(S5+T5)*0.5),-2)</f>
        <v>0</v>
      </c>
      <c r="X5">
        <f>SUM(S5:T5)</f>
        <v>51800</v>
      </c>
      <c r="Y5">
        <f>IF(R5&gt;0,SUM(S5:T5),SUM(S5:U5)+W5)</f>
        <v>51800</v>
      </c>
      <c r="Z5">
        <v>0</v>
      </c>
      <c r="AA5">
        <f>X5*0.038</f>
        <v>1968.3999999999999</v>
      </c>
      <c r="AB5">
        <f>X5*0.02</f>
        <v>1036</v>
      </c>
      <c r="AC5">
        <f>Y5*0.1</f>
        <v>5180</v>
      </c>
      <c r="AD5">
        <f>X5-AA5-AB5</f>
        <v>48795.6</v>
      </c>
      <c r="AE5">
        <f>Y5-AC5</f>
        <v>46620</v>
      </c>
      <c r="AF5">
        <f>AD5*0.01</f>
        <v>487.956</v>
      </c>
      <c r="AG5">
        <f>AD5-Q5-AF5-T5</f>
        <v>10770.144000000004</v>
      </c>
      <c r="AH5">
        <f>AE5-Q5-AF5-T5</f>
        <v>8594.544000000005</v>
      </c>
      <c r="AI5">
        <f>AG5/X5</f>
        <v>0.2079178378378379</v>
      </c>
      <c r="AJ5">
        <f>AH5/Y5</f>
        <v>0.16591783783783795</v>
      </c>
      <c r="AW5">
        <v>4406500739</v>
      </c>
    </row>
    <row r="6">
      <c r="A6">
        <f>HYPERLINK("https://smartstore.naver.com/brickstore2019/products/4409757318",AW:AW)</f>
        <v>4409757318</v>
      </c>
      <c r="C6" t="str">
        <v>Vont 강력한 자전거 라이트 - Vont Bike Light, Comes with Free Tail Light</v>
      </c>
      <c r="E6" t="str">
        <v>Vont Bike Light, Comes with Free Tail Light, Bicycle Light Installs in Seconds Without Tools, Powerful Bike Headlight Compatible with: Mountain, Kids, Street, Bikes, Front and Back Illumination</v>
      </c>
      <c r="G6" t="str">
        <f>HYPERLINK("https://www.amazon.com/Vont-Bike-Light-Tools-Free-Installation/dp/B00KQSVRF8/ref=sr_1_1_sspa?keywords=bike+Light+-+Comes+With+FREE+TAIL+LIGHT&amp;qid=1554126436&amp;s=gateway&amp;sr=8-1-spons&amp;psc=1","A")</f>
        <v>A</v>
      </c>
      <c r="H6" t="str">
        <v>품절</v>
      </c>
      <c r="J6">
        <v>15</v>
      </c>
      <c r="K6">
        <f>IF(L6&gt;0,L6*0.0625,)</f>
        <v>0.5</v>
      </c>
      <c r="L6">
        <v>8</v>
      </c>
      <c r="M6">
        <f>IF(K6&gt;0,K6*0.453592,IF(L6&gt;0,L6*0.02835,))</f>
        <v>0.226796</v>
      </c>
      <c r="N6">
        <v>0</v>
      </c>
      <c r="O6">
        <v>0</v>
      </c>
      <c r="P6">
        <f>J6+O6+N6</f>
        <v>15</v>
      </c>
      <c r="Q6">
        <f>P6*C$3</f>
        <v>18750</v>
      </c>
      <c r="R6">
        <v>0</v>
      </c>
      <c r="S6">
        <f>ROUND(SUM(Q6:R6), -2)</f>
        <v>18800</v>
      </c>
      <c r="T6">
        <f>ROUNDUP(HLOOKUP(ROUNDUP(K6,0),'배송비 조회'!A$10:U$22,7,0)*C$3,-2)</f>
        <v>9000</v>
      </c>
      <c r="U6">
        <v>0</v>
      </c>
      <c r="V6">
        <f>ROUND(IF(R6&gt;0,0,(S6+T6)*0.5),-2)</f>
        <v>13900</v>
      </c>
      <c r="W6">
        <f>V6+(S6+T6)*0.1</f>
        <v>16680</v>
      </c>
      <c r="X6">
        <f>IF(R6&gt;0,SUM(S6:T6),SUM(S6:V6))</f>
        <v>41700</v>
      </c>
      <c r="Y6">
        <f>IF(R6&gt;0,SUM(S6:T6),SUM(S6:U6)+W6)</f>
        <v>44480</v>
      </c>
      <c r="Z6">
        <v>0</v>
      </c>
      <c r="AA6">
        <f>X6*0.038</f>
        <v>1584.6</v>
      </c>
      <c r="AB6">
        <f>X6*0.02</f>
        <v>834</v>
      </c>
      <c r="AC6">
        <f>Y6*0.1</f>
        <v>4448</v>
      </c>
      <c r="AD6">
        <f>X6-AA6-AB6</f>
        <v>39281.4</v>
      </c>
      <c r="AE6">
        <f>Y6-AC6</f>
        <v>40032</v>
      </c>
      <c r="AF6">
        <f>AD6*0.01</f>
        <v>392.814</v>
      </c>
      <c r="AG6">
        <f>AD6-Q6-AF6-T6</f>
        <v>11138.586000000003</v>
      </c>
      <c r="AH6">
        <f>AE6-Q6-AF6-T6</f>
        <v>11889.186000000002</v>
      </c>
      <c r="AI6">
        <f>AG6/X6</f>
        <v>0.2671123741007195</v>
      </c>
      <c r="AJ6">
        <f>AH6/Y6</f>
        <v>0.2672928507194245</v>
      </c>
      <c r="AW6">
        <v>4409757318</v>
      </c>
    </row>
    <row r="7">
      <c r="A7">
        <f>HYPERLINK("https://smartstore.naver.com/brickstore2019/products/4415560840",AW:AW)</f>
        <v>4415560840</v>
      </c>
      <c r="C7" t="str">
        <v>나이키 골프 모자 다크 그레이 Nike L91 Cap Tech Hat Dark Grey</v>
      </c>
      <c r="E7" t="str">
        <v>Nike L91 Cap Tech Hat Dark Grey/Anthracite/Black</v>
      </c>
      <c r="G7" t="str">
        <f>HYPERLINK("https://www.amazon.com/Nike-L91-Cap-Tech-Hat/dp/B0731ZKSCL/ref=sr_1_8?keywords=nike%2Bgolf%2Bhat&amp;qid=1554299549&amp;s=gateway&amp;sr=8-8&amp;th=1&amp;psc=1","A")</f>
        <v>A</v>
      </c>
      <c r="J7">
        <v>20</v>
      </c>
      <c r="K7">
        <f>IF(L7&gt;0,L7*0.0625,)</f>
        <v>0.3</v>
      </c>
      <c r="L7">
        <v>4.8</v>
      </c>
      <c r="M7">
        <f>IF(K7&gt;0,K7*0.453592,IF(L7&gt;0,L7*0.02835,))</f>
        <v>0.1360776</v>
      </c>
      <c r="N7">
        <v>0</v>
      </c>
      <c r="O7">
        <v>0</v>
      </c>
      <c r="P7">
        <f>J7+O7+N7</f>
        <v>20</v>
      </c>
      <c r="Q7">
        <f>P7*C$3</f>
        <v>25000</v>
      </c>
      <c r="R7">
        <v>0</v>
      </c>
      <c r="S7">
        <f>ROUND(SUM(Q7:R7), -2)</f>
        <v>25000</v>
      </c>
      <c r="T7">
        <f>ROUNDUP(HLOOKUP(ROUNDUP(K7,0),'배송비 조회'!A$10:U$22,7,0)*C$3,-2)</f>
        <v>9000</v>
      </c>
      <c r="U7">
        <v>0</v>
      </c>
      <c r="V7">
        <f>ROUND(IF(R7&gt;0,0,(S7+T7)*0.5),-2)</f>
        <v>17000</v>
      </c>
      <c r="W7">
        <f>ROUND(IF(R7&gt;0,0,(S7+T7)*0.5),-2)</f>
        <v>17000</v>
      </c>
      <c r="X7">
        <f>IF(R7&gt;0,SUM(S7:T7),SUM(S7:V7))</f>
        <v>51000</v>
      </c>
      <c r="Y7">
        <f>IF(R7&gt;0,SUM(S7:T7),SUM(S7:U7)+W7)</f>
        <v>51000</v>
      </c>
      <c r="Z7">
        <v>0</v>
      </c>
      <c r="AA7">
        <f>X7*0.038</f>
        <v>1938</v>
      </c>
      <c r="AB7">
        <f>X7*0.02</f>
        <v>1020</v>
      </c>
      <c r="AC7">
        <f>Y7*0.1</f>
        <v>5100</v>
      </c>
      <c r="AD7">
        <f>X7-AA7-AB7</f>
        <v>48042</v>
      </c>
      <c r="AE7">
        <f>Y7-AC7</f>
        <v>45900</v>
      </c>
      <c r="AF7">
        <f>AD7*0.01</f>
        <v>480.42</v>
      </c>
      <c r="AG7">
        <f>AD7-Q7-AF7-T7</f>
        <v>13561.580000000002</v>
      </c>
      <c r="AH7">
        <f>AE7-Q7-AF7-T7</f>
        <v>11419.580000000002</v>
      </c>
      <c r="AI7">
        <f>AG7/X7</f>
        <v>0.2659133333333334</v>
      </c>
      <c r="AJ7">
        <f>AH7/Y7</f>
        <v>0.22391333333333338</v>
      </c>
      <c r="AW7">
        <v>4415560840</v>
      </c>
    </row>
    <row r="8">
      <c r="A8">
        <f>HYPERLINK("https://smartstore.naver.com/brickstore2019/products/4423528812?NaPm=ct%3Dk0xwrq48%7Cci%3Dd9052cfef18fa38dad25cd07c4404921b5f3a37c%7Ctr%3Dslsl%7Csn%3D887008%7Cic%3D%7Chk%3De25b71c2bd2f9305c01c68348d5dbed9feabb221",AW:AW)</f>
        <v>4423528812</v>
      </c>
      <c r="C8" t="str">
        <v>카시오 흑새치 다이버 시계 Casio MDV106-1A</v>
      </c>
      <c r="E8" t="str">
        <v>Casio Men's Black Analog Anti Reverse Bezel Watch</v>
      </c>
      <c r="G8" t="str">
        <f>HYPERLINK("https://www.amazon.com/Casio-MDV106-1AV-Analog-Watch-Black/dp/B009KYJAJY/ref=sr_1_1?keywords=MDV106-1A&amp;qid=1554602376&amp;s=gateway&amp;sr=8-1","A")</f>
        <v>A</v>
      </c>
      <c r="J8">
        <v>null</v>
      </c>
      <c r="K8">
        <f>IF(L8&gt;0,L8*0.0625,)</f>
        <v>0.35</v>
      </c>
      <c r="L8">
        <v>5.6</v>
      </c>
      <c r="M8">
        <f>IF(K8&gt;0,K8*0.453592,IF(L8&gt;0,L8*0.02835,))</f>
        <v>0.1587572</v>
      </c>
      <c r="N8">
        <v>0</v>
      </c>
      <c r="O8">
        <v>0</v>
      </c>
      <c r="P8">
        <f>J8+O8+N8</f>
        <v>47.67</v>
      </c>
      <c r="Q8">
        <f>P8*C$3</f>
        <v>59587.5</v>
      </c>
      <c r="R8">
        <v>0</v>
      </c>
      <c r="S8">
        <f>ROUND(SUM(Q8:R8), -2)</f>
        <v>59600</v>
      </c>
      <c r="T8">
        <f>ROUNDUP(HLOOKUP(ROUNDUP(K8,0),'배송비 조회'!A$10:U$22,7,0)*C$3,-2)</f>
        <v>9000</v>
      </c>
      <c r="U8">
        <v>0</v>
      </c>
      <c r="V8">
        <f>ROUND(IF(R8&gt;0,0,(S8+T8)*0.3),-2)</f>
        <v>20600</v>
      </c>
      <c r="W8">
        <f>ROUND(IF(R8&gt;0,0,(S8+T8)*0.5),-2)</f>
        <v>34300</v>
      </c>
      <c r="X8">
        <f>IF(R8&gt;0,SUM(S8:T8),SUM(S8:V8))</f>
        <v>89200</v>
      </c>
      <c r="Y8">
        <f>IF(R8&gt;0,SUM(S8:T8),SUM(S8:U8)+W8)</f>
        <v>102900</v>
      </c>
      <c r="Z8">
        <v>0</v>
      </c>
      <c r="AA8">
        <f>X8*0.038</f>
        <v>3389.6</v>
      </c>
      <c r="AB8">
        <f>X8*0.02</f>
        <v>1784</v>
      </c>
      <c r="AC8">
        <f>Y8*0.1</f>
        <v>10290</v>
      </c>
      <c r="AD8">
        <f>X8-AA8-AB8</f>
        <v>84026.4</v>
      </c>
      <c r="AE8">
        <f>Y8-AC8</f>
        <v>92610</v>
      </c>
      <c r="AF8">
        <f>AD8*0.01</f>
        <v>840.264</v>
      </c>
      <c r="AG8">
        <f>AD8-Q8-AF8-T8</f>
        <v>14598.635999999995</v>
      </c>
      <c r="AH8">
        <f>AE8-Q8-AF8-T8</f>
        <v>23182.236</v>
      </c>
      <c r="AI8">
        <f>AG8/X8</f>
        <v>0.16366183856502237</v>
      </c>
      <c r="AJ8">
        <f>AH8/Y8</f>
        <v>0.22528897959183675</v>
      </c>
      <c r="AK8" t="str">
        <v>유료배송 측정</v>
      </c>
      <c r="AW8">
        <v>4423528812</v>
      </c>
    </row>
    <row r="9">
      <c r="A9">
        <f>HYPERLINK("https://smartstore.naver.com/brickstore2019/products/4506831588",AW:AW)</f>
        <v>4506831588</v>
      </c>
      <c r="C9" t="str">
        <v>카시오 MDV-106-1A 흑새치 다이버워치 전용 액정 보호필름 (5팩)</v>
      </c>
      <c r="E9" t="str">
        <v>[5-Pack] for Casio MDV106-1A Watch Screen Protector,Full Coverage Screen Protector for Casio MDV106-1A Watch HD Clear Anti-Bubble and Anti-Scratch</v>
      </c>
      <c r="G9" t="str">
        <f>HYPERLINK("https://www.amazon.com/gp/product/B07CN6QTZK?pf_rd_p=76bd99fd-409f-46a4-9ff6-b66b5703e95b&amp;pf_rd_r=GNYA555XHP298SY6WDEB","A")</f>
        <v>A</v>
      </c>
      <c r="J9">
        <v>null</v>
      </c>
      <c r="K9">
        <f>IF(L9&gt;0,L9*0.0625,)</f>
        <v>0.125</v>
      </c>
      <c r="L9">
        <v>2</v>
      </c>
      <c r="M9">
        <f>IF(K9&gt;0,K9*0.453592,IF(L9&gt;0,L9*0.02835,))</f>
        <v>0.056699</v>
      </c>
      <c r="N9">
        <v>0</v>
      </c>
      <c r="O9">
        <v>0</v>
      </c>
      <c r="P9">
        <f>J9+O9+N9</f>
        <v>9</v>
      </c>
      <c r="Q9">
        <f>P9*C$3</f>
        <v>11250</v>
      </c>
      <c r="R9">
        <v>0</v>
      </c>
      <c r="S9">
        <f>ROUND(SUM(Q9:R10), -2)</f>
        <v>73800</v>
      </c>
      <c r="T9">
        <f>ROUNDUP(HLOOKUP(ROUNDUP(K9,0),'배송비 조회'!A$10:U$22,7,0)*C$3,-2)</f>
        <v>9000</v>
      </c>
      <c r="U9">
        <v>0</v>
      </c>
      <c r="V9">
        <f>ROUND(IF(R9&gt;0,0,(S9+T9)*0.2),-2)</f>
        <v>16600</v>
      </c>
      <c r="W9">
        <f>ROUND(IF(R9&gt;0,0,(S9+T9)*0.3),-2)</f>
        <v>24800</v>
      </c>
      <c r="X9">
        <f>IF(R9&gt;0,SUM(S9:T9),SUM(S9:V9))</f>
        <v>99400</v>
      </c>
      <c r="Y9">
        <f>IF(R9&gt;0,SUM(S9:T9),SUM(S9:U9)+W9)</f>
        <v>107600</v>
      </c>
      <c r="Z9">
        <v>0</v>
      </c>
      <c r="AA9">
        <f>X9*0.038</f>
        <v>3777.2</v>
      </c>
      <c r="AB9">
        <f>X9*0.02</f>
        <v>1988</v>
      </c>
      <c r="AC9">
        <f>Y9*0.1</f>
        <v>10760</v>
      </c>
      <c r="AD9">
        <f>X9-AA9-AB9</f>
        <v>93634.8</v>
      </c>
      <c r="AE9">
        <f>Y9-AC9</f>
        <v>96840</v>
      </c>
      <c r="AF9">
        <f>AD9*0.01</f>
        <v>936.3480000000001</v>
      </c>
      <c r="AG9">
        <f>AD9-Q9-AF9-T9</f>
        <v>72448.452</v>
      </c>
      <c r="AH9">
        <f>AE9-Q9-AF9-T9</f>
        <v>75653.652</v>
      </c>
      <c r="AI9">
        <f>AG9/X9</f>
        <v>0.7288576659959759</v>
      </c>
      <c r="AJ9">
        <f>AH9/Y9</f>
        <v>0.7031008550185873</v>
      </c>
      <c r="AW9">
        <v>4506831588</v>
      </c>
    </row>
    <row r="10">
      <c r="C10" t="str">
        <v>카시오 MDV-106-1A 흑새치 다이버시계 전용 액정 보호필름(5팩) 포함</v>
      </c>
      <c r="E10" t="str">
        <v>Casio Men's Black Analog Anti Reverse Bezel Watch</v>
      </c>
      <c r="G10" t="str">
        <f>HYPERLINK("https://www.amazon.com/Casio-MDV106-1AV-Analog-Watch-Black/dp/B009KYJAJY/ref=sr_1_1?keywords=MDV106-1A&amp;qid=1554602376&amp;s=gateway&amp;sr=8-1","A")</f>
        <v>A</v>
      </c>
      <c r="J10">
        <v>50</v>
      </c>
      <c r="K10">
        <f>IF(L10&gt;0,L10*0.0625,)</f>
        <v>0.125</v>
      </c>
      <c r="L10">
        <v>2</v>
      </c>
      <c r="M10">
        <f>IF(K10&gt;0,K10*0.453592,IF(L10&gt;0,L10*0.02835,))</f>
        <v>0.056699</v>
      </c>
      <c r="N10">
        <v>0</v>
      </c>
      <c r="O10">
        <v>0</v>
      </c>
      <c r="P10">
        <f>J10+O10+N10</f>
        <v>50</v>
      </c>
      <c r="Q10">
        <f>P10*C$3</f>
        <v>62500</v>
      </c>
      <c r="Z10">
        <v>0</v>
      </c>
      <c r="AA10">
        <f>X10*0.038</f>
        <v>0</v>
      </c>
      <c r="AB10">
        <f>X10*0.02</f>
        <v>0</v>
      </c>
      <c r="AC10">
        <f>Y10*0.1</f>
        <v>0</v>
      </c>
      <c r="AD10">
        <f>X10-AA10-AB10</f>
        <v>0</v>
      </c>
      <c r="AE10">
        <f>Y10-AC10</f>
        <v>0</v>
      </c>
      <c r="AF10">
        <f>AD10*0.01</f>
        <v>0</v>
      </c>
      <c r="AW10">
        <v>4506831588</v>
      </c>
    </row>
    <row r="11">
      <c r="A11">
        <f>HYPERLINK("https://smartstore.naver.com/brickstore2019/products/4423502710",AW:AW)</f>
        <v>4423502710</v>
      </c>
      <c r="C11" t="str">
        <v>써모스 캠핑용 스테인레스 식품 보온병 Thermos Stainless King 16 Ounce Food Jar with Folding Spoon</v>
      </c>
      <c r="E11" t="str">
        <v>Thermos Stainless King 16 Ounce Food Jar with Folding Spoon, Stainless Steel</v>
      </c>
      <c r="G11" t="str">
        <f>HYPERLINK("https://www.amazon.com/Thermos-Stainless-Ounce-Folding-Spoon/dp/B01DZQT01U/ref=sr_1_3?keywords=thermos&amp;qid=1554434259&amp;s=gateway&amp;sr=8-3&amp;th=1","A")</f>
        <v>A</v>
      </c>
      <c r="J11">
        <v>19.98</v>
      </c>
      <c r="K11">
        <f>IF(L11&gt;0,L11*0.0625,)</f>
        <v>0.8</v>
      </c>
      <c r="L11">
        <v>12.8</v>
      </c>
      <c r="M11">
        <f>IF(K11&gt;0,K11*0.453592,IF(L11&gt;0,L11*0.02835,))</f>
        <v>0.3628736</v>
      </c>
      <c r="N11">
        <v>0</v>
      </c>
      <c r="O11">
        <v>0</v>
      </c>
      <c r="P11">
        <f>J11+O11+N11</f>
        <v>19.98</v>
      </c>
      <c r="Q11">
        <f>P11*C$3</f>
        <v>24975</v>
      </c>
      <c r="R11">
        <v>0</v>
      </c>
      <c r="S11">
        <f>ROUND(SUM(Q11:R11), -2)</f>
        <v>25000</v>
      </c>
      <c r="T11">
        <f>ROUNDUP(HLOOKUP(ROUNDUP(K11,0),'배송비 조회'!A$10:U$22,7,0)*C$3,-2)</f>
        <v>9000</v>
      </c>
      <c r="U11">
        <v>0</v>
      </c>
      <c r="V11">
        <f>ROUND(IF(R11&gt;0,0,(S11+T11)*0.5),-2)</f>
        <v>17000</v>
      </c>
      <c r="W11">
        <f>ROUND(IF(R11&gt;0,0,(S11+T11)*0.5),-2)</f>
        <v>17000</v>
      </c>
      <c r="X11">
        <f>IF(R11&gt;0,SUM(S11:T11),SUM(S11:V11))</f>
        <v>51000</v>
      </c>
      <c r="Y11">
        <f>IF(R11&gt;0,SUM(S11:T11),SUM(S11:U11)+W11)</f>
        <v>51000</v>
      </c>
      <c r="Z11">
        <v>0</v>
      </c>
      <c r="AA11">
        <f>X11*0.038</f>
        <v>1938</v>
      </c>
      <c r="AB11">
        <f>X11*0.02</f>
        <v>1020</v>
      </c>
      <c r="AC11">
        <f>Y11*0.1</f>
        <v>5100</v>
      </c>
      <c r="AD11">
        <f>X11-AA11-AB11</f>
        <v>48042</v>
      </c>
      <c r="AE11">
        <f>Y11-AC11</f>
        <v>45900</v>
      </c>
      <c r="AF11">
        <f>AD11*0.01</f>
        <v>480.42</v>
      </c>
      <c r="AG11">
        <f>AD11-Q11-AF11-T11</f>
        <v>13586.580000000002</v>
      </c>
      <c r="AH11">
        <f>AE11-Q11-AF11-T11</f>
        <v>11444.580000000002</v>
      </c>
      <c r="AI11">
        <f>AG11/X11</f>
        <v>0.26640352941176476</v>
      </c>
      <c r="AJ11">
        <f>AH11/Y11</f>
        <v>0.22440352941176475</v>
      </c>
      <c r="AW11">
        <v>4423502710</v>
      </c>
    </row>
    <row r="12">
      <c r="A12">
        <f>HYPERLINK("https://smartstore.naver.com/brickstore2019/products/4424864634",AW:AW)</f>
        <v>4424864634</v>
      </c>
      <c r="C12" t="str">
        <v>코닥 미니 휴대용 포토 프린터 Kodak Mini Portable Mobile Instant Photo Printer</v>
      </c>
      <c r="E12" t="str">
        <v>Kodak Mini Portable Mobile Instant Photo Printer - Wi-Fi &amp; NFC Compatible - Wirelessly Prints 2.1 x 3.4 Images, Advanced DyeSub Printing Technology (Black) Compatible with Android &amp; iOS</v>
      </c>
      <c r="G12" t="str">
        <f>HYPERLINK("https://www.amazon.com/Kodak-Portable-Mobile-Instant-Printer/dp/B01KO0T5VA?psc=1&amp;SubscriptionId=AKIAJ6HCB5BRWX67J5VQ&amp;tag=207858-20&amp;linkCode=xm2&amp;camp=2025&amp;creative=165953&amp;creativeASIN=B01KO0T5VA&amp;m=ATVPDKIKX0DER","A")</f>
        <v>A</v>
      </c>
      <c r="J12">
        <v>91.49</v>
      </c>
      <c r="K12">
        <f>IF(L12&gt;0,L12*0.0625,)</f>
        <v>0.85</v>
      </c>
      <c r="L12">
        <v>13.6</v>
      </c>
      <c r="M12">
        <f>IF(K12&gt;0,K12*0.453592,IF(L12&gt;0,L12*0.02835,))</f>
        <v>0.3855532</v>
      </c>
      <c r="N12">
        <v>0</v>
      </c>
      <c r="O12">
        <v>0</v>
      </c>
      <c r="P12">
        <f>J12+O12+N12</f>
        <v>91.49</v>
      </c>
      <c r="Q12">
        <f>P12*C$3</f>
        <v>114362.5</v>
      </c>
      <c r="R12">
        <v>0</v>
      </c>
      <c r="S12">
        <f>ROUND(SUM(Q12:R12), -2)</f>
        <v>114400</v>
      </c>
      <c r="T12">
        <f>ROUNDUP(HLOOKUP(ROUNDUP(K12,0),'배송비 조회'!A$10:U$22,7,0)*C$3,-2)</f>
        <v>9000</v>
      </c>
      <c r="U12">
        <v>0</v>
      </c>
      <c r="V12">
        <f>ROUND(IF(R12&gt;0,0,(S12+T12)*0.3),-2)</f>
        <v>37000</v>
      </c>
      <c r="W12">
        <f>ROUND(IF(R12&gt;0,0,(S12+T12)*0.5),-2)</f>
        <v>61700</v>
      </c>
      <c r="X12">
        <f>IF(R12&gt;0,SUM(S12:T12),SUM(S12:V12))</f>
        <v>160400</v>
      </c>
      <c r="Y12">
        <f>IF(R12&gt;0,SUM(S12:T12),SUM(S12:U12)+W12)</f>
        <v>185100</v>
      </c>
      <c r="Z12">
        <v>0</v>
      </c>
      <c r="AA12">
        <f>X12*0.038</f>
        <v>6095.2</v>
      </c>
      <c r="AB12">
        <f>X12*0.02</f>
        <v>3208</v>
      </c>
      <c r="AC12">
        <f>Y12*0.1</f>
        <v>18510</v>
      </c>
      <c r="AD12">
        <f>X12-AA12-AB12</f>
        <v>151096.8</v>
      </c>
      <c r="AE12">
        <f>Y12-AC12</f>
        <v>166590</v>
      </c>
      <c r="AF12">
        <f>AD12*0.01</f>
        <v>1510.9679999999998</v>
      </c>
      <c r="AG12">
        <f>AD12-Q12-AF12-T12</f>
        <v>26223.331999999988</v>
      </c>
      <c r="AH12">
        <f>AE12-Q12-AF12-T12</f>
        <v>41716.532</v>
      </c>
      <c r="AI12">
        <f>AG12/X12</f>
        <v>0.16348710723192011</v>
      </c>
      <c r="AJ12">
        <f>AH12/Y12</f>
        <v>0.22537294435440303</v>
      </c>
      <c r="AW12">
        <v>4424864634</v>
      </c>
    </row>
    <row r="13">
      <c r="A13">
        <f>HYPERLINK("https://smartstore.naver.com/brickstore2019/products/4426016707",AW:AW)</f>
        <v>4426016707</v>
      </c>
      <c r="C13" t="str">
        <v>타이맥스 심플한 가죽 스트랩 시계 Timex T2M441</v>
      </c>
      <c r="E13" t="str">
        <v>Timex Men's Easy Reader Date Leather Strap Watch</v>
      </c>
      <c r="G13" t="str">
        <f>HYPERLINK("https://www.amazon.com/Timex-T2M441-Reader-Patterned-Leather/dp/B004XILGA8/ref=sr_1_11?keywords=watch&amp;qid=1554725541&amp;refinements=p_72%3A2661618011%2Cp_89%3ACasio%7CTimex&amp;rnid=2528832011&amp;s=gateway&amp;sr=8-11","A")</f>
        <v>A</v>
      </c>
      <c r="J13">
        <v>60</v>
      </c>
      <c r="K13">
        <f>IF(L13&gt;0,L13*0.0625,)</f>
        <v>0.2</v>
      </c>
      <c r="L13">
        <v>3.2</v>
      </c>
      <c r="M13">
        <f>IF(K13&gt;0,K13*0.453592,IF(L13&gt;0,L13*0.02835,))</f>
        <v>0.0907184</v>
      </c>
      <c r="N13">
        <v>0</v>
      </c>
      <c r="O13">
        <v>0</v>
      </c>
      <c r="P13">
        <f>J13+O13+N13</f>
        <v>60</v>
      </c>
      <c r="Q13">
        <f>P13*C$3</f>
        <v>75000</v>
      </c>
      <c r="R13">
        <v>0</v>
      </c>
      <c r="S13">
        <f>ROUND(SUM(Q13:R13), -2)</f>
        <v>75000</v>
      </c>
      <c r="T13">
        <f>ROUNDUP(HLOOKUP(ROUNDUP(K13,0),'배송비 조회'!A$10:U$22,7,0)*C$3,-2)</f>
        <v>9000</v>
      </c>
      <c r="U13">
        <v>0</v>
      </c>
      <c r="V13">
        <f>ROUND(IF(R13&gt;0,0,(S13+T13)*0.4),-2)</f>
        <v>33600</v>
      </c>
      <c r="W13">
        <f>ROUND(IF(R13&gt;0,0,(S13+T13)*0.5),-2)</f>
        <v>42000</v>
      </c>
      <c r="X13">
        <f>IF(R13&gt;0,SUM(S13:T13),SUM(S13:V13))</f>
        <v>117600</v>
      </c>
      <c r="Y13">
        <f>IF(R13&gt;0,SUM(S13:T13),SUM(S13:U13)+W13)</f>
        <v>126000</v>
      </c>
      <c r="Z13">
        <v>0</v>
      </c>
      <c r="AA13">
        <f>X13*0.038</f>
        <v>4468.8</v>
      </c>
      <c r="AB13">
        <f>X13*0.02</f>
        <v>2352</v>
      </c>
      <c r="AC13">
        <f>Y13*0.1</f>
        <v>12600</v>
      </c>
      <c r="AD13">
        <f>X13-AA13-AB13</f>
        <v>110779.2</v>
      </c>
      <c r="AE13">
        <f>Y13-AC13</f>
        <v>113400</v>
      </c>
      <c r="AF13">
        <f>AD13*0.01</f>
        <v>1107.792</v>
      </c>
      <c r="AG13">
        <f>AD13-Q13-AF13-T13</f>
        <v>25671.407999999996</v>
      </c>
      <c r="AH13">
        <f>AE13-Q13-AF13-T13</f>
        <v>28292.208</v>
      </c>
      <c r="AI13">
        <f>AG13/X13</f>
        <v>0.2182942857142857</v>
      </c>
      <c r="AJ13">
        <f>AH13/Y13</f>
        <v>0.22454133333333332</v>
      </c>
      <c r="AW13">
        <v>4426016707</v>
      </c>
    </row>
    <row r="14">
      <c r="A14">
        <f>HYPERLINK("https://smartstore.naver.com/brickstore2019/products/4426097458",AW:AW)</f>
        <v>4426097458</v>
      </c>
      <c r="C14" t="str">
        <v>타이맥스 여성 가죽 시계 Timex T2H331</v>
      </c>
      <c r="E14" t="str">
        <v>Timex Women's Indiglo Easy Reader Quartz Analog Leather Strap Watch with Date Feature</v>
      </c>
      <c r="G14" t="str">
        <f>HYPERLINK("https://www.amazon.com/Timex-T2H331-Indiglo-Leather-Silver-Tone/dp/B000AYW0M2/ref=sr_1_22?keywords=watch&amp;qid=1554730002&amp;refinements=p_72%3A2661618011%2Cp_89%3ACasio%7CTimex&amp;rnid=2528832011&amp;s=gateway&amp;sr=8-22","A")</f>
        <v>A</v>
      </c>
      <c r="J14">
        <v>33.09</v>
      </c>
      <c r="K14">
        <f>IF(L14&gt;0,L14*0.0625,)</f>
        <v>0.15</v>
      </c>
      <c r="L14">
        <v>2.4</v>
      </c>
      <c r="M14">
        <f>IF(K14&gt;0,K14*0.453592,IF(L14&gt;0,L14*0.02835,))</f>
        <v>0.0680388</v>
      </c>
      <c r="N14">
        <v>0</v>
      </c>
      <c r="O14">
        <v>0</v>
      </c>
      <c r="P14">
        <f>J14+O14+N14</f>
        <v>33.09</v>
      </c>
      <c r="Q14">
        <f>P14*C$3</f>
        <v>41362.50000000001</v>
      </c>
      <c r="R14">
        <v>0</v>
      </c>
      <c r="S14">
        <f>ROUND(SUM(Q14:R14), -2)</f>
        <v>41400</v>
      </c>
      <c r="T14">
        <f>ROUNDUP(HLOOKUP(ROUNDUP(K14,0),'배송비 조회'!A$10:U$22,7,0)*C$3,-2)</f>
        <v>9000</v>
      </c>
      <c r="U14">
        <v>0</v>
      </c>
      <c r="V14">
        <f>ROUND(IF(R14&gt;0,0,(S14+T14)*0.4),-2)</f>
        <v>20200</v>
      </c>
      <c r="W14">
        <f>ROUND(IF(R14&gt;0,0,(S14+T14)*0.5),-2)</f>
        <v>25200</v>
      </c>
      <c r="X14">
        <f>IF(R14&gt;0,SUM(S14:T14),SUM(S14:V14))</f>
        <v>70600</v>
      </c>
      <c r="Y14">
        <f>IF(R14&gt;0,SUM(S14:T14),SUM(S14:U14)+W14)</f>
        <v>75600</v>
      </c>
      <c r="Z14">
        <v>0</v>
      </c>
      <c r="AA14">
        <f>X14*0.038</f>
        <v>2682.7999999999997</v>
      </c>
      <c r="AB14">
        <f>X14*0.02</f>
        <v>1412</v>
      </c>
      <c r="AC14">
        <f>Y14*0.1</f>
        <v>7560</v>
      </c>
      <c r="AD14">
        <f>X14-AA14-AB14</f>
        <v>66505.2</v>
      </c>
      <c r="AE14">
        <f>Y14-AC14</f>
        <v>68040</v>
      </c>
      <c r="AF14">
        <f>AD14*0.01</f>
        <v>665.052</v>
      </c>
      <c r="AG14">
        <f>AD14-Q14-AF14-T14</f>
        <v>15477.64799999999</v>
      </c>
      <c r="AH14">
        <f>AE14-Q14-AF14-T14</f>
        <v>17012.447999999993</v>
      </c>
      <c r="AI14">
        <f>AG14/X14</f>
        <v>0.21923014164305935</v>
      </c>
      <c r="AJ14">
        <f>AH14/Y14</f>
        <v>0.22503238095238087</v>
      </c>
      <c r="AW14">
        <v>4426097458</v>
      </c>
    </row>
    <row r="15">
      <c r="A15">
        <f>HYPERLINK("https://smartstore.naver.com/brickstore2019/products/4427623887",AW:AW)</f>
        <v>4427623887</v>
      </c>
      <c r="C15" t="str">
        <v>타이맥스 남자 손목 시계 Timex Watch T20461</v>
      </c>
      <c r="E15" t="str">
        <v>Timex Men's Easy Reader Day-Date Expansion Band Watch</v>
      </c>
      <c r="G15" t="str">
        <f>HYPERLINK("https://www.amazon.com/Timex-T20461-Silver-Tone-Stainless-Expansion/dp/B000B5459Q/ref=sr_1_41?keywords=watch&amp;qid=1554730002&amp;refinements=p_72%3A2661618011%2Cp_89%3ACasio%7CTimex&amp;rnid=2528832011&amp;s=gateway&amp;sr=8-41","A")</f>
        <v>A</v>
      </c>
      <c r="J15">
        <v>36</v>
      </c>
      <c r="K15">
        <f>IF(L15&gt;0,L15*0.0625,)</f>
        <v>0.53125</v>
      </c>
      <c r="L15">
        <v>8.5</v>
      </c>
      <c r="M15">
        <f>IF(K15&gt;0,K15*0.453592,IF(L15&gt;0,L15*0.02835,))</f>
        <v>0.24097075</v>
      </c>
      <c r="N15">
        <v>0</v>
      </c>
      <c r="O15">
        <v>0</v>
      </c>
      <c r="P15">
        <f>J15+O15+N15</f>
        <v>36</v>
      </c>
      <c r="Q15">
        <f>P15*C$3</f>
        <v>45000</v>
      </c>
      <c r="R15">
        <v>0</v>
      </c>
      <c r="S15">
        <f>ROUND(SUM(Q15:R15), -2)</f>
        <v>45000</v>
      </c>
      <c r="T15">
        <f>ROUNDUP(HLOOKUP(ROUNDUP(K15,0),'배송비 조회'!A$10:U$22,7,0)*C$3,-2)</f>
        <v>9000</v>
      </c>
      <c r="U15">
        <v>0</v>
      </c>
      <c r="V15">
        <f>ROUND(IF(R15&gt;0,0,(S15+T15)*0.4),-2)</f>
        <v>21600</v>
      </c>
      <c r="W15">
        <f>ROUND(IF(R15&gt;0,0,(S15+T15)*0.5),-2)</f>
        <v>27000</v>
      </c>
      <c r="X15">
        <f>IF(R15&gt;0,SUM(S15:T15),SUM(S15:V15))</f>
        <v>75600</v>
      </c>
      <c r="Y15">
        <f>IF(R15&gt;0,SUM(S15:T15),SUM(S15:U15)+W15)</f>
        <v>81000</v>
      </c>
      <c r="Z15">
        <v>0</v>
      </c>
      <c r="AA15">
        <f>X15*0.038</f>
        <v>2872.7999999999997</v>
      </c>
      <c r="AB15">
        <f>X15*0.02</f>
        <v>1512</v>
      </c>
      <c r="AC15">
        <f>Y15*0.1</f>
        <v>8100</v>
      </c>
      <c r="AD15">
        <f>X15-AA15-AB15</f>
        <v>71215.2</v>
      </c>
      <c r="AE15">
        <f>Y15-AC15</f>
        <v>72900</v>
      </c>
      <c r="AF15">
        <f>AD15*0.01</f>
        <v>712.1519999999999</v>
      </c>
      <c r="AG15">
        <f>AD15-Q15-AF15-T15</f>
        <v>16503.048</v>
      </c>
      <c r="AH15">
        <f>AE15-Q15-AF15-T15</f>
        <v>18187.848</v>
      </c>
      <c r="AI15">
        <f>AG15/X15</f>
        <v>0.2182942857142857</v>
      </c>
      <c r="AJ15">
        <f>AH15/Y15</f>
        <v>0.22454133333333334</v>
      </c>
      <c r="AW15">
        <v>4427623887</v>
      </c>
    </row>
    <row r="16">
      <c r="A16">
        <f>HYPERLINK("https://smartstore.naver.com/brickstore2019/products/4429123187",AW:AW)</f>
        <v>4429123187</v>
      </c>
      <c r="C16" t="str">
        <v>부레이 남자 패션 손목 시계 BUREI Men's Fashion Watch 19003</v>
      </c>
      <c r="E16" t="str">
        <v>BUREI Men's Fashion Minimalist Wrist Watch Analog Deep Gray Date with Black Milanese Mesh/Leather Band</v>
      </c>
      <c r="G16" t="str">
        <f>HYPERLINK("https://www.amazon.com/dp/B06ZYXZNXY/ref=cm_sw_r_cp_api_i_uckRCbBCWQK25","A")</f>
        <v>A</v>
      </c>
      <c r="J16">
        <v>25.99</v>
      </c>
      <c r="K16">
        <f>IF(L16&gt;0,L16*0.0625,)</f>
        <v>0.3</v>
      </c>
      <c r="L16">
        <v>4.8</v>
      </c>
      <c r="M16">
        <f>IF(K16&gt;0,K16*0.453592,IF(L16&gt;0,L16*0.02835,))</f>
        <v>0.1360776</v>
      </c>
      <c r="N16">
        <v>0</v>
      </c>
      <c r="O16">
        <v>0</v>
      </c>
      <c r="P16">
        <f>J16+O16+N16</f>
        <v>25.99</v>
      </c>
      <c r="Q16">
        <f>P16*C$3</f>
        <v>32487.499999999996</v>
      </c>
      <c r="R16">
        <v>0</v>
      </c>
      <c r="S16">
        <f>ROUND(SUM(Q16:R16), -2)</f>
        <v>32500</v>
      </c>
      <c r="T16">
        <f>ROUNDUP(HLOOKUP(ROUNDUP(K16,0),'배송비 조회'!A$10:U$22,7,0)*C$3,-2)</f>
        <v>9000</v>
      </c>
      <c r="U16">
        <v>0</v>
      </c>
      <c r="V16">
        <f>ROUND(IF(R16&gt;0,0,(S16+T16)*0.4),-2)</f>
        <v>16600</v>
      </c>
      <c r="W16">
        <f>ROUND(IF(R16&gt;0,0,(S16+T16)*0.5),-2)</f>
        <v>20800</v>
      </c>
      <c r="X16">
        <f>IF(R16&gt;0,SUM(S16:T16),SUM(S16:V16))</f>
        <v>58100</v>
      </c>
      <c r="Y16">
        <f>IF(R16&gt;0,SUM(S16:T16),SUM(S16:U16)+W16)</f>
        <v>62300</v>
      </c>
      <c r="Z16">
        <v>0</v>
      </c>
      <c r="AA16">
        <f>X16*0.038</f>
        <v>2207.7999999999997</v>
      </c>
      <c r="AB16">
        <f>X16*0.02</f>
        <v>1162</v>
      </c>
      <c r="AC16">
        <f>Y16*0.1</f>
        <v>6230</v>
      </c>
      <c r="AD16">
        <f>X16-AA16-AB16</f>
        <v>54730.2</v>
      </c>
      <c r="AE16">
        <f>Y16-AC16</f>
        <v>56070</v>
      </c>
      <c r="AF16">
        <f>AD16*0.01</f>
        <v>547.302</v>
      </c>
      <c r="AG16">
        <f>AD16-Q16-AF16-T16</f>
        <v>12695.398000000001</v>
      </c>
      <c r="AH16">
        <f>AE16-Q16-AF16-T16</f>
        <v>14035.198000000004</v>
      </c>
      <c r="AI16">
        <f>AG16/X16</f>
        <v>0.21850943201376938</v>
      </c>
      <c r="AJ16">
        <f>AH16/Y16</f>
        <v>0.22528407704654901</v>
      </c>
      <c r="AW16">
        <v>4429123187</v>
      </c>
    </row>
    <row r="17">
      <c r="A17">
        <f>HYPERLINK("https://smartstore.naver.com/brickstore2019/products/4430091145",AW:AW)</f>
        <v>4430091145</v>
      </c>
      <c r="C17" t="str">
        <v>여자 타이맥스 가죽 손목 시계 Timex Leather Strap Watch T20041</v>
      </c>
      <c r="E17" t="str">
        <v>Timex Easy Reader Day-Date Leather Strap Watch</v>
      </c>
      <c r="F17" t="str">
        <v>Dark Brown/Natural</v>
      </c>
      <c r="G17" t="str">
        <f>HYPERLINK("https://www.amazon.com/gp/product/B000B55AEA/ref=s9_acsd_simh_hd_bw_b6wJnVL_c_x_w?pf_rd_m=ATVPDKIKX0DER&amp;pf_rd_s=merchandised-search-11&amp;pf_rd_r=B8DM1YHV6X8J1T0NEQ25&amp;pf_rd_t=101&amp;pf_rd_p=36359550-2807-57b7-a134-5a8bc2426730&amp;pf_rd_i=6358543011","A")</f>
        <v>A</v>
      </c>
      <c r="J17">
        <v>32</v>
      </c>
      <c r="K17">
        <f>IF(L17&gt;0,L17*0.0625,)</f>
        <v>0.1</v>
      </c>
      <c r="L17">
        <v>1.6</v>
      </c>
      <c r="M17">
        <f>IF(K17&gt;0,K17*0.453592,IF(L17&gt;0,L17*0.02835,))</f>
        <v>0.0453592</v>
      </c>
      <c r="N17">
        <v>0</v>
      </c>
      <c r="O17">
        <v>0</v>
      </c>
      <c r="P17">
        <f>J17+O17+N17</f>
        <v>32</v>
      </c>
      <c r="Q17">
        <f>P17*C$3</f>
        <v>40000</v>
      </c>
      <c r="R17">
        <v>0</v>
      </c>
      <c r="S17">
        <f>ROUND(SUM(Q17:R17), -2)</f>
        <v>40000</v>
      </c>
      <c r="T17">
        <f>ROUNDUP(HLOOKUP(ROUNDUP(K17,0),'배송비 조회'!A$10:U$22,7,0)*C$3,-2)</f>
        <v>9000</v>
      </c>
      <c r="U17">
        <v>0</v>
      </c>
      <c r="V17">
        <f>ROUND(IF(R17&gt;0,0,(S17+T17)*0.5),-2)</f>
        <v>24500</v>
      </c>
      <c r="W17">
        <f>ROUND(IF(R17&gt;0,0,(S17+T17)*0.5),-2)</f>
        <v>24500</v>
      </c>
      <c r="X17">
        <f>IF(R17&gt;0,SUM(S17:T17),SUM(S17:V17))</f>
        <v>73500</v>
      </c>
      <c r="Y17">
        <f>IF(R17&gt;0,SUM(S17:T17),SUM(S17:U17)+W17)</f>
        <v>73500</v>
      </c>
      <c r="Z17">
        <v>0</v>
      </c>
      <c r="AA17">
        <f>X17*0.038</f>
        <v>2793</v>
      </c>
      <c r="AB17">
        <f>X17*0.02</f>
        <v>1470</v>
      </c>
      <c r="AC17">
        <f>Y17*0.1</f>
        <v>7350</v>
      </c>
      <c r="AD17">
        <f>X17-AA17-AB17</f>
        <v>69237</v>
      </c>
      <c r="AE17">
        <f>Y17-AC17</f>
        <v>66150</v>
      </c>
      <c r="AF17">
        <f>AD17*0.01</f>
        <v>692.37</v>
      </c>
      <c r="AG17">
        <f>AD17-Q17-AF17-T17</f>
        <v>19544.63</v>
      </c>
      <c r="AH17">
        <f>AE17-Q17-AF17-T17</f>
        <v>16457.63</v>
      </c>
      <c r="AI17">
        <f>AG17/X17</f>
        <v>0.26591333333333333</v>
      </c>
      <c r="AJ17">
        <f>AH17/Y17</f>
        <v>0.22391333333333335</v>
      </c>
      <c r="AW17">
        <v>4430091145</v>
      </c>
    </row>
    <row r="18">
      <c r="A18">
        <f>HYPERLINK("https://smartstore.naver.com/brickstore2019/products/4433721346",AW:AW)</f>
        <v>4433721346</v>
      </c>
      <c r="C18" t="str">
        <v>타이맥스 남자 익스페디션 손목 시계 Timex TW4B04700</v>
      </c>
      <c r="E18" t="str">
        <v>Timex Men's Expedition Scout 40 Watch</v>
      </c>
      <c r="F18" t="str">
        <v>Dark Brown/Natural</v>
      </c>
      <c r="G18" t="str">
        <f>HYPERLINK("https://www.amazon.com/dp/B00HF49WXK/ref=cm_sw_r_cp_api_i_AVXRCbDTKH5AB","A")</f>
        <v>A</v>
      </c>
      <c r="J18">
        <v>37.05</v>
      </c>
      <c r="K18">
        <f>IF(L18&gt;0,L18*0.0625,)</f>
        <v>0.3125</v>
      </c>
      <c r="L18">
        <v>5</v>
      </c>
      <c r="M18">
        <f>IF(K18&gt;0,K18*0.453592,IF(L18&gt;0,L18*0.02835,))</f>
        <v>0.1417475</v>
      </c>
      <c r="N18">
        <v>0</v>
      </c>
      <c r="O18">
        <v>0</v>
      </c>
      <c r="P18">
        <f>J18+O18+N18</f>
        <v>37.05</v>
      </c>
      <c r="Q18">
        <f>P18*C$3</f>
        <v>46312.5</v>
      </c>
      <c r="R18">
        <v>0</v>
      </c>
      <c r="S18">
        <f>ROUND(SUM(Q18:R18), -2)</f>
        <v>46300</v>
      </c>
      <c r="T18">
        <f>ROUNDUP(HLOOKUP(ROUNDUP(K18,0),'배송비 조회'!A$10:U$22,7,0)*C$3,-2)</f>
        <v>9000</v>
      </c>
      <c r="U18">
        <v>0</v>
      </c>
      <c r="V18">
        <f>ROUND(IF(R18&gt;0,0,(S18+T18)*0.3),-2)</f>
        <v>16600</v>
      </c>
      <c r="W18">
        <f>ROUND(IF(R18&gt;0,0,(S18+T18)*0.5),-2)</f>
        <v>27700</v>
      </c>
      <c r="X18">
        <f>IF(R18&gt;0,SUM(S18:T18),SUM(S18:V18))</f>
        <v>71900</v>
      </c>
      <c r="Y18">
        <f>IF(R18&gt;0,SUM(S18:T18),SUM(S18:U18)+W18)</f>
        <v>83000</v>
      </c>
      <c r="Z18">
        <v>0</v>
      </c>
      <c r="AA18">
        <f>X18*0.038</f>
        <v>2732.2</v>
      </c>
      <c r="AB18">
        <f>X18*0.02</f>
        <v>1438</v>
      </c>
      <c r="AC18">
        <f>Y18*0.1</f>
        <v>8300</v>
      </c>
      <c r="AD18">
        <f>X18-AA18-AB18</f>
        <v>67729.8</v>
      </c>
      <c r="AE18">
        <f>Y18-AC18</f>
        <v>74700</v>
      </c>
      <c r="AF18">
        <f>AD18*0.01</f>
        <v>677.298</v>
      </c>
      <c r="AG18">
        <f>AD18-Q18-AF18-T18</f>
        <v>11740.002000000004</v>
      </c>
      <c r="AH18">
        <f>AE18-Q18-AF18-T18</f>
        <v>18710.202</v>
      </c>
      <c r="AI18">
        <f>AG18/X18</f>
        <v>0.1632823643949931</v>
      </c>
      <c r="AJ18">
        <f>AH18/Y18</f>
        <v>0.22542412048192773</v>
      </c>
      <c r="AW18">
        <v>4433721346</v>
      </c>
    </row>
    <row r="19">
      <c r="F19" t="str">
        <v>Green</v>
      </c>
      <c r="G19" t="str">
        <f>HYPERLINK("https://www.amazon.com/dp/B0194LW5BM/ref=cm_sw_r_cp_api_i_AVXRCbDTKH5AB?th=1","A")</f>
        <v>A</v>
      </c>
      <c r="J19">
        <v>44.8</v>
      </c>
      <c r="K19">
        <f>IF(L19&gt;0,L19*0.0625,)</f>
        <v>0.3125</v>
      </c>
      <c r="L19">
        <v>5</v>
      </c>
      <c r="M19">
        <f>IF(K19&gt;0,K19*0.453592,IF(L19&gt;0,L19*0.02835,))</f>
        <v>0.1417475</v>
      </c>
      <c r="N19">
        <v>0</v>
      </c>
      <c r="O19">
        <v>0</v>
      </c>
      <c r="P19">
        <f>J19+O19+N19</f>
        <v>44.8</v>
      </c>
      <c r="Q19">
        <f>P19*C$3</f>
        <v>56000</v>
      </c>
      <c r="R19">
        <v>0</v>
      </c>
      <c r="S19">
        <f>ROUND(SUM(Q19:R19), -2)</f>
        <v>56000</v>
      </c>
      <c r="T19">
        <f>ROUNDUP(HLOOKUP(ROUNDUP(K19,0),'배송비 조회'!A$10:U$22,7,0)*C$3,-2)</f>
        <v>9000</v>
      </c>
      <c r="U19">
        <v>0</v>
      </c>
      <c r="V19">
        <f>ROUND(IF(R19&gt;0,0,(S19+T19)*0.3),-2)</f>
        <v>19500</v>
      </c>
      <c r="W19">
        <f>ROUND(IF(R19&gt;0,0,(S19+T19)*0.5),-2)</f>
        <v>32500</v>
      </c>
      <c r="X19">
        <f>IF(R19&gt;0,SUM(S19:T19),SUM(S19:V19))</f>
        <v>84500</v>
      </c>
      <c r="Y19">
        <f>IF(R19&gt;0,SUM(S19:T19),SUM(S19:U19)+W19)</f>
        <v>97500</v>
      </c>
      <c r="Z19">
        <v>0</v>
      </c>
      <c r="AA19">
        <f>X19*0.038</f>
        <v>3211</v>
      </c>
      <c r="AB19">
        <f>X19*0.02</f>
        <v>1690</v>
      </c>
      <c r="AC19">
        <f>Y19*0.1</f>
        <v>9750</v>
      </c>
      <c r="AD19">
        <f>X19-AA19-AB19</f>
        <v>79599</v>
      </c>
      <c r="AE19">
        <f>Y19-AC19</f>
        <v>87750</v>
      </c>
      <c r="AF19">
        <f>AD19*0.01</f>
        <v>795.99</v>
      </c>
      <c r="AG19">
        <f>AD19-Q19-AF19-T19</f>
        <v>13803.009999999998</v>
      </c>
      <c r="AH19">
        <f>AE19-Q19-AF19-T19</f>
        <v>21954.01</v>
      </c>
      <c r="AI19">
        <f>AG19/X19</f>
        <v>0.16334923076923075</v>
      </c>
      <c r="AJ19">
        <f>AH19/Y19</f>
        <v>0.2251693333333333</v>
      </c>
    </row>
    <row r="20">
      <c r="A20">
        <f>HYPERLINK("https://smartstore.naver.com/brickstore2019/products/4433826912",AW:AW)</f>
        <v>4433826912</v>
      </c>
      <c r="C20" t="str">
        <v>세이코 남자 손목 시계 Seiko SNE102</v>
      </c>
      <c r="E20" t="str">
        <v>Seiko Men's SNE102 Stainless Steel Solar Watch with Brown Leather Strap</v>
      </c>
      <c r="G20" t="str">
        <f>HYPERLINK("https://www.amazon.com/dp/B004JBB3ZM/ref=cm_sw_r_cp_api_i_3-XRCb97CXTJJ","A")</f>
        <v>A</v>
      </c>
      <c r="J20">
        <v>99.99</v>
      </c>
      <c r="K20">
        <f>IF(L20&gt;0,L20*0.0625,)</f>
        <v>0.4875</v>
      </c>
      <c r="L20">
        <v>7.8</v>
      </c>
      <c r="M20">
        <f>IF(K20&gt;0,K20*0.453592,IF(L20&gt;0,L20*0.02835,))</f>
        <v>0.2211261</v>
      </c>
      <c r="N20">
        <v>0</v>
      </c>
      <c r="O20">
        <v>0</v>
      </c>
      <c r="P20">
        <f>J20+O20+N20</f>
        <v>99.99</v>
      </c>
      <c r="Q20">
        <f>P20*C$3</f>
        <v>124987.5</v>
      </c>
      <c r="R20">
        <v>0</v>
      </c>
      <c r="S20">
        <f>ROUND(SUM(Q20:R20), -2)</f>
        <v>125000</v>
      </c>
      <c r="T20">
        <f>ROUNDUP(HLOOKUP(ROUNDUP(K20,0),'배송비 조회'!A$10:U$22,7,0)*C$3,-2)</f>
        <v>9000</v>
      </c>
      <c r="U20">
        <v>0</v>
      </c>
      <c r="V20">
        <f>ROUND(IF(R20&gt;0,0,(S20+T20)*0.3),-2)</f>
        <v>40200</v>
      </c>
      <c r="W20">
        <f>ROUND(IF(R20&gt;0,0,(S20+T20)*0.5),-2)</f>
        <v>67000</v>
      </c>
      <c r="X20">
        <f>IF(R20&gt;0,SUM(S20:T20),SUM(S20:V20))</f>
        <v>174200</v>
      </c>
      <c r="Y20">
        <f>IF(R20&gt;0,SUM(S20:T20),SUM(S20:U20)+W20)</f>
        <v>201000</v>
      </c>
      <c r="Z20">
        <v>0</v>
      </c>
      <c r="AA20">
        <f>X20*0.038</f>
        <v>6619.599999999999</v>
      </c>
      <c r="AB20">
        <f>X20*0.02</f>
        <v>3484</v>
      </c>
      <c r="AC20">
        <f>Y20*0.1</f>
        <v>20100</v>
      </c>
      <c r="AD20">
        <f>X20-AA20-AB20</f>
        <v>164096.4</v>
      </c>
      <c r="AE20">
        <f>Y20-AC20</f>
        <v>180900</v>
      </c>
      <c r="AF20">
        <f>AD20*0.01</f>
        <v>1640.964</v>
      </c>
      <c r="AG20">
        <f>AD20-Q20-AF20-T20</f>
        <v>28467.935999999994</v>
      </c>
      <c r="AH20">
        <f>AE20-Q20-AF20-T20</f>
        <v>45271.536</v>
      </c>
      <c r="AI20">
        <f>AG20/X20</f>
        <v>0.16342098737083807</v>
      </c>
      <c r="AJ20">
        <f>AH20/Y20</f>
        <v>0.2252315223880597</v>
      </c>
      <c r="AW20">
        <v>4433826912</v>
      </c>
    </row>
    <row r="21">
      <c r="A21">
        <f>HYPERLINK("https://smartstore.naver.com/brickstore2019/products/4435605901",AW:AW)</f>
        <v>4435605901</v>
      </c>
      <c r="C21" t="str">
        <v>타이맥스 익스피디션 남자 손목 시계 Timex Watch T49905</v>
      </c>
      <c r="E21" t="str">
        <v>Timex Men's Expedition Field Chronograph Watch</v>
      </c>
      <c r="G21" t="str">
        <f>HYPERLINK("https://www.amazon.com/Timex-T49905-Expedition-Chronograph-Leather/dp/B0083XFHIG/ref=sr_1_1?keywords=T49905&amp;qid=1555050925&amp;s=apparel&amp;sr=1-1","A")</f>
        <v>A</v>
      </c>
      <c r="J21">
        <v>58</v>
      </c>
      <c r="K21">
        <f>IF(L21&gt;0,L21*0.0625,)</f>
        <v>0.3</v>
      </c>
      <c r="L21">
        <v>4.8</v>
      </c>
      <c r="M21">
        <f>IF(K21&gt;0,K21*0.453592,IF(L21&gt;0,L21*0.02835,))</f>
        <v>0.1360776</v>
      </c>
      <c r="N21">
        <v>0</v>
      </c>
      <c r="O21">
        <v>0</v>
      </c>
      <c r="P21">
        <f>J21+O21+N21</f>
        <v>58</v>
      </c>
      <c r="Q21">
        <f>P21*C$3</f>
        <v>72500</v>
      </c>
      <c r="R21">
        <v>0</v>
      </c>
      <c r="S21">
        <f>ROUND(SUM(Q21:R21), -2)</f>
        <v>72500</v>
      </c>
      <c r="T21">
        <f>ROUNDUP(HLOOKUP(ROUNDUP(K21,0),'배송비 조회'!A$10:U$22,7,0)*C$3,-2)</f>
        <v>9000</v>
      </c>
      <c r="U21">
        <v>0</v>
      </c>
      <c r="V21">
        <f>ROUND(IF(R21&gt;0,0,(S21+T21)*0.3),-2)</f>
        <v>24500</v>
      </c>
      <c r="W21">
        <f>ROUND(IF(R21&gt;0,0,(S21+T21)*0.5),-2)</f>
        <v>40800</v>
      </c>
      <c r="X21">
        <f>IF(R21&gt;0,SUM(S21:T21),SUM(S21:V21))</f>
        <v>106000</v>
      </c>
      <c r="Y21">
        <f>IF(R21&gt;0,SUM(S21:T21),SUM(S21:U21)+W21)</f>
        <v>122300</v>
      </c>
      <c r="Z21">
        <v>0</v>
      </c>
      <c r="AA21">
        <f>X21*0.038</f>
        <v>4028</v>
      </c>
      <c r="AB21">
        <f>X21*0.02</f>
        <v>2120</v>
      </c>
      <c r="AC21">
        <f>Y21*0.1</f>
        <v>12230</v>
      </c>
      <c r="AD21">
        <f>X21-AA21-AB21</f>
        <v>99852</v>
      </c>
      <c r="AE21">
        <f>Y21-AC21</f>
        <v>110070</v>
      </c>
      <c r="AF21">
        <f>AD21*0.01</f>
        <v>998.52</v>
      </c>
      <c r="AG21">
        <f>AD21-Q21-AF21-T21</f>
        <v>17353.48</v>
      </c>
      <c r="AH21">
        <f>AE21-Q21-AF21-T21</f>
        <v>27571.480000000003</v>
      </c>
      <c r="AI21">
        <f>AG21/X21</f>
        <v>0.1637120754716981</v>
      </c>
      <c r="AJ21">
        <f>AH21/Y21</f>
        <v>0.2254413736713001</v>
      </c>
      <c r="AW21">
        <v>4435605901</v>
      </c>
    </row>
    <row r="22">
      <c r="A22">
        <f>HYPERLINK("https://smartstore.naver.com/brickstore2019/products/4438053399",AW:AW)</f>
        <v>4438053399</v>
      </c>
      <c r="C22" t="str">
        <v>타이맥스 남자 익스피디션 손목 시계 Timex Men's T49961</v>
      </c>
      <c r="E22" t="str">
        <v>Timex Men's Expedition Scout 40 Watch</v>
      </c>
      <c r="G22" t="str">
        <f>HYPERLINK("https://www.amazon.com/Timex-T49961-Expedition-Scout-Green/dp/B00HYUSWPE/ref=sr_1_1?keywords=T49961&amp;qid=1555160004&amp;s=gateway&amp;sr=8-1","A")</f>
        <v>A</v>
      </c>
      <c r="J22">
        <v>37.05</v>
      </c>
      <c r="K22">
        <f>IF(L22&gt;0,L22*0.0625,)</f>
        <v>0.25</v>
      </c>
      <c r="L22">
        <v>4</v>
      </c>
      <c r="M22">
        <f>IF(K22&gt;0,K22*0.453592,IF(L22&gt;0,L22*0.02835,))</f>
        <v>0.113398</v>
      </c>
      <c r="N22">
        <v>0</v>
      </c>
      <c r="O22">
        <v>0</v>
      </c>
      <c r="P22">
        <f>J22+O22+N22</f>
        <v>37.05</v>
      </c>
      <c r="Q22">
        <f>P22*C$3</f>
        <v>46312.5</v>
      </c>
      <c r="R22">
        <v>0</v>
      </c>
      <c r="S22">
        <f>ROUND(SUM(Q22:R22), -2)</f>
        <v>46300</v>
      </c>
      <c r="T22">
        <f>ROUNDUP(HLOOKUP(ROUNDUP(K22,0),'배송비 조회'!A$10:U$22,7,0)*C$3,-2)</f>
        <v>9000</v>
      </c>
      <c r="U22">
        <v>0</v>
      </c>
      <c r="V22">
        <f>ROUND(IF(R22&gt;0,0,(S22+T22)*0.3),-2)</f>
        <v>16600</v>
      </c>
      <c r="W22">
        <f>ROUND(IF(R22&gt;0,0,(S22+T22)*0.5),-2)</f>
        <v>27700</v>
      </c>
      <c r="X22">
        <f>IF(R22&gt;0,SUM(S22:T22),SUM(S22:V22))</f>
        <v>71900</v>
      </c>
      <c r="Y22">
        <f>IF(R22&gt;0,SUM(S22:T22),SUM(S22:U22)+W22)</f>
        <v>83000</v>
      </c>
      <c r="Z22">
        <v>0</v>
      </c>
      <c r="AA22">
        <f>X22*0.038</f>
        <v>2732.2</v>
      </c>
      <c r="AB22">
        <f>X22*0.02</f>
        <v>1438</v>
      </c>
      <c r="AC22">
        <f>Y22*0.1</f>
        <v>8300</v>
      </c>
      <c r="AD22">
        <f>X22-AA22-AB22</f>
        <v>67729.8</v>
      </c>
      <c r="AE22">
        <f>Y22-AC22</f>
        <v>74700</v>
      </c>
      <c r="AF22">
        <f>AD22*0.01</f>
        <v>677.298</v>
      </c>
      <c r="AG22">
        <f>AD22-Q22-AF22-T22</f>
        <v>11740.002000000004</v>
      </c>
      <c r="AH22">
        <f>AE22-Q22-AF22-T22</f>
        <v>18710.202</v>
      </c>
      <c r="AI22">
        <f>AG22/X22</f>
        <v>0.1632823643949931</v>
      </c>
      <c r="AJ22">
        <f>AH22/Y22</f>
        <v>0.22542412048192773</v>
      </c>
      <c r="AW22">
        <v>4438053399</v>
      </c>
    </row>
    <row r="23">
      <c r="A23">
        <f>HYPERLINK("https://smartstore.naver.com/brickstore2019/products/4438120352",AW:AW)</f>
        <v>4438120352</v>
      </c>
      <c r="C23" t="str">
        <v>아이맥 27인치 휴대용 케이스 Lavolta iMac 27-inch Case</v>
      </c>
      <c r="E23" t="str">
        <v>Lavolta Carrying Case Bag for Apple iMac 27-inch - Handmade Genuine Leather and Wool Felt - fits iMac 27" Retina 5K &amp; 27" Thunderbolt Display - with Protective Lining &amp; Pockets for iMac Accessories</v>
      </c>
      <c r="G23" t="str">
        <f>HYPERLINK("https://www.amazon.com/Lavolta-Carrying-Case-Apple-27-inch/dp/B01DYHDQNI/ref=sr_1_1?keywords=Lavolta+Carrying+Case&amp;qid=1555162087&amp;s=gateway&amp;sr=8-1","A")</f>
        <v>A</v>
      </c>
      <c r="J23">
        <v>78.79</v>
      </c>
      <c r="K23">
        <v>1.65</v>
      </c>
      <c r="L23">
        <f>IF(K23&gt;0,K23*16,)</f>
        <v>26.4</v>
      </c>
      <c r="M23">
        <f>IF(K23&gt;0,K23*0.453592,IF(L23&gt;0,L23*0.02835,))</f>
        <v>0.7484268</v>
      </c>
      <c r="N23">
        <v>0</v>
      </c>
      <c r="O23">
        <v>0</v>
      </c>
      <c r="P23">
        <f>J23+O23+N23</f>
        <v>78.79</v>
      </c>
      <c r="Q23">
        <f>P23*C$3</f>
        <v>98487.50000000001</v>
      </c>
      <c r="R23">
        <v>0</v>
      </c>
      <c r="S23">
        <f>ROUND(SUM(Q23:R23), -2)</f>
        <v>98500</v>
      </c>
      <c r="T23">
        <f>ROUNDUP(HLOOKUP(ROUNDUP(K23,0),'배송비 조회'!A$10:U$22,7,0)*C$3,-2)</f>
        <v>11200</v>
      </c>
      <c r="U23">
        <v>0</v>
      </c>
      <c r="V23">
        <f>ROUND(IF(R23&gt;0,0,(S23+T23)*0.3),-2)</f>
        <v>32900</v>
      </c>
      <c r="W23">
        <f>ROUND(IF(R23&gt;0,0,(S23+T23)*0.5),-2)</f>
        <v>54900</v>
      </c>
      <c r="X23">
        <f>IF(R23&gt;0,SUM(S23:T23),SUM(S23:V23))</f>
        <v>142600</v>
      </c>
      <c r="Y23">
        <f>IF(R23&gt;0,SUM(S23:T23),SUM(S23:U23)+W23)</f>
        <v>164600</v>
      </c>
      <c r="Z23">
        <v>0</v>
      </c>
      <c r="AA23">
        <f>X23*0.038</f>
        <v>5418.8</v>
      </c>
      <c r="AB23">
        <f>X23*0.02</f>
        <v>2852</v>
      </c>
      <c r="AC23">
        <f>Y23*0.1</f>
        <v>16460</v>
      </c>
      <c r="AD23">
        <f>X23-AA23-AB23</f>
        <v>134329.2</v>
      </c>
      <c r="AE23">
        <f>Y23-AC23</f>
        <v>148140</v>
      </c>
      <c r="AF23">
        <f>AD23*0.01</f>
        <v>1343.2920000000001</v>
      </c>
      <c r="AG23">
        <f>AD23-Q23-AF23-T23</f>
        <v>23298.407999999996</v>
      </c>
      <c r="AH23">
        <f>AE23-Q23-AF23-T23</f>
        <v>37109.207999999984</v>
      </c>
      <c r="AI23">
        <f>AG23/X23</f>
        <v>0.16338294530154274</v>
      </c>
      <c r="AJ23">
        <f>AH23/Y23</f>
        <v>0.22545083839611169</v>
      </c>
      <c r="AW23">
        <v>4438120352</v>
      </c>
    </row>
    <row r="24">
      <c r="A24">
        <f>HYPERLINK("https://smartstore.naver.com/brickstore2019/products/4439817472",AW:AW)</f>
        <v>4439817472</v>
      </c>
      <c r="C24" t="str">
        <v>옥소 과일,채소 써는 기계 OXO Good Grips 3-Blade Spiralizer</v>
      </c>
      <c r="E24" t="str">
        <v>OXO Good Grips 3-Blade Tabletop Spiralizer with StrongHold Suction</v>
      </c>
      <c r="G24" t="str">
        <f>HYPERLINK("https://www.amazon.com/OXO-3-Blade-Tabletop-Spiralizer-StrongHold/dp/B01C2TT2H8/ref=sr_1_3?keywords=OXO+Good+Grips+3-Blade&amp;qid=1555243857&amp;s=gateway&amp;sr=8-3","A")</f>
        <v>A</v>
      </c>
      <c r="J24">
        <v>39.95</v>
      </c>
      <c r="K24">
        <v>3.2</v>
      </c>
      <c r="L24">
        <f>IF(K24&gt;0,K24*16,)</f>
        <v>51.2</v>
      </c>
      <c r="M24">
        <f>IF(K24&gt;0,K24*0.453592,IF(L24&gt;0,L24*0.02835,))</f>
        <v>1.4514944</v>
      </c>
      <c r="N24">
        <v>0</v>
      </c>
      <c r="O24">
        <v>0</v>
      </c>
      <c r="P24">
        <f>J24+O24+N24</f>
        <v>39.95</v>
      </c>
      <c r="Q24">
        <f>P24*C$3</f>
        <v>49937.5</v>
      </c>
      <c r="R24">
        <v>0</v>
      </c>
      <c r="S24">
        <f>ROUND(SUM(Q24:R24), -2)</f>
        <v>49900</v>
      </c>
      <c r="T24">
        <f>ROUNDUP(HLOOKUP(ROUNDUP(K24,0),'배송비 조회'!A$10:U$22,7,0)*C$3,-2)</f>
        <v>15600</v>
      </c>
      <c r="U24">
        <v>0</v>
      </c>
      <c r="V24">
        <f>ROUND(IF(R24&gt;0,0,(S24+T24)*0.3),-2)</f>
        <v>19700</v>
      </c>
      <c r="W24">
        <f>ROUND(IF(R24&gt;0,0,(S24+T24)*0.5),-2)</f>
        <v>32800</v>
      </c>
      <c r="X24">
        <f>IF(R24&gt;0,SUM(S24:T24),SUM(S24:V24))</f>
        <v>85200</v>
      </c>
      <c r="Y24">
        <f>IF(R24&gt;0,SUM(S24:T24),SUM(S24:U24)+W24)</f>
        <v>98300</v>
      </c>
      <c r="Z24">
        <v>0</v>
      </c>
      <c r="AA24">
        <f>X24*0.038</f>
        <v>3237.6</v>
      </c>
      <c r="AB24">
        <f>X24*0.02</f>
        <v>1704</v>
      </c>
      <c r="AC24">
        <f>Y24*0.1</f>
        <v>9830</v>
      </c>
      <c r="AD24">
        <f>X24-AA24-AB24</f>
        <v>80258.4</v>
      </c>
      <c r="AE24">
        <f>Y24-AC24</f>
        <v>88470</v>
      </c>
      <c r="AF24">
        <f>AD24*0.01</f>
        <v>802.584</v>
      </c>
      <c r="AG24">
        <f>AD24-Q24-AF24-T24</f>
        <v>13918.315999999995</v>
      </c>
      <c r="AH24">
        <f>AE24-Q24-AF24-T24</f>
        <v>22129.915999999997</v>
      </c>
      <c r="AI24">
        <f>AG24/X24</f>
        <v>0.16336051643192484</v>
      </c>
      <c r="AJ24">
        <f>AH24/Y24</f>
        <v>0.22512630722278737</v>
      </c>
      <c r="AW24">
        <v>4439817472</v>
      </c>
    </row>
    <row r="25">
      <c r="A25">
        <f>HYPERLINK("https://smartstore.naver.com/brickstore2019/products/4439875828",AW:AW)</f>
        <v>4439875828</v>
      </c>
      <c r="C25" t="str">
        <v>옥소 스파이럴 라이저 OXO Good Grips Handheld Spiralizer</v>
      </c>
      <c r="E25" t="str">
        <v>OXO Good Grips Handheld Spiralizer, Green, 1 Blade</v>
      </c>
      <c r="G25" t="str">
        <f>HYPERLINK("https://www.amazon.com/OXO-Grips-Handheld-Spiralizer-Green/dp/B013KAW5IQ","A")</f>
        <v>A</v>
      </c>
      <c r="J25">
        <v>14.99</v>
      </c>
      <c r="K25">
        <f>IF(L25&gt;0,L25*0.0625,)</f>
        <v>0.35</v>
      </c>
      <c r="L25">
        <v>5.6</v>
      </c>
      <c r="M25">
        <f>IF(K25&gt;0,K25*0.453592,IF(L25&gt;0,L25*0.02835,))</f>
        <v>0.1587572</v>
      </c>
      <c r="N25">
        <v>0</v>
      </c>
      <c r="O25">
        <v>0</v>
      </c>
      <c r="P25">
        <f>J25+O25+N25</f>
        <v>14.99</v>
      </c>
      <c r="Q25">
        <f>P25*C$3</f>
        <v>18737.5</v>
      </c>
      <c r="R25">
        <v>0</v>
      </c>
      <c r="S25">
        <f>ROUND(SUM(Q25:R25), -2)</f>
        <v>18700</v>
      </c>
      <c r="T25">
        <f>ROUNDUP(HLOOKUP(ROUNDUP(K25,0),'배송비 조회'!A$10:U$22,7,0)*C$3,-2)</f>
        <v>9000</v>
      </c>
      <c r="U25">
        <v>0</v>
      </c>
      <c r="V25">
        <f>ROUND(IF(R25&gt;0,0,(S25+T25)*0.5),-2)</f>
        <v>13900</v>
      </c>
      <c r="W25">
        <f>ROUND(IF(R25&gt;0,0,(S25+T25)*0.5),-2)</f>
        <v>13900</v>
      </c>
      <c r="X25">
        <f>IF(R25&gt;0,SUM(S25:T25),SUM(S25:V25))</f>
        <v>41600</v>
      </c>
      <c r="Y25">
        <f>IF(R25&gt;0,SUM(S25:T25),SUM(S25:U25)+W25)</f>
        <v>41600</v>
      </c>
      <c r="Z25">
        <v>0</v>
      </c>
      <c r="AA25">
        <f>X25*0.038</f>
        <v>1580.8</v>
      </c>
      <c r="AB25">
        <f>X25*0.02</f>
        <v>832</v>
      </c>
      <c r="AC25">
        <f>Y25*0.1</f>
        <v>4160</v>
      </c>
      <c r="AD25">
        <f>X25-AA25-AB25</f>
        <v>39187.2</v>
      </c>
      <c r="AE25">
        <f>Y25-AC25</f>
        <v>37440</v>
      </c>
      <c r="AF25">
        <f>AD25*0.01</f>
        <v>391.87199999999996</v>
      </c>
      <c r="AG25">
        <f>AD25-Q25-AF25-T25</f>
        <v>11057.827999999998</v>
      </c>
      <c r="AH25">
        <f>AE25-Q25-AF25-T25</f>
        <v>9310.628</v>
      </c>
      <c r="AI25">
        <f>AG25/X25</f>
        <v>0.26581317307692304</v>
      </c>
      <c r="AJ25">
        <f>AH25/Y25</f>
        <v>0.22381317307692308</v>
      </c>
      <c r="AW25">
        <v>4439875828</v>
      </c>
    </row>
    <row r="26">
      <c r="A26">
        <f>HYPERLINK("https://smartstore.naver.com/brickstore2019/products/4440828954",AW:AW)</f>
        <v>4440828954</v>
      </c>
      <c r="C26" t="str">
        <v>옥소 쿠키 메이커 OXO Cookie Press with Disks and Case</v>
      </c>
      <c r="E26" t="str">
        <v>OXO Good Grips Cookie Press with Stainless Steel Disks and Storage Case</v>
      </c>
      <c r="G26" t="str">
        <f>HYPERLINK("https://www.amazon.com/OXO-Grips-Cookie-Stainless-Storage/dp/B00ABH0PYI/ref=sr_1_104?keywords=oxo&amp;qid=1555303170&amp;refinements=p_72%3A2661618011&amp;rnid=2661617011&amp;s=gateway&amp;sr=8-104","A")</f>
        <v>A</v>
      </c>
      <c r="J26">
        <v>29.99</v>
      </c>
      <c r="K26">
        <v>1.45</v>
      </c>
      <c r="L26">
        <f>IF(K26&gt;0,K26*16,)</f>
        <v>23.2</v>
      </c>
      <c r="M26">
        <f>IF(K26&gt;0,K26*0.453592,IF(L26&gt;0,L26*0.02835,))</f>
        <v>0.6577084</v>
      </c>
      <c r="N26">
        <v>0</v>
      </c>
      <c r="O26">
        <v>0</v>
      </c>
      <c r="P26">
        <f>J26+O26+N26</f>
        <v>29.99</v>
      </c>
      <c r="Q26">
        <f>P26*C$3</f>
        <v>37487.5</v>
      </c>
      <c r="R26">
        <v>0</v>
      </c>
      <c r="S26">
        <f>ROUND(SUM(Q26:R26), -2)</f>
        <v>37500</v>
      </c>
      <c r="T26">
        <f>ROUNDUP(HLOOKUP(ROUNDUP(K26,0),'배송비 조회'!A$10:U$22,7,0)*C$3,-2)</f>
        <v>11200</v>
      </c>
      <c r="U26">
        <v>0</v>
      </c>
      <c r="V26">
        <f>ROUND(IF(R26&gt;0,0,(S26+T26)*0.3),-2)</f>
        <v>14600</v>
      </c>
      <c r="W26">
        <f>ROUND(IF(R26&gt;0,0,(S26+T26)*0.5),-2)</f>
        <v>24400</v>
      </c>
      <c r="X26">
        <f>IF(R26&gt;0,SUM(S26:T26),SUM(S26:V26))</f>
        <v>63300</v>
      </c>
      <c r="Y26">
        <f>IF(R26&gt;0,SUM(S26:T26),SUM(S26:U26)+W26)</f>
        <v>73100</v>
      </c>
      <c r="Z26">
        <v>0</v>
      </c>
      <c r="AA26">
        <f>X26*0.038</f>
        <v>2405.4</v>
      </c>
      <c r="AB26">
        <f>X26*0.02</f>
        <v>1266</v>
      </c>
      <c r="AC26">
        <f>Y26*0.1</f>
        <v>7310</v>
      </c>
      <c r="AD26">
        <f>X26-AA26-AB26</f>
        <v>59628.6</v>
      </c>
      <c r="AE26">
        <f>Y26-AC26</f>
        <v>65790</v>
      </c>
      <c r="AF26">
        <f>AD26*0.01</f>
        <v>596.286</v>
      </c>
      <c r="AG26">
        <f>AD26-Q26-AF26-T26</f>
        <v>10344.813999999998</v>
      </c>
      <c r="AH26">
        <f>AE26-Q26-AF26-T26</f>
        <v>16506.214</v>
      </c>
      <c r="AI26">
        <f>AG26/X26</f>
        <v>0.16342518167456555</v>
      </c>
      <c r="AJ26">
        <f>AH26/Y26</f>
        <v>0.22580320109439125</v>
      </c>
      <c r="AW26">
        <v>4440828954</v>
      </c>
    </row>
    <row r="27">
      <c r="A27">
        <f>HYPERLINK("https://smartstore.naver.com/brickstore2019/products/4442238349",AW:AW)</f>
        <v>4442238349</v>
      </c>
      <c r="C27" t="str">
        <v>조셉조셉 조절가능한 반죽 밀대 Joseph Joseph Rolling Pin</v>
      </c>
      <c r="E27" t="str">
        <v>Joseph Joseph 20085 Adjustable Rolling Pin with Removable Rings, Multicolored</v>
      </c>
      <c r="F27" t="str">
        <v>Multicolored</v>
      </c>
      <c r="G27" t="str">
        <f>HYPERLINK("https://www.amazon.com/Joseph-20085-Adjustable-Removable-Multicolored/dp/B0091QO3RK/ref=sr_1_7?keywords=joseph+joseph&amp;qid=1555336160&amp;rnid=2661617011&amp;s=gateway&amp;sr=8-7","A")</f>
        <v>A</v>
      </c>
      <c r="J27">
        <v>20</v>
      </c>
      <c r="K27">
        <v>1.15</v>
      </c>
      <c r="L27">
        <f>IF(K27&gt;0,K27*16,)</f>
        <v>18.4</v>
      </c>
      <c r="M27">
        <f>IF(K27&gt;0,K27*0.453592,IF(L27&gt;0,L27*0.02835,))</f>
        <v>0.5216308</v>
      </c>
      <c r="N27">
        <v>0</v>
      </c>
      <c r="O27">
        <v>0</v>
      </c>
      <c r="P27">
        <f>J27+O27+N27</f>
        <v>20</v>
      </c>
      <c r="Q27">
        <f>P27*C$3</f>
        <v>25000</v>
      </c>
      <c r="R27">
        <v>0</v>
      </c>
      <c r="S27">
        <f>ROUND(SUM(Q27:R27), -2)</f>
        <v>25000</v>
      </c>
      <c r="T27">
        <f>ROUNDUP(HLOOKUP(ROUNDUP(K27,0),'배송비 조회'!A$10:U$22,7,0)*C$3,-2)</f>
        <v>11200</v>
      </c>
      <c r="U27">
        <v>0</v>
      </c>
      <c r="V27">
        <f>ROUND(IF(R27&gt;0,0,(S27+T27)*0.6),-2)</f>
        <v>21700</v>
      </c>
      <c r="W27">
        <f>ROUND(IF(R27&gt;0,0,(S27+T27)*0.5),-2)</f>
        <v>18100</v>
      </c>
      <c r="X27">
        <f>IF(R27&gt;0,SUM(S27:T27),SUM(S27:V27))</f>
        <v>57900</v>
      </c>
      <c r="Y27">
        <f>IF(R27&gt;0,SUM(S27:T27),SUM(S27:U27)+W27)</f>
        <v>54300</v>
      </c>
      <c r="Z27">
        <v>0</v>
      </c>
      <c r="AA27">
        <f>X27*0.038</f>
        <v>2200.2</v>
      </c>
      <c r="AB27">
        <f>X27*0.02</f>
        <v>1158</v>
      </c>
      <c r="AC27">
        <f>Y27*0.1</f>
        <v>5430</v>
      </c>
      <c r="AD27">
        <f>X27-AA27-AB27</f>
        <v>54541.8</v>
      </c>
      <c r="AE27">
        <f>Y27-AC27</f>
        <v>48870</v>
      </c>
      <c r="AF27">
        <f>AD27*0.01</f>
        <v>545.418</v>
      </c>
      <c r="AG27">
        <f>AD27-Q27-AF27-T27</f>
        <v>17796.382</v>
      </c>
      <c r="AH27">
        <f>AE27-Q27-AF27-T27</f>
        <v>12124.581999999999</v>
      </c>
      <c r="AI27">
        <f>AG27/X27</f>
        <v>0.3073641105354059</v>
      </c>
      <c r="AJ27">
        <f>AH27/Y27</f>
        <v>0.22328880294659298</v>
      </c>
      <c r="AW27">
        <v>4442238349</v>
      </c>
    </row>
    <row r="28">
      <c r="A28">
        <f>HYPERLINK("https://smartstore.naver.com/brickstore2019/products/4444221457",AW:AW)</f>
        <v>4444221457</v>
      </c>
      <c r="B28">
        <v>10275868749</v>
      </c>
      <c r="C28" t="str">
        <v>타이맥스 아이언맨 남자 손목 시계 Timex Ironman Watch</v>
      </c>
      <c r="E28" t="str">
        <v>Timex Ironman Essential 30 Watch</v>
      </c>
      <c r="G28" t="str">
        <f>HYPERLINK("https://www.amazon.com/Timex-Ironman-Essential-Urban-Digital/dp/B071GKY7TF/ref=sr_1_1?keywords=timex+tw5m14500&amp;qid=1555390376&amp;s=gateway&amp;sr=8-1","A")</f>
        <v>A</v>
      </c>
      <c r="J28">
        <v>43</v>
      </c>
      <c r="K28">
        <f>IF(L28&gt;0,L28*0.0625,)</f>
        <v>0.25</v>
      </c>
      <c r="L28">
        <v>4</v>
      </c>
      <c r="M28">
        <f>IF(K28&gt;0,K28*0.453592,IF(L28&gt;0,L28*0.02835,))</f>
        <v>0.113398</v>
      </c>
      <c r="N28">
        <v>0</v>
      </c>
      <c r="O28">
        <v>0</v>
      </c>
      <c r="P28">
        <f>J28+O28+N28</f>
        <v>43</v>
      </c>
      <c r="Q28">
        <f>P28*C$3</f>
        <v>53750</v>
      </c>
      <c r="R28">
        <v>0</v>
      </c>
      <c r="S28">
        <f>ROUND(SUM(Q28:R28), -2)</f>
        <v>53800</v>
      </c>
      <c r="T28">
        <f>ROUNDUP(HLOOKUP(ROUNDUP(K28,0),'배송비 조회'!A$10:U$22,7,0)*C$3,-2)</f>
        <v>9000</v>
      </c>
      <c r="U28">
        <v>0</v>
      </c>
      <c r="V28">
        <f>ROUND(IF(R28&gt;0,0,(S28+T28)*0.3),-2)</f>
        <v>18800</v>
      </c>
      <c r="W28">
        <f>ROUND(IF(R28&gt;0,0,(S28+T28)*0.4),-2)</f>
        <v>25100</v>
      </c>
      <c r="X28">
        <f>IF(R28&gt;0,SUM(S28:T28),SUM(S28:V28))</f>
        <v>81600</v>
      </c>
      <c r="Y28">
        <f>IF(R28&gt;0,SUM(S28:T28),SUM(S28:U28)+W28)</f>
        <v>87900</v>
      </c>
      <c r="Z28">
        <v>0</v>
      </c>
      <c r="AA28">
        <f>X28*0.038</f>
        <v>3100.7999999999997</v>
      </c>
      <c r="AB28">
        <f>X28*0.02</f>
        <v>1632</v>
      </c>
      <c r="AC28">
        <f>Y28*0.1</f>
        <v>8790</v>
      </c>
      <c r="AD28">
        <f>X28-AA28-AB28</f>
        <v>76867.2</v>
      </c>
      <c r="AE28">
        <f>Y28-AC28</f>
        <v>79110</v>
      </c>
      <c r="AF28">
        <f>AD28*0.01</f>
        <v>768.672</v>
      </c>
      <c r="AG28">
        <f>AD28-Q28-AF28-T28</f>
        <v>13348.527999999998</v>
      </c>
      <c r="AH28">
        <f>AE28-Q28-AF28-T28</f>
        <v>15591.328000000001</v>
      </c>
      <c r="AI28">
        <f>AG28/X28</f>
        <v>0.1635849019607843</v>
      </c>
      <c r="AJ28">
        <f>AH28/Y28</f>
        <v>0.17737574516496019</v>
      </c>
      <c r="AW28">
        <v>4444221457</v>
      </c>
    </row>
    <row r="29">
      <c r="A29">
        <f>HYPERLINK("https://smartstore.naver.com/brickstore2019/products/4449274898",AW:AW)</f>
        <v>4449274898</v>
      </c>
      <c r="C29" t="str">
        <v>VicTsing 휴대용 블루투스 방수 스피커(green,blue)</v>
      </c>
      <c r="E29" t="str">
        <v>VicTsing Shower Speaker, Wireless Waterproof Speaker with 5W Drive, Suction Cup, Buit-in Mic, Hands-Free Speakerphone-Blue</v>
      </c>
      <c r="F29" t="str">
        <v>Blue</v>
      </c>
      <c r="G29" t="str">
        <f>HYPERLINK("https://www.amazon.com/VicTsing-Wireless-Waterproof-Hands-Free-Speakerphone/dp/B00NHDPLM4/ref=sr_1_5?crid=3KQWUCBQ3GBLD&amp;keywords=c6%2Bbluetooth%2Bspeaker&amp;qid=1555475924&amp;s=gateway&amp;sprefix=c6%2Bblue%2Caps%2C314&amp;sr=8-5&amp;th=1","A")</f>
        <v>A</v>
      </c>
      <c r="J29">
        <v>23</v>
      </c>
      <c r="K29">
        <f>IF(L29&gt;0,L29*0.0625,)</f>
        <v>0.4</v>
      </c>
      <c r="L29">
        <v>6.4</v>
      </c>
      <c r="M29">
        <f>IF(K29&gt;0,K29*0.453592,IF(L29&gt;0,L29*0.02835,))</f>
        <v>0.1814368</v>
      </c>
      <c r="N29">
        <v>0</v>
      </c>
      <c r="O29">
        <v>0</v>
      </c>
      <c r="P29">
        <f>J29+O29+N29</f>
        <v>23</v>
      </c>
      <c r="Q29">
        <f>P29*C$3</f>
        <v>28750</v>
      </c>
      <c r="R29">
        <v>0</v>
      </c>
      <c r="S29">
        <f>ROUND(SUM(Q29:R29), -2)</f>
        <v>28800</v>
      </c>
      <c r="T29">
        <f>ROUNDUP(HLOOKUP(ROUNDUP(K29,0),'배송비 조회'!A$10:U$22,7,0)*C$3,-2)</f>
        <v>9000</v>
      </c>
      <c r="U29">
        <v>0</v>
      </c>
      <c r="V29">
        <f>ROUND(IF(R29&gt;0,0,(S29+T29)*0.6),-2)</f>
        <v>22700</v>
      </c>
      <c r="W29">
        <f>ROUND(IF(R29&gt;0,0,(S29+T29)*0.5),-2)</f>
        <v>18900</v>
      </c>
      <c r="X29">
        <f>IF(R29&gt;0,SUM(S29:T29),SUM(S29:V29))</f>
        <v>60500</v>
      </c>
      <c r="Y29">
        <f>IF(R29&gt;0,SUM(S29:T29),SUM(S29:U29)+W29)</f>
        <v>56700</v>
      </c>
      <c r="Z29">
        <v>0</v>
      </c>
      <c r="AA29">
        <f>X29*0.038</f>
        <v>2299</v>
      </c>
      <c r="AB29">
        <f>X29*0.02</f>
        <v>1210</v>
      </c>
      <c r="AC29">
        <f>Y29*0.1</f>
        <v>5670</v>
      </c>
      <c r="AD29">
        <f>X29-AA29-AB29</f>
        <v>56991</v>
      </c>
      <c r="AE29">
        <f>Y29-AC29</f>
        <v>51030</v>
      </c>
      <c r="AF29">
        <f>AD29*0.01</f>
        <v>569.91</v>
      </c>
      <c r="AG29">
        <f>AD29-Q29-AF29-T29</f>
        <v>18671.09</v>
      </c>
      <c r="AH29">
        <f>AE29-Q29-AF29-T29</f>
        <v>12710.09</v>
      </c>
      <c r="AI29">
        <f>AG29/X29</f>
        <v>0.30861305785123966</v>
      </c>
      <c r="AJ29">
        <f>AH29/Y29</f>
        <v>0.22416384479717813</v>
      </c>
      <c r="AW29">
        <v>4449274898</v>
      </c>
    </row>
    <row r="30">
      <c r="F30" t="str">
        <v>Light Grey</v>
      </c>
      <c r="G30" t="str">
        <f>HYPERLINK("https://www.amazon.com/VicTsing-Wireless-Waterproof-Hands-Free-Speakerphone/dp/B07Q6R3HVB/ref=sr_1_5?crid=3KQWUCBQ3GBLD&amp;keywords=c6%2Bbluetooth%2Bspeaker&amp;qid=1555475924&amp;s=gateway&amp;sprefix=c6%2Bblue%2Caps%2C314&amp;sr=8-5&amp;th=1","A")</f>
        <v>A</v>
      </c>
      <c r="H30" t="str">
        <v>품절</v>
      </c>
      <c r="J30">
        <v>22</v>
      </c>
      <c r="K30">
        <f>IF(L30&gt;0,L30*0.0625,)</f>
        <v>0.4</v>
      </c>
      <c r="L30">
        <v>6.4</v>
      </c>
      <c r="M30">
        <f>IF(K30&gt;0,K30*0.453592,IF(L30&gt;0,L30*0.02835,))</f>
        <v>0.1814368</v>
      </c>
      <c r="N30">
        <v>0</v>
      </c>
      <c r="O30">
        <v>0</v>
      </c>
      <c r="P30">
        <f>J30+O30+N30</f>
        <v>22</v>
      </c>
      <c r="Q30">
        <f>P30*C$3</f>
        <v>27500</v>
      </c>
      <c r="R30">
        <v>0</v>
      </c>
      <c r="S30">
        <f>ROUND(SUM(Q30:R30), -2)</f>
        <v>27500</v>
      </c>
      <c r="T30">
        <f>ROUNDUP(HLOOKUP(ROUNDUP(K30,0),'배송비 조회'!A$10:U$22,7,0)*C$3,-2)</f>
        <v>9000</v>
      </c>
      <c r="U30">
        <v>0</v>
      </c>
      <c r="V30">
        <f>ROUND(IF(R30&gt;0,0,(S30+T30)*0.6),-2)</f>
        <v>21900</v>
      </c>
      <c r="W30">
        <f>ROUND(IF(R30&gt;0,0,(S30+T30)*0.5),-2)</f>
        <v>18300</v>
      </c>
      <c r="X30">
        <f>IF(R30&gt;0,SUM(S30:T30),SUM(S30:V30))</f>
        <v>58400</v>
      </c>
      <c r="Y30">
        <f>IF(R30&gt;0,SUM(S30:T30),SUM(S30:U30)+W30)</f>
        <v>54800</v>
      </c>
      <c r="Z30">
        <v>0</v>
      </c>
      <c r="AA30">
        <f>X30*0.038</f>
        <v>2219.2</v>
      </c>
      <c r="AB30">
        <f>X30*0.02</f>
        <v>1168</v>
      </c>
      <c r="AC30">
        <f>Y30*0.1</f>
        <v>5480</v>
      </c>
      <c r="AD30">
        <f>X30-AA30-AB30</f>
        <v>55012.8</v>
      </c>
      <c r="AE30">
        <f>Y30-AC30</f>
        <v>49320</v>
      </c>
      <c r="AF30">
        <f>AD30*0.01</f>
        <v>550.128</v>
      </c>
      <c r="AG30">
        <f>AD30-Q30-AF30-T30</f>
        <v>17962.672000000002</v>
      </c>
      <c r="AH30">
        <f>AE30-Q30-AF30-T30</f>
        <v>12269.872</v>
      </c>
      <c r="AI30">
        <f>AG30/X30</f>
        <v>0.30758</v>
      </c>
      <c r="AJ30">
        <f>AH30/Y30</f>
        <v>0.22390277372262773</v>
      </c>
    </row>
    <row r="31">
      <c r="F31" t="str">
        <v>Pure Black</v>
      </c>
      <c r="G31" t="str">
        <f>HYPERLINK("https://www.amazon.com/VicTsing-Wireless-Waterproof-Hands-Free-Speakerphone/dp/B07Q6R3HVB/ref=sr_1_5?crid=3KQWUCBQ3GBLD&amp;keywords=c6%2Bbluetooth%2Bspeaker&amp;qid=1555475924&amp;s=gateway&amp;sprefix=c6%2Bblue%2Caps%2C314&amp;sr=8-5&amp;th=1","A")</f>
        <v>A</v>
      </c>
      <c r="H31" t="str">
        <v>품절</v>
      </c>
      <c r="J31">
        <v>23</v>
      </c>
      <c r="K31">
        <f>IF(L31&gt;0,L31*0.0625,)</f>
        <v>0.4</v>
      </c>
      <c r="L31">
        <v>6.4</v>
      </c>
      <c r="M31">
        <f>IF(K31&gt;0,K31*0.453592,IF(L31&gt;0,L31*0.02835,))</f>
        <v>0.1814368</v>
      </c>
      <c r="N31">
        <v>0</v>
      </c>
      <c r="O31">
        <v>0</v>
      </c>
      <c r="P31">
        <f>J31+O31+N31</f>
        <v>23</v>
      </c>
      <c r="Q31">
        <f>P31*C$3</f>
        <v>28750</v>
      </c>
      <c r="R31">
        <v>0</v>
      </c>
      <c r="S31">
        <f>ROUND(SUM(Q31:R31), -2)</f>
        <v>28800</v>
      </c>
      <c r="T31">
        <f>ROUNDUP(HLOOKUP(ROUNDUP(K31,0),'배송비 조회'!A$10:U$22,7,0)*C$3,-2)</f>
        <v>9000</v>
      </c>
      <c r="U31">
        <v>0</v>
      </c>
      <c r="V31">
        <f>ROUND(IF(R31&gt;0,0,(S31+T31)*0.6),-2)</f>
        <v>22700</v>
      </c>
      <c r="W31">
        <f>ROUND(IF(R31&gt;0,0,(S31+T31)*0.5),-2)</f>
        <v>18900</v>
      </c>
      <c r="X31">
        <f>IF(R31&gt;0,SUM(S31:T31),SUM(S31:V31))</f>
        <v>60500</v>
      </c>
      <c r="Y31">
        <f>IF(R31&gt;0,SUM(S31:T31),SUM(S31:U31)+W31)</f>
        <v>56700</v>
      </c>
      <c r="Z31">
        <v>0</v>
      </c>
      <c r="AA31">
        <f>X31*0.038</f>
        <v>2299</v>
      </c>
      <c r="AB31">
        <f>X31*0.02</f>
        <v>1210</v>
      </c>
      <c r="AC31">
        <f>Y31*0.1</f>
        <v>5670</v>
      </c>
      <c r="AD31">
        <f>X31-AA31-AB31</f>
        <v>56991</v>
      </c>
      <c r="AE31">
        <f>Y31-AC31</f>
        <v>51030</v>
      </c>
      <c r="AF31">
        <f>AD31*0.01</f>
        <v>569.91</v>
      </c>
      <c r="AG31">
        <f>AD31-Q31-AF31-T31</f>
        <v>18671.09</v>
      </c>
      <c r="AH31">
        <f>AE31-Q31-AF31-T31</f>
        <v>12710.09</v>
      </c>
      <c r="AI31">
        <f>AG31/X31</f>
        <v>0.30861305785123966</v>
      </c>
      <c r="AJ31">
        <f>AH31/Y31</f>
        <v>0.22416384479717813</v>
      </c>
    </row>
    <row r="32">
      <c r="F32" t="str">
        <v>Orange</v>
      </c>
      <c r="G32" t="str">
        <f>HYPERLINK("https://www.amazon.com/dp/B076LSD2H3/ref=twister_B07S25XCGD?_encoding=UTF8&amp;psc=1","A")</f>
        <v>A</v>
      </c>
      <c r="H32" t="str">
        <v>품절</v>
      </c>
      <c r="J32">
        <v>24</v>
      </c>
      <c r="K32">
        <f>IF(L32&gt;0,L32*0.0625,)</f>
        <v>0.4</v>
      </c>
      <c r="L32">
        <v>6.4</v>
      </c>
      <c r="M32">
        <f>IF(K32&gt;0,K32*0.453592,IF(L32&gt;0,L32*0.02835,))</f>
        <v>0.1814368</v>
      </c>
      <c r="N32">
        <v>0</v>
      </c>
      <c r="O32">
        <v>0</v>
      </c>
      <c r="P32">
        <f>J32+O32+N32</f>
        <v>24</v>
      </c>
      <c r="Q32">
        <f>P32*C$3</f>
        <v>30000</v>
      </c>
      <c r="R32">
        <v>0</v>
      </c>
      <c r="S32">
        <f>ROUND(SUM(Q32:R32), -2)</f>
        <v>30000</v>
      </c>
      <c r="T32">
        <f>ROUNDUP(HLOOKUP(ROUNDUP(K32,0),'배송비 조회'!A$10:U$22,7,0)*C$3,-2)</f>
        <v>9000</v>
      </c>
      <c r="U32">
        <v>0</v>
      </c>
      <c r="V32">
        <f>ROUND(IF(R32&gt;0,0,(S32+T32)*0.6),-2)</f>
        <v>23400</v>
      </c>
      <c r="W32">
        <f>ROUND(IF(R32&gt;0,0,(S32+T32)*0.5),-2)</f>
        <v>19500</v>
      </c>
      <c r="X32">
        <f>IF(R32&gt;0,SUM(S32:T32),SUM(S32:V32))</f>
        <v>62400</v>
      </c>
      <c r="Y32">
        <f>IF(R32&gt;0,SUM(S32:T32),SUM(S32:U32)+W32)</f>
        <v>58500</v>
      </c>
      <c r="Z32">
        <v>0</v>
      </c>
      <c r="AA32">
        <f>X32*0.038</f>
        <v>2371.2</v>
      </c>
      <c r="AB32">
        <f>X32*0.02</f>
        <v>1248</v>
      </c>
      <c r="AC32">
        <f>Y32*0.1</f>
        <v>5850</v>
      </c>
      <c r="AD32">
        <f>X32-AA32-AB32</f>
        <v>58780.8</v>
      </c>
      <c r="AE32">
        <f>Y32-AC32</f>
        <v>52650</v>
      </c>
      <c r="AF32">
        <f>AD32*0.01</f>
        <v>587.808</v>
      </c>
      <c r="AG32">
        <f>AD32-Q32-AF32-T32</f>
        <v>19192.992000000002</v>
      </c>
      <c r="AH32">
        <f>AE32-Q32-AF32-T32</f>
        <v>13062.192</v>
      </c>
      <c r="AI32">
        <f>AG32/X32</f>
        <v>0.30758</v>
      </c>
      <c r="AJ32">
        <f>AH32/Y32</f>
        <v>0.2232853333333333</v>
      </c>
    </row>
    <row r="33">
      <c r="F33" t="str">
        <v>Red</v>
      </c>
      <c r="G33" t="str">
        <f>HYPERLINK("https://www.amazon.com/dp/B07RS2JHLT/ref=twister_B07S25XCGD?_encoding=UTF8&amp;th=1","A")</f>
        <v>A</v>
      </c>
      <c r="J33">
        <v>25</v>
      </c>
      <c r="K33">
        <f>IF(L33&gt;0,L33*0.0625,)</f>
        <v>0.4</v>
      </c>
      <c r="L33">
        <v>6.4</v>
      </c>
      <c r="M33">
        <f>IF(K33&gt;0,K33*0.453592,IF(L33&gt;0,L33*0.02835,))</f>
        <v>0.1814368</v>
      </c>
      <c r="N33">
        <v>0</v>
      </c>
      <c r="O33">
        <v>0</v>
      </c>
      <c r="P33">
        <f>J33+O33+N33</f>
        <v>25</v>
      </c>
      <c r="Q33">
        <f>P33*C$3</f>
        <v>31250</v>
      </c>
      <c r="R33">
        <v>0</v>
      </c>
      <c r="S33">
        <f>ROUND(SUM(Q33:R33), -2)</f>
        <v>31300</v>
      </c>
      <c r="T33">
        <f>ROUNDUP(HLOOKUP(ROUNDUP(K33,0),'배송비 조회'!A$10:U$22,7,0)*C$3,-2)</f>
        <v>9000</v>
      </c>
      <c r="U33">
        <v>0</v>
      </c>
      <c r="V33">
        <f>ROUND(IF(R33&gt;0,0,(S33+T33)*0.6),-2)</f>
        <v>24200</v>
      </c>
      <c r="W33">
        <f>ROUND(IF(R33&gt;0,0,(S33+T33)*0.5),-2)</f>
        <v>20200</v>
      </c>
      <c r="X33">
        <f>IF(R33&gt;0,SUM(S33:T33),SUM(S33:V33))</f>
        <v>64500</v>
      </c>
      <c r="Y33">
        <f>IF(R33&gt;0,SUM(S33:T33),SUM(S33:U33)+W33)</f>
        <v>60500</v>
      </c>
      <c r="Z33">
        <v>0</v>
      </c>
      <c r="AA33">
        <f>X33*0.038</f>
        <v>2451</v>
      </c>
      <c r="AB33">
        <f>X33*0.02</f>
        <v>1290</v>
      </c>
      <c r="AC33">
        <f>Y33*0.1</f>
        <v>6050</v>
      </c>
      <c r="AD33">
        <f>X33-AA33-AB33</f>
        <v>60759</v>
      </c>
      <c r="AE33">
        <f>Y33-AC33</f>
        <v>54450</v>
      </c>
      <c r="AF33">
        <f>AD33*0.01</f>
        <v>607.59</v>
      </c>
      <c r="AG33">
        <f>AD33-Q33-AF33-T33</f>
        <v>19901.41</v>
      </c>
      <c r="AH33">
        <f>AE33-Q33-AF33-T33</f>
        <v>13592.41</v>
      </c>
      <c r="AI33">
        <f>AG33/X33</f>
        <v>0.30854899224806204</v>
      </c>
      <c r="AJ33">
        <f>AH33/Y33</f>
        <v>0.2246679338842975</v>
      </c>
    </row>
    <row r="34">
      <c r="A34">
        <f>HYPERLINK("https://smartstore.naver.com/brickstore2019/products/4452849091",AW:AW)</f>
        <v>4452849091</v>
      </c>
      <c r="C34" t="str">
        <v>디젤 도미네이션 블랙 손목 시계 Domination Black Watch DZ1437</v>
      </c>
      <c r="E34" t="str">
        <v>Color Domination Black Dial Black Silicone Unisex Watch</v>
      </c>
      <c r="G34" t="str">
        <f>HYPERLINK("https://www.jomashop.com/diesel-unisex-watch-dz1437.html","J")</f>
        <v>J</v>
      </c>
      <c r="J34">
        <v>57.5</v>
      </c>
      <c r="K34">
        <v>2</v>
      </c>
      <c r="L34">
        <f>IF(K34&gt;0,K34*16,)</f>
        <v>32</v>
      </c>
      <c r="M34">
        <f>IF(K34&gt;0,K34*0.453592,IF(L34&gt;0,L34*0.02835,))</f>
        <v>0.907184</v>
      </c>
      <c r="N34">
        <v>0</v>
      </c>
      <c r="O34">
        <v>0</v>
      </c>
      <c r="P34">
        <f>J34+O34+N34</f>
        <v>57.5</v>
      </c>
      <c r="Q34">
        <f>P34*C$3</f>
        <v>71875</v>
      </c>
      <c r="R34">
        <v>0</v>
      </c>
      <c r="S34">
        <f>ROUND(SUM(Q34:R34), -2)</f>
        <v>71900</v>
      </c>
      <c r="T34">
        <f>ROUNDUP(HLOOKUP(ROUNDUP(K34,0),'배송비 조회'!A$10:U$22,7,0)*C$3,-2)</f>
        <v>11200</v>
      </c>
      <c r="U34">
        <v>0</v>
      </c>
      <c r="V34">
        <f>ROUND(IF(R34&gt;0,0,(S34+T34)*0.3),-2)</f>
        <v>24900</v>
      </c>
      <c r="W34">
        <f>ROUND(IF(R34&gt;0,0,(S34+T34)*0.5),-2)</f>
        <v>41600</v>
      </c>
      <c r="X34">
        <f>IF(R34&gt;0,SUM(S34:T34),SUM(S34:V34))</f>
        <v>108000</v>
      </c>
      <c r="Y34">
        <f>IF(R34&gt;0,SUM(S34:T34),SUM(S34:U34)+W34)</f>
        <v>124700</v>
      </c>
      <c r="Z34">
        <v>0</v>
      </c>
      <c r="AA34">
        <f>X34*0.038</f>
        <v>4104</v>
      </c>
      <c r="AB34">
        <f>X34*0.02</f>
        <v>2160</v>
      </c>
      <c r="AC34">
        <f>Y34*0.1</f>
        <v>12470</v>
      </c>
      <c r="AD34">
        <f>X34-AA34-AB34</f>
        <v>101736</v>
      </c>
      <c r="AE34">
        <f>Y34-AC34</f>
        <v>112230</v>
      </c>
      <c r="AF34">
        <f>AD34*0.01</f>
        <v>1017.36</v>
      </c>
      <c r="AG34">
        <f>AD34-Q34-AF34-T34</f>
        <v>17643.64</v>
      </c>
      <c r="AH34">
        <f>AE34-Q34-AF34-T34</f>
        <v>28137.64</v>
      </c>
      <c r="AI34">
        <f>AG34/X34</f>
        <v>0.16336703703703703</v>
      </c>
      <c r="AJ34">
        <f>AH34/Y34</f>
        <v>0.22564266238973535</v>
      </c>
      <c r="AW34">
        <v>4452849091</v>
      </c>
    </row>
    <row r="35">
      <c r="A35">
        <f>HYPERLINK("https://smartstore.naver.com/brickstore2019/products/4457607458",AW:AW)</f>
        <v>4457607458</v>
      </c>
      <c r="C35" t="str">
        <v>LENTION 알루미늄 노트북 거치대 Aluminum Laptop Stand</v>
      </c>
      <c r="E35" t="str">
        <v>LENTION Aluminum Laptop Stand Compatible with MacBook Air/Pro 13 15, iPad Pro 12.9, Dell, HP, Lenovo, Acer, Surface, Chromebook and 11 to 15-inch Laptop/Notebook (Gray)</v>
      </c>
      <c r="G35" t="str">
        <f>HYPERLINK("https://www.amazon.com/LENTION-Aluminum-Compatible-Chromebook-Notebook/dp/B07G3RPPJ4?ref_=bl_dp_s_web_8939649011&amp;th=1","A")</f>
        <v>A</v>
      </c>
      <c r="J35">
        <v>25.98</v>
      </c>
      <c r="K35">
        <v>1.4</v>
      </c>
      <c r="L35">
        <f>IF(K35&gt;0,K35*16,)</f>
        <v>22.4</v>
      </c>
      <c r="M35">
        <f>IF(K35&gt;0,K35*0.453592,IF(L35&gt;0,L35*0.02835,))</f>
        <v>0.6350288</v>
      </c>
      <c r="N35">
        <v>0</v>
      </c>
      <c r="O35">
        <v>0</v>
      </c>
      <c r="P35">
        <f>J35+O35+N35</f>
        <v>25.98</v>
      </c>
      <c r="Q35">
        <f>P35*C$3</f>
        <v>32475</v>
      </c>
      <c r="R35">
        <v>0</v>
      </c>
      <c r="S35">
        <f>ROUND(SUM(Q35:R35), -2)</f>
        <v>32500</v>
      </c>
      <c r="T35">
        <f>ROUNDUP(HLOOKUP(ROUNDUP(K35,0),'배송비 조회'!A$10:U$22,7,0)*C$3,-2)</f>
        <v>11200</v>
      </c>
      <c r="U35">
        <v>0</v>
      </c>
      <c r="V35">
        <f>ROUND(IF(R35&gt;0,0,(S35+T35)*0.4),-2)</f>
        <v>17500</v>
      </c>
      <c r="W35">
        <f>ROUND(IF(R35&gt;0,0,(S35+T35)*0.5),-2)</f>
        <v>21900</v>
      </c>
      <c r="X35">
        <f>IF(R35&gt;0,SUM(S35:T35),SUM(S35:V35))</f>
        <v>61200</v>
      </c>
      <c r="Y35">
        <f>IF(R35&gt;0,SUM(S35:T35),SUM(S35:U35)+W35)</f>
        <v>65600</v>
      </c>
      <c r="Z35">
        <v>0</v>
      </c>
      <c r="AA35">
        <f>X35*0.038</f>
        <v>2325.6</v>
      </c>
      <c r="AB35">
        <f>X35*0.02</f>
        <v>1224</v>
      </c>
      <c r="AC35">
        <f>Y35*0.1</f>
        <v>6560</v>
      </c>
      <c r="AD35">
        <f>X35-AA35-AB35</f>
        <v>57650.4</v>
      </c>
      <c r="AE35">
        <f>Y35-AC35</f>
        <v>59040</v>
      </c>
      <c r="AF35">
        <f>AD35*0.01</f>
        <v>576.504</v>
      </c>
      <c r="AG35">
        <f>AD35-Q35-AF35-T35</f>
        <v>13398.896</v>
      </c>
      <c r="AH35">
        <f>AE35-Q35-AF35-T35</f>
        <v>14788.496</v>
      </c>
      <c r="AI35">
        <f>AG35/X35</f>
        <v>0.2189362091503268</v>
      </c>
      <c r="AJ35">
        <f>AH35/Y35</f>
        <v>0.22543439024390244</v>
      </c>
      <c r="AW35">
        <v>4457607458</v>
      </c>
    </row>
    <row r="36">
      <c r="A36">
        <f>HYPERLINK("https://smartstore.naver.com/brickstore2019/products/4458679250",AW:AW)</f>
        <v>4458679250</v>
      </c>
      <c r="C36" t="str">
        <v>사테치 알루미늄 휴대용 노트북 거치대 Satechi Laptop Stand</v>
      </c>
      <c r="E36" t="str">
        <v>Satechi Lightweight Aluminum Portable Laptop Stand - Compatible with MacBook, MacBook Pro, Microsoft Surface Pro and more</v>
      </c>
      <c r="F36" t="str">
        <v>다양한색상(가격동일)</v>
      </c>
      <c r="G36" t="str">
        <f>HYPERLINK("https://www.amazon.com/Satechi-Lightweight-Aluminum-Portable-Laptop/dp/B01I407G40?th=1","A")</f>
        <v>A</v>
      </c>
      <c r="J36">
        <v>27.99</v>
      </c>
      <c r="K36">
        <v>1.4</v>
      </c>
      <c r="L36">
        <f>IF(K36&gt;0,K36*16,)</f>
        <v>22.4</v>
      </c>
      <c r="M36">
        <f>IF(K36&gt;0,K36*0.453592,IF(L36&gt;0,L36*0.02835,))</f>
        <v>0.6350288</v>
      </c>
      <c r="N36">
        <v>0</v>
      </c>
      <c r="O36">
        <v>0</v>
      </c>
      <c r="P36">
        <f>J36+O36+N36</f>
        <v>27.99</v>
      </c>
      <c r="Q36">
        <f>P36*C$3</f>
        <v>34987.5</v>
      </c>
      <c r="R36">
        <v>0</v>
      </c>
      <c r="S36">
        <f>ROUND(SUM(Q36:R36), -2)</f>
        <v>35000</v>
      </c>
      <c r="T36">
        <f>ROUNDUP(HLOOKUP(ROUNDUP(K36,0),'배송비 조회'!A$10:U$22,7,0)*C$3,-2)</f>
        <v>11200</v>
      </c>
      <c r="U36">
        <v>0</v>
      </c>
      <c r="V36">
        <f>ROUND(IF(R36&gt;0,0,(S36+T36)*0.4),-2)</f>
        <v>18500</v>
      </c>
      <c r="W36">
        <f>ROUND(IF(R36&gt;0,0,(S36+T36)*0.5),-2)</f>
        <v>23100</v>
      </c>
      <c r="X36">
        <f>IF(R36&gt;0,SUM(S36:T36),SUM(S36:V36))</f>
        <v>64700</v>
      </c>
      <c r="Y36">
        <f>IF(R36&gt;0,SUM(S36:T36),SUM(S36:U36)+W36)</f>
        <v>69300</v>
      </c>
      <c r="Z36">
        <v>0</v>
      </c>
      <c r="AA36">
        <f>X36*0.038</f>
        <v>2458.6</v>
      </c>
      <c r="AB36">
        <f>X36*0.02</f>
        <v>1294</v>
      </c>
      <c r="AC36">
        <f>Y36*0.1</f>
        <v>6930</v>
      </c>
      <c r="AD36">
        <f>X36-AA36-AB36</f>
        <v>60947.4</v>
      </c>
      <c r="AE36">
        <f>Y36-AC36</f>
        <v>62370</v>
      </c>
      <c r="AF36">
        <f>AD36*0.01</f>
        <v>609.474</v>
      </c>
      <c r="AG36">
        <f>AD36-Q36-AF36-T36</f>
        <v>14150.426000000003</v>
      </c>
      <c r="AH36">
        <f>AE36-Q36-AF36-T36</f>
        <v>15573.026000000002</v>
      </c>
      <c r="AI36">
        <f>AG36/X36</f>
        <v>0.21870828438949</v>
      </c>
      <c r="AJ36">
        <f>AH36/Y36</f>
        <v>0.22471898989898992</v>
      </c>
      <c r="AW36">
        <v>4458679250</v>
      </c>
    </row>
    <row r="37">
      <c r="A37">
        <f>HYPERLINK("https://smartstore.naver.com/brickstore2019/products/4458744433",AW:AW)</f>
        <v>4458744433</v>
      </c>
      <c r="C37" t="str">
        <v>iClever 휴대용 접이식 블루투스 키보드 - ios, 윈도우, 안드로이드 무선연결</v>
      </c>
      <c r="E37" t="str">
        <v>iClever Wireless Folding Keyboard with 3-Color Backlight, Tri-Folding Bluetooth Keyboard with Aluminum Alloy Base for iOS Windows Android Tablets, Smartphones, Laptops, PC and More</v>
      </c>
      <c r="G37" t="str">
        <f>HYPERLINK("https://www.amazon.com/iClever-Backlight-Tri-Folding-Bluetooth-Smartphones/dp/B018K5EJCQ/ref=sr_1_1_sspa?crid=16SUBMAQRCEHD&amp;keywords=bluetooth+keyboard&amp;qid=1555811660&amp;s=home-garden&amp;sprefix=bluetooth+k%2Cgarden%2C307&amp;sr=1-1-spons&amp;psc=1","A")</f>
        <v>A</v>
      </c>
      <c r="J37">
        <v>49</v>
      </c>
      <c r="K37">
        <v>1.05</v>
      </c>
      <c r="L37">
        <f>IF(K37&gt;0,K37*16,)</f>
        <v>16.8</v>
      </c>
      <c r="M37">
        <f>IF(K37&gt;0,K37*0.453592,IF(L37&gt;0,L37*0.02835,))</f>
        <v>0.4762716</v>
      </c>
      <c r="N37">
        <v>0</v>
      </c>
      <c r="O37">
        <v>0</v>
      </c>
      <c r="P37">
        <f>J37+O37+N37</f>
        <v>49</v>
      </c>
      <c r="Q37">
        <f>P37*C$3</f>
        <v>61250</v>
      </c>
      <c r="R37">
        <v>0</v>
      </c>
      <c r="S37">
        <f>ROUND(SUM(Q37:R37), -2)</f>
        <v>61300</v>
      </c>
      <c r="T37">
        <f>ROUNDUP(HLOOKUP(ROUNDUP(K37,0),'배송비 조회'!A$10:U$22,7,0)*C$3,-2)</f>
        <v>11200</v>
      </c>
      <c r="U37">
        <v>0</v>
      </c>
      <c r="V37">
        <f>ROUND(IF(R37&gt;0,0,(S37+T37)*0.3),-2)</f>
        <v>21800</v>
      </c>
      <c r="W37">
        <f>ROUND(IF(R37&gt;0,0,(S37+T37)*0.5),-2)</f>
        <v>36300</v>
      </c>
      <c r="X37">
        <f>IF(R37&gt;0,SUM(S37:T37),SUM(S37:V37))</f>
        <v>94300</v>
      </c>
      <c r="Y37">
        <f>IF(R37&gt;0,SUM(S37:T37),SUM(S37:U37)+W37)</f>
        <v>108800</v>
      </c>
      <c r="Z37">
        <v>0</v>
      </c>
      <c r="AA37">
        <f>X37*0.038</f>
        <v>3583.4</v>
      </c>
      <c r="AB37">
        <f>X37*0.02</f>
        <v>1886</v>
      </c>
      <c r="AC37">
        <f>Y37*0.1</f>
        <v>10880</v>
      </c>
      <c r="AD37">
        <f>X37-AA37-AB37</f>
        <v>88830.6</v>
      </c>
      <c r="AE37">
        <f>Y37-AC37</f>
        <v>97920</v>
      </c>
      <c r="AF37">
        <f>AD37*0.01</f>
        <v>888.306</v>
      </c>
      <c r="AG37">
        <f>AD37-Q37-AF37-T37</f>
        <v>15492.294000000005</v>
      </c>
      <c r="AH37">
        <f>AE37-Q37-AF37-T37</f>
        <v>24581.694000000003</v>
      </c>
      <c r="AI37">
        <f>AG37/X37</f>
        <v>0.1642873170731708</v>
      </c>
      <c r="AJ37">
        <f>AH37/Y37</f>
        <v>0.22593468750000004</v>
      </c>
      <c r="AW37">
        <v>4458744433</v>
      </c>
    </row>
    <row r="38">
      <c r="A38">
        <f>HYPERLINK("https://smartstore.naver.com/brickstore2019/products/4459773862",AW:AW)</f>
        <v>4459773862</v>
      </c>
      <c r="C38" t="str">
        <v>높이 조절 노트북, 태블릿 거치대 스탠드 Executive Office Solutions</v>
      </c>
      <c r="E38" t="str">
        <v>Executive Office Solutions Portable Adjustable Aluminum Laptop Desk/Stand/Table Vented w/CPU Fans Mouse Pad Side Mount-Notebook-MacBook-Light Weight Ergonomic TV Bed Lap Tray Stand Up/Sitting-Black</v>
      </c>
      <c r="G38" t="str">
        <f>HYPERLINK("https://www.amazon.com/Executive-Office-Solutions-Mount-Notebook-MacBook-Light-Sitting-Black/dp/B00RQ3JQMM/ref=pd_ybh_a_3?_encoding=UTF8&amp;psc=1&amp;refRID=AG74AWAPBVQ5VZA1RJJF","A")</f>
        <v>A</v>
      </c>
      <c r="J38">
        <v>39.99</v>
      </c>
      <c r="K38">
        <v>3.62</v>
      </c>
      <c r="L38">
        <f>IF(K38&gt;0,K38*16,)</f>
        <v>57.92</v>
      </c>
      <c r="M38">
        <f>IF(K38&gt;0,K38*0.453592,IF(L38&gt;0,L38*0.02835,))</f>
        <v>1.64200304</v>
      </c>
      <c r="N38">
        <v>0</v>
      </c>
      <c r="O38">
        <v>0</v>
      </c>
      <c r="P38">
        <f>J38+O38+N38</f>
        <v>39.99</v>
      </c>
      <c r="Q38">
        <f>P38*C$3</f>
        <v>49987.5</v>
      </c>
      <c r="R38">
        <v>0</v>
      </c>
      <c r="S38">
        <f>ROUND(SUM(Q38:R38), -2)</f>
        <v>50000</v>
      </c>
      <c r="T38">
        <f>ROUNDUP(HLOOKUP(ROUNDUP(K38,0),'배송비 조회'!A$10:U$22,7,0)*C$3,-2)</f>
        <v>15600</v>
      </c>
      <c r="U38">
        <v>0</v>
      </c>
      <c r="V38">
        <f>ROUND(IF(R38&gt;0,0,(S38+T38)*0.3),-2)</f>
        <v>19700</v>
      </c>
      <c r="W38">
        <f>ROUND(IF(R38&gt;0,0,(S38+T38)*0.5),-2)</f>
        <v>32800</v>
      </c>
      <c r="X38">
        <f>IF(R38&gt;0,SUM(S38:T38),SUM(S38:V38))</f>
        <v>85300</v>
      </c>
      <c r="Y38">
        <f>IF(R38&gt;0,SUM(S38:T38),SUM(S38:U38)+W38)</f>
        <v>98400</v>
      </c>
      <c r="Z38">
        <v>0</v>
      </c>
      <c r="AA38">
        <f>X38*0.038</f>
        <v>3241.4</v>
      </c>
      <c r="AB38">
        <f>X38*0.02</f>
        <v>1706</v>
      </c>
      <c r="AC38">
        <f>Y38*0.1</f>
        <v>9840</v>
      </c>
      <c r="AD38">
        <f>X38-AA38-AB38</f>
        <v>80352.6</v>
      </c>
      <c r="AE38">
        <f>Y38-AC38</f>
        <v>88560</v>
      </c>
      <c r="AF38">
        <f>AD38*0.01</f>
        <v>803.5260000000001</v>
      </c>
      <c r="AG38">
        <f>AD38-Q38-AF38-T38</f>
        <v>13961.574000000004</v>
      </c>
      <c r="AH38">
        <f>AE38-Q38-AF38-T38</f>
        <v>22168.974000000002</v>
      </c>
      <c r="AI38">
        <f>AG38/X38</f>
        <v>0.1636761313012896</v>
      </c>
      <c r="AJ38">
        <f>AH38/Y38</f>
        <v>0.22529445121951222</v>
      </c>
      <c r="AW38">
        <v>4459773862</v>
      </c>
    </row>
    <row r="39">
      <c r="A39">
        <f>HYPERLINK("https://smartstore.naver.com/brickstore2019/products/4464038279",AW:AW)</f>
        <v>4464038279</v>
      </c>
      <c r="C39" t="str">
        <v>아이패드프로&amp;펜 스탠드 Elevation Lab DraftTable Kit for iPad Pro</v>
      </c>
      <c r="E39" t="str">
        <v>Elevation Lab DraftTable Kit for iPad Pro - Adjustable Stand for iPad Pro &amp; Pencil, Designed for Professionals and Designers. Includes PencilStand &amp; ArmRest</v>
      </c>
      <c r="G39" t="str">
        <f>HYPERLINK("https://www.amazon.com/Elevation-Lab-DraftTable-iPad-Professionals/dp/B06XGRK4Y9/ref=sr_1_fkmrnull_1?keywords=Elevation+Lab+DraftTable+Kit&amp;qid=1556008406&amp;s=gateway&amp;sr=8-1-fkmrnull","A")</f>
        <v>A</v>
      </c>
      <c r="J39">
        <v>70</v>
      </c>
      <c r="K39">
        <v>4.41</v>
      </c>
      <c r="L39">
        <f>IF(K39&gt;0,K39*16,)</f>
        <v>70.56</v>
      </c>
      <c r="M39">
        <f>IF(K39&gt;0,K39*0.453592,IF(L39&gt;0,L39*0.02835,))</f>
        <v>2.00034072</v>
      </c>
      <c r="N39">
        <v>0</v>
      </c>
      <c r="O39">
        <v>0</v>
      </c>
      <c r="P39">
        <f>J39+O39+N39</f>
        <v>70</v>
      </c>
      <c r="Q39">
        <f>P39*C$3</f>
        <v>87500</v>
      </c>
      <c r="R39">
        <v>0</v>
      </c>
      <c r="S39">
        <f>ROUND(SUM(Q39:R39), -2)</f>
        <v>87500</v>
      </c>
      <c r="T39">
        <f>ROUNDUP(HLOOKUP(ROUNDUP(K39,0),'배송비 조회'!A$10:U$22,7,0)*C$3,-2)</f>
        <v>17800</v>
      </c>
      <c r="U39">
        <v>0</v>
      </c>
      <c r="V39">
        <f>ROUND(IF(R39&gt;0,0,(S39+T39)*0.3),-2)</f>
        <v>31600</v>
      </c>
      <c r="W39">
        <f>ROUND(IF(R39&gt;0,0,(S39+T39)*0.5),-2)</f>
        <v>52700</v>
      </c>
      <c r="X39">
        <f>IF(R39&gt;0,SUM(S39:T39),SUM(S39:V39))</f>
        <v>136900</v>
      </c>
      <c r="Y39">
        <f>IF(R39&gt;0,SUM(S39:T39),SUM(S39:U39)+W39)</f>
        <v>158000</v>
      </c>
      <c r="Z39">
        <v>0</v>
      </c>
      <c r="AA39">
        <f>X39*0.038</f>
        <v>5202.2</v>
      </c>
      <c r="AB39">
        <f>X39*0.02</f>
        <v>2738</v>
      </c>
      <c r="AC39">
        <f>Y39*0.1</f>
        <v>15800</v>
      </c>
      <c r="AD39">
        <f>X39-AA39-AB39</f>
        <v>128959.79999999999</v>
      </c>
      <c r="AE39">
        <f>Y39-AC39</f>
        <v>142200</v>
      </c>
      <c r="AF39">
        <f>AD39*0.01</f>
        <v>1289.598</v>
      </c>
      <c r="AG39">
        <f>AD39-Q39-AF39-T39</f>
        <v>22370.20199999999</v>
      </c>
      <c r="AH39">
        <f>AE39-Q39-AF39-T39</f>
        <v>35610.402</v>
      </c>
      <c r="AI39">
        <f>AG39/X39</f>
        <v>0.16340542001460914</v>
      </c>
      <c r="AJ39">
        <f>AH39/Y39</f>
        <v>0.22538229113924052</v>
      </c>
      <c r="AW39">
        <v>4464038279</v>
      </c>
    </row>
    <row r="40">
      <c r="A40">
        <f>HYPERLINK("https://smartstore.naver.com/brickstore2019/products/4468777539",AW:AW)</f>
        <v>4468777539</v>
      </c>
      <c r="C40" t="str">
        <v>콜맨 쿨러백팩 아이스백팩 소프트백팩 Coleman C003</v>
      </c>
      <c r="E40" t="str">
        <v>Coleman C003 Soft Backpack Cooler</v>
      </c>
      <c r="G40" t="str">
        <f>HYPERLINK("https://www.amazon.com/Coleman-C003-Soft-Backpack-Cooler/dp/B00J0S019S/ref=sr_1_3?keywords=Coleman+C003+Soft+Backpack+Cooler&amp;qid=1556281546&amp;s=gateway&amp;sr=8-3","A")</f>
        <v>A</v>
      </c>
      <c r="J40">
        <v>30</v>
      </c>
      <c r="K40">
        <v>1.4</v>
      </c>
      <c r="L40">
        <f>IF(K40&gt;0,K40*16,)</f>
        <v>22.4</v>
      </c>
      <c r="M40">
        <f>IF(K40&gt;0,K40*0.453592,IF(L40&gt;0,L40*0.02835,))</f>
        <v>0.6350288</v>
      </c>
      <c r="N40">
        <v>0</v>
      </c>
      <c r="O40">
        <v>0</v>
      </c>
      <c r="P40">
        <f>J40+O40+N40</f>
        <v>30</v>
      </c>
      <c r="Q40">
        <f>P40*C$3</f>
        <v>37500</v>
      </c>
      <c r="R40">
        <v>0</v>
      </c>
      <c r="S40">
        <f>ROUND(SUM(Q40:R40), -2)</f>
        <v>37500</v>
      </c>
      <c r="T40">
        <f>ROUNDUP(HLOOKUP(ROUNDUP(K40,0),'배송비 조회'!A$10:U$22,7,0)*C$3,-2)</f>
        <v>11200</v>
      </c>
      <c r="U40">
        <v>0</v>
      </c>
      <c r="V40">
        <f>ROUND(IF(R40&gt;0,0,(S40+T40)*0.4),-2)</f>
        <v>19500</v>
      </c>
      <c r="W40">
        <f>ROUND(IF(R40&gt;0,0,(S40+T40)*0.5),-2)</f>
        <v>24400</v>
      </c>
      <c r="X40">
        <f>IF(R40&gt;0,SUM(S40:T40),SUM(S40:V40))</f>
        <v>68200</v>
      </c>
      <c r="Y40">
        <f>IF(R40&gt;0,SUM(S40:T40),SUM(S40:U40)+W40)</f>
        <v>73100</v>
      </c>
      <c r="Z40">
        <v>0</v>
      </c>
      <c r="AA40">
        <f>X40*0.038</f>
        <v>2591.6</v>
      </c>
      <c r="AB40">
        <f>X40*0.02</f>
        <v>1364</v>
      </c>
      <c r="AC40">
        <f>Y40*0.1</f>
        <v>7310</v>
      </c>
      <c r="AD40">
        <f>X40-AA40-AB40</f>
        <v>64244.399999999994</v>
      </c>
      <c r="AE40">
        <f>Y40-AC40</f>
        <v>65790</v>
      </c>
      <c r="AF40">
        <f>AD40*0.01</f>
        <v>642.444</v>
      </c>
      <c r="AG40">
        <f>AD40-Q40-AF40-T40</f>
        <v>14901.955999999995</v>
      </c>
      <c r="AH40">
        <f>AE40-Q40-AF40-T40</f>
        <v>16447.556</v>
      </c>
      <c r="AI40">
        <f>AG40/X40</f>
        <v>0.21850375366568908</v>
      </c>
      <c r="AJ40">
        <f>AH40/Y40</f>
        <v>0.22500076607387143</v>
      </c>
      <c r="AW40">
        <v>4468777539</v>
      </c>
    </row>
    <row r="41">
      <c r="A41">
        <f>HYPERLINK("https://smartstore.naver.com/brickstore2019/products/4470251178",AW:AW)</f>
        <v>4470251178</v>
      </c>
      <c r="C41" t="str">
        <v>오리엔트 마코2 청마코2 남자 오토매틱 다이버시계</v>
      </c>
      <c r="E41" t="str">
        <v>Orient Men's 'Mako II' Japanese Automatic Stainless Steel Diving Watch</v>
      </c>
      <c r="G41" t="str">
        <f>HYPERLINK("https://www.amazon.com/Orient-Japanese-Automatic-Stainless-Diving/dp/B01AK5TQRM/ref=sr_1_1?keywords=FAA02002D9&amp;qid=1556281122&amp;s=gateway&amp;sr=8-1&amp;th=1#customerReviews","A")</f>
        <v>A</v>
      </c>
      <c r="J41">
        <v>129</v>
      </c>
      <c r="K41">
        <v>1.2</v>
      </c>
      <c r="L41">
        <f>IF(K41&gt;0,K41*16,)</f>
        <v>19.2</v>
      </c>
      <c r="M41">
        <f>IF(K41&gt;0,K41*0.453592,IF(L41&gt;0,L41*0.02835,))</f>
        <v>0.5443104</v>
      </c>
      <c r="N41">
        <v>0</v>
      </c>
      <c r="O41">
        <v>0</v>
      </c>
      <c r="P41">
        <f>J41+O41+N41</f>
        <v>129</v>
      </c>
      <c r="Q41">
        <f>P41*C$3</f>
        <v>161250</v>
      </c>
      <c r="R41">
        <v>0</v>
      </c>
      <c r="S41">
        <f>ROUND(SUM(Q41:R41), -2)</f>
        <v>161300</v>
      </c>
      <c r="T41">
        <f>ROUNDUP(HLOOKUP(ROUNDUP(K41,0),'배송비 조회'!A$10:U$22,7,0)*C$3,-2)</f>
        <v>11200</v>
      </c>
      <c r="U41">
        <v>0</v>
      </c>
      <c r="V41">
        <f>ROUND(IF(R41&gt;0,0,(S41+T41)*0.3),-2)</f>
        <v>51800</v>
      </c>
      <c r="W41">
        <f>ROUND(IF(R41&gt;0,0,(S41+T41)*0.5),-2)</f>
        <v>86300</v>
      </c>
      <c r="X41">
        <f>IF(R41&gt;0,SUM(S41:T41),SUM(S41:V41))</f>
        <v>224300</v>
      </c>
      <c r="Y41">
        <f>IF(R41&gt;0,SUM(S41:T41),SUM(S41:U41)+W41)</f>
        <v>258800</v>
      </c>
      <c r="Z41">
        <v>0</v>
      </c>
      <c r="AA41">
        <f>X41*0.038</f>
        <v>8523.4</v>
      </c>
      <c r="AB41">
        <f>X41*0.02</f>
        <v>4486</v>
      </c>
      <c r="AC41">
        <f>Y41*0.1</f>
        <v>25880</v>
      </c>
      <c r="AD41">
        <f>X41-AA41-AB41</f>
        <v>211290.6</v>
      </c>
      <c r="AE41">
        <f>Y41-AC41</f>
        <v>232920</v>
      </c>
      <c r="AF41">
        <f>AD41*0.01</f>
        <v>2112.906</v>
      </c>
      <c r="AG41">
        <f>AD41-Q41-AF41-T41</f>
        <v>36727.694</v>
      </c>
      <c r="AH41">
        <f>AE41-Q41-AF41-T41</f>
        <v>58357.094</v>
      </c>
      <c r="AI41">
        <f>AG41/X41</f>
        <v>0.16374362015158272</v>
      </c>
      <c r="AJ41">
        <f>AH41/Y41</f>
        <v>0.22549108964451312</v>
      </c>
      <c r="AW41">
        <v>4470251178</v>
      </c>
    </row>
    <row r="42">
      <c r="A42">
        <f>HYPERLINK("https://smartstore.naver.com/brickstore2019/products/4473053681",AW:AW)</f>
        <v>4473053681</v>
      </c>
      <c r="C42" t="str">
        <v>비치의자 해수욕장의자 캠핑의자 Lightspeed Outdoors</v>
      </c>
      <c r="E42" t="str">
        <v>Lightspeed Outdoors 2-Pack Lounger Park and Beach Chair</v>
      </c>
      <c r="F42" t="str">
        <v>Aquamarine</v>
      </c>
      <c r="G42" t="str">
        <f>HYPERLINK("https://www.amazon.com/Lightspeed-Outdoors-Lounger-Beach-Seaglass/dp/B07D84NHZS/ref=pd_ybh_a_7?_encoding=UTF8&amp;refRID=9KGESRT0QES8338RKDWR&amp;th=1","A")</f>
        <v>A</v>
      </c>
      <c r="J42">
        <v>59.99</v>
      </c>
      <c r="K42">
        <v>8.6</v>
      </c>
      <c r="L42">
        <f>IF(K42&gt;0,K42*16,)</f>
        <v>137.6</v>
      </c>
      <c r="M42">
        <f>IF(K42&gt;0,K42*0.453592,IF(L42&gt;0,L42*0.02835,))</f>
        <v>3.9008912</v>
      </c>
      <c r="N42">
        <v>0</v>
      </c>
      <c r="O42">
        <v>0</v>
      </c>
      <c r="P42">
        <f>J42+O42+N42</f>
        <v>59.99</v>
      </c>
      <c r="Q42">
        <f>P42*C$3</f>
        <v>74987.5</v>
      </c>
      <c r="R42">
        <v>0</v>
      </c>
      <c r="S42">
        <f>ROUND(SUM(Q42:R42), -2)</f>
        <v>75000</v>
      </c>
      <c r="T42">
        <f>ROUNDUP(HLOOKUP(ROUNDUP(K42,0),'배송비 조회'!A$10:U$22,7,0)*C$3,-2)</f>
        <v>26500</v>
      </c>
      <c r="U42">
        <v>0</v>
      </c>
      <c r="V42">
        <f>ROUND(IF(R42&gt;0,0,(S42+T42)*0.3),-2)</f>
        <v>30500</v>
      </c>
      <c r="W42">
        <f>ROUND(IF(R42&gt;0,0,(S42+T42)*0.5),-2)</f>
        <v>50800</v>
      </c>
      <c r="X42">
        <f>IF(R42&gt;0,SUM(S42:T42),SUM(S42:V42))</f>
        <v>132000</v>
      </c>
      <c r="Y42">
        <f>IF(R42&gt;0,SUM(S42:T42),SUM(S42:U42)+W42)</f>
        <v>152300</v>
      </c>
      <c r="Z42">
        <v>0</v>
      </c>
      <c r="AA42">
        <f>X42*0.038</f>
        <v>5016</v>
      </c>
      <c r="AB42">
        <f>X42*0.02</f>
        <v>2640</v>
      </c>
      <c r="AC42">
        <f>Y42*0.1</f>
        <v>15230</v>
      </c>
      <c r="AD42">
        <f>X42-AA42-AB42</f>
        <v>124344</v>
      </c>
      <c r="AE42">
        <f>Y42-AC42</f>
        <v>137070</v>
      </c>
      <c r="AF42">
        <f>AD42*0.01</f>
        <v>1243.44</v>
      </c>
      <c r="AG42">
        <f>AD42-Q42-AF42-T42</f>
        <v>21613.059999999998</v>
      </c>
      <c r="AH42">
        <f>AE42-Q42-AF42-T42</f>
        <v>34339.06</v>
      </c>
      <c r="AI42">
        <f>AG42/X42</f>
        <v>0.163735303030303</v>
      </c>
      <c r="AJ42">
        <f>AH42/Y42</f>
        <v>0.2254698621142482</v>
      </c>
      <c r="AW42">
        <v>4473053681</v>
      </c>
    </row>
    <row r="43">
      <c r="F43" t="str">
        <v>Seaglass</v>
      </c>
      <c r="G43" t="str">
        <f>HYPERLINK("https://www.amazon.com/Lightspeed-Outdoors-Lounger-Beach-Seaglass/dp/B07D84DNRY/ref=pd_ybh_a_7?_encoding=UTF8&amp;refRID=9KGESRT0QES8338RKDWR&amp;th=1","A")</f>
        <v>A</v>
      </c>
      <c r="J43">
        <v>59.99</v>
      </c>
      <c r="K43">
        <v>8.6</v>
      </c>
      <c r="L43">
        <f>IF(K43&gt;0,K43*16,)</f>
        <v>137.6</v>
      </c>
      <c r="M43">
        <f>IF(K43&gt;0,K43*0.453592,IF(L43&gt;0,L43*0.02835,))</f>
        <v>3.9008912</v>
      </c>
      <c r="N43">
        <v>0</v>
      </c>
      <c r="O43">
        <v>0</v>
      </c>
      <c r="P43">
        <f>J43+O43+N43</f>
        <v>59.99</v>
      </c>
      <c r="Q43">
        <f>P43*C$3</f>
        <v>74987.5</v>
      </c>
      <c r="R43">
        <v>0</v>
      </c>
      <c r="S43">
        <f>ROUND(SUM(Q43:R43), -2)</f>
        <v>75000</v>
      </c>
      <c r="T43">
        <f>ROUNDUP(HLOOKUP(ROUNDUP(K43,0),'배송비 조회'!A$10:U$22,7,0)*C$3,-2)</f>
        <v>26500</v>
      </c>
      <c r="U43">
        <v>0</v>
      </c>
      <c r="V43">
        <f>ROUND(IF(R43&gt;0,0,(S43+T43)*0.3),-2)</f>
        <v>30500</v>
      </c>
      <c r="W43">
        <f>ROUND(IF(R43&gt;0,0,(S43+T43)*0.5),-2)</f>
        <v>50800</v>
      </c>
      <c r="X43">
        <f>IF(R43&gt;0,SUM(S43:T43),SUM(S43:V43))</f>
        <v>132000</v>
      </c>
      <c r="Y43">
        <f>IF(R43&gt;0,SUM(S43:T43),SUM(S43:U43)+W43)</f>
        <v>152300</v>
      </c>
      <c r="Z43">
        <v>0</v>
      </c>
      <c r="AA43">
        <f>X43*0.038</f>
        <v>5016</v>
      </c>
      <c r="AB43">
        <f>X43*0.02</f>
        <v>2640</v>
      </c>
      <c r="AC43">
        <f>Y43*0.1</f>
        <v>15230</v>
      </c>
      <c r="AD43">
        <f>X43-AA43-AB43</f>
        <v>124344</v>
      </c>
      <c r="AE43">
        <f>Y43-AC43</f>
        <v>137070</v>
      </c>
      <c r="AF43">
        <f>AD43*0.01</f>
        <v>1243.44</v>
      </c>
      <c r="AG43">
        <f>AD43-Q43-AF43-T43</f>
        <v>21613.059999999998</v>
      </c>
      <c r="AH43">
        <f>AE43-Q43-AF43-T43</f>
        <v>34339.06</v>
      </c>
      <c r="AI43">
        <f>AG43/X43</f>
        <v>0.163735303030303</v>
      </c>
      <c r="AJ43">
        <f>AH43/Y43</f>
        <v>0.2254698621142482</v>
      </c>
    </row>
    <row r="44">
      <c r="A44">
        <f>HYPERLINK("https://smartstore.naver.com/brickstore2019/products/4473576266",AW:AW)</f>
        <v>4473576266</v>
      </c>
      <c r="C44" t="str">
        <v>비치용 그늘막 텐트 우산 Sport-Brella</v>
      </c>
      <c r="E44" t="str">
        <v>Sport-Brella Vented SPF 50+ Sun and Rain Canopy Umbrella for Beach and Sports Events (8-Foot)</v>
      </c>
      <c r="F44" t="str">
        <v>Blue</v>
      </c>
      <c r="G44" t="str">
        <f>HYPERLINK("https://www.amazon.com/Sport-Brella-Portable-All-Weather-Umbrella-8-Foot/dp/B002CLQ1Q2/ref=pd_ybh_a_10?_encoding=UTF8&amp;refRID=9KGESRT0QES8338RKDWR&amp;th=1","A")</f>
        <v>A</v>
      </c>
      <c r="J44">
        <v>54.29</v>
      </c>
      <c r="K44">
        <v>9.6</v>
      </c>
      <c r="L44">
        <f>IF(K44&gt;0,K44*16,)</f>
        <v>153.6</v>
      </c>
      <c r="M44">
        <f>IF(K44&gt;0,K44*0.453592,IF(L44&gt;0,L44*0.02835,))</f>
        <v>4.3544832</v>
      </c>
      <c r="N44">
        <v>0</v>
      </c>
      <c r="O44">
        <v>0</v>
      </c>
      <c r="P44">
        <f>J44+O44+N44</f>
        <v>54.29</v>
      </c>
      <c r="Q44">
        <f>P44*C$3</f>
        <v>67862.5</v>
      </c>
      <c r="R44">
        <v>0</v>
      </c>
      <c r="S44">
        <f>ROUND(SUM(Q44:R44), -2)</f>
        <v>67900</v>
      </c>
      <c r="T44">
        <f>ROUNDUP(HLOOKUP(ROUNDUP(K44,0),'배송비 조회'!A$10:U$22,7,0)*C$3,-2)</f>
        <v>28700</v>
      </c>
      <c r="U44">
        <v>0</v>
      </c>
      <c r="V44">
        <f>ROUND(IF(R44&gt;0,0,(S44+T44)*0.3),-2)</f>
        <v>29000</v>
      </c>
      <c r="W44">
        <f>ROUND(IF(R44&gt;0,0,(S44+T44)*0.5),-2)</f>
        <v>48300</v>
      </c>
      <c r="X44">
        <f>IF(R44&gt;0,SUM(S44:T44),SUM(S44:V44))</f>
        <v>125600</v>
      </c>
      <c r="Y44">
        <f>IF(R44&gt;0,SUM(S44:T44),SUM(S44:U44)+W44)</f>
        <v>144900</v>
      </c>
      <c r="Z44">
        <v>0</v>
      </c>
      <c r="AA44">
        <f>X44*0.038</f>
        <v>4772.8</v>
      </c>
      <c r="AB44">
        <f>X44*0.02</f>
        <v>2512</v>
      </c>
      <c r="AC44">
        <f>Y44*0.1</f>
        <v>14490</v>
      </c>
      <c r="AD44">
        <f>X44-AA44-AB44</f>
        <v>118315.2</v>
      </c>
      <c r="AE44">
        <f>Y44-AC44</f>
        <v>130410</v>
      </c>
      <c r="AF44">
        <f>AD44*0.01</f>
        <v>1183.152</v>
      </c>
      <c r="AG44">
        <f>AD44-Q44-AF44-T44</f>
        <v>20569.547999999995</v>
      </c>
      <c r="AH44">
        <f>AE44-Q44-AF44-T44</f>
        <v>32664.347999999998</v>
      </c>
      <c r="AI44">
        <f>AG44/X44</f>
        <v>0.1637702866242038</v>
      </c>
      <c r="AJ44">
        <f>AH44/Y44</f>
        <v>0.22542683229813662</v>
      </c>
      <c r="AW44">
        <v>4473576266</v>
      </c>
    </row>
    <row r="45">
      <c r="F45" t="str">
        <v>Red</v>
      </c>
      <c r="G45" t="str">
        <f>HYPERLINK("https://www.amazon.com/Sport-Brella-Portable-All-Weather-Umbrella-8-Foot/dp/B002CLQ1NA/ref=pd_ybh_a_10?_encoding=UTF8&amp;refRID=9KGESRT0QES8338RKDWR&amp;th=1","A")</f>
        <v>A</v>
      </c>
      <c r="J45">
        <v>50</v>
      </c>
      <c r="K45">
        <v>9.6</v>
      </c>
      <c r="L45">
        <f>IF(K45&gt;0,K45*16,)</f>
        <v>153.6</v>
      </c>
      <c r="M45">
        <f>IF(K45&gt;0,K45*0.453592,IF(L45&gt;0,L45*0.02835,))</f>
        <v>4.3544832</v>
      </c>
      <c r="N45">
        <v>0</v>
      </c>
      <c r="O45">
        <v>0</v>
      </c>
      <c r="P45">
        <f>J45+O45+N45</f>
        <v>50</v>
      </c>
      <c r="Q45">
        <f>P45*C$3</f>
        <v>62500</v>
      </c>
      <c r="R45">
        <v>0</v>
      </c>
      <c r="S45">
        <f>ROUND(SUM(Q45:R45), -2)</f>
        <v>62500</v>
      </c>
      <c r="T45">
        <f>ROUNDUP(HLOOKUP(ROUNDUP(K45,0),'배송비 조회'!A$10:U$22,7,0)*C$3,-2)</f>
        <v>28700</v>
      </c>
      <c r="U45">
        <v>0</v>
      </c>
      <c r="V45">
        <f>ROUND(IF(R45&gt;0,0,(S45+T45)*0.3),-2)</f>
        <v>27400</v>
      </c>
      <c r="W45">
        <f>ROUND(IF(R45&gt;0,0,(S45+T45)*0.5),-2)</f>
        <v>45600</v>
      </c>
      <c r="X45">
        <f>IF(R45&gt;0,SUM(S45:T45),SUM(S45:V45))</f>
        <v>118600</v>
      </c>
      <c r="Y45">
        <f>IF(R45&gt;0,SUM(S45:T45),SUM(S45:U45)+W45)</f>
        <v>136800</v>
      </c>
      <c r="Z45">
        <v>0</v>
      </c>
      <c r="AA45">
        <f>X45*0.038</f>
        <v>4506.8</v>
      </c>
      <c r="AB45">
        <f>X45*0.02</f>
        <v>2372</v>
      </c>
      <c r="AC45">
        <f>Y45*0.1</f>
        <v>13680</v>
      </c>
      <c r="AD45">
        <f>X45-AA45-AB45</f>
        <v>111721.2</v>
      </c>
      <c r="AE45">
        <f>Y45-AC45</f>
        <v>123120</v>
      </c>
      <c r="AF45">
        <f>AD45*0.01</f>
        <v>1117.212</v>
      </c>
      <c r="AG45">
        <f>AD45-Q45-AF45-T45</f>
        <v>19403.987999999998</v>
      </c>
      <c r="AH45">
        <f>AE45-Q45-AF45-T45</f>
        <v>30802.788</v>
      </c>
      <c r="AI45">
        <f>AG45/X45</f>
        <v>0.16360866779089375</v>
      </c>
      <c r="AJ45">
        <f>AH45/Y45</f>
        <v>0.2251665789473684</v>
      </c>
    </row>
    <row r="46">
      <c r="A46">
        <f>HYPERLINK("https://smartstore.naver.com/brickstore2019/products/4473749112",AW:AW)</f>
        <v>4473749112</v>
      </c>
      <c r="C46" t="str">
        <v>콜맨 비치 그늘막 텐트 Coleman Beach Shade</v>
      </c>
      <c r="E46" t="str">
        <v>Coleman Beach Shade</v>
      </c>
      <c r="F46" t="str">
        <v>Lime</v>
      </c>
      <c r="G46" t="str">
        <f>HYPERLINK("https://www.amazon.com/gp/product/B0009PUTIE/ref=as_li_ss_tl?ie=UTF8&amp;linkCode=sl1&amp;tag=bswag-20&amp;linkId=81df332cd87d950b2a3c517819986422&amp;th=1","A")</f>
        <v>A</v>
      </c>
      <c r="J46">
        <v>49</v>
      </c>
      <c r="K46">
        <v>6.2</v>
      </c>
      <c r="L46">
        <f>IF(K46&gt;0,K46*16,)</f>
        <v>99.2</v>
      </c>
      <c r="M46">
        <f>IF(K46&gt;0,K46*0.453592,IF(L46&gt;0,L46*0.02835,))</f>
        <v>2.8122704</v>
      </c>
      <c r="N46">
        <v>0</v>
      </c>
      <c r="O46">
        <v>0</v>
      </c>
      <c r="P46">
        <f>J46+O46+N46</f>
        <v>49</v>
      </c>
      <c r="Q46">
        <f>P46*C$3</f>
        <v>61250</v>
      </c>
      <c r="R46">
        <v>0</v>
      </c>
      <c r="S46">
        <f>ROUND(SUM(Q46:R46), -2)</f>
        <v>61300</v>
      </c>
      <c r="T46">
        <f>ROUNDUP(HLOOKUP(ROUNDUP(K46,0),'배송비 조회'!A$10:U$22,7,0)*C$3,-2)</f>
        <v>22200</v>
      </c>
      <c r="U46">
        <v>0</v>
      </c>
      <c r="V46">
        <f>ROUND(IF(R46&gt;0,0,(S46+T46)*0.3),-2)</f>
        <v>25100</v>
      </c>
      <c r="W46">
        <f>ROUND(IF(R46&gt;0,0,(S46+T46)*0.5),-2)</f>
        <v>41800</v>
      </c>
      <c r="X46">
        <f>IF(R46&gt;0,SUM(S46:T46),SUM(S46:V46))</f>
        <v>108600</v>
      </c>
      <c r="Y46">
        <f>IF(R46&gt;0,SUM(S46:T46),SUM(S46:U46)+W46)</f>
        <v>125300</v>
      </c>
      <c r="Z46">
        <v>0</v>
      </c>
      <c r="AA46">
        <f>X46*0.038</f>
        <v>4126.8</v>
      </c>
      <c r="AB46">
        <f>X46*0.02</f>
        <v>2172</v>
      </c>
      <c r="AC46">
        <f>Y46*0.1</f>
        <v>12530</v>
      </c>
      <c r="AD46">
        <f>X46-AA46-AB46</f>
        <v>102301.2</v>
      </c>
      <c r="AE46">
        <f>Y46-AC46</f>
        <v>112770</v>
      </c>
      <c r="AF46">
        <f>AD46*0.01</f>
        <v>1023.012</v>
      </c>
      <c r="AG46">
        <f>AD46-Q46-AF46-T46</f>
        <v>17828.187999999995</v>
      </c>
      <c r="AH46">
        <f>AE46-Q46-AF46-T46</f>
        <v>28296.987999999998</v>
      </c>
      <c r="AI46">
        <f>AG46/X46</f>
        <v>0.16416379373848983</v>
      </c>
      <c r="AJ46">
        <f>AH46/Y46</f>
        <v>0.22583390263367914</v>
      </c>
      <c r="AW46">
        <v>4473749112</v>
      </c>
    </row>
    <row r="47">
      <c r="F47" t="str">
        <v>Blue/White</v>
      </c>
      <c r="G47" t="str">
        <f>HYPERLINK("https://www.amazon.com/gp/product/B0009PUTIE/ref=as_li_ss_tl?ie=UTF9&amp;linkCode=sl1&amp;tag=bswag-20&amp;linkId=81df332cd87d950b2a3c517819986422&amp;th=1","A")</f>
        <v>A</v>
      </c>
      <c r="J47">
        <v>55</v>
      </c>
      <c r="K47">
        <v>6.2</v>
      </c>
      <c r="L47">
        <f>IF(K47&gt;0,K47*16,)</f>
        <v>99.2</v>
      </c>
      <c r="M47">
        <f>IF(K47&gt;0,K47*0.453592,IF(L47&gt;0,L47*0.02835,))</f>
        <v>2.8122704</v>
      </c>
      <c r="N47">
        <v>0</v>
      </c>
      <c r="O47">
        <v>0</v>
      </c>
      <c r="P47">
        <f>J47+O47+N47</f>
        <v>55</v>
      </c>
      <c r="Q47">
        <f>P47*C$3</f>
        <v>68750</v>
      </c>
      <c r="R47">
        <v>0</v>
      </c>
      <c r="S47">
        <f>ROUND(SUM(Q47:R47), -2)</f>
        <v>68800</v>
      </c>
      <c r="T47">
        <f>ROUNDUP(HLOOKUP(ROUNDUP(K47,0),'배송비 조회'!A$10:U$22,7,0)*C$3,-2)</f>
        <v>22200</v>
      </c>
      <c r="U47">
        <v>0</v>
      </c>
      <c r="V47">
        <f>ROUND(IF(R47&gt;0,0,(S47+T47)*0.3),-2)</f>
        <v>27300</v>
      </c>
      <c r="W47">
        <f>ROUND(IF(R47&gt;0,0,(S47+T47)*0.5),-2)</f>
        <v>45500</v>
      </c>
      <c r="X47">
        <f>IF(R47&gt;0,SUM(S47:T47),SUM(S47:V47))</f>
        <v>118300</v>
      </c>
      <c r="Y47">
        <f>IF(R47&gt;0,SUM(S47:T47),SUM(S47:U47)+W47)</f>
        <v>136500</v>
      </c>
      <c r="Z47">
        <v>0</v>
      </c>
      <c r="AA47">
        <f>X47*0.038</f>
        <v>4495.4</v>
      </c>
      <c r="AB47">
        <f>X47*0.02</f>
        <v>2366</v>
      </c>
      <c r="AC47">
        <f>Y47*0.1</f>
        <v>13650</v>
      </c>
      <c r="AD47">
        <f>X47-AA47-AB47</f>
        <v>111438.6</v>
      </c>
      <c r="AE47">
        <f>Y47-AC47</f>
        <v>122850</v>
      </c>
      <c r="AF47">
        <f>AD47*0.01</f>
        <v>1114.3860000000002</v>
      </c>
      <c r="AG47">
        <f>AD47-Q47-AF47-T47</f>
        <v>19374.214000000007</v>
      </c>
      <c r="AH47">
        <f>AE47-Q47-AF47-T47</f>
        <v>30785.614</v>
      </c>
      <c r="AI47">
        <f>AG47/X47</f>
        <v>0.16377188503803894</v>
      </c>
      <c r="AJ47">
        <f>AH47/Y47</f>
        <v>0.2255356336996337</v>
      </c>
    </row>
    <row r="48">
      <c r="F48" t="str">
        <v>Yellow</v>
      </c>
      <c r="G48" t="str">
        <f>HYPERLINK("https://www.amazon.com/gp/product/B00J955G24/ref=as_li_ss_tl?ie=UTF8&amp;linkCode=sl1&amp;tag=bswag-20&amp;linkId=81df332cd87d950b2a3c517819986422&amp;th=1","A")</f>
        <v>A</v>
      </c>
      <c r="J48">
        <v>55</v>
      </c>
      <c r="K48">
        <v>6.2</v>
      </c>
      <c r="L48">
        <f>IF(K48&gt;0,K48*16,)</f>
        <v>99.2</v>
      </c>
      <c r="M48">
        <f>IF(K48&gt;0,K48*0.453592,IF(L48&gt;0,L48*0.02835,))</f>
        <v>2.8122704</v>
      </c>
      <c r="N48">
        <v>0</v>
      </c>
      <c r="O48">
        <v>0</v>
      </c>
      <c r="P48">
        <f>J48+O48+N48</f>
        <v>55</v>
      </c>
      <c r="Q48">
        <f>P48*C$3</f>
        <v>68750</v>
      </c>
      <c r="R48">
        <v>0</v>
      </c>
      <c r="S48">
        <f>ROUND(SUM(Q48:R48), -2)</f>
        <v>68800</v>
      </c>
      <c r="T48">
        <f>ROUNDUP(HLOOKUP(ROUNDUP(K48,0),'배송비 조회'!A$10:U$22,7,0)*C$3,-2)</f>
        <v>22200</v>
      </c>
      <c r="U48">
        <v>0</v>
      </c>
      <c r="V48">
        <f>ROUND(IF(R48&gt;0,0,(S48+T48)*0.3),-2)</f>
        <v>27300</v>
      </c>
      <c r="W48">
        <f>ROUND(IF(R48&gt;0,0,(S48+T48)*0.5),-2)</f>
        <v>45500</v>
      </c>
      <c r="X48">
        <f>IF(R48&gt;0,SUM(S48:T48),SUM(S48:V48))</f>
        <v>118300</v>
      </c>
      <c r="Y48">
        <f>IF(R48&gt;0,SUM(S48:T48),SUM(S48:U48)+W48)</f>
        <v>136500</v>
      </c>
      <c r="Z48">
        <v>0</v>
      </c>
      <c r="AA48">
        <f>X48*0.038</f>
        <v>4495.4</v>
      </c>
      <c r="AB48">
        <f>X48*0.02</f>
        <v>2366</v>
      </c>
      <c r="AC48">
        <f>Y48*0.1</f>
        <v>13650</v>
      </c>
      <c r="AD48">
        <f>X48-AA48-AB48</f>
        <v>111438.6</v>
      </c>
      <c r="AE48">
        <f>Y48-AC48</f>
        <v>122850</v>
      </c>
      <c r="AF48">
        <f>AD48*0.01</f>
        <v>1114.3860000000002</v>
      </c>
      <c r="AG48">
        <f>AD48-Q48-AF48-T48</f>
        <v>19374.214000000007</v>
      </c>
      <c r="AH48">
        <f>AE48-Q48-AF48-T48</f>
        <v>30785.614</v>
      </c>
      <c r="AI48">
        <f>AG48/X48</f>
        <v>0.16377188503803894</v>
      </c>
      <c r="AJ48">
        <f>AH48/Y48</f>
        <v>0.2255356336996337</v>
      </c>
    </row>
    <row r="49">
      <c r="A49">
        <f>HYPERLINK("https://smartstore.naver.com/brickstore2019/products/4481370276",AW:AW)</f>
        <v>4481370276</v>
      </c>
      <c r="C49" t="str">
        <v>Naturehike 네이쳐하이크 초경량 방수 등산백팩 자전거백팩 여행백팩 25L</v>
      </c>
      <c r="E49" t="str">
        <v>Naturehike Rainproof Lightweight Packable Backpack for Climbing Camping Backpacking Cycling Bicycle Travel Airplane, 18L 25L Ultralight Foldable Small Daypack for Men Women</v>
      </c>
      <c r="F49" t="str">
        <v>black</v>
      </c>
      <c r="G49" t="str">
        <f>HYPERLINK("https://www.amazon.com/Naturehike-Rainproof-Lightweight-Backpacking-Ultralight/dp/B07CWP7YXB","A")</f>
        <v>A</v>
      </c>
      <c r="J49">
        <v>20</v>
      </c>
      <c r="K49">
        <f>IF(L49&gt;0,L49*0.0625,)</f>
        <v>0.3875</v>
      </c>
      <c r="L49">
        <v>6.2</v>
      </c>
      <c r="M49">
        <f>IF(K49&gt;0,K49*0.453592,IF(L49&gt;0,L49*0.02835,))</f>
        <v>0.1757669</v>
      </c>
      <c r="N49">
        <v>0</v>
      </c>
      <c r="O49">
        <v>0</v>
      </c>
      <c r="P49">
        <f>J49+O49+N49</f>
        <v>20</v>
      </c>
      <c r="Q49">
        <f>P49*C$3</f>
        <v>25000</v>
      </c>
      <c r="R49">
        <v>0</v>
      </c>
      <c r="S49">
        <f>ROUND(SUM(Q49:R49), -2)</f>
        <v>25000</v>
      </c>
      <c r="T49">
        <f>ROUNDUP(HLOOKUP(ROUNDUP(K49,0),'배송비 조회'!A$10:U$22,7,0)*C$3,-2)</f>
        <v>9000</v>
      </c>
      <c r="U49">
        <v>0</v>
      </c>
      <c r="V49">
        <f>ROUND(IF(R49&gt;0,0,(S49+T49)*0.5),-2)</f>
        <v>17000</v>
      </c>
      <c r="W49">
        <f>ROUND(IF(R49&gt;0,0,(S49+T49)*0.5),-2)</f>
        <v>17000</v>
      </c>
      <c r="X49">
        <f>IF(R49&gt;0,SUM(S49:T49),SUM(S49:V49))</f>
        <v>51000</v>
      </c>
      <c r="Y49">
        <f>IF(R49&gt;0,SUM(S49:T49),SUM(S49:U49)+W49)</f>
        <v>51000</v>
      </c>
      <c r="Z49">
        <v>0</v>
      </c>
      <c r="AA49">
        <f>X49*0.038</f>
        <v>1938</v>
      </c>
      <c r="AB49">
        <f>X49*0.02</f>
        <v>1020</v>
      </c>
      <c r="AC49">
        <f>Y49*0.1</f>
        <v>5100</v>
      </c>
      <c r="AD49">
        <f>X49-AA49-AB49</f>
        <v>48042</v>
      </c>
      <c r="AE49">
        <f>Y49-AC49</f>
        <v>45900</v>
      </c>
      <c r="AF49">
        <f>AD49*0.01</f>
        <v>480.42</v>
      </c>
      <c r="AG49">
        <f>AD49-Q49-AF49-T49</f>
        <v>13561.580000000002</v>
      </c>
      <c r="AH49">
        <f>AE49-Q49-AF49-T49</f>
        <v>11419.580000000002</v>
      </c>
      <c r="AI49">
        <f>AG49/X49</f>
        <v>0.2659133333333334</v>
      </c>
      <c r="AJ49">
        <f>AH49/Y49</f>
        <v>0.22391333333333338</v>
      </c>
      <c r="AW49">
        <v>4481370276</v>
      </c>
    </row>
    <row r="50">
      <c r="F50" t="str">
        <v>gray</v>
      </c>
      <c r="G50" t="str">
        <f>HYPERLINK("https://www.amazon.com/Naturehike-Rainproof-Lightweight-Backpacking-Ultralight/dp/B07CWPX91C?th=1","A")</f>
        <v>A</v>
      </c>
      <c r="J50">
        <v>20</v>
      </c>
      <c r="K50">
        <f>IF(L50&gt;0,L50*0.0625,)</f>
        <v>0.3875</v>
      </c>
      <c r="L50">
        <v>6.2</v>
      </c>
      <c r="M50">
        <f>IF(K50&gt;0,K50*0.453592,IF(L50&gt;0,L50*0.02835,))</f>
        <v>0.1757669</v>
      </c>
      <c r="N50">
        <v>0</v>
      </c>
      <c r="O50">
        <v>0</v>
      </c>
      <c r="P50">
        <f>J50+O50+N50</f>
        <v>20</v>
      </c>
      <c r="Q50">
        <f>P50*C$3</f>
        <v>25000</v>
      </c>
      <c r="R50">
        <v>0</v>
      </c>
      <c r="S50">
        <f>ROUND(SUM(Q50:R50), -2)</f>
        <v>25000</v>
      </c>
      <c r="T50">
        <f>ROUNDUP(HLOOKUP(ROUNDUP(K50,0),'배송비 조회'!A$10:U$22,7,0)*C$3,-2)</f>
        <v>9000</v>
      </c>
      <c r="U50">
        <v>0</v>
      </c>
      <c r="V50">
        <f>ROUND(IF(R50&gt;0,0,(S50+T50)*0.5),-2)</f>
        <v>17000</v>
      </c>
      <c r="W50">
        <f>ROUND(IF(R50&gt;0,0,(S50+T50)*0.5),-2)</f>
        <v>17000</v>
      </c>
      <c r="X50">
        <f>IF(R50&gt;0,SUM(S50:T50),SUM(S50:V50))</f>
        <v>51000</v>
      </c>
      <c r="Y50">
        <f>IF(R50&gt;0,SUM(S50:T50),SUM(S50:U50)+W50)</f>
        <v>51000</v>
      </c>
      <c r="Z50">
        <v>0</v>
      </c>
      <c r="AA50">
        <f>X50*0.038</f>
        <v>1938</v>
      </c>
      <c r="AB50">
        <f>X50*0.02</f>
        <v>1020</v>
      </c>
      <c r="AC50">
        <f>Y50*0.1</f>
        <v>5100</v>
      </c>
      <c r="AD50">
        <f>X50-AA50-AB50</f>
        <v>48042</v>
      </c>
      <c r="AE50">
        <f>Y50-AC50</f>
        <v>45900</v>
      </c>
      <c r="AF50">
        <f>AD50*0.01</f>
        <v>480.42</v>
      </c>
      <c r="AG50">
        <f>AD50-Q50-AF50-T50</f>
        <v>13561.580000000002</v>
      </c>
      <c r="AH50">
        <f>AE50-Q50-AF50-T50</f>
        <v>11419.580000000002</v>
      </c>
      <c r="AI50">
        <f>AG50/X50</f>
        <v>0.2659133333333334</v>
      </c>
      <c r="AJ50">
        <f>AH50/Y50</f>
        <v>0.22391333333333338</v>
      </c>
    </row>
    <row r="51">
      <c r="A51">
        <f>HYPERLINK("https://smartstore.naver.com/brickstore2019/products/4481387667",AW:AW)</f>
        <v>4481387667</v>
      </c>
      <c r="C51" t="str">
        <v>Naturehike 네이쳐하이크 초경량 방수 등산백팩 자전거백팩 여행백팩 18L</v>
      </c>
      <c r="E51" t="str">
        <v>Naturehike Rainproof Lightweight Packable Backpack for Climbing Camping Backpacking Cycling Bicycle Travel Airplane, 18L 25L Ultralight Foldable Small Daypack for Men Women</v>
      </c>
      <c r="F51" t="str">
        <v>Gray</v>
      </c>
      <c r="G51" t="str">
        <f>HYPERLINK("https://www.amazon.com/Naturehike-Rainproof-Lightweight-Backpacking-Ultralight/dp/B0732P2KZG?th=1","A")</f>
        <v>A</v>
      </c>
      <c r="J51">
        <v>18</v>
      </c>
      <c r="K51">
        <f>IF(L51&gt;0,L51*0.0625,)</f>
        <v>0.15</v>
      </c>
      <c r="L51">
        <v>2.4</v>
      </c>
      <c r="M51">
        <f>IF(K51&gt;0,K51*0.453592,IF(L51&gt;0,L51*0.02835,))</f>
        <v>0.0680388</v>
      </c>
      <c r="N51">
        <v>0</v>
      </c>
      <c r="O51">
        <v>0</v>
      </c>
      <c r="P51">
        <f>J51+O51+N51</f>
        <v>18</v>
      </c>
      <c r="Q51">
        <f>P51*C$3</f>
        <v>22500</v>
      </c>
      <c r="R51">
        <v>0</v>
      </c>
      <c r="S51">
        <f>ROUND(SUM(Q51:R51), -2)</f>
        <v>22500</v>
      </c>
      <c r="T51">
        <f>ROUNDUP(HLOOKUP(ROUNDUP(K51,0),'배송비 조회'!A$10:U$22,7,0)*C$3,-2)</f>
        <v>9000</v>
      </c>
      <c r="U51">
        <v>0</v>
      </c>
      <c r="V51">
        <f>ROUND(IF(R51&gt;0,0,(S51+T51)*0.5),-2)</f>
        <v>15800</v>
      </c>
      <c r="W51">
        <f>ROUND(IF(R51&gt;0,0,(S51+T51)*0.5),-2)</f>
        <v>15800</v>
      </c>
      <c r="X51">
        <f>IF(R51&gt;0,SUM(S51:T51),SUM(S51:V51))</f>
        <v>47300</v>
      </c>
      <c r="Y51">
        <f>IF(R51&gt;0,SUM(S51:T51),SUM(S51:U51)+W51)</f>
        <v>47300</v>
      </c>
      <c r="Z51">
        <v>0</v>
      </c>
      <c r="AA51">
        <f>X51*0.038</f>
        <v>1797.3999999999999</v>
      </c>
      <c r="AB51">
        <f>X51*0.02</f>
        <v>946</v>
      </c>
      <c r="AC51">
        <f>Y51*0.1</f>
        <v>4730</v>
      </c>
      <c r="AD51">
        <f>X51-AA51-AB51</f>
        <v>44556.6</v>
      </c>
      <c r="AE51">
        <f>Y51-AC51</f>
        <v>42570</v>
      </c>
      <c r="AF51">
        <f>AD51*0.01</f>
        <v>445.566</v>
      </c>
      <c r="AG51">
        <f>AD51-Q51-AF51-T51</f>
        <v>12611.034</v>
      </c>
      <c r="AH51">
        <f>AE51-Q51-AF51-T51</f>
        <v>10624.434000000001</v>
      </c>
      <c r="AI51">
        <f>AG51/X51</f>
        <v>0.2666180549682875</v>
      </c>
      <c r="AJ51">
        <f>AH51/Y51</f>
        <v>0.22461805496828754</v>
      </c>
      <c r="AW51">
        <v>4481387667</v>
      </c>
    </row>
    <row r="52">
      <c r="F52" t="str">
        <v>Indigo</v>
      </c>
      <c r="G52" t="str">
        <f>HYPERLINK("https://www.amazon.com/Naturehike-Rainproof-Lightweight-Backpacking-Ultralight/dp/B07B3LDM4Y?th=1","A")</f>
        <v>A</v>
      </c>
      <c r="J52">
        <v>18</v>
      </c>
      <c r="K52">
        <f>IF(L52&gt;0,L52*0.0625,)</f>
        <v>0.15</v>
      </c>
      <c r="L52">
        <v>2.4</v>
      </c>
      <c r="M52">
        <f>IF(K52&gt;0,K52*0.453592,IF(L52&gt;0,L52*0.02835,))</f>
        <v>0.0680388</v>
      </c>
      <c r="N52">
        <v>0</v>
      </c>
      <c r="O52">
        <v>0</v>
      </c>
      <c r="P52">
        <f>J52+O52+N52</f>
        <v>18</v>
      </c>
      <c r="Q52">
        <f>P52*C$3</f>
        <v>22500</v>
      </c>
      <c r="R52">
        <v>0</v>
      </c>
      <c r="S52">
        <f>ROUND(SUM(Q52:R52), -2)</f>
        <v>22500</v>
      </c>
      <c r="T52">
        <f>ROUNDUP(HLOOKUP(ROUNDUP(K52,0),'배송비 조회'!A$10:U$22,7,0)*C$3,-2)</f>
        <v>9000</v>
      </c>
      <c r="U52">
        <v>0</v>
      </c>
      <c r="V52">
        <f>ROUND(IF(R52&gt;0,0,(S52+T52)*0.5),-2)</f>
        <v>15800</v>
      </c>
      <c r="W52">
        <f>ROUND(IF(R52&gt;0,0,(S52+T52)*0.5),-2)</f>
        <v>15800</v>
      </c>
      <c r="X52">
        <f>IF(R52&gt;0,SUM(S52:T52),SUM(S52:V52))</f>
        <v>47300</v>
      </c>
      <c r="Y52">
        <f>IF(R52&gt;0,SUM(S52:T52),SUM(S52:U52)+W52)</f>
        <v>47300</v>
      </c>
      <c r="Z52">
        <v>0</v>
      </c>
      <c r="AA52">
        <f>X52*0.038</f>
        <v>1797.3999999999999</v>
      </c>
      <c r="AB52">
        <f>X52*0.02</f>
        <v>946</v>
      </c>
      <c r="AC52">
        <f>Y52*0.1</f>
        <v>4730</v>
      </c>
      <c r="AD52">
        <f>X52-AA52-AB52</f>
        <v>44556.6</v>
      </c>
      <c r="AE52">
        <f>Y52-AC52</f>
        <v>42570</v>
      </c>
      <c r="AF52">
        <f>AD52*0.01</f>
        <v>445.566</v>
      </c>
      <c r="AG52">
        <f>AD52-Q52-AF52-T52</f>
        <v>12611.034</v>
      </c>
      <c r="AH52">
        <f>AE52-Q52-AF52-T52</f>
        <v>10624.434000000001</v>
      </c>
      <c r="AI52">
        <f>AG52/X52</f>
        <v>0.2666180549682875</v>
      </c>
      <c r="AJ52">
        <f>AH52/Y52</f>
        <v>0.22461805496828754</v>
      </c>
    </row>
    <row r="53">
      <c r="F53" t="str">
        <v>Black</v>
      </c>
      <c r="G53" t="str">
        <f>HYPERLINK("https://www.amazon.com/Naturehike-Rainproof-Lightweight-Backpacking-Ultralight/dp/B0732V45RJ?th=1","A")</f>
        <v>A</v>
      </c>
      <c r="J53">
        <v>18</v>
      </c>
      <c r="K53">
        <f>IF(L53&gt;0,L53*0.0625,)</f>
        <v>0.15</v>
      </c>
      <c r="L53">
        <v>2.4</v>
      </c>
      <c r="M53">
        <f>IF(K53&gt;0,K53*0.453592,IF(L53&gt;0,L53*0.02835,))</f>
        <v>0.0680388</v>
      </c>
      <c r="N53">
        <v>0</v>
      </c>
      <c r="O53">
        <v>0</v>
      </c>
      <c r="P53">
        <f>J53+O53+N53</f>
        <v>18</v>
      </c>
      <c r="Q53">
        <f>P53*C$3</f>
        <v>22500</v>
      </c>
      <c r="R53">
        <v>0</v>
      </c>
      <c r="S53">
        <f>ROUND(SUM(Q53:R53), -2)</f>
        <v>22500</v>
      </c>
      <c r="T53">
        <f>ROUNDUP(HLOOKUP(ROUNDUP(K53,0),'배송비 조회'!A$10:U$22,7,0)*C$3,-2)</f>
        <v>9000</v>
      </c>
      <c r="U53">
        <v>0</v>
      </c>
      <c r="V53">
        <f>ROUND(IF(R53&gt;0,0,(S53+T53)*0.5),-2)</f>
        <v>15800</v>
      </c>
      <c r="W53">
        <f>ROUND(IF(R53&gt;0,0,(S53+T53)*0.5),-2)</f>
        <v>15800</v>
      </c>
      <c r="X53">
        <f>IF(R53&gt;0,SUM(S53:T53),SUM(S53:V53))</f>
        <v>47300</v>
      </c>
      <c r="Y53">
        <f>IF(R53&gt;0,SUM(S53:T53),SUM(S53:U53)+W53)</f>
        <v>47300</v>
      </c>
      <c r="Z53">
        <v>0</v>
      </c>
      <c r="AA53">
        <f>X53*0.038</f>
        <v>1797.3999999999999</v>
      </c>
      <c r="AB53">
        <f>X53*0.02</f>
        <v>946</v>
      </c>
      <c r="AC53">
        <f>Y53*0.1</f>
        <v>4730</v>
      </c>
      <c r="AD53">
        <f>X53-AA53-AB53</f>
        <v>44556.6</v>
      </c>
      <c r="AE53">
        <f>Y53-AC53</f>
        <v>42570</v>
      </c>
      <c r="AF53">
        <f>AD53*0.01</f>
        <v>445.566</v>
      </c>
      <c r="AG53">
        <f>AD53-Q53-AF53-T53</f>
        <v>12611.034</v>
      </c>
      <c r="AH53">
        <f>AE53-Q53-AF53-T53</f>
        <v>10624.434000000001</v>
      </c>
      <c r="AI53">
        <f>AG53/X53</f>
        <v>0.2666180549682875</v>
      </c>
      <c r="AJ53">
        <f>AH53/Y53</f>
        <v>0.22461805496828754</v>
      </c>
    </row>
    <row r="54">
      <c r="A54">
        <f>HYPERLINK("https://smartstore.naver.com/brickstore2019/products/4485348163",AW:AW)</f>
        <v>4485348163</v>
      </c>
      <c r="C54" t="str">
        <v>Klymit 클라이미트 아웃도어 캠핑배게, 여행, 휴대용배게, 공기배게</v>
      </c>
      <c r="E54" t="str">
        <v>Klymit 12PLTL01D, Pillow Large, Turquoise</v>
      </c>
      <c r="G54" t="str">
        <v>A</v>
      </c>
      <c r="J54">
        <v>30</v>
      </c>
      <c r="K54">
        <f>IF(L54&gt;0,L54*0.0625,)</f>
        <v>0.0375</v>
      </c>
      <c r="L54">
        <v>0.6</v>
      </c>
      <c r="M54">
        <f>IF(K54&gt;0,K54*0.453592,IF(L54&gt;0,L54*0.02835,))</f>
        <v>0.0170097</v>
      </c>
      <c r="N54">
        <v>0</v>
      </c>
      <c r="O54">
        <v>0</v>
      </c>
      <c r="P54">
        <f>J54+O54+N54</f>
        <v>30</v>
      </c>
      <c r="Q54">
        <f>P54*C$3</f>
        <v>37500</v>
      </c>
      <c r="R54">
        <v>0</v>
      </c>
      <c r="S54">
        <f>ROUND(SUM(Q54:R54), -2)</f>
        <v>37500</v>
      </c>
      <c r="T54">
        <f>ROUNDUP(HLOOKUP(ROUNDUP(K54,0),'배송비 조회'!A$10:U$22,7,0)*C$3,-2)</f>
        <v>9000</v>
      </c>
      <c r="U54">
        <v>0</v>
      </c>
      <c r="V54">
        <f>ROUND(IF(R54&gt;0,0,(S54+T54)*0.4),-2)</f>
        <v>18600</v>
      </c>
      <c r="W54">
        <f>ROUND(IF(R54&gt;0,0,(S54+T54)*0.5),-2)</f>
        <v>23300</v>
      </c>
      <c r="X54">
        <f>IF(R54&gt;0,SUM(S54:T54),SUM(S54:V54))</f>
        <v>65100</v>
      </c>
      <c r="Y54">
        <f>IF(R54&gt;0,SUM(S54:T54),SUM(S54:U54)+W54)</f>
        <v>69800</v>
      </c>
      <c r="Z54">
        <v>0</v>
      </c>
      <c r="AA54">
        <f>X54*0.038</f>
        <v>2473.7999999999997</v>
      </c>
      <c r="AB54">
        <f>X54*0.02</f>
        <v>1302</v>
      </c>
      <c r="AC54">
        <f>Y54*0.1</f>
        <v>6980</v>
      </c>
      <c r="AD54">
        <f>X54-AA54-AB54</f>
        <v>61324.2</v>
      </c>
      <c r="AE54">
        <f>Y54-AC54</f>
        <v>62820</v>
      </c>
      <c r="AF54">
        <f>AD54*0.01</f>
        <v>613.242</v>
      </c>
      <c r="AG54">
        <f>AD54-Q54-AF54-T54</f>
        <v>14210.957999999999</v>
      </c>
      <c r="AH54">
        <f>AE54-Q54-AF54-T54</f>
        <v>15706.758000000002</v>
      </c>
      <c r="AI54">
        <f>AG54/X54</f>
        <v>0.2182942857142857</v>
      </c>
      <c r="AJ54">
        <f>AH54/Y54</f>
        <v>0.22502518624641837</v>
      </c>
      <c r="AW54">
        <v>4485348163</v>
      </c>
    </row>
    <row r="55">
      <c r="A55">
        <f>HYPERLINK("https://smartstore.naver.com/brickstore2019/products/4487723693",AW:AW)</f>
        <v>4487723693</v>
      </c>
      <c r="C55" t="str">
        <v>다크아이언 휘트니스 가죽 프로 무게 리프팅 허리 보호대 벨트 Dark Iron Belt</v>
      </c>
      <c r="E55" t="str">
        <v>Dark Iron Fitness Genuine Leather Pro Weight Lifting Belt for Men and Women | Durable Comfortable &amp; Adjustable with Buckle | Stabilizing Lower Back Support for Weightlifting</v>
      </c>
      <c r="G55" t="str">
        <f>HYPERLINK("https://www.amazon.com/dp/B015HHY17I/ref=sspa_dk_detail_0?th=1&amp;psc=1","A")</f>
        <v>A</v>
      </c>
      <c r="J55">
        <v>41</v>
      </c>
      <c r="K55">
        <v>1.6</v>
      </c>
      <c r="L55">
        <f>IF(K55&gt;0,K55*16,)</f>
        <v>25.6</v>
      </c>
      <c r="M55">
        <f>IF(K55&gt;0,K55*0.453592,IF(L55&gt;0,L55*0.02835,))</f>
        <v>0.7257472</v>
      </c>
      <c r="N55">
        <v>0</v>
      </c>
      <c r="O55">
        <v>0</v>
      </c>
      <c r="P55">
        <f>J55+O55+N55</f>
        <v>41</v>
      </c>
      <c r="Q55">
        <f>P55*C$3</f>
        <v>51250</v>
      </c>
      <c r="R55">
        <v>0</v>
      </c>
      <c r="S55">
        <f>ROUND(SUM(Q55:R55), -2)</f>
        <v>51300</v>
      </c>
      <c r="T55">
        <f>ROUNDUP(HLOOKUP(ROUNDUP(K55,0),'배송비 조회'!A$10:U$22,7,0)*C$3,-2)</f>
        <v>11200</v>
      </c>
      <c r="U55">
        <v>0</v>
      </c>
      <c r="V55">
        <f>ROUND(IF(R55&gt;0,0,(S55+T55)*0.3),-2)</f>
        <v>18800</v>
      </c>
      <c r="W55">
        <f>ROUND(IF(R55&gt;0,0,(S55+T55)*0.5),-2)</f>
        <v>31300</v>
      </c>
      <c r="X55">
        <f>IF(R55&gt;0,SUM(S55:T55),SUM(S55:V55))</f>
        <v>81300</v>
      </c>
      <c r="Y55">
        <f>IF(R55&gt;0,SUM(S55:T55),SUM(S55:U55)+W55)</f>
        <v>93800</v>
      </c>
      <c r="Z55">
        <v>0</v>
      </c>
      <c r="AA55">
        <f>X55*0.038</f>
        <v>3089.4</v>
      </c>
      <c r="AB55">
        <f>X55*0.02</f>
        <v>1626</v>
      </c>
      <c r="AC55">
        <f>Y55*0.1</f>
        <v>9380</v>
      </c>
      <c r="AD55">
        <f>X55-AA55-AB55</f>
        <v>76584.6</v>
      </c>
      <c r="AE55">
        <f>Y55-AC55</f>
        <v>84420</v>
      </c>
      <c r="AF55">
        <f>AD55*0.01</f>
        <v>765.8460000000001</v>
      </c>
      <c r="AG55">
        <f>AD55-Q55-AF55-T55</f>
        <v>13368.754000000004</v>
      </c>
      <c r="AH55">
        <f>AE55-Q55-AF55-T55</f>
        <v>21204.154</v>
      </c>
      <c r="AI55">
        <f>AG55/X55</f>
        <v>0.16443731857318578</v>
      </c>
      <c r="AJ55">
        <f>AH55/Y55</f>
        <v>0.22605707889125798</v>
      </c>
      <c r="AW55">
        <v>4487723693</v>
      </c>
    </row>
    <row r="56">
      <c r="A56">
        <f>HYPERLINK("https://smartstore.naver.com/brickstore2019/products/4489028770",AW:AW)</f>
        <v>4489028770</v>
      </c>
      <c r="C56" t="str">
        <v>요일별 오전오후 알약케이스 휴대용약통 Fit Healthy</v>
      </c>
      <c r="E56" t="str">
        <v>Fit &amp; Healthy Portable Pill Organizer Pod Containers</v>
      </c>
      <c r="G56" t="str">
        <v>A</v>
      </c>
      <c r="J56">
        <v>10</v>
      </c>
      <c r="K56">
        <f>IF(L56&gt;0,L56*0.0625,)</f>
        <v>0.4</v>
      </c>
      <c r="L56">
        <v>6.4</v>
      </c>
      <c r="M56">
        <f>IF(K56&gt;0,K56*0.453592,IF(L56&gt;0,L56*0.02835,))</f>
        <v>0.1814368</v>
      </c>
      <c r="N56">
        <v>0</v>
      </c>
      <c r="O56">
        <v>0</v>
      </c>
      <c r="P56">
        <f>J56+O56+N56</f>
        <v>10</v>
      </c>
      <c r="Q56">
        <f>P56*C$3</f>
        <v>12500</v>
      </c>
      <c r="R56">
        <v>0</v>
      </c>
      <c r="S56">
        <f>ROUND(SUM(Q56:R56), -2)</f>
        <v>12500</v>
      </c>
      <c r="T56">
        <f>ROUNDUP(HLOOKUP(ROUNDUP(K56,0),'배송비 조회'!A$10:U$22,7,0)*C$3,-2)</f>
        <v>9000</v>
      </c>
      <c r="U56">
        <v>0</v>
      </c>
      <c r="V56">
        <f>ROUND(IF(R56&gt;0,0,(S56+T56)*0.7),-2)</f>
        <v>15100</v>
      </c>
      <c r="W56">
        <f>ROUND(IF(R56&gt;0,0,(S56+T56)*0.5),-2)</f>
        <v>10800</v>
      </c>
      <c r="X56">
        <f>IF(R56&gt;0,SUM(S56:T56),SUM(S56:V56))</f>
        <v>36600</v>
      </c>
      <c r="Y56">
        <f>IF(R56&gt;0,SUM(S56:T56),SUM(S56:U56)+W56)</f>
        <v>32300</v>
      </c>
      <c r="Z56">
        <v>0</v>
      </c>
      <c r="AA56">
        <f>X56*0.038</f>
        <v>1390.8</v>
      </c>
      <c r="AB56">
        <f>X56*0.02</f>
        <v>732</v>
      </c>
      <c r="AC56">
        <f>Y56*0.1</f>
        <v>3230</v>
      </c>
      <c r="AD56">
        <f>X56-AA56-AB56</f>
        <v>34477.2</v>
      </c>
      <c r="AE56">
        <f>Y56-AC56</f>
        <v>29070</v>
      </c>
      <c r="AF56">
        <f>AD56*0.01</f>
        <v>344.772</v>
      </c>
      <c r="AG56">
        <f>AD56-Q56-AF56-T56</f>
        <v>12632.427999999996</v>
      </c>
      <c r="AH56">
        <f>AE56-Q56-AF56-T56</f>
        <v>7225.227999999999</v>
      </c>
      <c r="AI56">
        <f>AG56/X56</f>
        <v>0.3451483060109289</v>
      </c>
      <c r="AJ56">
        <f>AH56/Y56</f>
        <v>0.22369126934984518</v>
      </c>
      <c r="AW56">
        <v>4489028770</v>
      </c>
    </row>
    <row r="57">
      <c r="A57">
        <f>HYPERLINK("https://smartstore.naver.com/brickstore2019/products/4490573267",AW:AW)</f>
        <v>4490573267</v>
      </c>
      <c r="C57" t="str">
        <v>오토토 체,국자,티인퓨저 주방용품 네시 가족 OTOTO The Nessie Family</v>
      </c>
      <c r="E57" t="str">
        <v>The Nessie Family</v>
      </c>
      <c r="G57" t="str">
        <f>HYPERLINK("https://www.amazon.com/OTOTO-OT841-The-Nessie-Family/dp/B01D7EV496/ref=sr_1_6?crid=3KDB86CHCLLKJ&amp;keywords=ototo&amp;qid=1557104589&amp;s=gateway&amp;sprefix=ototo%2Caps%2C318&amp;sr=8-6","A")</f>
        <v>A</v>
      </c>
      <c r="J57">
        <v>38</v>
      </c>
      <c r="K57">
        <f>IF(L57&gt;0,L57*0.0625,)</f>
        <v>0.7</v>
      </c>
      <c r="L57">
        <v>11.2</v>
      </c>
      <c r="M57">
        <f>IF(K57&gt;0,K57*0.453592,IF(L57&gt;0,L57*0.02835,))</f>
        <v>0.3175144</v>
      </c>
      <c r="N57">
        <v>0</v>
      </c>
      <c r="O57">
        <v>0</v>
      </c>
      <c r="P57">
        <f>J57+O57+N57</f>
        <v>38</v>
      </c>
      <c r="Q57">
        <f>P57*C$3</f>
        <v>47500</v>
      </c>
      <c r="R57">
        <v>0</v>
      </c>
      <c r="S57">
        <f>ROUND(SUM(Q57:R57), -2)</f>
        <v>47500</v>
      </c>
      <c r="T57">
        <f>ROUNDUP(HLOOKUP(ROUNDUP(K57,0),'배송비 조회'!A$10:U$22,7,0)*C$3,-2)</f>
        <v>9000</v>
      </c>
      <c r="U57">
        <v>0</v>
      </c>
      <c r="V57">
        <f>ROUND(IF(R57&gt;0,0,(S57+T57)*0.3),-2)</f>
        <v>17000</v>
      </c>
      <c r="W57">
        <f>ROUND(IF(R57&gt;0,0,(S57+T57)*0.5),-2)</f>
        <v>28300</v>
      </c>
      <c r="X57">
        <f>IF(R57&gt;0,SUM(S57:T57),SUM(S57:V57))</f>
        <v>73500</v>
      </c>
      <c r="Y57">
        <f>IF(R57&gt;0,SUM(S57:T57),SUM(S57:U57)+W57)</f>
        <v>84800</v>
      </c>
      <c r="Z57">
        <v>0</v>
      </c>
      <c r="AA57">
        <f>X57*0.038</f>
        <v>2793</v>
      </c>
      <c r="AB57">
        <f>X57*0.02</f>
        <v>1470</v>
      </c>
      <c r="AC57">
        <f>Y57*0.1</f>
        <v>8480</v>
      </c>
      <c r="AD57">
        <f>X57-AA57-AB57</f>
        <v>69237</v>
      </c>
      <c r="AE57">
        <f>Y57-AC57</f>
        <v>76320</v>
      </c>
      <c r="AF57">
        <f>AD57*0.01</f>
        <v>692.37</v>
      </c>
      <c r="AG57">
        <f>AD57-Q57-AF57-T57</f>
        <v>12044.630000000001</v>
      </c>
      <c r="AH57">
        <f>AE57-Q57-AF57-T57</f>
        <v>19127.63</v>
      </c>
      <c r="AI57">
        <f>AG57/X57</f>
        <v>0.16387251700680275</v>
      </c>
      <c r="AJ57">
        <f>AH57/Y57</f>
        <v>0.2255616745283019</v>
      </c>
      <c r="AW57">
        <v>4490573267</v>
      </c>
    </row>
    <row r="58">
      <c r="A58">
        <f>HYPERLINK("https://smartstore.naver.com/brickstore2019/products/4490637043",AW:AW)</f>
        <v>4490637043</v>
      </c>
      <c r="C58" t="str">
        <v>Btunes BOSS 보스 QC15용 블루투스 어댑터 bluetooth adapter</v>
      </c>
      <c r="G58" t="str">
        <f>HYPERLINK("https://www.amazon.com/Wireless-Bluetooth-Adapter-Comfort-Headphones/dp/B0786VF6PS/ref=sr_1_3?keywords=BTunes+QC15&amp;qid=1556854176&amp;s=sporting-goods&amp;sr=8-3","A")</f>
        <v>A</v>
      </c>
      <c r="J58">
        <v>49</v>
      </c>
      <c r="K58">
        <f>IF(L58&gt;0,L58*0.0625,)</f>
        <v>0.18</v>
      </c>
      <c r="L58">
        <v>2.88</v>
      </c>
      <c r="M58">
        <f>IF(K58&gt;0,K58*0.453592,IF(L58&gt;0,L58*0.02835,))</f>
        <v>0.08164655999999999</v>
      </c>
      <c r="N58">
        <v>0</v>
      </c>
      <c r="O58">
        <v>0</v>
      </c>
      <c r="P58">
        <f>J58+O58+N58</f>
        <v>49</v>
      </c>
      <c r="Q58">
        <f>P58*C$3</f>
        <v>61250</v>
      </c>
      <c r="R58">
        <v>0</v>
      </c>
      <c r="S58">
        <f>ROUND(SUM(Q58:R58), -2)</f>
        <v>61300</v>
      </c>
      <c r="T58">
        <f>ROUNDUP(HLOOKUP(ROUNDUP(K58,0),'배송비 조회'!A$10:U$22,7,0)*C$3,-2)</f>
        <v>9000</v>
      </c>
      <c r="U58">
        <v>0</v>
      </c>
      <c r="V58">
        <f>ROUND(IF(R58&gt;0,0,(S58+T58)*0.3),-2)</f>
        <v>21100</v>
      </c>
      <c r="W58">
        <f>ROUND(IF(R58&gt;0,0,(S58+T58)*0.5),-2)</f>
        <v>35200</v>
      </c>
      <c r="X58">
        <f>IF(R58&gt;0,SUM(S58:T58),SUM(S58:V58))</f>
        <v>91400</v>
      </c>
      <c r="Y58">
        <f>IF(R58&gt;0,SUM(S58:T58),SUM(S58:U58)+W58)</f>
        <v>105500</v>
      </c>
      <c r="Z58">
        <v>0</v>
      </c>
      <c r="AA58">
        <f>X58*0.038</f>
        <v>3473.2</v>
      </c>
      <c r="AB58">
        <f>X58*0.02</f>
        <v>1828</v>
      </c>
      <c r="AC58">
        <f>Y58*0.1</f>
        <v>10550</v>
      </c>
      <c r="AD58">
        <f>X58-AA58-AB58</f>
        <v>86098.8</v>
      </c>
      <c r="AE58">
        <f>Y58-AC58</f>
        <v>94950</v>
      </c>
      <c r="AF58">
        <f>AD58*0.01</f>
        <v>860.988</v>
      </c>
      <c r="AG58">
        <f>AD58-Q58-AF58-T58</f>
        <v>14987.812000000002</v>
      </c>
      <c r="AH58">
        <f>AE58-Q58-AF58-T58</f>
        <v>23839.012000000002</v>
      </c>
      <c r="AI58">
        <f>AG58/X58</f>
        <v>0.1639804376367615</v>
      </c>
      <c r="AJ58">
        <f>AH58/Y58</f>
        <v>0.22596219905213272</v>
      </c>
      <c r="AW58">
        <v>4490637043</v>
      </c>
    </row>
    <row r="59">
      <c r="A59">
        <f>HYPERLINK("https://smartstore.naver.com/brickstore2019/products/4493373311",AW:AW)</f>
        <v>4493373311</v>
      </c>
      <c r="C59" t="str">
        <v>오리엔트 마코2 블랙 오토매틱 다이버시계 남자 시계</v>
      </c>
      <c r="E59" t="str">
        <v>Orient Men's 'Mako II' Japanese Automatic Stainless Steel Diving Watch</v>
      </c>
      <c r="G59" t="str">
        <f>HYPERLINK("https://www.amazon.com/Orient-Japanese-Automatic-Stainless-Diving/dp/B01AK5TQQ8/ref=sr_1_3?keywords=Mako%2BII&amp;qid=1557240383&amp;s=gateway&amp;sr=8-3&amp;th=1","A")</f>
        <v>A</v>
      </c>
      <c r="J59">
        <v>124</v>
      </c>
      <c r="K59">
        <f>IF(L59&gt;0,L59*0.0625,)</f>
        <v>0.7875</v>
      </c>
      <c r="L59">
        <v>12.6</v>
      </c>
      <c r="M59">
        <f>IF(K59&gt;0,K59*0.453592,IF(L59&gt;0,L59*0.02835,))</f>
        <v>0.3572037</v>
      </c>
      <c r="N59">
        <v>0</v>
      </c>
      <c r="O59">
        <v>0</v>
      </c>
      <c r="P59">
        <f>J59+O59+N59</f>
        <v>124</v>
      </c>
      <c r="Q59">
        <f>P59*C$3</f>
        <v>155000</v>
      </c>
      <c r="R59">
        <v>0</v>
      </c>
      <c r="S59">
        <f>ROUND(SUM(Q59:R59), -2)</f>
        <v>155000</v>
      </c>
      <c r="T59">
        <f>ROUNDUP(HLOOKUP(ROUNDUP(K59,0),'배송비 조회'!A$10:U$22,7,0)*C$3,-2)</f>
        <v>9000</v>
      </c>
      <c r="U59">
        <v>0</v>
      </c>
      <c r="V59">
        <f>ROUND(IF(R59&gt;0,0,(S59+T59)*0.3),-2)</f>
        <v>49200</v>
      </c>
      <c r="W59">
        <f>ROUND(IF(R59&gt;0,0,(S59+T59)*0.5),-2)</f>
        <v>82000</v>
      </c>
      <c r="X59">
        <f>IF(R59&gt;0,SUM(S59:T59),SUM(S59:V59))</f>
        <v>213200</v>
      </c>
      <c r="Y59">
        <f>IF(R59&gt;0,SUM(S59:T59),SUM(S59:U59)+W59)</f>
        <v>246000</v>
      </c>
      <c r="Z59">
        <v>0</v>
      </c>
      <c r="AA59">
        <f>X59*0.038</f>
        <v>8101.599999999999</v>
      </c>
      <c r="AB59">
        <f>X59*0.02</f>
        <v>4264</v>
      </c>
      <c r="AC59">
        <f>Y59*0.1</f>
        <v>24600</v>
      </c>
      <c r="AD59">
        <f>X59-AA59-AB59</f>
        <v>200834.4</v>
      </c>
      <c r="AE59">
        <f>Y59-AC59</f>
        <v>221400</v>
      </c>
      <c r="AF59">
        <f>AD59*0.01</f>
        <v>2008.344</v>
      </c>
      <c r="AG59">
        <f>AD59-Q59-AF59-T59</f>
        <v>34826.056</v>
      </c>
      <c r="AH59">
        <f>AE59-Q59-AF59-T59</f>
        <v>55391.656</v>
      </c>
      <c r="AI59">
        <f>AG59/X59</f>
        <v>0.16334923076923075</v>
      </c>
      <c r="AJ59">
        <f>AH59/Y59</f>
        <v>0.22516933333333333</v>
      </c>
      <c r="AW59">
        <v>4493373311</v>
      </c>
    </row>
    <row r="60">
      <c r="A60">
        <f>HYPERLINK("https://smartstore.naver.com/brickstore2019/products/4495852586",AW:AW)</f>
        <v>4495852586</v>
      </c>
      <c r="C60" t="str">
        <v>moft 맥북 태블릿 거치대 노트북 휴대용 스탠드</v>
      </c>
      <c r="E60" t="str">
        <v>MOFT Laptop Stand, Invisible Lightweight Laptop Computer Stand, Compatible with MacBook, Air, Pro, Tablets and Laptops up to 15.6”, Patented (Silvery)</v>
      </c>
      <c r="G60" t="str">
        <f>HYPERLINK("https://www.amazon.com/MOFT-Invisible-Lightweight-Computer-Compatible/dp/B07PRZBCD6/ref=sr_1_1_sspa?keywords=MOFT&amp;qid=1557326018&amp;s=gateway&amp;sr=8-1-spons&amp;psc=1","A")</f>
        <v>A</v>
      </c>
      <c r="J60">
        <v>25</v>
      </c>
      <c r="K60">
        <f>IF(L60&gt;0,L60*0.0625,)</f>
        <v>0.55</v>
      </c>
      <c r="L60">
        <v>8.8</v>
      </c>
      <c r="M60">
        <f>IF(K60&gt;0,K60*0.453592,IF(L60&gt;0,L60*0.02835,))</f>
        <v>0.24947560000000002</v>
      </c>
      <c r="N60">
        <v>0</v>
      </c>
      <c r="O60">
        <v>0</v>
      </c>
      <c r="P60">
        <f>J60+O60+N60</f>
        <v>25</v>
      </c>
      <c r="Q60">
        <f>P60*C$3</f>
        <v>31250</v>
      </c>
      <c r="R60">
        <v>0</v>
      </c>
      <c r="S60">
        <f>ROUND(SUM(Q60:R60), -2)</f>
        <v>31300</v>
      </c>
      <c r="T60">
        <f>ROUNDUP(HLOOKUP(ROUNDUP(K60,0),'배송비 조회'!A$10:U$22,7,0)*C$3,-2)</f>
        <v>9000</v>
      </c>
      <c r="U60">
        <v>0</v>
      </c>
      <c r="V60">
        <f>ROUND(IF(R60&gt;0,0,(S60+T60)*0.4),-2)</f>
        <v>16100</v>
      </c>
      <c r="W60">
        <f>ROUND(IF(R60&gt;0,0,(S60+T60)*0.5),-2)</f>
        <v>20200</v>
      </c>
      <c r="X60">
        <f>IF(R60&gt;0,SUM(S60:T60),SUM(S60:V60))</f>
        <v>56400</v>
      </c>
      <c r="Y60">
        <f>IF(R60&gt;0,SUM(S60:T60),SUM(S60:U60)+W60)</f>
        <v>60500</v>
      </c>
      <c r="Z60">
        <v>0</v>
      </c>
      <c r="AA60">
        <f>X60*0.038</f>
        <v>2143.2</v>
      </c>
      <c r="AB60">
        <f>X60*0.02</f>
        <v>1128</v>
      </c>
      <c r="AC60">
        <f>Y60*0.1</f>
        <v>6050</v>
      </c>
      <c r="AD60">
        <f>X60-AA60-AB60</f>
        <v>53128.8</v>
      </c>
      <c r="AE60">
        <f>Y60-AC60</f>
        <v>54450</v>
      </c>
      <c r="AF60">
        <f>AD60*0.01</f>
        <v>531.288</v>
      </c>
      <c r="AG60">
        <f>AD60-Q60-AF60-T60</f>
        <v>12347.512000000002</v>
      </c>
      <c r="AH60">
        <f>AE60-Q60-AF60-T60</f>
        <v>13668.712</v>
      </c>
      <c r="AI60">
        <f>AG60/X60</f>
        <v>0.21892751773049648</v>
      </c>
      <c r="AJ60">
        <f>AH60/Y60</f>
        <v>0.22592912396694215</v>
      </c>
      <c r="AW60">
        <v>4495852586</v>
      </c>
    </row>
    <row r="61" xml:space="preserve">
      <c r="A61">
        <f>HYPERLINK("https://smartstore.naver.com/brickstore2019/products/4497976143",AW:AW)</f>
        <v>4497976143</v>
      </c>
      <c r="B61" t="str">
        <f>HYPERLINK("https://www.coupang.com/vp/products/330190373?vendorItemId=5527079615","330190373")</f>
        <v>330190373</v>
      </c>
      <c r="C61" t="str">
        <v>쌤소나이트 테크토닉 라이프스타일 백팩 Samsonite Tectonic Backpack</v>
      </c>
      <c r="D61" t="str" xml:space="preserve">
        <v xml:space="preserve">쌤소나이트 테크토닉 라이프스타일 백팩_x000d_
</v>
      </c>
      <c r="E61" t="str">
        <v>Samsonite Tectonic Lifestyle Sweetwater Backpack</v>
      </c>
      <c r="F61" t="str">
        <v>Black</v>
      </c>
      <c r="G61" t="str">
        <f>HYPERLINK("https://www.amazon.com/dp/B07MJ838N9/ref=twister_B07MG8M4WL?_encoding=UTF8&amp;psc=1","A")</f>
        <v>A</v>
      </c>
      <c r="J61">
        <v>96</v>
      </c>
      <c r="K61">
        <v>4.5</v>
      </c>
      <c r="L61">
        <f>IF(K61&gt;0,K61*16,)</f>
        <v>72</v>
      </c>
      <c r="M61">
        <f>IF(K61&gt;0,K61*0.453592,IF(L61&gt;0,L61*0.02835,))</f>
        <v>2.041164</v>
      </c>
      <c r="N61">
        <v>0</v>
      </c>
      <c r="O61">
        <v>0</v>
      </c>
      <c r="P61">
        <f>J61+O61+N61</f>
        <v>96</v>
      </c>
      <c r="Q61">
        <f>P61*C$3</f>
        <v>120000</v>
      </c>
      <c r="R61">
        <v>0</v>
      </c>
      <c r="S61">
        <f>ROUND(SUM(Q61:R61), -2)</f>
        <v>120000</v>
      </c>
      <c r="T61">
        <f>ROUNDUP(HLOOKUP(ROUNDUP(K61,0),'배송비 조회'!A$10:U$22,7,0)*C$3,-2)</f>
        <v>17800</v>
      </c>
      <c r="U61">
        <v>0</v>
      </c>
      <c r="V61">
        <f>ROUND(IF(R61&gt;0,0,(S61+T61)*0.3),-2)</f>
        <v>41300</v>
      </c>
      <c r="W61">
        <f>ROUND(IF(R61&gt;0,0,(S61+T61)*0.4),-2)</f>
        <v>55100</v>
      </c>
      <c r="X61">
        <f>IF(R61&gt;0,SUM(S61:T61),SUM(S61:V61))</f>
        <v>179100</v>
      </c>
      <c r="Y61">
        <f>IF(R61&gt;0,SUM(S61:T61),SUM(S61:U61)+W61)</f>
        <v>192900</v>
      </c>
      <c r="Z61">
        <v>0</v>
      </c>
      <c r="AA61">
        <f>X61*0.038</f>
        <v>6805.8</v>
      </c>
      <c r="AB61">
        <f>X61*0.02</f>
        <v>3582</v>
      </c>
      <c r="AC61">
        <f>Y61*0.1</f>
        <v>19290</v>
      </c>
      <c r="AD61">
        <f>X61-AA61-AB61</f>
        <v>168712.2</v>
      </c>
      <c r="AE61">
        <f>Y61-AC61</f>
        <v>173610</v>
      </c>
      <c r="AF61">
        <f>AD61*0.01</f>
        <v>1687.122</v>
      </c>
      <c r="AG61">
        <f>AD61-Q61-AF61-T61</f>
        <v>29225.07800000001</v>
      </c>
      <c r="AH61">
        <f>AE61-Q61-AF61-T61</f>
        <v>34122.878</v>
      </c>
      <c r="AI61">
        <f>AG61/X61</f>
        <v>0.16317743160245676</v>
      </c>
      <c r="AJ61">
        <f>AH61/Y61</f>
        <v>0.1768941316744427</v>
      </c>
      <c r="AW61">
        <v>4497976143</v>
      </c>
    </row>
    <row r="62">
      <c r="F62" t="str">
        <v>Iron Grey</v>
      </c>
      <c r="G62" t="str">
        <f>HYPERLINK("https://www.amazon.com/Samsonite-Tectonic-Lifestyle-Sweetwater-Business/dp/B07M79W6TB/ref=sr_1_17?crid=MIYL9UN5LZ29&amp;keywords=samsonite%2Bbackpack&amp;qid=1557366068&amp;s=gateway&amp;sprefix=samso%2Caps%2C348&amp;sr=8-17&amp;th=1","A")</f>
        <v>A</v>
      </c>
      <c r="J62">
        <v>82</v>
      </c>
      <c r="K62">
        <v>4.5</v>
      </c>
      <c r="L62">
        <f>IF(K62&gt;0,K62*16,)</f>
        <v>72</v>
      </c>
      <c r="M62">
        <f>IF(K62&gt;0,K62*0.453592,IF(L62&gt;0,L62*0.02835,))</f>
        <v>2.041164</v>
      </c>
      <c r="N62">
        <v>0</v>
      </c>
      <c r="O62">
        <v>0</v>
      </c>
      <c r="P62">
        <f>J62+O62+N62</f>
        <v>82</v>
      </c>
      <c r="Q62">
        <f>P62*C$3</f>
        <v>102500</v>
      </c>
      <c r="R62">
        <v>0</v>
      </c>
      <c r="S62">
        <f>ROUND(SUM(Q62:R62), -2)</f>
        <v>102500</v>
      </c>
      <c r="T62">
        <f>ROUNDUP(HLOOKUP(ROUNDUP(K62,0),'배송비 조회'!A$10:U$22,7,0)*C$3,-2)</f>
        <v>17800</v>
      </c>
      <c r="U62">
        <v>0</v>
      </c>
      <c r="V62">
        <f>ROUND(IF(R62&gt;0,0,(S62+T62)*0.3),-2)</f>
        <v>36100</v>
      </c>
      <c r="W62">
        <f>ROUND(IF(R62&gt;0,0,(S62+T62)*0.4),-2)</f>
        <v>48100</v>
      </c>
      <c r="X62">
        <f>IF(R62&gt;0,SUM(S62:T62),SUM(S62:V62))</f>
        <v>156400</v>
      </c>
      <c r="Y62">
        <f>IF(R62&gt;0,SUM(S62:T62),SUM(S62:U62)+W62)</f>
        <v>168400</v>
      </c>
      <c r="Z62">
        <v>0</v>
      </c>
      <c r="AA62">
        <f>X62*0.038</f>
        <v>5943.2</v>
      </c>
      <c r="AB62">
        <f>X62*0.02</f>
        <v>3128</v>
      </c>
      <c r="AC62">
        <f>Y62*0.1</f>
        <v>16840</v>
      </c>
      <c r="AD62">
        <f>X62-AA62-AB62</f>
        <v>147328.8</v>
      </c>
      <c r="AE62">
        <f>Y62-AC62</f>
        <v>151560</v>
      </c>
      <c r="AF62">
        <f>AD62*0.01</f>
        <v>1473.288</v>
      </c>
      <c r="AG62">
        <f>AD62-Q62-AF62-T62</f>
        <v>25555.511999999988</v>
      </c>
      <c r="AH62">
        <f>AE62-Q62-AF62-T62</f>
        <v>29786.712</v>
      </c>
      <c r="AI62">
        <f>AG62/X62</f>
        <v>0.16339841432225055</v>
      </c>
      <c r="AJ62">
        <f>AH62/Y62</f>
        <v>0.17688071258907362</v>
      </c>
      <c r="AK62">
        <f>X62-X61</f>
        <v>-22700</v>
      </c>
    </row>
    <row r="63">
      <c r="A63">
        <f>HYPERLINK("https://smartstore.naver.com/brickstore2019/products/4504660679",AW:AW)</f>
        <v>4504660679</v>
      </c>
      <c r="C63" t="str">
        <v>스털링 오리지날 남자 다이버 시계 Stuhrling Dive Watch 3950A</v>
      </c>
      <c r="E63" t="str">
        <v>Stuhrling Original Mens Dive Watch - Pro Sport Diver with Screw Down Crown and Water Resistant to 330 Ft. - Analog Dial, Quartz Movement - Depthmaster Watches for Men Collection</v>
      </c>
      <c r="G63" t="str">
        <f>HYPERLINK("https://www.amazon.com/Stuhrling-Original-Blue-Watches-Men/dp/B07H3C1TRK/ref=sr_1_23?keywords=diver+watch&amp;qid=1557756216&amp;refinements=p_72%3A2661618011&amp;rnid=2661617011&amp;s=gateway&amp;sr=8-23","A")</f>
        <v>A</v>
      </c>
      <c r="J63">
        <v>59.95</v>
      </c>
      <c r="K63">
        <f>IF(L63&gt;0,L63*0.0625,)</f>
        <v>0.95</v>
      </c>
      <c r="L63">
        <v>15.2</v>
      </c>
      <c r="M63">
        <f>IF(K63&gt;0,K63*0.453592,IF(L63&gt;0,L63*0.02835,))</f>
        <v>0.4309124</v>
      </c>
      <c r="N63">
        <v>0</v>
      </c>
      <c r="O63">
        <v>0</v>
      </c>
      <c r="P63">
        <f>J63+O63+N63</f>
        <v>59.95</v>
      </c>
      <c r="Q63">
        <f>P63*C$3</f>
        <v>74937.5</v>
      </c>
      <c r="R63">
        <v>0</v>
      </c>
      <c r="S63">
        <f>ROUND(SUM(Q63:R63), -2)</f>
        <v>74900</v>
      </c>
      <c r="T63">
        <f>ROUNDUP(HLOOKUP(ROUNDUP(K63,0),'배송비 조회'!A$10:U$22,7,0)*C$3,-2)</f>
        <v>9000</v>
      </c>
      <c r="U63">
        <v>0</v>
      </c>
      <c r="V63">
        <f>ROUND(IF(R63&gt;0,0,(S63+T63)*0.3),-2)</f>
        <v>25200</v>
      </c>
      <c r="W63">
        <f>ROUND(IF(R63&gt;0,0,(S63+T63)*0.5),-2)</f>
        <v>42000</v>
      </c>
      <c r="X63">
        <f>IF(R63&gt;0,SUM(S63:T63),SUM(S63:V63))</f>
        <v>109100</v>
      </c>
      <c r="Y63">
        <f>IF(R63&gt;0,SUM(S63:T63),SUM(S63:U63)+W63)</f>
        <v>125900</v>
      </c>
      <c r="Z63">
        <v>0</v>
      </c>
      <c r="AA63">
        <f>X63*0.038</f>
        <v>4145.8</v>
      </c>
      <c r="AB63">
        <f>X63*0.02</f>
        <v>2182</v>
      </c>
      <c r="AC63">
        <f>Y63*0.1</f>
        <v>12590</v>
      </c>
      <c r="AD63">
        <f>X63-AA63-AB63</f>
        <v>102772.2</v>
      </c>
      <c r="AE63">
        <f>Y63-AC63</f>
        <v>113310</v>
      </c>
      <c r="AF63">
        <f>AD63*0.01</f>
        <v>1027.722</v>
      </c>
      <c r="AG63">
        <f>AD63-Q63-AF63-T63</f>
        <v>17806.977999999996</v>
      </c>
      <c r="AH63">
        <f>AE63-Q63-AF63-T63</f>
        <v>28344.778</v>
      </c>
      <c r="AI63">
        <f>AG63/X63</f>
        <v>0.16321703024747933</v>
      </c>
      <c r="AJ63">
        <f>AH63/Y63</f>
        <v>0.2251372359015091</v>
      </c>
      <c r="AW63">
        <v>4504660679</v>
      </c>
    </row>
    <row r="64">
      <c r="A64">
        <f>HYPERLINK("https://smartstore.naver.com/brickstore2019/products/4506808210",AW:AW)</f>
        <v>4506808210</v>
      </c>
      <c r="C64" t="str">
        <v>Inateck 노트북 비즈니스 백팩 CB1001 Inateck Backpack</v>
      </c>
      <c r="E64" t="str">
        <v>Inateck Laptop Backpack with USB Charging Port, Anti-Theft Business Travel Backpack Fits Up to 15 Inch Laptops and 15.4" Macbook Pro Retina, College Rucksack with Rain Cover and Luggage Belt</v>
      </c>
      <c r="G64" t="str">
        <f>HYPERLINK("https://www.amazon.com/Inateck-Backpack-Charging-Anti-Theft-Business/dp/B073TRT9MM/ref=sr_1_7?keywords=inateck&amp;qid=1557808475&amp;s=gateway&amp;sr=8-7","A")</f>
        <v>A</v>
      </c>
      <c r="H64" t="str">
        <v>품절</v>
      </c>
      <c r="J64">
        <v>29.99</v>
      </c>
      <c r="K64">
        <v>2.54</v>
      </c>
      <c r="L64">
        <f>IF(K64&gt;0,K64*16,)</f>
        <v>40.64</v>
      </c>
      <c r="M64">
        <f>IF(K64&gt;0,K64*0.453592,IF(L64&gt;0,L64*0.02835,))</f>
        <v>1.15212368</v>
      </c>
      <c r="N64">
        <v>0</v>
      </c>
      <c r="O64">
        <v>0</v>
      </c>
      <c r="P64">
        <f>J64+O64+N64</f>
        <v>29.99</v>
      </c>
      <c r="Q64">
        <f>P64*C$3</f>
        <v>37487.5</v>
      </c>
      <c r="R64">
        <v>0</v>
      </c>
      <c r="S64">
        <f>ROUND(SUM(Q64:R64), -2)</f>
        <v>37500</v>
      </c>
      <c r="T64">
        <f>ROUNDUP(HLOOKUP(ROUNDUP(K64,0),'배송비 조회'!A$10:U$22,7,0)*C$3,-2)</f>
        <v>13400</v>
      </c>
      <c r="U64">
        <v>0</v>
      </c>
      <c r="V64">
        <f>ROUND(IF(R64&gt;0,0,(S64+T64)*0.4),-2)</f>
        <v>20400</v>
      </c>
      <c r="W64">
        <f>ROUND(IF(R64&gt;0,0,(S64+T64)*0.5),-2)</f>
        <v>25500</v>
      </c>
      <c r="X64">
        <f>IF(R64&gt;0,SUM(S64:T64),SUM(S64:V64))</f>
        <v>71300</v>
      </c>
      <c r="Y64">
        <f>IF(R64&gt;0,SUM(S64:T64),SUM(S64:U64)+W64)</f>
        <v>76400</v>
      </c>
      <c r="Z64">
        <v>0</v>
      </c>
      <c r="AA64">
        <f>X64*0.038</f>
        <v>2709.4</v>
      </c>
      <c r="AB64">
        <f>X64*0.02</f>
        <v>1426</v>
      </c>
      <c r="AC64">
        <f>Y64*0.1</f>
        <v>7640</v>
      </c>
      <c r="AD64">
        <f>X64-AA64-AB64</f>
        <v>67164.6</v>
      </c>
      <c r="AE64">
        <f>Y64-AC64</f>
        <v>68760</v>
      </c>
      <c r="AF64">
        <f>AD64*0.01</f>
        <v>671.6460000000001</v>
      </c>
      <c r="AG64">
        <f>AD64-Q64-AF64-T64</f>
        <v>15605.454000000005</v>
      </c>
      <c r="AH64">
        <f>AE64-Q64-AF64-T64</f>
        <v>17200.854</v>
      </c>
      <c r="AI64">
        <f>AG64/X64</f>
        <v>0.21887032258064523</v>
      </c>
      <c r="AJ64">
        <f>AH64/Y64</f>
        <v>0.22514206806282722</v>
      </c>
      <c r="AW64">
        <v>4506808210</v>
      </c>
    </row>
    <row r="65">
      <c r="A65">
        <f>HYPERLINK("https://smartstore.naver.com/brickstore2019/products/4508992508",AW:AW)</f>
        <v>4508992508</v>
      </c>
      <c r="C65" t="str">
        <v>AMINY 아미니 블루투스5.0 무선 이어폰 5647447917</v>
      </c>
      <c r="E65" t="str">
        <v>Wireless Earbuds, AMINY U-Winner Bluetooth 5.0 True Wireless Bluetooth Earbuds with Charging Case 20H Play time 3D Stereo Sound Wireless Headphones for iOS Android, Built-in Microphone</v>
      </c>
      <c r="G65" t="str">
        <f>HYPERLINK("https://www.amazon.com/gp/product/B07FYZGWF4/ref=ox_sc_act_title_1?smid=A2JV2KUEM1HQH&amp;psc=1","A")</f>
        <v>A</v>
      </c>
      <c r="J65">
        <v>26</v>
      </c>
      <c r="K65">
        <f>IF(L65&gt;0,L65*0.0625,)</f>
        <v>0.4</v>
      </c>
      <c r="L65">
        <v>6.4</v>
      </c>
      <c r="M65">
        <f>IF(K65&gt;0,K65*0.453592,IF(L65&gt;0,L65*0.02835,))</f>
        <v>0.1814368</v>
      </c>
      <c r="N65">
        <v>0</v>
      </c>
      <c r="O65">
        <v>0</v>
      </c>
      <c r="P65">
        <f>J65+O65+N65</f>
        <v>26</v>
      </c>
      <c r="Q65">
        <f>P65*C$3</f>
        <v>32500</v>
      </c>
      <c r="R65">
        <v>0</v>
      </c>
      <c r="S65">
        <f>ROUND(SUM(Q65:R65), -2)</f>
        <v>32500</v>
      </c>
      <c r="T65">
        <f>ROUNDUP(HLOOKUP(ROUNDUP(K65,0),'배송비 조회'!A$10:U$22,7,0)*C$3,-2)</f>
        <v>9000</v>
      </c>
      <c r="U65">
        <v>0</v>
      </c>
      <c r="V65">
        <f>ROUND(IF(R65&gt;0,0,(S65+T65)*0.5),-2)</f>
        <v>20800</v>
      </c>
      <c r="W65">
        <f>ROUND(IF(R65&gt;0,0,(S65+T65)*0.5),-2)</f>
        <v>20800</v>
      </c>
      <c r="X65">
        <f>IF(R65&gt;0,SUM(S65:T65),SUM(S65:V65))</f>
        <v>62300</v>
      </c>
      <c r="Y65">
        <f>IF(R65&gt;0,SUM(S65:T65),SUM(S65:U65)+W65)</f>
        <v>62300</v>
      </c>
      <c r="Z65">
        <v>0</v>
      </c>
      <c r="AA65">
        <f>X65*0.038</f>
        <v>2367.4</v>
      </c>
      <c r="AB65">
        <f>X65*0.02</f>
        <v>1246</v>
      </c>
      <c r="AC65">
        <f>Y65*0.1</f>
        <v>6230</v>
      </c>
      <c r="AD65">
        <f>X65-AA65-AB65</f>
        <v>58686.6</v>
      </c>
      <c r="AE65">
        <f>Y65-AC65</f>
        <v>56070</v>
      </c>
      <c r="AF65">
        <f>AD65*0.01</f>
        <v>586.866</v>
      </c>
      <c r="AG65">
        <f>AD65-Q65-AF65-T65</f>
        <v>16599.733999999997</v>
      </c>
      <c r="AH65">
        <f>AE65-Q65-AF65-T65</f>
        <v>13983.133999999998</v>
      </c>
      <c r="AI65">
        <f>AG65/X65</f>
        <v>0.26644837881219896</v>
      </c>
      <c r="AJ65">
        <f>AH65/Y65</f>
        <v>0.224448378812199</v>
      </c>
      <c r="AW65">
        <v>4508992508</v>
      </c>
    </row>
    <row r="66">
      <c r="A66">
        <f>HYPERLINK("https://smartstore.naver.com/brickstore2019/products/4514149656",AW:AW)</f>
        <v>4514149656</v>
      </c>
      <c r="C66" t="str">
        <v>모킨 USB-C 허브 (MOKiN USB-C HDMI Adapter)</v>
      </c>
      <c r="E66" t="str">
        <v xml:space="preserve">USB C HDMI Adapter for MacBook Pro 2016/2017, 5 in 1 USB-C to HDMI Output, Sd+Microsd Card Reader and 2-Ports USB 3.0 </v>
      </c>
      <c r="G66" t="str">
        <f>HYPERLINK("https://www.amazon.com/Adapter-MacBook-Output-MicroSD-2-Ports/dp/B074J79WWJ?th=1","A")</f>
        <v>A</v>
      </c>
      <c r="J66">
        <v>26</v>
      </c>
      <c r="K66">
        <f>IF(L66&gt;0,L66*0.0625,)</f>
        <v>0.15</v>
      </c>
      <c r="L66">
        <v>2.4</v>
      </c>
      <c r="M66">
        <f>IF(K66&gt;0,K66*0.453592,IF(L66&gt;0,L66*0.02835,))</f>
        <v>0.0680388</v>
      </c>
      <c r="N66">
        <v>0</v>
      </c>
      <c r="O66">
        <v>0</v>
      </c>
      <c r="P66">
        <f>J66+O66+N66</f>
        <v>26</v>
      </c>
      <c r="Q66">
        <f>P66*C$3</f>
        <v>32500</v>
      </c>
      <c r="R66">
        <v>0</v>
      </c>
      <c r="S66">
        <f>ROUND(SUM(Q66:R66), -2)</f>
        <v>32500</v>
      </c>
      <c r="T66">
        <f>ROUNDUP(HLOOKUP(ROUNDUP(K66,0),'배송비 조회'!A$10:U$22,7,0)*C$3,-2)</f>
        <v>9000</v>
      </c>
      <c r="U66">
        <v>0</v>
      </c>
      <c r="V66">
        <f>ROUND(IF(R66&gt;0,0,(S66+T66)*0.4),-2)</f>
        <v>16600</v>
      </c>
      <c r="W66">
        <f>ROUND(IF(R66&gt;0,0,(S66+T66)*0.5),-2)</f>
        <v>20800</v>
      </c>
      <c r="X66">
        <f>IF(R66&gt;0,SUM(S66:T66),SUM(S66:V66))</f>
        <v>58100</v>
      </c>
      <c r="Y66">
        <f>IF(R66&gt;0,SUM(S66:T66),SUM(S66:U66)+W66)</f>
        <v>62300</v>
      </c>
      <c r="Z66">
        <v>0</v>
      </c>
      <c r="AA66">
        <f>X66*0.038</f>
        <v>2207.7999999999997</v>
      </c>
      <c r="AB66">
        <f>X66*0.02</f>
        <v>1162</v>
      </c>
      <c r="AC66">
        <f>Y66*0.1</f>
        <v>6230</v>
      </c>
      <c r="AD66">
        <f>X66-AA66-AB66</f>
        <v>54730.2</v>
      </c>
      <c r="AE66">
        <f>Y66-AC66</f>
        <v>56070</v>
      </c>
      <c r="AF66">
        <f>AD66*0.01</f>
        <v>547.302</v>
      </c>
      <c r="AG66">
        <f>AD66-Q66-AF66-T66</f>
        <v>12682.897999999997</v>
      </c>
      <c r="AH66">
        <f>AE66-Q66-AF66-T66</f>
        <v>14022.698</v>
      </c>
      <c r="AI66">
        <f>AG66/X66</f>
        <v>0.21829428571428566</v>
      </c>
      <c r="AJ66">
        <f>AH66/Y66</f>
        <v>0.22508343499197433</v>
      </c>
      <c r="AW66">
        <v>4514149656</v>
      </c>
    </row>
    <row r="67">
      <c r="A67">
        <f>HYPERLINK("https://smartstore.naver.com/brickstore2019/products/4515118468",AW:AW)</f>
        <v>4515118468</v>
      </c>
      <c r="C67" t="str">
        <v>티쏘 남자 가죽 시계 TISSOT PR100 T1014512603100</v>
      </c>
      <c r="E67" t="str">
        <v>TISSOT PR100 Silver Dial Brown Leather Men's Watch T1014512603100</v>
      </c>
      <c r="G67" t="str">
        <f>HYPERLINK("https://www.amazon.com/Tissot-PR100-Leather-Watch-T1014512603100/dp/B018KDUJB8/ref=sr_1_1?keywords=T1014512603100&amp;qid=1558272896&amp;s=gateway&amp;sr=8-1","A")</f>
        <v>A</v>
      </c>
      <c r="H67" t="str">
        <f>HYPERLINK("https://www.jomashop.com/tissot-watch-t101-451-26-031-00.html","J")</f>
        <v>J</v>
      </c>
      <c r="J67">
        <v>176</v>
      </c>
      <c r="K67">
        <f>IF(L67&gt;0,L67*0.0625,)</f>
        <v>0.4</v>
      </c>
      <c r="L67">
        <v>6.4</v>
      </c>
      <c r="M67">
        <f>IF(K67&gt;0,K67*0.453592,IF(L67&gt;0,L67*0.02835,))</f>
        <v>0.1814368</v>
      </c>
      <c r="N67">
        <v>0</v>
      </c>
      <c r="O67">
        <v>0</v>
      </c>
      <c r="P67">
        <f>J67+O67+N67</f>
        <v>176</v>
      </c>
      <c r="Q67">
        <f>P67*C$3</f>
        <v>220000</v>
      </c>
      <c r="R67">
        <v>0</v>
      </c>
      <c r="S67">
        <f>ROUND(SUM(Q67:R67), -2)</f>
        <v>220000</v>
      </c>
      <c r="T67">
        <f>ROUNDUP(HLOOKUP(ROUNDUP(K67,0),'배송비 조회'!A$10:U$22,7,0)*C$3,-2)</f>
        <v>9000</v>
      </c>
      <c r="U67">
        <v>0</v>
      </c>
      <c r="V67">
        <f>ROUND(IF(R67&gt;0,0,(S67+T67)*0.3),-2)</f>
        <v>68700</v>
      </c>
      <c r="W67">
        <f>ROUND(IF(R67&gt;0,0,(S67+T67)*0.5),-2)</f>
        <v>114500</v>
      </c>
      <c r="X67">
        <f>IF(R67&gt;0,SUM(S67:T67),SUM(S67:V67))</f>
        <v>297700</v>
      </c>
      <c r="Y67">
        <f>IF(R67&gt;0,SUM(S67:T67),SUM(S67:U67)+W67)</f>
        <v>343500</v>
      </c>
      <c r="Z67">
        <v>0</v>
      </c>
      <c r="AA67">
        <f>X67*0.038</f>
        <v>11312.6</v>
      </c>
      <c r="AB67">
        <f>X67*0.02</f>
        <v>5954</v>
      </c>
      <c r="AC67">
        <f>Y67*0.1</f>
        <v>34350</v>
      </c>
      <c r="AD67">
        <f>X67-AA67-AB67</f>
        <v>280433.4</v>
      </c>
      <c r="AE67">
        <f>Y67-AC67</f>
        <v>309150</v>
      </c>
      <c r="AF67">
        <f>AD67*0.01</f>
        <v>2804.3340000000003</v>
      </c>
      <c r="AG67">
        <f>AD67-Q67-AF67-T67</f>
        <v>48629.06600000002</v>
      </c>
      <c r="AH67">
        <f>AE67-Q67-AF67-T67</f>
        <v>77345.666</v>
      </c>
      <c r="AI67">
        <f>AG67/X67</f>
        <v>0.16334923076923083</v>
      </c>
      <c r="AJ67">
        <f>AH67/Y67</f>
        <v>0.22516933333333333</v>
      </c>
      <c r="AW67">
        <v>4515118468</v>
      </c>
    </row>
    <row r="68">
      <c r="A68">
        <f>HYPERLINK("https://smartstore.naver.com/brickstore2019/products/4516651523",AW:AW)</f>
        <v>4516651523</v>
      </c>
      <c r="C68" t="str">
        <v>샘소나이트 오픈로드 랩탑 15.6 브리프 케이스 Samsonite OpenRoad Briefcase</v>
      </c>
      <c r="E68" t="str">
        <v>Samsonite OpenRoad Laptop 15.6" Briefcase</v>
      </c>
      <c r="F68" t="str">
        <v>Jet Black</v>
      </c>
      <c r="G68" t="str">
        <f>HYPERLINK("https://www.amazon.com/dp/B074R76HV7/ref=twister_B07GB5XHP4?_encoding=UTF8&amp;th=1","A")</f>
        <v>A</v>
      </c>
      <c r="J68">
        <v>140</v>
      </c>
      <c r="K68">
        <v>3.6</v>
      </c>
      <c r="L68">
        <f>IF(K68&gt;0,K68*16,)</f>
        <v>57.6</v>
      </c>
      <c r="M68">
        <f>IF(K68&gt;0,K68*0.453592,IF(L68&gt;0,L68*0.02835,))</f>
        <v>1.6329312</v>
      </c>
      <c r="N68">
        <v>0</v>
      </c>
      <c r="O68">
        <v>0</v>
      </c>
      <c r="P68">
        <f>J68+O68+N68</f>
        <v>140</v>
      </c>
      <c r="Q68">
        <f>P68*C$3</f>
        <v>175000</v>
      </c>
      <c r="R68">
        <v>0</v>
      </c>
      <c r="S68">
        <f>ROUND(SUM(Q68:R68), -2)</f>
        <v>175000</v>
      </c>
      <c r="T68">
        <f>ROUNDUP(HLOOKUP(ROUNDUP(K68,0),'배송비 조회'!A$10:U$22,7,0)*C$3,-2)</f>
        <v>15600</v>
      </c>
      <c r="U68">
        <v>0</v>
      </c>
      <c r="V68">
        <f>ROUND(IF(R68&gt;0,0,(S68+T68)*0.3),-2)</f>
        <v>57200</v>
      </c>
      <c r="W68">
        <f>ROUND(IF(R68&gt;0,0,(S68+T68)*0.5),-2)</f>
        <v>95300</v>
      </c>
      <c r="X68">
        <f>IF(R68&gt;0,SUM(S68:T68),SUM(S68:V68))</f>
        <v>247800</v>
      </c>
      <c r="Y68">
        <f>IF(R68&gt;0,SUM(S68:T68),SUM(S68:U68)+W68)</f>
        <v>285900</v>
      </c>
      <c r="Z68">
        <v>0</v>
      </c>
      <c r="AA68">
        <f>X68*0.038</f>
        <v>9416.4</v>
      </c>
      <c r="AB68">
        <f>X68*0.02</f>
        <v>4956</v>
      </c>
      <c r="AC68">
        <f>Y68*0.1</f>
        <v>28590</v>
      </c>
      <c r="AD68">
        <f>X68-AA68-AB68</f>
        <v>233427.6</v>
      </c>
      <c r="AE68">
        <f>Y68-AC68</f>
        <v>257310</v>
      </c>
      <c r="AF68">
        <f>AD68*0.01</f>
        <v>2334.2760000000003</v>
      </c>
      <c r="AG68">
        <f>AD68-Q68-AF68-T68</f>
        <v>40493.32400000001</v>
      </c>
      <c r="AH68">
        <f>AE68-Q68-AF68-T68</f>
        <v>64375.724</v>
      </c>
      <c r="AI68">
        <f>AG68/X68</f>
        <v>0.16341131557707833</v>
      </c>
      <c r="AJ68">
        <f>AH68/Y68</f>
        <v>0.22516867436166493</v>
      </c>
      <c r="AK68">
        <f>X68-X69</f>
        <v>27200</v>
      </c>
      <c r="AW68">
        <v>4516651523</v>
      </c>
    </row>
    <row r="69">
      <c r="F69" t="str">
        <v>Space Blue</v>
      </c>
      <c r="G69" t="str">
        <f>HYPERLINK("https://www.amazon.com/dp/B074RD3M5Y/ref=twister_B07GB5XHP4?_encoding=UTF8&amp;th=1","A")</f>
        <v>A</v>
      </c>
      <c r="J69">
        <v>123.31</v>
      </c>
      <c r="K69">
        <v>3.6</v>
      </c>
      <c r="L69">
        <f>IF(K69&gt;0,K69*16,)</f>
        <v>57.6</v>
      </c>
      <c r="M69">
        <f>IF(K69&gt;0,K69*0.453592,IF(L69&gt;0,L69*0.02835,))</f>
        <v>1.6329312</v>
      </c>
      <c r="N69">
        <v>0</v>
      </c>
      <c r="O69">
        <v>0</v>
      </c>
      <c r="P69">
        <f>J69+O69+N69</f>
        <v>123.31</v>
      </c>
      <c r="Q69">
        <f>P69*C$3</f>
        <v>154137.5</v>
      </c>
      <c r="R69">
        <v>0</v>
      </c>
      <c r="S69">
        <f>ROUND(SUM(Q69:R69), -2)</f>
        <v>154100</v>
      </c>
      <c r="T69">
        <f>ROUNDUP(HLOOKUP(ROUNDUP(K69,0),'배송비 조회'!A$10:U$22,7,0)*C$3,-2)</f>
        <v>15600</v>
      </c>
      <c r="U69">
        <v>0</v>
      </c>
      <c r="V69">
        <f>ROUND(IF(R69&gt;0,0,(S69+T69)*0.3),-2)</f>
        <v>50900</v>
      </c>
      <c r="W69">
        <f>ROUND(IF(R69&gt;0,0,(S69+T69)*0.5),-2)</f>
        <v>84900</v>
      </c>
      <c r="X69">
        <f>IF(R69&gt;0,SUM(S69:T69),SUM(S69:V69))</f>
        <v>220600</v>
      </c>
      <c r="Y69">
        <f>IF(R69&gt;0,SUM(S69:T69),SUM(S69:U69)+W69)</f>
        <v>254600</v>
      </c>
      <c r="Z69">
        <v>0</v>
      </c>
      <c r="AA69">
        <f>X69*0.038</f>
        <v>8382.8</v>
      </c>
      <c r="AB69">
        <f>X69*0.02</f>
        <v>4412</v>
      </c>
      <c r="AC69">
        <f>Y69*0.1</f>
        <v>25460</v>
      </c>
      <c r="AD69">
        <f>X69-AA69-AB69</f>
        <v>207805.2</v>
      </c>
      <c r="AE69">
        <f>Y69-AC69</f>
        <v>229140</v>
      </c>
      <c r="AF69">
        <f>AD69*0.01</f>
        <v>2078.052</v>
      </c>
      <c r="AG69">
        <f>AD69-Q69-AF69-T69</f>
        <v>35989.64800000001</v>
      </c>
      <c r="AH69">
        <f>AE69-Q69-AF69-T69</f>
        <v>57324.448000000004</v>
      </c>
      <c r="AI69">
        <f>AG69/X69</f>
        <v>0.16314436990027203</v>
      </c>
      <c r="AJ69">
        <f>AH69/Y69</f>
        <v>0.22515494108405343</v>
      </c>
    </row>
    <row r="70">
      <c r="A70">
        <f>HYPERLINK("https://smartstore.naver.com/brickstore2019/products/4529511331",AW:AW)</f>
        <v>4529511331</v>
      </c>
      <c r="C70" t="str">
        <v>타이맥스 아이언맨 어센셜 30 블랙 시계 Timex Ironman Essential 30</v>
      </c>
      <c r="E70" t="str">
        <v>Timex Ironman Essential 30 Watch</v>
      </c>
      <c r="G70" t="str">
        <f>HYPERLINK("https://www.amazon.com/Timex-TW5M24400-Ironman-Essential-Silicone/dp/B07MFPKNRY/ref=sr_1_1?keywords=Timex%2BTW5M244009J&amp;qid=1559052205&amp;s=gateway&amp;sr=8-1&amp;th=1","A")</f>
        <v>A</v>
      </c>
      <c r="J70">
        <v>62</v>
      </c>
      <c r="K70">
        <f>IF(L70&gt;0,L70*0.0625,)</f>
        <v>0.22</v>
      </c>
      <c r="L70">
        <v>3.52</v>
      </c>
      <c r="M70">
        <f>IF(K70&gt;0,K70*0.453592,IF(L70&gt;0,L70*0.02835,))</f>
        <v>0.09979024</v>
      </c>
      <c r="N70">
        <v>0</v>
      </c>
      <c r="O70">
        <v>0</v>
      </c>
      <c r="P70">
        <f>J70+O70+N70</f>
        <v>62</v>
      </c>
      <c r="Q70">
        <f>P70*C$3</f>
        <v>77500</v>
      </c>
      <c r="R70">
        <v>0</v>
      </c>
      <c r="S70">
        <f>ROUND(SUM(Q70:R70), -2)</f>
        <v>77500</v>
      </c>
      <c r="T70">
        <f>ROUNDUP(HLOOKUP(ROUNDUP(K70,0),'배송비 조회'!A$10:U$22,7,0)*C$3,-2)</f>
        <v>9000</v>
      </c>
      <c r="U70">
        <v>0</v>
      </c>
      <c r="V70">
        <f>ROUND(IF(R70&gt;0,0,(S70+T70)*0.3),-2)</f>
        <v>26000</v>
      </c>
      <c r="W70">
        <f>ROUND(IF(R70&gt;0,0,(S70+T70)*0.5),-2)</f>
        <v>43300</v>
      </c>
      <c r="X70">
        <f>IF(R70&gt;0,SUM(S70:T70),SUM(S70:V70))</f>
        <v>112500</v>
      </c>
      <c r="Y70">
        <f>IF(R70&gt;0,SUM(S70:T70),SUM(S70:U70)+W70)</f>
        <v>129800</v>
      </c>
      <c r="Z70">
        <v>0</v>
      </c>
      <c r="AA70">
        <f>X70*0.038</f>
        <v>4275</v>
      </c>
      <c r="AB70">
        <f>X70*0.02</f>
        <v>2250</v>
      </c>
      <c r="AC70">
        <f>Y70*0.1</f>
        <v>12980</v>
      </c>
      <c r="AD70">
        <f>X70-AA70-AB70</f>
        <v>105975</v>
      </c>
      <c r="AE70">
        <f>Y70-AC70</f>
        <v>116820</v>
      </c>
      <c r="AF70">
        <f>AD70*0.01</f>
        <v>1059.75</v>
      </c>
      <c r="AG70">
        <f>AD70-Q70-AF70-T70</f>
        <v>18415.25</v>
      </c>
      <c r="AH70">
        <f>AE70-Q70-AF70-T70</f>
        <v>29260.25</v>
      </c>
      <c r="AI70">
        <f>AG70/X70</f>
        <v>0.16369111111111112</v>
      </c>
      <c r="AJ70">
        <f>AH70/Y70</f>
        <v>0.22542565485362095</v>
      </c>
      <c r="AW70">
        <v>4529511331</v>
      </c>
    </row>
    <row r="71">
      <c r="A71">
        <f>HYPERLINK("https://smartstore.naver.com/brickstore2019/products/4530851563",AW:AW)</f>
        <v>4530851563</v>
      </c>
      <c r="C71" t="str">
        <v>샘소나이트 테크토닉 라이프스타일 이지 라이더 백팩 Samsonite B07MSKJLJ1</v>
      </c>
      <c r="E71" t="str">
        <v>Samsonite Tectonic Lifestyle Easy Rider Business Backpack Steel Grey One Size</v>
      </c>
      <c r="G71" t="str">
        <f>HYPERLINK("https://www.amazon.com/Samsonite-Tectonic-Lifestyle-Business-Backpack/dp/B07MSKJLJ1/ref=sr_1_2?keywords=samsonite&amp;qid=1559104135&amp;rnid=2941120011&amp;s=apparel&amp;sr=1-2#customerReviews","A")</f>
        <v>A</v>
      </c>
      <c r="H71" t="str">
        <v>품절</v>
      </c>
      <c r="J71">
        <v>65.66</v>
      </c>
      <c r="K71">
        <v>3.15</v>
      </c>
      <c r="L71">
        <f>IF(K71&gt;0,K71*16,)</f>
        <v>50.4</v>
      </c>
      <c r="M71">
        <f>IF(K71&gt;0,K71*0.453592,IF(L71&gt;0,L71*0.02835,))</f>
        <v>1.4288148</v>
      </c>
      <c r="N71">
        <v>0</v>
      </c>
      <c r="O71">
        <v>0</v>
      </c>
      <c r="P71">
        <f>J71+O71+N71</f>
        <v>65.66</v>
      </c>
      <c r="Q71">
        <f>P71*C$3</f>
        <v>82075</v>
      </c>
      <c r="R71">
        <v>0</v>
      </c>
      <c r="S71">
        <f>ROUND(SUM(Q71:R71), -2)</f>
        <v>82100</v>
      </c>
      <c r="T71">
        <f>ROUNDUP(HLOOKUP(ROUNDUP(K71,0),'배송비 조회'!A$10:U$22,7,0)*C$3,-2)</f>
        <v>15600</v>
      </c>
      <c r="U71">
        <v>0</v>
      </c>
      <c r="V71">
        <f>ROUND(IF(R71&gt;0,0,(S71+T71)*0.3),-2)</f>
        <v>29300</v>
      </c>
      <c r="W71">
        <f>ROUND(IF(R71&gt;0,0,(S71+T71)*0.5),-2)</f>
        <v>48900</v>
      </c>
      <c r="X71">
        <f>IF(R71&gt;0,SUM(S71:T71),SUM(S71:V71))</f>
        <v>127000</v>
      </c>
      <c r="Y71">
        <f>IF(R71&gt;0,SUM(S71:T71),SUM(S71:U71)+W71)</f>
        <v>146600</v>
      </c>
      <c r="Z71">
        <v>0</v>
      </c>
      <c r="AA71">
        <f>X71*0.038</f>
        <v>4826</v>
      </c>
      <c r="AB71">
        <f>X71*0.02</f>
        <v>2540</v>
      </c>
      <c r="AC71">
        <f>Y71*0.1</f>
        <v>14660</v>
      </c>
      <c r="AD71">
        <f>X71-AA71-AB71</f>
        <v>119634</v>
      </c>
      <c r="AE71">
        <f>Y71-AC71</f>
        <v>131940</v>
      </c>
      <c r="AF71">
        <f>AD71*0.01</f>
        <v>1196.34</v>
      </c>
      <c r="AG71">
        <f>AD71-Q71-AF71-T71</f>
        <v>20762.660000000003</v>
      </c>
      <c r="AH71">
        <f>AE71-Q71-AF71-T71</f>
        <v>33068.66</v>
      </c>
      <c r="AI71">
        <f>AG71/X71</f>
        <v>0.16348551181102364</v>
      </c>
      <c r="AJ71">
        <f>AH71/Y71</f>
        <v>0.22557066848567534</v>
      </c>
      <c r="AW71">
        <v>4530851563</v>
      </c>
    </row>
    <row r="72">
      <c r="A72">
        <f>HYPERLINK("https://smartstore.naver.com/brickstore2019/products/4536603398",AW:AW)</f>
        <v>4536603398</v>
      </c>
      <c r="C72" t="str">
        <v>언더아머 백팩 허슬 4.0 Under Armour Hustle 4.0 Backpack</v>
      </c>
      <c r="E72" t="str">
        <v>Under Armour Unisex Hustle 4.0 Backpack</v>
      </c>
      <c r="G72" t="str">
        <f>HYPERLINK("https://www.amazon.com/Under-Armour-Hustle-Backpack-Silver/dp/B07J9LRQ3W/ref=sr_1_1?keywords=Under%2BArmour%2Bbackpack&amp;qid=1559459791&amp;refinements=p_89%3AUnder%2BArmour&amp;rnid=2528832011&amp;s=gateway&amp;sr=8-1&amp;th=1&amp;psc=1","A")</f>
        <v>A</v>
      </c>
      <c r="J72">
        <v>55</v>
      </c>
      <c r="K72">
        <v>1.37</v>
      </c>
      <c r="L72">
        <f>IF(K72&gt;0,K72*16,)</f>
        <v>21.92</v>
      </c>
      <c r="M72">
        <f>IF(K72&gt;0,K72*0.453592,IF(L72&gt;0,L72*0.02835,))</f>
        <v>0.6214210400000001</v>
      </c>
      <c r="N72">
        <v>0</v>
      </c>
      <c r="O72">
        <v>0</v>
      </c>
      <c r="P72">
        <f>J72+O72+N72</f>
        <v>55</v>
      </c>
      <c r="Q72">
        <f>P72*C$3</f>
        <v>68750</v>
      </c>
      <c r="R72">
        <v>0</v>
      </c>
      <c r="S72">
        <f>ROUND(SUM(Q72:R72), -2)</f>
        <v>68800</v>
      </c>
      <c r="T72">
        <f>ROUNDUP(HLOOKUP(ROUNDUP(K72,0),'배송비 조회'!A$10:U$22,7,0)*C$3,-2)</f>
        <v>11200</v>
      </c>
      <c r="U72">
        <v>0</v>
      </c>
      <c r="V72">
        <f>ROUND(IF(R72&gt;0,0,(S72+T72)*0.3),-2)</f>
        <v>24000</v>
      </c>
      <c r="W72">
        <f>ROUND(IF(R72&gt;0,0,(S72+T72)*0.5),-2)</f>
        <v>40000</v>
      </c>
      <c r="X72">
        <f>IF(R72&gt;0,SUM(S72:T72),SUM(S72:V72))</f>
        <v>104000</v>
      </c>
      <c r="Y72">
        <f>IF(R72&gt;0,SUM(S72:T72),SUM(S72:U72)+W72)</f>
        <v>120000</v>
      </c>
      <c r="AA72">
        <f>X72*0.038</f>
        <v>3952</v>
      </c>
      <c r="AB72">
        <f>X72*0.02</f>
        <v>2080</v>
      </c>
      <c r="AC72">
        <f>Y72*0.1</f>
        <v>12000</v>
      </c>
      <c r="AD72">
        <f>X72-AA72-AB72</f>
        <v>97968</v>
      </c>
      <c r="AE72">
        <f>Y72-AC72</f>
        <v>108000</v>
      </c>
      <c r="AF72">
        <f>AD72*0.01</f>
        <v>979.6800000000001</v>
      </c>
      <c r="AG72">
        <f>AD72-Q72-AF72-T72</f>
        <v>17038.32</v>
      </c>
      <c r="AH72">
        <f>AE72-Q72-AF72-T72</f>
        <v>27070.32</v>
      </c>
      <c r="AI72">
        <f>AG72/X72</f>
        <v>0.16383</v>
      </c>
      <c r="AJ72">
        <f>AH72/Y72</f>
        <v>0.225586</v>
      </c>
      <c r="AW72">
        <v>4536603398</v>
      </c>
    </row>
    <row r="73">
      <c r="A73">
        <f>HYPERLINK("https://smartstore.naver.com/brickstore2019/products/4536737665",AW:AW)</f>
        <v>4536737665</v>
      </c>
      <c r="C73" t="str">
        <v>언더아머 게임데이 백팩 Under Armour Unisex Gameday Backpack</v>
      </c>
      <c r="E73" t="str">
        <v>Under Armour Unisex Gameday Backpack</v>
      </c>
      <c r="G73" t="str">
        <f>HYPERLINK("https://www.amazon.com/Under-Armour-Gameday-Backpack-Silver/dp/B077KL8GPD/ref=sr_1_7?keywords=Under%2BArmour%2Bbackpack&amp;qid=1559459791&amp;refinements=p_89%3AUnder%2BArmour&amp;rnid=2528832011&amp;s=gateway&amp;sr=8-7&amp;th=1&amp;psc=1","A")</f>
        <v>A</v>
      </c>
      <c r="J73">
        <v>89</v>
      </c>
      <c r="K73">
        <v>1.68</v>
      </c>
      <c r="L73">
        <f>IF(K73&gt;0,K73*16,)</f>
        <v>26.88</v>
      </c>
      <c r="M73">
        <f>IF(K73&gt;0,K73*0.453592,IF(L73&gt;0,L73*0.02835,))</f>
        <v>0.7620345599999999</v>
      </c>
      <c r="N73">
        <v>0</v>
      </c>
      <c r="O73">
        <v>0</v>
      </c>
      <c r="P73">
        <f>J73+O73+N73</f>
        <v>89</v>
      </c>
      <c r="Q73">
        <f>P73*C$3</f>
        <v>111250</v>
      </c>
      <c r="R73">
        <f>ROUND(Q73*0.3,-2)</f>
        <v>33400</v>
      </c>
      <c r="S73">
        <f>ROUND(SUM(Q73:R73), -2)</f>
        <v>144700</v>
      </c>
      <c r="T73">
        <f>ROUNDUP(HLOOKUP(ROUNDUP(K73,0),'배송비 조회'!A$10:U$22,7,0)*C$3,-2)</f>
        <v>11200</v>
      </c>
      <c r="U73">
        <v>0</v>
      </c>
      <c r="W73">
        <f>ROUND(IF(R73&gt;0,0,(S73+T73)*0.5),-2)</f>
        <v>0</v>
      </c>
      <c r="X73">
        <f>SUM(S73:T73)</f>
        <v>155900</v>
      </c>
      <c r="Y73">
        <f>IF(R73&gt;0,SUM(S73:T73),SUM(S73:U73)+W73)</f>
        <v>155900</v>
      </c>
      <c r="Z73">
        <v>0</v>
      </c>
      <c r="AA73">
        <f>X73*0.038</f>
        <v>5924.2</v>
      </c>
      <c r="AB73">
        <f>X73*0.02</f>
        <v>3118</v>
      </c>
      <c r="AC73">
        <f>Y73*0.1</f>
        <v>15590</v>
      </c>
      <c r="AD73">
        <f>X73-AA73-AB73</f>
        <v>146857.8</v>
      </c>
      <c r="AE73">
        <f>Y73-AC73</f>
        <v>140310</v>
      </c>
      <c r="AF73">
        <f>AD73*0.01</f>
        <v>1468.578</v>
      </c>
      <c r="AG73">
        <f>AD73-Q73-AF73-T73</f>
        <v>22939.221999999987</v>
      </c>
      <c r="AH73">
        <f>AE73-Q73-AF73-T73</f>
        <v>16391.422</v>
      </c>
      <c r="AI73">
        <f>AG73/X73</f>
        <v>0.14714061577934565</v>
      </c>
      <c r="AJ73">
        <f>AH73/Y73</f>
        <v>0.10514061577934572</v>
      </c>
      <c r="AW73">
        <v>4536737665</v>
      </c>
    </row>
    <row r="74">
      <c r="A74">
        <f>HYPERLINK("https://smartstore.naver.com/brickstore2019/products/4536788732",AW:AW)</f>
        <v>4536788732</v>
      </c>
      <c r="C74" t="str">
        <v>카시오 메탈시계 남자시계 Casio EQS-920DB-1BVCR</v>
      </c>
      <c r="E74" t="str">
        <v>Casio Men's Edifice Quartz Watch with Stainless-Steel Strap, Silver, 28.5 (Model: EQS-920DB-1BVCR</v>
      </c>
      <c r="G74" t="str">
        <f>HYPERLINK("https://www.amazon.com/Casio-Edifice-Quartz-Stainless-Steel-Silver/dp/B07K95SCC3/ref=sr_1_7?keywords=casio&amp;qid=1559478959&amp;refinements=p_89%3ACasio%2Cp_72%3A2661618011&amp;rnid=2661617011&amp;s=gateway&amp;sr=8-7","A")</f>
        <v>A</v>
      </c>
      <c r="J74">
        <v>170</v>
      </c>
      <c r="K74">
        <f>IF(L74&gt;0,L74*0.0625,)</f>
        <v>0.6625</v>
      </c>
      <c r="L74">
        <v>10.6</v>
      </c>
      <c r="M74">
        <f>IF(K74&gt;0,K74*0.453592,IF(L74&gt;0,L74*0.02835,))</f>
        <v>0.3005047</v>
      </c>
      <c r="N74">
        <v>0</v>
      </c>
      <c r="O74">
        <v>0</v>
      </c>
      <c r="P74">
        <f>J74+O74+N74</f>
        <v>170</v>
      </c>
      <c r="Q74">
        <f>P74*C$3</f>
        <v>212500</v>
      </c>
      <c r="R74">
        <v>0</v>
      </c>
      <c r="S74">
        <f>ROUND(SUM(Q74:R74), -2)</f>
        <v>212500</v>
      </c>
      <c r="T74">
        <f>ROUNDUP(HLOOKUP(ROUNDUP(K74,0),'배송비 조회'!A$10:U$22,7,0)*C$3,-2)</f>
        <v>9000</v>
      </c>
      <c r="U74">
        <v>0</v>
      </c>
      <c r="V74">
        <f>ROUND(IF(R74&gt;0,0,(S74+T74)*0.3),-2)</f>
        <v>66500</v>
      </c>
      <c r="W74">
        <f>ROUND(IF(R74&gt;0,0,(S74+T74)*0.5),-2)</f>
        <v>110800</v>
      </c>
      <c r="X74">
        <f>IF(R74&gt;0,SUM(S74:T74),SUM(S74:V74))</f>
        <v>288000</v>
      </c>
      <c r="Y74">
        <f>IF(R74&gt;0,SUM(S74:T74),SUM(S74:U74)+W74)</f>
        <v>332300</v>
      </c>
      <c r="Z74">
        <v>0</v>
      </c>
      <c r="AA74">
        <f>X74*0.038</f>
        <v>10944</v>
      </c>
      <c r="AB74">
        <f>X74*0.02</f>
        <v>5760</v>
      </c>
      <c r="AC74">
        <f>Y74*0.1</f>
        <v>33230</v>
      </c>
      <c r="AD74">
        <f>X74-AA74-AB74</f>
        <v>271296</v>
      </c>
      <c r="AE74">
        <f>Y74-AC74</f>
        <v>299070</v>
      </c>
      <c r="AF74">
        <f>AD74*0.01</f>
        <v>2712.96</v>
      </c>
      <c r="AG74">
        <f>AD74-Q74-AF74-T74</f>
        <v>47083.04</v>
      </c>
      <c r="AH74">
        <f>AE74-Q74-AF74-T74</f>
        <v>74857.04</v>
      </c>
      <c r="AI74">
        <f>AG74/X74</f>
        <v>0.16348277777777778</v>
      </c>
      <c r="AJ74">
        <f>AH74/Y74</f>
        <v>0.22526945531146553</v>
      </c>
      <c r="AW74">
        <v>4536788732</v>
      </c>
    </row>
    <row r="75">
      <c r="A75" t="str">
        <v>page</v>
      </c>
      <c r="C75" t="str">
        <v>코닥 미니2 포토 프린터</v>
      </c>
      <c r="E75" t="str">
        <v>Kodak HD Wireless Portable Mobile Instant Photo Printer, Print Social Media Photos, Premium Quality Full Color Prints. Compatible w/iOS and Android Devices (Black)</v>
      </c>
      <c r="F75" t="str">
        <v>품절로 인한 상품삭제</v>
      </c>
      <c r="G75" t="str">
        <v>A</v>
      </c>
      <c r="J75">
        <v>68.98</v>
      </c>
      <c r="K75">
        <f>IF(L75&gt;0,L75*0.0625,)</f>
        <v>0.7</v>
      </c>
      <c r="L75">
        <v>11.2</v>
      </c>
      <c r="M75">
        <f>IF(K75&gt;0,K75*0.453592,IF(L75&gt;0,L75*0.02835,))</f>
        <v>0.3175144</v>
      </c>
      <c r="N75">
        <v>0</v>
      </c>
      <c r="O75">
        <v>0</v>
      </c>
      <c r="P75">
        <f>J75+O75+N75</f>
        <v>68.98</v>
      </c>
      <c r="Q75">
        <f>P75*C$3</f>
        <v>86225</v>
      </c>
      <c r="R75">
        <f>ROUND(Q75*0.3,-2)</f>
        <v>25900</v>
      </c>
      <c r="S75">
        <f>ROUND(SUM(Q75:R75), -2)</f>
        <v>112100</v>
      </c>
      <c r="T75">
        <f>ROUNDUP(HLOOKUP(ROUNDUP(K75,0),'배송비 조회'!A$10:U$22,7,0)*C$3,-2)</f>
        <v>9000</v>
      </c>
      <c r="W75">
        <f>ROUND(IF(R75&gt;0,0,(S75+T75)*0.5),-2)</f>
        <v>0</v>
      </c>
      <c r="X75">
        <f>SUM(S75:T75)</f>
        <v>121100</v>
      </c>
      <c r="Y75">
        <f>IF(R75&gt;0,SUM(S75:T75),SUM(S75:U75)+W75)</f>
        <v>121100</v>
      </c>
      <c r="AA75">
        <f>X75*0.038</f>
        <v>4601.8</v>
      </c>
      <c r="AB75">
        <f>X75*0.02</f>
        <v>2422</v>
      </c>
      <c r="AC75">
        <f>Y75*0.1</f>
        <v>12110</v>
      </c>
      <c r="AD75">
        <f>X75-AA75-AB75</f>
        <v>114076.2</v>
      </c>
      <c r="AE75">
        <f>Y75-AC75</f>
        <v>108990</v>
      </c>
      <c r="AF75">
        <f>AD75*0.01</f>
        <v>1140.762</v>
      </c>
      <c r="AG75">
        <f>AD75-Q75-AF75-T75</f>
        <v>17710.438</v>
      </c>
      <c r="AH75">
        <f>AE75-Q75-AF75-T75</f>
        <v>12624.238000000001</v>
      </c>
      <c r="AI75">
        <f>AG75/X75</f>
        <v>0.14624639141205614</v>
      </c>
      <c r="AJ75">
        <f>AH75/Y75</f>
        <v>0.10424639141205616</v>
      </c>
      <c r="AW75">
        <v>4537399601</v>
      </c>
    </row>
    <row r="76">
      <c r="A76" t="str">
        <v>page</v>
      </c>
      <c r="C76" t="str">
        <v>L 추가상품 코닥 미니2 30팩</v>
      </c>
      <c r="E76" t="str">
        <v>Kodak Mini 2 Photo Printer Cartridge MC All-in-One Paper and Color Ink Cartridge Refill - Compatible with Mini Shot Camera, Mini 2 Printer (Not Original Mini)</v>
      </c>
      <c r="G76" t="str">
        <v>A</v>
      </c>
      <c r="J76">
        <v>21.99</v>
      </c>
      <c r="K76" t="str">
        <f>IF(L76&gt;0,L76*0.0625,)</f>
        <v>#REF!</v>
      </c>
      <c r="L76" t="str">
        <f>IF(K76&gt;0,K76*16,)</f>
        <v>#REF!</v>
      </c>
      <c r="M76" t="str">
        <f>IF(K76&gt;0,K76*0.453592,IF(L76&gt;0,L76*0.02835,))</f>
        <v>#REF!</v>
      </c>
      <c r="N76">
        <v>0</v>
      </c>
      <c r="O76">
        <v>0</v>
      </c>
      <c r="P76">
        <f>J76+O76+N76</f>
        <v>21.99</v>
      </c>
      <c r="Q76">
        <f>P76*C$3</f>
        <v>27487.499999999996</v>
      </c>
      <c r="R76">
        <f>ROUND(Q76*0.3,-2)</f>
        <v>8200</v>
      </c>
      <c r="S76">
        <f>ROUND(SUM(Q76:R76), -2)</f>
        <v>35700</v>
      </c>
      <c r="T76" t="str">
        <f>ROUNDUP(HLOOKUP(ROUNDUP(K76,0),'배송비 조회'!A$10:U$22,7,0)*C$3,-2)</f>
        <v>#REF!</v>
      </c>
      <c r="W76">
        <f>ROUND(IF(R76&gt;0,0,(S76+T76)*0.5),-2)</f>
        <v>0</v>
      </c>
      <c r="X76" t="str">
        <f>SUM(S76:T76)</f>
        <v>#REF!</v>
      </c>
      <c r="Y76" t="str">
        <f>IF(R76&gt;0,SUM(S76:T76),SUM(S76:U76)+W76)</f>
        <v>#REF!</v>
      </c>
      <c r="AA76" t="str">
        <f>X76*0.038</f>
        <v>#REF!</v>
      </c>
      <c r="AB76" t="str">
        <f>X76*0.02</f>
        <v>#REF!</v>
      </c>
      <c r="AC76" t="str">
        <f>Y76*0.1</f>
        <v>#REF!</v>
      </c>
      <c r="AD76" t="str">
        <f>X76-AA76-AB76</f>
        <v>#REF!</v>
      </c>
      <c r="AE76" t="str">
        <f>Y76-AC76</f>
        <v>#REF!</v>
      </c>
      <c r="AF76" t="str">
        <f>AD76*0.01</f>
        <v>#REF!</v>
      </c>
      <c r="AG76" t="str">
        <f>AD76-Q76-AF76-T76</f>
        <v>#REF!</v>
      </c>
      <c r="AH76" t="str">
        <f>AE76-Q76-AF76-T76</f>
        <v>#REF!</v>
      </c>
      <c r="AI76" t="str">
        <f>AG76/X76</f>
        <v>#REF!</v>
      </c>
      <c r="AJ76" t="str">
        <f>AH76/Y76</f>
        <v>#REF!</v>
      </c>
    </row>
    <row r="77">
      <c r="A77" t="str">
        <v>page</v>
      </c>
      <c r="C77" t="str">
        <v>L 추가상품 코닥 미니2 50팩</v>
      </c>
      <c r="E77" t="str">
        <v>Kodak Mini 2 Photo Printer Cartridge MC All-in-One Paper and Color Ink Cartridge Refill - Compatible with Mini Shot Camera, Mini 2 Printer (Not Original Mini)</v>
      </c>
      <c r="G77" t="str">
        <v>A</v>
      </c>
      <c r="J77">
        <v>34.99</v>
      </c>
      <c r="K77" t="str">
        <f>IF(L77&gt;0,L77*0.0625,)</f>
        <v>#REF!</v>
      </c>
      <c r="L77" t="str">
        <f>IF(K77&gt;0,K77*16,)</f>
        <v>#REF!</v>
      </c>
      <c r="M77" t="str">
        <f>IF(K77&gt;0,K77*0.453592,IF(L77&gt;0,L77*0.02835,))</f>
        <v>#REF!</v>
      </c>
      <c r="N77">
        <v>0</v>
      </c>
      <c r="O77">
        <v>0</v>
      </c>
      <c r="P77">
        <f>J77+O77+N77</f>
        <v>34.99</v>
      </c>
      <c r="Q77">
        <f>P77*C$3</f>
        <v>43737.5</v>
      </c>
      <c r="R77">
        <f>ROUND(Q77*0.3,-2)</f>
        <v>13100</v>
      </c>
      <c r="S77">
        <f>ROUND(SUM(Q77:R77), -2)</f>
        <v>56800</v>
      </c>
      <c r="T77" t="str">
        <f>ROUNDUP(HLOOKUP(ROUNDUP(K77,0),'배송비 조회'!A$10:U$22,7,0)*C$3,-2)</f>
        <v>#REF!</v>
      </c>
      <c r="W77">
        <f>ROUND(IF(R77&gt;0,0,(S77+T77)*0.5),-2)</f>
        <v>0</v>
      </c>
      <c r="X77" t="str">
        <f>SUM(S77:T77)</f>
        <v>#REF!</v>
      </c>
      <c r="Y77" t="str">
        <f>IF(R77&gt;0,SUM(S77:T77),SUM(S77:U77)+W77)</f>
        <v>#REF!</v>
      </c>
      <c r="AA77" t="str">
        <f>X77*0.038</f>
        <v>#REF!</v>
      </c>
      <c r="AB77" t="str">
        <f>X77*0.02</f>
        <v>#REF!</v>
      </c>
      <c r="AC77" t="str">
        <f>Y77*0.1</f>
        <v>#REF!</v>
      </c>
      <c r="AD77" t="str">
        <f>X77-AA77-AB77</f>
        <v>#REF!</v>
      </c>
      <c r="AE77" t="str">
        <f>Y77-AC77</f>
        <v>#REF!</v>
      </c>
      <c r="AF77" t="str">
        <f>AD77*0.01</f>
        <v>#REF!</v>
      </c>
      <c r="AG77" t="str">
        <f>AD77-Q77-AF77-T77</f>
        <v>#REF!</v>
      </c>
      <c r="AH77" t="str">
        <f>AE77-Q77-AF77-T77</f>
        <v>#REF!</v>
      </c>
      <c r="AI77" t="str">
        <f>AG77/X77</f>
        <v>#REF!</v>
      </c>
      <c r="AJ77" t="str">
        <f>AH77/Y77</f>
        <v>#REF!</v>
      </c>
    </row>
    <row r="78">
      <c r="A78" t="str">
        <v>page</v>
      </c>
      <c r="C78" t="str">
        <v>코닥 미니2 30팩</v>
      </c>
      <c r="E78" t="str">
        <v>Kodak Mini 2 Photo Printer Cartridge MC All-in-One Paper and Color Ink Cartridge Refill - Compatible with Mini Shot Camera, Mini 2 Printer (Not Original Mini)</v>
      </c>
      <c r="G78" t="str">
        <v>A</v>
      </c>
      <c r="J78">
        <v>21.99</v>
      </c>
      <c r="K78" t="str">
        <f>IF(L78&gt;0,L78*0.0625,)</f>
        <v>#REF!</v>
      </c>
      <c r="L78" t="str">
        <f>IF(K78&gt;0,K78*16,)</f>
        <v>#REF!</v>
      </c>
      <c r="M78" t="str">
        <f>IF(K78&gt;0,K78*0.453592,IF(L78&gt;0,L78*0.02835,))</f>
        <v>#REF!</v>
      </c>
      <c r="N78">
        <v>0</v>
      </c>
      <c r="O78">
        <v>0</v>
      </c>
      <c r="P78">
        <f>J78+O78+N78</f>
        <v>21.99</v>
      </c>
      <c r="Q78">
        <f>P78*C$3</f>
        <v>27487.499999999996</v>
      </c>
      <c r="R78">
        <f>ROUND(Q78*0.3,-2)</f>
        <v>8200</v>
      </c>
      <c r="S78">
        <f>ROUND(SUM(Q78:R78), -2)</f>
        <v>35700</v>
      </c>
      <c r="T78" t="str">
        <f>ROUNDUP(HLOOKUP(ROUNDUP(K78,0),'배송비 조회'!A$10:U$22,7,0)*C$3,-2)</f>
        <v>#REF!</v>
      </c>
      <c r="W78">
        <f>ROUND(IF(R78&gt;0,0,(S78+T78)*0.5),-2)</f>
        <v>0</v>
      </c>
      <c r="X78" t="str">
        <f>SUM(S78:T78)</f>
        <v>#REF!</v>
      </c>
      <c r="Y78" t="str">
        <f>IF(R78&gt;0,SUM(S78:T78),SUM(S78:U78)+W78)</f>
        <v>#REF!</v>
      </c>
      <c r="AA78" t="str">
        <f>X78*0.038</f>
        <v>#REF!</v>
      </c>
      <c r="AB78" t="str">
        <f>X78*0.02</f>
        <v>#REF!</v>
      </c>
      <c r="AC78" t="str">
        <f>Y78*0.1</f>
        <v>#REF!</v>
      </c>
      <c r="AD78" t="str">
        <f>X78-AA78-AB78</f>
        <v>#REF!</v>
      </c>
      <c r="AE78" t="str">
        <f>Y78-AC78</f>
        <v>#REF!</v>
      </c>
      <c r="AF78" t="str">
        <f>AD78*0.01</f>
        <v>#REF!</v>
      </c>
      <c r="AG78" t="str">
        <f>AD78-Q78-AF78-T78</f>
        <v>#REF!</v>
      </c>
      <c r="AH78" t="str">
        <f>AE78-Q78-AF78-T78</f>
        <v>#REF!</v>
      </c>
      <c r="AI78" t="str">
        <f>AG78/X78</f>
        <v>#REF!</v>
      </c>
      <c r="AJ78" t="str">
        <f>AH78/Y78</f>
        <v>#REF!</v>
      </c>
    </row>
    <row r="79">
      <c r="A79" t="str">
        <v>page</v>
      </c>
      <c r="C79" t="str">
        <v>코닥 미니2 50팩</v>
      </c>
      <c r="E79" t="str">
        <v>Kodak Mini 2 Photo Printer Cartridge MC All-in-One Paper and Color Ink Cartridge Refill - Compatible with Mini Shot Camera, Mini 2 Printer (Not Original Mini)</v>
      </c>
      <c r="G79" t="str">
        <v>A</v>
      </c>
      <c r="J79">
        <v>34.99</v>
      </c>
      <c r="K79" t="str">
        <f>IF(L79&gt;0,L79*0.0625,)</f>
        <v>#REF!</v>
      </c>
      <c r="L79" t="str">
        <f>IF(K79&gt;0,K79*16,)</f>
        <v>#REF!</v>
      </c>
      <c r="M79" t="str">
        <f>IF(K79&gt;0,K79*0.453592,IF(L79&gt;0,L79*0.02835,))</f>
        <v>#REF!</v>
      </c>
      <c r="N79">
        <v>0</v>
      </c>
      <c r="O79">
        <v>0</v>
      </c>
      <c r="P79">
        <f>J79+O79+N79</f>
        <v>34.99</v>
      </c>
      <c r="Q79">
        <f>P79*C$3</f>
        <v>43737.5</v>
      </c>
      <c r="R79">
        <f>ROUND(Q79*0.3,-2)</f>
        <v>13100</v>
      </c>
      <c r="S79">
        <f>ROUND(SUM(Q79:R79), -2)</f>
        <v>56800</v>
      </c>
      <c r="T79" t="str">
        <f>ROUNDUP(HLOOKUP(ROUNDUP(K79,0),'배송비 조회'!A$10:U$22,7,0)*C$3,-2)</f>
        <v>#REF!</v>
      </c>
      <c r="W79">
        <f>ROUND(IF(R79&gt;0,0,(S79+T79)*0.5),-2)</f>
        <v>0</v>
      </c>
      <c r="X79" t="str">
        <f>SUM(S79:T79)</f>
        <v>#REF!</v>
      </c>
      <c r="Y79" t="str">
        <f>IF(R79&gt;0,SUM(S79:T79),SUM(S79:U79)+W79)</f>
        <v>#REF!</v>
      </c>
      <c r="AA79" t="str">
        <f>X79*0.038</f>
        <v>#REF!</v>
      </c>
      <c r="AB79" t="str">
        <f>X79*0.02</f>
        <v>#REF!</v>
      </c>
      <c r="AC79" t="str">
        <f>Y79*0.1</f>
        <v>#REF!</v>
      </c>
      <c r="AD79" t="str">
        <f>X79-AA79-AB79</f>
        <v>#REF!</v>
      </c>
      <c r="AE79" t="str">
        <f>Y79-AC79</f>
        <v>#REF!</v>
      </c>
      <c r="AF79" t="str">
        <f>AD79*0.01</f>
        <v>#REF!</v>
      </c>
      <c r="AG79" t="str">
        <f>AD79-Q79-AF79-T79</f>
        <v>#REF!</v>
      </c>
      <c r="AH79" t="str">
        <f>AE79-Q79-AF79-T79</f>
        <v>#REF!</v>
      </c>
      <c r="AI79" t="str">
        <f>AG79/X79</f>
        <v>#REF!</v>
      </c>
      <c r="AJ79" t="str">
        <f>AH79/Y79</f>
        <v>#REF!</v>
      </c>
    </row>
    <row r="80">
      <c r="A80">
        <f>HYPERLINK("https://smartstore.naver.com/brickstore2019/products/4538102047",AW:AW)</f>
        <v>4538102047</v>
      </c>
      <c r="C80" t="str">
        <v>타이거너 백팩 노트북 백팩 비즈니스 백팩 Tigernu Laptop Backpack</v>
      </c>
      <c r="E80" t="str">
        <v>Tigernu Laptop Backpack Business Backpack with USB Charging Port Computer Backpack with Laptop Compartment Anti-theft Waterproof for Travel School Business Men Women Fit Under 15.6 inch Laptop/Macbook</v>
      </c>
      <c r="F80" t="str">
        <v>Black</v>
      </c>
      <c r="G80" t="str">
        <f>HYPERLINK("https://www.amazon.com/Business-Backpack-Resistant-Charging-Backpaks/dp/B077SRCF4L/ref=sr_1_5_sspa?keywords=tigernu+backpack&amp;qid=1559568470&amp;refinements=p_89%3ATIGERNU&amp;rnid=2528832011&amp;s=gateway&amp;sr=8-5-spons&amp;psc=1","A")</f>
        <v>A</v>
      </c>
      <c r="J80">
        <v>31</v>
      </c>
      <c r="K80">
        <v>2.3</v>
      </c>
      <c r="L80">
        <f>IF(K80&gt;0,K80*16,)</f>
        <v>36.8</v>
      </c>
      <c r="M80">
        <f>IF(K80&gt;0,K80*0.453592,IF(L80&gt;0,L80*0.02835,))</f>
        <v>1.0432616</v>
      </c>
      <c r="N80">
        <v>0</v>
      </c>
      <c r="O80">
        <v>0</v>
      </c>
      <c r="P80">
        <f>J80+O80+N80</f>
        <v>31</v>
      </c>
      <c r="Q80">
        <f>P80*C$3</f>
        <v>38750</v>
      </c>
      <c r="R80">
        <v>0</v>
      </c>
      <c r="S80">
        <f>ROUND(SUM(Q80:R80), -2)</f>
        <v>38800</v>
      </c>
      <c r="T80">
        <f>ROUNDUP(HLOOKUP(ROUNDUP(K80,0),'배송비 조회'!A$10:U$22,7,0)*C$3,-2)</f>
        <v>13400</v>
      </c>
      <c r="U80">
        <v>0</v>
      </c>
      <c r="V80">
        <f>ROUND(IF(R80&gt;0,0,(S80+T80)*0.3),-2)</f>
        <v>15700</v>
      </c>
      <c r="W80">
        <f>ROUND(IF(R80&gt;0,0,(S80+T80)*0.5),-2)</f>
        <v>26100</v>
      </c>
      <c r="X80">
        <f>IF(R80&gt;0,SUM(S80:T80),SUM(S80:V80))</f>
        <v>67900</v>
      </c>
      <c r="Y80">
        <f>IF(R80&gt;0,SUM(S80:T80),SUM(S80:U80)+W80)</f>
        <v>78300</v>
      </c>
      <c r="Z80">
        <v>0</v>
      </c>
      <c r="AA80">
        <f>X80*0.038</f>
        <v>2580.2</v>
      </c>
      <c r="AB80">
        <f>X80*0.02</f>
        <v>1358</v>
      </c>
      <c r="AC80">
        <f>Y80*0.1</f>
        <v>7830</v>
      </c>
      <c r="AD80">
        <f>X80-AA80-AB80</f>
        <v>63961.8</v>
      </c>
      <c r="AE80">
        <f>Y80-AC80</f>
        <v>70470</v>
      </c>
      <c r="AF80">
        <f>AD80*0.01</f>
        <v>639.618</v>
      </c>
      <c r="AG80">
        <f>AD80-Q80-AF80-T80</f>
        <v>11172.182000000004</v>
      </c>
      <c r="AH80">
        <f>AE80-Q80-AF80-T80</f>
        <v>17680.382</v>
      </c>
      <c r="AI80">
        <f>AG80/X80</f>
        <v>0.164538762886598</v>
      </c>
      <c r="AJ80">
        <f>AH80/Y80</f>
        <v>0.2258030906768838</v>
      </c>
      <c r="AW80">
        <v>4538102047</v>
      </c>
    </row>
    <row r="81">
      <c r="F81" t="str">
        <v>Grey</v>
      </c>
      <c r="G81" t="str">
        <f>HYPERLINK("https://www.amazon.com/Business-Backpack-Resistant-Charging-Backpaks/dp/B077SKTM98/ref=sr_1_5_sspa?keywords=tigernu%2Bbackpack&amp;qid=1559568470&amp;refinements=p_89%3ATIGERNU&amp;rnid=2528832011&amp;s=gateway&amp;sr=8-5-spons&amp;th=1","A")</f>
        <v>A</v>
      </c>
      <c r="J81">
        <v>31</v>
      </c>
      <c r="K81">
        <v>2.3</v>
      </c>
      <c r="L81">
        <f>IF(K81&gt;0,K81*16,)</f>
        <v>36.8</v>
      </c>
      <c r="M81">
        <f>IF(K81&gt;0,K81*0.453592,IF(L81&gt;0,L81*0.02835,))</f>
        <v>1.0432616</v>
      </c>
      <c r="N81">
        <v>0</v>
      </c>
      <c r="O81">
        <v>0</v>
      </c>
      <c r="P81">
        <f>J81+O81+N81</f>
        <v>31</v>
      </c>
      <c r="Q81">
        <f>P81*C$3</f>
        <v>38750</v>
      </c>
      <c r="R81">
        <v>0</v>
      </c>
      <c r="S81">
        <f>ROUND(SUM(Q81:R81), -2)</f>
        <v>38800</v>
      </c>
      <c r="T81">
        <f>ROUNDUP(HLOOKUP(ROUNDUP(K81,0),'배송비 조회'!A$10:U$22,7,0)*C$3,-2)</f>
        <v>13400</v>
      </c>
      <c r="U81">
        <v>0</v>
      </c>
      <c r="V81">
        <f>ROUND(IF(R81&gt;0,0,(S81+T81)*0.3),-2)</f>
        <v>15700</v>
      </c>
      <c r="W81">
        <f>ROUND(IF(R81&gt;0,0,(S81+T81)*0.5),-2)</f>
        <v>26100</v>
      </c>
      <c r="X81">
        <f>IF(R81&gt;0,SUM(S81:T81),SUM(S81:V81))</f>
        <v>67900</v>
      </c>
      <c r="Y81">
        <f>IF(R81&gt;0,SUM(S81:T81),SUM(S81:U81)+W81)</f>
        <v>78300</v>
      </c>
      <c r="Z81">
        <v>0</v>
      </c>
      <c r="AA81">
        <f>X81*0.038</f>
        <v>2580.2</v>
      </c>
      <c r="AB81">
        <f>X81*0.02</f>
        <v>1358</v>
      </c>
      <c r="AC81">
        <f>Y81*0.1</f>
        <v>7830</v>
      </c>
      <c r="AD81">
        <f>X81-AA81-AB81</f>
        <v>63961.8</v>
      </c>
      <c r="AE81">
        <f>Y81-AC81</f>
        <v>70470</v>
      </c>
      <c r="AF81">
        <f>AD81*0.01</f>
        <v>639.618</v>
      </c>
      <c r="AG81">
        <f>AD81-Q81-AF81-T81</f>
        <v>11172.182000000004</v>
      </c>
      <c r="AH81">
        <f>AE81-Q81-AF81-T81</f>
        <v>17680.382</v>
      </c>
      <c r="AI81">
        <f>AG81/X81</f>
        <v>0.164538762886598</v>
      </c>
      <c r="AJ81">
        <f>AH81/Y81</f>
        <v>0.2258030906768838</v>
      </c>
    </row>
    <row r="82">
      <c r="A82">
        <f>HYPERLINK("https://smartstore.naver.com/brickstore2019/products/4542711511",AW:AW)</f>
        <v>4542711511</v>
      </c>
      <c r="C82" t="str">
        <v>아디다스 산티아고 미니 백팩 여성 백팩 유치원 가방 adidas Mini Backpack</v>
      </c>
      <c r="E82" t="str">
        <v>adidas Originals Santiago Mini Backpack</v>
      </c>
      <c r="F82" t="str">
        <v>Black</v>
      </c>
      <c r="G82" t="str">
        <f>HYPERLINK("https://www.amazon.com/gp/product/B07B696H9Z/ref=as_li_tl?ie=UTF8&amp;camp=1789&amp;creative=9325&amp;creativeASIN=B07B6BDF45&amp;linkCode=as2&amp;tag=showmore0c-20&amp;linkId=b239dd3765622a142b34496114c91872&amp;th=1&amp;psc=1#customerReviews","A")</f>
        <v>A</v>
      </c>
      <c r="J82">
        <v>25.14</v>
      </c>
      <c r="K82">
        <f>IF(L82&gt;0,L82*0.0625,)</f>
        <v>0.45</v>
      </c>
      <c r="L82">
        <v>7.2</v>
      </c>
      <c r="M82">
        <f>IF(K82&gt;0,K82*0.453592,IF(L82&gt;0,L82*0.02835,))</f>
        <v>0.2041164</v>
      </c>
      <c r="N82">
        <v>0</v>
      </c>
      <c r="O82">
        <v>0</v>
      </c>
      <c r="P82">
        <f>J82+O82+N82</f>
        <v>25.14</v>
      </c>
      <c r="Q82">
        <f>P82*C$3</f>
        <v>31425</v>
      </c>
      <c r="R82">
        <v>0</v>
      </c>
      <c r="S82">
        <f>ROUND(SUM(Q82:R82), -2)</f>
        <v>31400</v>
      </c>
      <c r="T82">
        <f>ROUNDUP(HLOOKUP(ROUNDUP(K82,0),'배송비 조회'!A$10:U$22,7,0)*C$3,-2)</f>
        <v>9000</v>
      </c>
      <c r="U82">
        <v>0</v>
      </c>
      <c r="V82">
        <f>ROUND(IF(R82&gt;0,0,(S82+T82)*0.4),-2)</f>
        <v>16200</v>
      </c>
      <c r="W82">
        <f>ROUND(IF(R82&gt;0,0,(S82+T82)*0.5),-2)</f>
        <v>20200</v>
      </c>
      <c r="X82">
        <f>IF(R82&gt;0,SUM(S82:T82),SUM(S82:V82))</f>
        <v>56600</v>
      </c>
      <c r="Y82">
        <f>IF(R82&gt;0,SUM(S82:T82),SUM(S82:U82)+W82)</f>
        <v>60600</v>
      </c>
      <c r="Z82">
        <v>0</v>
      </c>
      <c r="AA82">
        <f>X82*0.038</f>
        <v>2150.7999999999997</v>
      </c>
      <c r="AB82">
        <f>X82*0.02</f>
        <v>1132</v>
      </c>
      <c r="AC82">
        <f>Y82*0.1</f>
        <v>6060</v>
      </c>
      <c r="AD82">
        <f>X82-AA82-AB82</f>
        <v>53317.2</v>
      </c>
      <c r="AE82">
        <f>Y82-AC82</f>
        <v>54540</v>
      </c>
      <c r="AF82">
        <f>AD82*0.01</f>
        <v>533.172</v>
      </c>
      <c r="AG82">
        <f>AD82-Q82-AF82-T82</f>
        <v>12359.027999999998</v>
      </c>
      <c r="AH82">
        <f>AE82-Q82-AF82-T82</f>
        <v>13581.828000000001</v>
      </c>
      <c r="AI82">
        <f>AG82/X82</f>
        <v>0.21835738515901057</v>
      </c>
      <c r="AJ82">
        <f>AH82/Y82</f>
        <v>0.22412257425742577</v>
      </c>
      <c r="AW82">
        <v>4542711511</v>
      </c>
    </row>
    <row r="83">
      <c r="F83" t="str">
        <v>Dust Pink</v>
      </c>
      <c r="G83" t="str">
        <f>HYPERLINK("https://www.amazon.com/gp/product/B07B6BDF45/ref=as_li_tl?ie=UTF8&amp;camp=1789&amp;creative=9325&amp;creativeASIN=B07B6BDF45&amp;linkCode=as2&amp;tag=showmore0c-20&amp;linkId=b239dd3765622a142b34496114c91872&amp;th=1&amp;psc=1","A")</f>
        <v>A</v>
      </c>
      <c r="K83">
        <f>IF(L83&gt;0,L83*0.0625,)</f>
        <v>0.45</v>
      </c>
      <c r="L83">
        <v>7.2</v>
      </c>
      <c r="M83">
        <f>IF(K83&gt;0,K83*0.453592,IF(L83&gt;0,L83*0.02835,))</f>
        <v>0.2041164</v>
      </c>
      <c r="N83">
        <v>0</v>
      </c>
      <c r="O83">
        <v>0</v>
      </c>
      <c r="P83">
        <f>J83+O83+N83</f>
        <v>0</v>
      </c>
      <c r="Q83">
        <f>P83*C$3</f>
        <v>0</v>
      </c>
      <c r="R83">
        <v>0</v>
      </c>
      <c r="S83">
        <f>ROUND(SUM(Q83:R83), -2)</f>
        <v>0</v>
      </c>
      <c r="T83">
        <f>ROUNDUP(HLOOKUP(ROUNDUP(K83,0),'배송비 조회'!A$10:U$22,7,0)*C$3,-2)</f>
        <v>9000</v>
      </c>
      <c r="U83">
        <v>0</v>
      </c>
      <c r="V83">
        <f>ROUND(IF(R83&gt;0,0,(S83+T83)*0.4),-2)</f>
        <v>3600</v>
      </c>
      <c r="W83">
        <f>ROUND(IF(R83&gt;0,0,(S83+T83)*0.5),-2)</f>
        <v>4500</v>
      </c>
      <c r="X83">
        <f>IF(R83&gt;0,SUM(S83:T83),SUM(S83:V83))</f>
        <v>12600</v>
      </c>
      <c r="Y83">
        <f>IF(R83&gt;0,SUM(S83:T83),SUM(S83:U83)+W83)</f>
        <v>13500</v>
      </c>
      <c r="Z83">
        <v>0</v>
      </c>
      <c r="AA83">
        <f>X83*0.038</f>
        <v>478.8</v>
      </c>
      <c r="AB83">
        <f>X83*0.02</f>
        <v>252</v>
      </c>
      <c r="AC83">
        <f>Y83*0.1</f>
        <v>1350</v>
      </c>
      <c r="AD83">
        <f>X83-AA83-AB83</f>
        <v>11869.2</v>
      </c>
      <c r="AE83">
        <f>Y83-AC83</f>
        <v>12150</v>
      </c>
      <c r="AF83">
        <f>AD83*0.01</f>
        <v>118.69200000000001</v>
      </c>
      <c r="AG83">
        <f>AD83-Q83-AF83-T83</f>
        <v>2750.5080000000016</v>
      </c>
      <c r="AH83">
        <f>AE83-Q83-AF83-T83</f>
        <v>3031.308000000001</v>
      </c>
      <c r="AI83">
        <f>AG83/X83</f>
        <v>0.21829428571428586</v>
      </c>
      <c r="AJ83">
        <f>AH83/Y83</f>
        <v>0.2245413333333334</v>
      </c>
    </row>
    <row r="84">
      <c r="A84">
        <f>HYPERLINK("https://smartstore.naver.com/brickstore2019/products/4544180942",AW:AW)</f>
        <v>4544180942</v>
      </c>
      <c r="C84" t="str">
        <v>타이맥스 피너츠 스누피 컬렉션 손목시계</v>
      </c>
      <c r="E84" t="str">
        <v>Timex Weekender Peanuts Collection</v>
      </c>
      <c r="F84" t="str">
        <v>Lucy</v>
      </c>
      <c r="G84" t="str">
        <f>HYPERLINK("https://www.amazon.com/Timex-Unisex-TW2R41300-Weekender-Peanuts/dp/B071K61BB3?ref_=ast_sto_dp","A")</f>
        <v>A</v>
      </c>
      <c r="J84">
        <v>34.95</v>
      </c>
      <c r="K84">
        <f>IF(L84&gt;0,L84*0.0625,)</f>
        <v>0.35</v>
      </c>
      <c r="L84">
        <v>5.6</v>
      </c>
      <c r="M84">
        <f>IF(K84&gt;0,K84*0.453592,IF(L84&gt;0,L84*0.02835,))</f>
        <v>0.1587572</v>
      </c>
      <c r="N84">
        <v>0</v>
      </c>
      <c r="O84">
        <v>0</v>
      </c>
      <c r="P84">
        <f>J84+O84+N84</f>
        <v>34.95</v>
      </c>
      <c r="Q84">
        <f>P84*C$3</f>
        <v>43687.5</v>
      </c>
      <c r="R84">
        <v>0</v>
      </c>
      <c r="S84">
        <f>ROUND(SUM(Q84:R84), -2)</f>
        <v>43700</v>
      </c>
      <c r="T84">
        <f>ROUNDUP(HLOOKUP(ROUNDUP(K84,0),'배송비 조회'!A$10:U$22,7,0)*C$3,-2)</f>
        <v>9000</v>
      </c>
      <c r="U84">
        <v>0</v>
      </c>
      <c r="V84">
        <f>ROUND(IF(R84&gt;0,0,(S84+T84)*0.3),-2)</f>
        <v>15800</v>
      </c>
      <c r="W84">
        <f>ROUND(IF(R84&gt;0,0,(S84+T84)*0.5),-2)</f>
        <v>26400</v>
      </c>
      <c r="X84">
        <f>IF(R84&gt;0,SUM(S84:T84),SUM(S84:V84))</f>
        <v>68500</v>
      </c>
      <c r="Y84">
        <f>IF(R84&gt;0,SUM(S84:T84),SUM(S84:U84)+W84)</f>
        <v>79100</v>
      </c>
      <c r="Z84">
        <v>0</v>
      </c>
      <c r="AA84">
        <f>X84*0.038</f>
        <v>2603</v>
      </c>
      <c r="AB84">
        <f>X84*0.02</f>
        <v>1370</v>
      </c>
      <c r="AC84">
        <f>Y84*0.1</f>
        <v>7910</v>
      </c>
      <c r="AD84">
        <f>X84-AA84-AB84</f>
        <v>64527</v>
      </c>
      <c r="AE84">
        <f>Y84-AC84</f>
        <v>71190</v>
      </c>
      <c r="AF84">
        <f>AD84*0.01</f>
        <v>645.27</v>
      </c>
      <c r="AG84">
        <f>AD84-Q84-AF84-T84</f>
        <v>11194.23</v>
      </c>
      <c r="AH84">
        <f>AE84-Q84-AF84-T84</f>
        <v>17857.23</v>
      </c>
      <c r="AI84">
        <f>AG84/X84</f>
        <v>0.16341941605839416</v>
      </c>
      <c r="AJ84">
        <f>AH84/Y84</f>
        <v>0.2257551201011378</v>
      </c>
      <c r="AW84">
        <v>4544180942</v>
      </c>
    </row>
    <row r="85">
      <c r="F85" t="str">
        <v>Linus</v>
      </c>
      <c r="G85" t="str">
        <f>HYPERLINK("https://www.amazon.com/Timex-Unisex-TW2R41200-Weekender-Peanuts/dp/B071K619DN?ref_=ast_sto_dp","A")</f>
        <v>A</v>
      </c>
      <c r="J85">
        <v>39</v>
      </c>
      <c r="K85">
        <f>IF(L85&gt;0,L85*0.0625,)</f>
        <v>0.35</v>
      </c>
      <c r="L85">
        <v>5.6</v>
      </c>
      <c r="M85">
        <f>IF(K85&gt;0,K85*0.453592,IF(L85&gt;0,L85*0.02835,))</f>
        <v>0.1587572</v>
      </c>
      <c r="N85">
        <v>0</v>
      </c>
      <c r="O85">
        <v>0</v>
      </c>
      <c r="P85">
        <f>J85+O85+N85</f>
        <v>39</v>
      </c>
      <c r="Q85">
        <f>P85*C$3</f>
        <v>48750</v>
      </c>
      <c r="R85">
        <v>0</v>
      </c>
      <c r="S85">
        <f>ROUND(SUM(Q85:R85), -2)</f>
        <v>48800</v>
      </c>
      <c r="T85">
        <f>ROUNDUP(HLOOKUP(ROUNDUP(K85,0),'배송비 조회'!A$10:U$22,7,0)*C$3,-2)</f>
        <v>9000</v>
      </c>
      <c r="U85">
        <v>0</v>
      </c>
      <c r="V85">
        <f>ROUND(IF(R85&gt;0,0,(S85+T85)*0.3),-2)</f>
        <v>17300</v>
      </c>
      <c r="W85">
        <f>ROUND(IF(R85&gt;0,0,(S85+T85)*0.5),-2)</f>
        <v>28900</v>
      </c>
      <c r="X85">
        <f>IF(R85&gt;0,SUM(S85:T85),SUM(S85:V85))</f>
        <v>75100</v>
      </c>
      <c r="Y85">
        <f>IF(R85&gt;0,SUM(S85:T85),SUM(S85:U85)+W85)</f>
        <v>86700</v>
      </c>
      <c r="Z85">
        <v>0</v>
      </c>
      <c r="AA85">
        <f>X85*0.038</f>
        <v>2853.7999999999997</v>
      </c>
      <c r="AB85">
        <f>X85*0.02</f>
        <v>1502</v>
      </c>
      <c r="AC85">
        <f>Y85*0.1</f>
        <v>8670</v>
      </c>
      <c r="AD85">
        <f>X85-AA85-AB85</f>
        <v>70744.2</v>
      </c>
      <c r="AE85">
        <f>Y85-AC85</f>
        <v>78030</v>
      </c>
      <c r="AF85">
        <f>AD85*0.01</f>
        <v>707.442</v>
      </c>
      <c r="AG85">
        <f>AD85-Q85-AF85-T85</f>
        <v>12286.757999999998</v>
      </c>
      <c r="AH85">
        <f>AE85-Q85-AF85-T85</f>
        <v>19572.558</v>
      </c>
      <c r="AI85">
        <f>AG85/X85</f>
        <v>0.1636052996005326</v>
      </c>
      <c r="AJ85">
        <f>AH85/Y85</f>
        <v>0.2257503806228374</v>
      </c>
      <c r="AK85">
        <f>X85-X84</f>
        <v>6600</v>
      </c>
    </row>
    <row r="86">
      <c r="F86" t="str">
        <v>Charle brown</v>
      </c>
      <c r="G86" t="str">
        <f>HYPERLINK("https://www.amazon.com/Timex-Unisex-TW2R41100-Weekender-Peanuts/dp/B071K5ZV2K?ref_=ast_sto_dp","A")</f>
        <v>A</v>
      </c>
      <c r="J86">
        <v>37.05</v>
      </c>
      <c r="K86">
        <f>IF(L86&gt;0,L86*0.0625,)</f>
        <v>0.35</v>
      </c>
      <c r="L86">
        <v>5.6</v>
      </c>
      <c r="M86">
        <f>IF(K86&gt;0,K86*0.453592,IF(L86&gt;0,L86*0.02835,))</f>
        <v>0.1587572</v>
      </c>
      <c r="N86">
        <v>0</v>
      </c>
      <c r="O86">
        <v>0</v>
      </c>
      <c r="P86">
        <f>J86+O86+N86</f>
        <v>37.05</v>
      </c>
      <c r="Q86">
        <f>P86*C$3</f>
        <v>46312.5</v>
      </c>
      <c r="R86">
        <v>0</v>
      </c>
      <c r="S86">
        <f>ROUND(SUM(Q86:R86), -2)</f>
        <v>46300</v>
      </c>
      <c r="T86">
        <f>ROUNDUP(HLOOKUP(ROUNDUP(K86,0),'배송비 조회'!A$10:U$22,7,0)*C$3,-2)</f>
        <v>9000</v>
      </c>
      <c r="U86">
        <v>0</v>
      </c>
      <c r="V86">
        <f>ROUND(IF(R86&gt;0,0,(S86+T86)*0.3),-2)</f>
        <v>16600</v>
      </c>
      <c r="W86">
        <f>ROUND(IF(R86&gt;0,0,(S86+T86)*0.5),-2)</f>
        <v>27700</v>
      </c>
      <c r="X86">
        <f>IF(R86&gt;0,SUM(S86:T86),SUM(S86:V86))</f>
        <v>71900</v>
      </c>
      <c r="Y86">
        <f>IF(R86&gt;0,SUM(S86:T86),SUM(S86:U86)+W86)</f>
        <v>83000</v>
      </c>
      <c r="Z86">
        <v>0</v>
      </c>
      <c r="AA86">
        <f>X86*0.038</f>
        <v>2732.2</v>
      </c>
      <c r="AB86">
        <f>X86*0.02</f>
        <v>1438</v>
      </c>
      <c r="AC86">
        <f>Y86*0.1</f>
        <v>8300</v>
      </c>
      <c r="AD86">
        <f>X86-AA86-AB86</f>
        <v>67729.8</v>
      </c>
      <c r="AE86">
        <f>Y86-AC86</f>
        <v>74700</v>
      </c>
      <c r="AF86">
        <f>AD86*0.01</f>
        <v>677.298</v>
      </c>
      <c r="AG86">
        <f>AD86-Q86-AF86-T86</f>
        <v>11740.002000000004</v>
      </c>
      <c r="AH86">
        <f>AE86-Q86-AF86-T86</f>
        <v>18710.202</v>
      </c>
      <c r="AI86">
        <f>AG86/X86</f>
        <v>0.1632823643949931</v>
      </c>
      <c r="AJ86">
        <f>AH86/Y86</f>
        <v>0.22542412048192773</v>
      </c>
    </row>
    <row r="87">
      <c r="F87" t="str">
        <v>snoopy</v>
      </c>
      <c r="G87" t="str">
        <f>HYPERLINK("https://www.amazon.com/Timex-Unisex-TW2R41400-Weekender-Peanuts/dp/B072KDHQBG?ref_=ast_sto_dp","A")</f>
        <v>A</v>
      </c>
      <c r="J87">
        <v>37.05</v>
      </c>
      <c r="K87">
        <f>IF(L87&gt;0,L87*0.0625,)</f>
        <v>0.35</v>
      </c>
      <c r="L87">
        <v>5.6</v>
      </c>
      <c r="M87">
        <f>IF(K87&gt;0,K87*0.453592,IF(L87&gt;0,L87*0.02835,))</f>
        <v>0.1587572</v>
      </c>
      <c r="N87">
        <v>0</v>
      </c>
      <c r="O87">
        <v>0</v>
      </c>
      <c r="P87">
        <f>J87+O87+N87</f>
        <v>37.05</v>
      </c>
      <c r="Q87">
        <f>P87*C$3</f>
        <v>46312.5</v>
      </c>
      <c r="R87">
        <v>0</v>
      </c>
      <c r="S87">
        <f>ROUND(SUM(Q87:R87), -2)</f>
        <v>46300</v>
      </c>
      <c r="T87">
        <f>ROUNDUP(HLOOKUP(ROUNDUP(K87,0),'배송비 조회'!A$10:U$22,7,0)*C$3,-2)</f>
        <v>9000</v>
      </c>
      <c r="U87">
        <v>0</v>
      </c>
      <c r="V87">
        <f>ROUND(IF(R87&gt;0,0,(S87+T87)*0.3),-2)</f>
        <v>16600</v>
      </c>
      <c r="W87">
        <f>ROUND(IF(R87&gt;0,0,(S87+T87)*0.5),-2)</f>
        <v>27700</v>
      </c>
      <c r="X87">
        <f>IF(R87&gt;0,SUM(S87:T87),SUM(S87:V87))</f>
        <v>71900</v>
      </c>
      <c r="Y87">
        <f>IF(R87&gt;0,SUM(S87:T87),SUM(S87:U87)+W87)</f>
        <v>83000</v>
      </c>
      <c r="Z87">
        <v>0</v>
      </c>
      <c r="AA87">
        <f>X87*0.038</f>
        <v>2732.2</v>
      </c>
      <c r="AB87">
        <f>X87*0.02</f>
        <v>1438</v>
      </c>
      <c r="AC87">
        <f>Y87*0.1</f>
        <v>8300</v>
      </c>
      <c r="AD87">
        <f>X87-AA87-AB87</f>
        <v>67729.8</v>
      </c>
      <c r="AE87">
        <f>Y87-AC87</f>
        <v>74700</v>
      </c>
      <c r="AF87">
        <f>AD87*0.01</f>
        <v>677.298</v>
      </c>
      <c r="AG87">
        <f>AD87-Q87-AF87-T87</f>
        <v>11740.002000000004</v>
      </c>
      <c r="AH87">
        <f>AE87-Q87-AF87-T87</f>
        <v>18710.202</v>
      </c>
      <c r="AI87">
        <f>AG87/X87</f>
        <v>0.1632823643949931</v>
      </c>
      <c r="AJ87">
        <f>AH87/Y87</f>
        <v>0.22542412048192773</v>
      </c>
    </row>
    <row r="88">
      <c r="A88">
        <f>HYPERLINK("https://smartstore.naver.com/brickstore2019/products/4544689016",AW:AW)</f>
        <v>4544689016</v>
      </c>
      <c r="C88" t="str">
        <v>세이코 베이비스모 다이버 메탈 시계 SNZF17K1</v>
      </c>
      <c r="E88" t="str">
        <v>Seiko 5 Black Dial Stainless Steel Automatic Mens Watch SNZF17</v>
      </c>
      <c r="G88" t="str">
        <f>HYPERLINK("https://www.amazon.com/Seiko-Black-Stainless-Automatic-SNZF17/dp/B001IBF15Y/ref=sr_1_1?crid=2AYUNANYOLQDK&amp;keywords=snzf17+seiko&amp;qid=1559955978&amp;s=gateway&amp;sprefix=SNZF17+s%2Caps%2C323&amp;sr=8-1#customerReviews","A")</f>
        <v>A</v>
      </c>
      <c r="J88">
        <v>196</v>
      </c>
      <c r="K88">
        <f>IF(L88&gt;0,L88*0.0625,)</f>
        <v>0.75</v>
      </c>
      <c r="L88">
        <v>12</v>
      </c>
      <c r="M88">
        <f>IF(K88&gt;0,K88*0.453592,IF(L88&gt;0,L88*0.02835,))</f>
        <v>0.340194</v>
      </c>
      <c r="N88">
        <v>0</v>
      </c>
      <c r="O88">
        <v>0</v>
      </c>
      <c r="P88">
        <f>J88+O88+N88</f>
        <v>196</v>
      </c>
      <c r="Q88">
        <f>P88*C$3</f>
        <v>245000</v>
      </c>
      <c r="R88">
        <v>0</v>
      </c>
      <c r="S88">
        <f>ROUND(SUM(Q88:R88), -2)</f>
        <v>245000</v>
      </c>
      <c r="T88">
        <f>ROUNDUP(HLOOKUP(ROUNDUP(K88,0),'배송비 조회'!A$10:U$22,7,0)*C$3,-2)</f>
        <v>9000</v>
      </c>
      <c r="U88">
        <v>0</v>
      </c>
      <c r="V88">
        <f>ROUND(IF(R88&gt;0,0,(S88+T88)*0.3),-2)</f>
        <v>76200</v>
      </c>
      <c r="W88">
        <f>ROUND(IF(R88&gt;0,0,(S88+T88)*0.5),-2)</f>
        <v>127000</v>
      </c>
      <c r="X88">
        <f>IF(R88&gt;0,SUM(S88:T88),SUM(S88:V88))</f>
        <v>330200</v>
      </c>
      <c r="Y88">
        <f>IF(R88&gt;0,SUM(S88:T88),SUM(S88:U88)+W88)</f>
        <v>381000</v>
      </c>
      <c r="Z88">
        <v>0</v>
      </c>
      <c r="AA88">
        <f>X88*0.038</f>
        <v>12547.6</v>
      </c>
      <c r="AB88">
        <f>X88*0.02</f>
        <v>6604</v>
      </c>
      <c r="AC88">
        <f>Y88*0.1</f>
        <v>38100</v>
      </c>
      <c r="AD88">
        <f>X88-AA88-AB88</f>
        <v>311048.4</v>
      </c>
      <c r="AE88">
        <f>Y88-AC88</f>
        <v>342900</v>
      </c>
      <c r="AF88">
        <f>AD88*0.01</f>
        <v>3110.4840000000004</v>
      </c>
      <c r="AG88">
        <f>AD88-Q88-AF88-T88</f>
        <v>53937.91600000003</v>
      </c>
      <c r="AH88">
        <f>AE88-Q88-AF88-T88</f>
        <v>85789.516</v>
      </c>
      <c r="AI88">
        <f>AG88/X88</f>
        <v>0.16334923076923086</v>
      </c>
      <c r="AJ88">
        <f>AH88/Y88</f>
        <v>0.22516933333333333</v>
      </c>
      <c r="AW88">
        <v>4544689016</v>
      </c>
    </row>
    <row r="89">
      <c r="A89">
        <f>HYPERLINK("https://smartstore.naver.com/brickstore2019/products/4546010103",AW:AW)</f>
        <v>4546010103</v>
      </c>
      <c r="C89" t="str">
        <v>샘소나이트 테크토닉 라이프스타일 크로스파이어 회사원 백팩</v>
      </c>
      <c r="E89" t="str">
        <v>Samsonite Tectonic Lifestyle Crossfire Business Backpack, Green/Black, One Size</v>
      </c>
      <c r="G89" t="str">
        <f>HYPERLINK("https://www.amazon.com/Samsonite-Tectonic-Lifestyle-Crossfire-Business/dp/B07M79W6TC/ref=sr_1_1?keywords=samsonite+Cross+Fire&amp;qid=1560078353&amp;s=gateway&amp;sr=8-1","A")</f>
        <v>A</v>
      </c>
      <c r="J89">
        <v>70</v>
      </c>
      <c r="K89">
        <v>2.65</v>
      </c>
      <c r="L89">
        <f>IF(K89&gt;0,K89*16,)</f>
        <v>42.4</v>
      </c>
      <c r="M89">
        <f>IF(K89&gt;0,K89*0.453592,IF(L89&gt;0,L89*0.02835,))</f>
        <v>1.2020188</v>
      </c>
      <c r="N89">
        <v>0</v>
      </c>
      <c r="O89">
        <v>0</v>
      </c>
      <c r="P89">
        <f>J89+O89+N89</f>
        <v>70</v>
      </c>
      <c r="Q89">
        <f>P89*C$3</f>
        <v>87500</v>
      </c>
      <c r="R89">
        <v>0</v>
      </c>
      <c r="S89">
        <f>ROUND(SUM(Q89:R89), -2)</f>
        <v>87500</v>
      </c>
      <c r="T89">
        <f>ROUNDUP(HLOOKUP(ROUNDUP(K89,0),'배송비 조회'!A$10:U$22,7,0)*C$3,-2)</f>
        <v>13400</v>
      </c>
      <c r="U89">
        <v>0</v>
      </c>
      <c r="V89">
        <f>ROUND(IF(R89&gt;0,0,(S89+T89)*0.3),-2)</f>
        <v>30300</v>
      </c>
      <c r="W89">
        <f>ROUND(IF(R89&gt;0,0,(S89+T89)*0.5),-2)</f>
        <v>50500</v>
      </c>
      <c r="X89">
        <f>IF(R89&gt;0,SUM(S89:T89),SUM(S89:V89))</f>
        <v>131200</v>
      </c>
      <c r="Y89">
        <f>IF(R89&gt;0,SUM(S89:T89),SUM(S89:U89)+W89)</f>
        <v>151400</v>
      </c>
      <c r="Z89">
        <v>0</v>
      </c>
      <c r="AA89">
        <f>X89*0.038</f>
        <v>4985.599999999999</v>
      </c>
      <c r="AB89">
        <f>X89*0.02</f>
        <v>2624</v>
      </c>
      <c r="AC89">
        <f>Y89*0.1</f>
        <v>15140</v>
      </c>
      <c r="AD89">
        <f>X89-AA89-AB89</f>
        <v>123590.4</v>
      </c>
      <c r="AE89">
        <f>Y89-AC89</f>
        <v>136260</v>
      </c>
      <c r="AF89">
        <f>AD89*0.01</f>
        <v>1235.904</v>
      </c>
      <c r="AG89">
        <f>AD89-Q89-AF89-T89</f>
        <v>21454.495999999992</v>
      </c>
      <c r="AH89">
        <f>AE89-Q89-AF89-T89</f>
        <v>34124.096</v>
      </c>
      <c r="AI89">
        <f>AG89/X89</f>
        <v>0.16352512195121946</v>
      </c>
      <c r="AJ89">
        <f>AH89/Y89</f>
        <v>0.22539033025099073</v>
      </c>
      <c r="AW89">
        <v>4546010103</v>
      </c>
    </row>
    <row r="90">
      <c r="A90">
        <f>HYPERLINK("https://smartstore.naver.com/brickstore2019/products/4547474610",AW:AW)</f>
        <v>4547474610</v>
      </c>
      <c r="B90" t="str">
        <f>HYPERLINK("https://www.coupang.com/vp/products/331951939","10275860518")</f>
        <v>10275860518</v>
      </c>
      <c r="C90" t="str">
        <v>타이틀리스트 남자골프모자 Titleist TH9ATPSFN2 TH9ATPCHN2</v>
      </c>
      <c r="D90" t="str">
        <v>타이틀리스트 남자골프모자 Titleist TH9ATPSFN2 TH9ATPCHN2</v>
      </c>
      <c r="E90" t="str">
        <v>Titleist Men's Tour Performance Golf Hat</v>
      </c>
      <c r="F90" t="str">
        <v>White/Black</v>
      </c>
      <c r="G90" t="str">
        <f>HYPERLINK("https://www.amazon.com/Titleist-Performance-Staff-White-Black/dp/B07PVQJ3ZG?th=1","A")</f>
        <v>A</v>
      </c>
      <c r="J90">
        <v>27.95</v>
      </c>
      <c r="K90">
        <f>IF(L90&gt;0,L90*0.0625,)</f>
        <v>0.2</v>
      </c>
      <c r="L90">
        <v>3.2</v>
      </c>
      <c r="M90">
        <f>IF(K90&gt;0,K90*0.453592,IF(L90&gt;0,L90*0.02835,))</f>
        <v>0.0907184</v>
      </c>
      <c r="N90">
        <v>0</v>
      </c>
      <c r="O90">
        <v>0</v>
      </c>
      <c r="P90">
        <f>J90+O90+N90</f>
        <v>27.95</v>
      </c>
      <c r="Q90">
        <f>P90*C$3</f>
        <v>34937.5</v>
      </c>
      <c r="R90">
        <v>0</v>
      </c>
      <c r="S90">
        <f>ROUND(SUM(Q90:R90), -2)</f>
        <v>34900</v>
      </c>
      <c r="T90">
        <f>ROUNDUP(HLOOKUP(ROUNDUP(K90,0),'배송비 조회'!A$10:U$22,7,0)*C$3,-2)</f>
        <v>9000</v>
      </c>
      <c r="U90">
        <v>0</v>
      </c>
      <c r="V90">
        <f>ROUND(IF(R90&gt;0,0,(S90+T90)*0.4),-2)</f>
        <v>17600</v>
      </c>
      <c r="W90">
        <f>ROUND(IF(R90&gt;0,0,(S90+T90)*0.5),-2)</f>
        <v>22000</v>
      </c>
      <c r="X90">
        <f>IF(R90&gt;0,SUM(S90:T90),SUM(S90:V90))</f>
        <v>61500</v>
      </c>
      <c r="Y90">
        <f>IF(R90&gt;0,SUM(S90:T90),SUM(S90:U90)+W90)</f>
        <v>65900</v>
      </c>
      <c r="Z90">
        <v>0</v>
      </c>
      <c r="AA90">
        <f>X90*0.038</f>
        <v>2337</v>
      </c>
      <c r="AB90">
        <f>X90*0.02</f>
        <v>1230</v>
      </c>
      <c r="AC90">
        <f>Y90*0.1</f>
        <v>6590</v>
      </c>
      <c r="AD90">
        <f>X90-AA90-AB90</f>
        <v>57933</v>
      </c>
      <c r="AE90">
        <f>Y90-AC90</f>
        <v>59310</v>
      </c>
      <c r="AF90">
        <f>AD90*0.01</f>
        <v>579.33</v>
      </c>
      <c r="AG90">
        <f>AD90-Q90-AF90-T90</f>
        <v>13416.169999999998</v>
      </c>
      <c r="AH90">
        <f>AE90-Q90-AF90-T90</f>
        <v>14793.169999999998</v>
      </c>
      <c r="AI90">
        <f>AG90/X90</f>
        <v>0.2181491056910569</v>
      </c>
      <c r="AJ90">
        <f>AH90/Y90</f>
        <v>0.22447905918057662</v>
      </c>
      <c r="AW90">
        <v>4547474610</v>
      </c>
    </row>
    <row r="91">
      <c r="F91" t="str">
        <v>Charcoal/Grey</v>
      </c>
      <c r="G91" t="str">
        <v>A</v>
      </c>
      <c r="J91">
        <v>27.95</v>
      </c>
      <c r="K91">
        <f>IF(L91&gt;0,L91*0.0625,)</f>
        <v>0.2</v>
      </c>
      <c r="L91">
        <v>3.2</v>
      </c>
      <c r="M91">
        <f>IF(K91&gt;0,K91*0.453592,IF(L91&gt;0,L91*0.02835,))</f>
        <v>0.0907184</v>
      </c>
      <c r="N91">
        <v>0</v>
      </c>
      <c r="O91">
        <v>0</v>
      </c>
      <c r="P91">
        <f>J91+O91+N91</f>
        <v>27.95</v>
      </c>
      <c r="Q91">
        <f>P91*C$3</f>
        <v>34937.5</v>
      </c>
      <c r="R91">
        <v>0</v>
      </c>
      <c r="S91">
        <f>ROUND(SUM(Q91:R91), -2)</f>
        <v>34900</v>
      </c>
      <c r="T91">
        <f>ROUNDUP(HLOOKUP(ROUNDUP(K91,0),'배송비 조회'!A$10:U$22,7,0)*C$3,-2)</f>
        <v>9000</v>
      </c>
      <c r="U91">
        <v>0</v>
      </c>
      <c r="V91">
        <f>ROUND(IF(R91&gt;0,0,(S91+T91)*0.4),-2)</f>
        <v>17600</v>
      </c>
      <c r="W91">
        <f>ROUND(IF(R91&gt;0,0,(S91+T91)*0.5),-2)</f>
        <v>22000</v>
      </c>
      <c r="X91">
        <f>IF(R91&gt;0,SUM(S91:T91),SUM(S91:V91))</f>
        <v>61500</v>
      </c>
      <c r="Y91">
        <f>IF(R91&gt;0,SUM(S91:T91),SUM(S91:U91)+W91)</f>
        <v>65900</v>
      </c>
      <c r="Z91">
        <v>0</v>
      </c>
      <c r="AA91">
        <f>X91*0.038</f>
        <v>2337</v>
      </c>
      <c r="AB91">
        <f>X91*0.02</f>
        <v>1230</v>
      </c>
      <c r="AC91">
        <f>Y91*0.1</f>
        <v>6590</v>
      </c>
      <c r="AD91">
        <f>X91-AA91-AB91</f>
        <v>57933</v>
      </c>
      <c r="AE91">
        <f>Y91-AC91</f>
        <v>59310</v>
      </c>
      <c r="AF91">
        <f>AD91*0.01</f>
        <v>579.33</v>
      </c>
      <c r="AG91">
        <f>AD91-Q91-AF91-T91</f>
        <v>13416.169999999998</v>
      </c>
      <c r="AH91">
        <f>AE91-Q91-AF91-T91</f>
        <v>14793.169999999998</v>
      </c>
      <c r="AI91">
        <f>AG91/X91</f>
        <v>0.2181491056910569</v>
      </c>
      <c r="AJ91">
        <f>AH91/Y91</f>
        <v>0.22447905918057662</v>
      </c>
    </row>
    <row r="92">
      <c r="A92">
        <f>HYPERLINK("https://smartstore.naver.com/brickstore2019/products/4548759051",AW:AW)</f>
        <v>4548759051</v>
      </c>
      <c r="C92" t="str">
        <v>아디다스 투어 테니스 라켓 가방 adidas Tennis Racquet Backpack</v>
      </c>
      <c r="E92" t="str">
        <v>adidas Tour Tennis Racquet Backpack</v>
      </c>
      <c r="F92" t="str">
        <v>Black/White/Scarlet</v>
      </c>
      <c r="G92" t="str">
        <f>HYPERLINK("https://www.amazon.com/adidas-Tennis-Racquet-Backpack-Scarlet/dp/B077BXTYG9/ref=sr_1_3?keywords=adidas+Tour+Tennis+Racquet+Backpack&amp;qid=1569937116&amp;s=apparel&amp;sr=1-3","A")</f>
        <v>A</v>
      </c>
      <c r="H92" t="str">
        <v>품절</v>
      </c>
      <c r="J92">
        <v>70</v>
      </c>
      <c r="K92">
        <v>1.76</v>
      </c>
      <c r="L92">
        <f>IF(K92&gt;0,K92*16,)</f>
        <v>28.16</v>
      </c>
      <c r="M92">
        <f>IF(K92&gt;0,K92*0.453592,IF(L92&gt;0,L92*0.02835,))</f>
        <v>0.79832192</v>
      </c>
      <c r="N92">
        <v>0</v>
      </c>
      <c r="O92">
        <v>0</v>
      </c>
      <c r="P92">
        <f>J92+O92+N92</f>
        <v>70</v>
      </c>
      <c r="Q92">
        <f>P92*C$3</f>
        <v>87500</v>
      </c>
      <c r="R92">
        <v>0</v>
      </c>
      <c r="S92">
        <f>ROUND(SUM(Q92:R92), -2)</f>
        <v>87500</v>
      </c>
      <c r="T92">
        <f>ROUNDUP(HLOOKUP(ROUNDUP(K92,0),'배송비 조회'!A$10:U$22,7,0)*C$3,-2)</f>
        <v>11200</v>
      </c>
      <c r="U92">
        <v>0</v>
      </c>
      <c r="V92">
        <f>ROUND(IF(R92&gt;0,0,(S92+T92)*0.3),-2)</f>
        <v>29600</v>
      </c>
      <c r="W92">
        <f>ROUND(IF(R92&gt;0,0,(S92+T92)*0.5),-2)</f>
        <v>49400</v>
      </c>
      <c r="X92">
        <f>IF(R92&gt;0,SUM(S92:T92),SUM(S92:V92))</f>
        <v>128300</v>
      </c>
      <c r="Y92">
        <f>IF(R92&gt;0,SUM(S92:T92),SUM(S92:U92)+W92)</f>
        <v>148100</v>
      </c>
      <c r="Z92">
        <v>0</v>
      </c>
      <c r="AA92">
        <f>X92*0.038</f>
        <v>4875.4</v>
      </c>
      <c r="AB92">
        <f>X92*0.02</f>
        <v>2566</v>
      </c>
      <c r="AC92">
        <f>Y92*0.1</f>
        <v>14810</v>
      </c>
      <c r="AD92">
        <f>X92-AA92-AB92</f>
        <v>120858.6</v>
      </c>
      <c r="AE92">
        <f>Y92-AC92</f>
        <v>133290</v>
      </c>
      <c r="AF92">
        <f>AD92*0.01</f>
        <v>1208.586</v>
      </c>
      <c r="AG92">
        <f>AD92-Q92-AF92-T92</f>
        <v>20950.014000000006</v>
      </c>
      <c r="AH92">
        <f>AE92-Q92-AF92-T92</f>
        <v>33381.414</v>
      </c>
      <c r="AI92">
        <f>AG92/X92</f>
        <v>0.16328927513639913</v>
      </c>
      <c r="AJ92">
        <f>AH92/Y92</f>
        <v>0.22539779878460497</v>
      </c>
      <c r="AW92">
        <v>4548759051</v>
      </c>
    </row>
    <row r="93">
      <c r="F93" t="str">
        <v>Black/White/Silver</v>
      </c>
      <c r="G93" t="str">
        <f>HYPERLINK("https://www.amazon.com/adidas-Tennis-Racquet-Backpack-Silver/dp/B077BWVG82/ref=sr_1_1?keywords=adidas%2Btennis%2Bracket%2Bbackpack&amp;qid=1560219759&amp;s=gateway&amp;sr=8-1&amp;th=1","A")</f>
        <v>A</v>
      </c>
      <c r="J93">
        <v>64.31</v>
      </c>
      <c r="K93">
        <v>1.76</v>
      </c>
      <c r="L93">
        <f>IF(K93&gt;0,K93*16,)</f>
        <v>28.16</v>
      </c>
      <c r="M93">
        <f>IF(K93&gt;0,K93*0.453592,IF(L93&gt;0,L93*0.02835,))</f>
        <v>0.79832192</v>
      </c>
      <c r="N93">
        <v>0</v>
      </c>
      <c r="O93">
        <v>0</v>
      </c>
      <c r="P93">
        <f>J93+O93+N93</f>
        <v>64.31</v>
      </c>
      <c r="Q93">
        <f>P93*C$3</f>
        <v>80387.5</v>
      </c>
      <c r="R93">
        <v>0</v>
      </c>
      <c r="S93">
        <f>ROUND(SUM(Q93:R93), -2)</f>
        <v>80400</v>
      </c>
      <c r="T93">
        <f>ROUNDUP(HLOOKUP(ROUNDUP(K93,0),'배송비 조회'!A$10:U$22,7,0)*C$3,-2)</f>
        <v>11200</v>
      </c>
      <c r="U93">
        <v>0</v>
      </c>
      <c r="V93">
        <f>ROUND(IF(R93&gt;0,0,(S93+T93)*0.3),-2)</f>
        <v>27500</v>
      </c>
      <c r="W93">
        <f>ROUND(IF(R93&gt;0,0,(S93+T93)*0.5),-2)</f>
        <v>45800</v>
      </c>
      <c r="X93">
        <f>IF(R93&gt;0,SUM(S93:T93),SUM(S93:V93))</f>
        <v>119100</v>
      </c>
      <c r="Y93">
        <f>IF(R93&gt;0,SUM(S93:T93),SUM(S93:U93)+W93)</f>
        <v>137400</v>
      </c>
      <c r="Z93">
        <v>0</v>
      </c>
      <c r="AA93">
        <f>X93*0.038</f>
        <v>4525.8</v>
      </c>
      <c r="AB93">
        <f>X93*0.02</f>
        <v>2382</v>
      </c>
      <c r="AC93">
        <f>Y93*0.1</f>
        <v>13740</v>
      </c>
      <c r="AD93">
        <f>X93-AA93-AB93</f>
        <v>112192.2</v>
      </c>
      <c r="AE93">
        <f>Y93-AC93</f>
        <v>123660</v>
      </c>
      <c r="AF93">
        <f>AD93*0.01</f>
        <v>1121.922</v>
      </c>
      <c r="AG93">
        <f>AD93-Q93-AF93-T93</f>
        <v>19482.778</v>
      </c>
      <c r="AH93">
        <f>AE93-Q93-AF93-T93</f>
        <v>30950.578</v>
      </c>
      <c r="AI93">
        <f>AG93/X93</f>
        <v>0.1635833585222502</v>
      </c>
      <c r="AJ93">
        <f>AH93/Y93</f>
        <v>0.22525893740902475</v>
      </c>
    </row>
    <row r="94">
      <c r="A94">
        <f>HYPERLINK("https://smartstore.naver.com/brickstore2019/products/4549469150",AW:AW)</f>
        <v>4549469150</v>
      </c>
      <c r="C94" t="str">
        <v>코닥 미니 포토 프린터 전용 카트리지 KODPMC50</v>
      </c>
      <c r="E94" t="str">
        <v>Kodak Mini Photo Printer Cartridge PMC - All-in-One Paper &amp; Color Ink Cartridge Refill - 50 Pack (Compatible ONLY with Original Mini Printer, NOT Mini2, Mini Shot)</v>
      </c>
      <c r="F94" t="str">
        <v>30매</v>
      </c>
      <c r="G94" t="str">
        <v>A</v>
      </c>
      <c r="J94">
        <v>21.99</v>
      </c>
      <c r="K94">
        <f>IF(L94&gt;0,L94*0.0625,)</f>
        <v>0.3</v>
      </c>
      <c r="L94">
        <v>4.8</v>
      </c>
      <c r="M94">
        <f>IF(K94&gt;0,K94*0.453592,IF(L94&gt;0,L94*0.02835,))</f>
        <v>0.1360776</v>
      </c>
      <c r="N94">
        <v>0</v>
      </c>
      <c r="O94">
        <v>0</v>
      </c>
      <c r="P94">
        <f>J94+O94+N94</f>
        <v>21.99</v>
      </c>
      <c r="Q94">
        <f>P94*C$3</f>
        <v>27487.499999999996</v>
      </c>
      <c r="R94">
        <v>0</v>
      </c>
      <c r="S94">
        <f>ROUND(SUM(Q94:R94), -2)</f>
        <v>27500</v>
      </c>
      <c r="T94">
        <f>ROUNDUP(HLOOKUP(ROUNDUP(K94,0),'배송비 조회'!A$10:U$22,7,0)*C$3,-2)</f>
        <v>9000</v>
      </c>
      <c r="U94">
        <v>0</v>
      </c>
      <c r="V94">
        <f>ROUND(IF(R94&gt;0,0,(S94+T94)*0.4),-2)</f>
        <v>14600</v>
      </c>
      <c r="W94">
        <f>ROUND(IF(R94&gt;0,0,(S94+T94)*0.5),-2)</f>
        <v>18300</v>
      </c>
      <c r="X94">
        <f>IF(R94&gt;0,SUM(S94:T94),SUM(S94:V94))</f>
        <v>51100</v>
      </c>
      <c r="Y94">
        <f>IF(R94&gt;0,SUM(S94:T94),SUM(S94:U94)+W94)</f>
        <v>54800</v>
      </c>
      <c r="Z94">
        <v>0</v>
      </c>
      <c r="AA94">
        <f>X94*0.038</f>
        <v>1941.8</v>
      </c>
      <c r="AB94">
        <f>X94*0.02</f>
        <v>1022</v>
      </c>
      <c r="AC94">
        <f>Y94*0.1</f>
        <v>5480</v>
      </c>
      <c r="AD94">
        <f>X94-AA94-AB94</f>
        <v>48136.2</v>
      </c>
      <c r="AE94">
        <f>Y94-AC94</f>
        <v>49320</v>
      </c>
      <c r="AF94">
        <f>AD94*0.01</f>
        <v>481.36199999999997</v>
      </c>
      <c r="AG94">
        <f>AD94-Q94-AF94-T94</f>
        <v>11167.338</v>
      </c>
      <c r="AH94">
        <f>AE94-Q94-AF94-T94</f>
        <v>12351.138000000003</v>
      </c>
      <c r="AI94">
        <f>AG94/X94</f>
        <v>0.21853890410958904</v>
      </c>
      <c r="AJ94">
        <f>AH94/Y94</f>
        <v>0.22538572992700734</v>
      </c>
      <c r="AW94">
        <v>4549469150</v>
      </c>
    </row>
    <row r="95">
      <c r="F95" t="str">
        <v>50매</v>
      </c>
      <c r="G95" t="str">
        <v>A</v>
      </c>
      <c r="J95">
        <v>34.99</v>
      </c>
      <c r="K95">
        <f>IF(L95&gt;0,L95*0.0625,)</f>
        <v>0.3</v>
      </c>
      <c r="L95">
        <v>4.8</v>
      </c>
      <c r="M95">
        <f>IF(K95&gt;0,K95*0.453592,IF(L95&gt;0,L95*0.02835,))</f>
        <v>0.1360776</v>
      </c>
      <c r="N95">
        <v>0</v>
      </c>
      <c r="O95">
        <v>0</v>
      </c>
      <c r="P95">
        <f>J95+O95+N95</f>
        <v>34.99</v>
      </c>
      <c r="Q95">
        <f>P95*C$3</f>
        <v>43737.5</v>
      </c>
      <c r="R95">
        <v>0</v>
      </c>
      <c r="S95">
        <f>ROUND(SUM(Q95:R95), -2)</f>
        <v>43700</v>
      </c>
      <c r="T95">
        <f>ROUNDUP(HLOOKUP(ROUNDUP(K95,0),'배송비 조회'!A$10:U$22,7,0)*C$3,-2)</f>
        <v>9000</v>
      </c>
      <c r="U95">
        <v>0</v>
      </c>
      <c r="V95">
        <f>ROUND(IF(R95&gt;0,0,(S95+T95)*0.3),-2)</f>
        <v>15800</v>
      </c>
      <c r="W95">
        <f>ROUND(IF(R95&gt;0,0,(S95+T95)*0.5),-2)</f>
        <v>26400</v>
      </c>
      <c r="X95">
        <f>IF(R95&gt;0,SUM(S95:T95),SUM(S95:V95))</f>
        <v>68500</v>
      </c>
      <c r="Y95">
        <f>IF(R95&gt;0,SUM(S95:T95),SUM(S95:U95)+W95)</f>
        <v>79100</v>
      </c>
      <c r="Z95">
        <v>0</v>
      </c>
      <c r="AA95">
        <f>X95*0.038</f>
        <v>2603</v>
      </c>
      <c r="AB95">
        <f>X95*0.02</f>
        <v>1370</v>
      </c>
      <c r="AC95">
        <f>Y95*0.1</f>
        <v>7910</v>
      </c>
      <c r="AD95">
        <f>X95-AA95-AB95</f>
        <v>64527</v>
      </c>
      <c r="AE95">
        <f>Y95-AC95</f>
        <v>71190</v>
      </c>
      <c r="AF95">
        <f>AD95*0.01</f>
        <v>645.27</v>
      </c>
      <c r="AG95">
        <f>AD95-Q95-AF95-T95</f>
        <v>11144.23</v>
      </c>
      <c r="AH95">
        <f>AE95-Q95-AF95-T95</f>
        <v>17807.23</v>
      </c>
      <c r="AI95">
        <f>AG95/X95</f>
        <v>0.16268948905109487</v>
      </c>
      <c r="AJ95">
        <f>AH95/Y95</f>
        <v>0.22512300884955752</v>
      </c>
    </row>
    <row r="96">
      <c r="A96">
        <f>HYPERLINK("https://smartstore.naver.com/brickstore2019/products/4550155317",AW:AW)</f>
        <v>4550155317</v>
      </c>
      <c r="C96" t="str">
        <v>시티즌 프로마이스터 나이트호크 남자시계 BJ7000-52E</v>
      </c>
      <c r="E96" t="str">
        <v>Citizen Men's Eco-Drive Promaster Nighthawk Dual Time Watch with Date, BJ7000-52E</v>
      </c>
      <c r="G96" t="str">
        <f>HYPERLINK("https://www.amazon.com/Citizen-Eco-Drive-Promaster-Nighthawk-BJ7000-52E/dp/B00074KYC8","A")</f>
        <v>A</v>
      </c>
      <c r="J96">
        <v>187.98</v>
      </c>
      <c r="K96">
        <v>1.3</v>
      </c>
      <c r="L96">
        <f>IF(K96&gt;0,K96*16,)</f>
        <v>20.8</v>
      </c>
      <c r="M96">
        <f>IF(K96&gt;0,K96*0.453592,IF(L96&gt;0,L96*0.02835,))</f>
        <v>0.5896696</v>
      </c>
      <c r="N96">
        <v>0</v>
      </c>
      <c r="O96">
        <v>0</v>
      </c>
      <c r="P96">
        <f>J96+O96+N96</f>
        <v>187.98</v>
      </c>
      <c r="Q96">
        <f>P96*C$3</f>
        <v>234975</v>
      </c>
      <c r="R96">
        <v>0</v>
      </c>
      <c r="S96">
        <f>ROUND(SUM(Q96:R96), -2)</f>
        <v>235000</v>
      </c>
      <c r="T96">
        <f>ROUNDUP(HLOOKUP(ROUNDUP(K96,0),'배송비 조회'!A$10:U$22,7,0)*C$3,-2)</f>
        <v>11200</v>
      </c>
      <c r="U96">
        <v>0</v>
      </c>
      <c r="V96">
        <f>ROUND(IF(R96&gt;0,0,(S96+T96)*0.3),-2)</f>
        <v>73900</v>
      </c>
      <c r="W96">
        <f>ROUND(IF(R96&gt;0,0,(S96+T96)*0.5),-2)</f>
        <v>123100</v>
      </c>
      <c r="X96">
        <f>IF(R96&gt;0,SUM(S96:T96),SUM(S96:V96))</f>
        <v>320100</v>
      </c>
      <c r="Y96">
        <f>IF(R96&gt;0,SUM(S96:T96),SUM(S96:U96)+W96)</f>
        <v>369300</v>
      </c>
      <c r="Z96">
        <v>0</v>
      </c>
      <c r="AA96">
        <f>X96*0.038</f>
        <v>12163.8</v>
      </c>
      <c r="AB96">
        <f>X96*0.02</f>
        <v>6402</v>
      </c>
      <c r="AC96">
        <f>Y96*0.1</f>
        <v>36930</v>
      </c>
      <c r="AD96">
        <f>X96-AA96-AB96</f>
        <v>301534.2</v>
      </c>
      <c r="AE96">
        <f>Y96-AC96</f>
        <v>332370</v>
      </c>
      <c r="AF96">
        <f>AD96*0.01</f>
        <v>3015.342</v>
      </c>
      <c r="AG96">
        <f>AD96-Q96-AF96-T96</f>
        <v>52343.858000000015</v>
      </c>
      <c r="AH96">
        <f>AE96-Q96-AF96-T96</f>
        <v>83179.658</v>
      </c>
      <c r="AI96">
        <f>AG96/X96</f>
        <v>0.16352345517025935</v>
      </c>
      <c r="AJ96">
        <f>AH96/Y96</f>
        <v>0.22523600866504195</v>
      </c>
      <c r="AW96">
        <v>4550155317</v>
      </c>
    </row>
    <row r="97">
      <c r="A97">
        <f>HYPERLINK("https://smartstore.naver.com/brickstore2019/products/4551740184",AW:AW)</f>
        <v>4551740184</v>
      </c>
      <c r="C97" t="str">
        <v>샘소나이트 미니 백팩 회사원 백팩</v>
      </c>
      <c r="E97" t="str">
        <v>Samsonite Modern Utility Mini Laptop Backpack</v>
      </c>
      <c r="F97" t="str">
        <v>Blue Chambray</v>
      </c>
      <c r="G97" t="str">
        <f>HYPERLINK("https://www.amazon.com/Samsonite-Modern-Utility-Laptop-Backpack/dp/B07KD95RTZ/ref=sr_1_5?keywords=samsonite%2Bbackpack&amp;qid=1560434338&amp;refinements=p_89%3ASamsonite&amp;rnid=2528832011&amp;s=gateway&amp;sr=8-5&amp;th=1","A")</f>
        <v>A</v>
      </c>
      <c r="J97">
        <v>70</v>
      </c>
      <c r="K97">
        <v>2.55</v>
      </c>
      <c r="L97">
        <f>IF(K97&gt;0,K97*16,)</f>
        <v>40.8</v>
      </c>
      <c r="M97">
        <f>IF(K97&gt;0,K97*0.453592,IF(L97&gt;0,L97*0.02835,))</f>
        <v>1.1566596</v>
      </c>
      <c r="N97">
        <v>0</v>
      </c>
      <c r="O97">
        <v>0</v>
      </c>
      <c r="P97">
        <f>J97+O97+N97</f>
        <v>70</v>
      </c>
      <c r="Q97">
        <f>P97*C$3</f>
        <v>87500</v>
      </c>
      <c r="R97">
        <v>0</v>
      </c>
      <c r="S97">
        <f>ROUND(SUM(Q97:R97), -2)</f>
        <v>87500</v>
      </c>
      <c r="T97">
        <f>ROUNDUP(HLOOKUP(ROUNDUP(K97,0),'배송비 조회'!A$10:U$22,7,0)*C$3,-2)</f>
        <v>13400</v>
      </c>
      <c r="U97">
        <v>0</v>
      </c>
      <c r="V97">
        <f>ROUND(IF(R97&gt;0,0,(S97+T97)*0.3),-2)</f>
        <v>30300</v>
      </c>
      <c r="W97">
        <f>ROUND(IF(R97&gt;0,0,(S97+T97)*0.5),-2)</f>
        <v>50500</v>
      </c>
      <c r="X97">
        <f>IF(R97&gt;0,SUM(S97:T97),SUM(S97:V97))</f>
        <v>131200</v>
      </c>
      <c r="Y97">
        <f>IF(R97&gt;0,SUM(S97:T97),SUM(S97:U97)+W97)</f>
        <v>151400</v>
      </c>
      <c r="Z97">
        <v>0</v>
      </c>
      <c r="AA97">
        <f>X97*0.038</f>
        <v>4985.599999999999</v>
      </c>
      <c r="AB97">
        <f>X97*0.02</f>
        <v>2624</v>
      </c>
      <c r="AC97">
        <f>Y97*0.1</f>
        <v>15140</v>
      </c>
      <c r="AD97">
        <f>X97-AA97-AB97</f>
        <v>123590.4</v>
      </c>
      <c r="AE97">
        <f>Y97-AC97</f>
        <v>136260</v>
      </c>
      <c r="AF97">
        <f>AD97*0.01</f>
        <v>1235.904</v>
      </c>
      <c r="AG97">
        <f>AD97-Q97-AF97-T97</f>
        <v>21454.495999999992</v>
      </c>
      <c r="AH97">
        <f>AE97-Q97-AF97-T97</f>
        <v>34124.096</v>
      </c>
      <c r="AI97">
        <f>AG97/X97</f>
        <v>0.16352512195121946</v>
      </c>
      <c r="AJ97">
        <f>AH97/Y97</f>
        <v>0.22539033025099073</v>
      </c>
      <c r="AW97">
        <v>4551740184</v>
      </c>
    </row>
    <row r="98">
      <c r="F98" t="str">
        <v>Charcoal Heather</v>
      </c>
      <c r="G98" t="str">
        <f>HYPERLINK("https://www.amazon.com/Samsonite-Modern-Utility-Laptop-Backpack/dp/B073C97T3V/ref=sr_1_5?keywords=samsonite%2Bbackpack&amp;qid=1560434338&amp;refinements=p_89%3ASamsonite&amp;rnid=2528832011&amp;s=gateway&amp;sr=8-5&amp;th=1","A")</f>
        <v>A</v>
      </c>
      <c r="J98">
        <v>60</v>
      </c>
      <c r="K98">
        <v>2.55</v>
      </c>
      <c r="L98">
        <f>IF(K98&gt;0,K98*16,)</f>
        <v>40.8</v>
      </c>
      <c r="M98">
        <f>IF(K98&gt;0,K98*0.453592,IF(L98&gt;0,L98*0.02835,))</f>
        <v>1.1566596</v>
      </c>
      <c r="N98">
        <v>0</v>
      </c>
      <c r="O98">
        <v>0</v>
      </c>
      <c r="P98">
        <f>J98+O98+N98</f>
        <v>60</v>
      </c>
      <c r="Q98">
        <f>P98*C$3</f>
        <v>75000</v>
      </c>
      <c r="R98">
        <v>0</v>
      </c>
      <c r="S98">
        <f>ROUND(SUM(Q98:R98), -2)</f>
        <v>75000</v>
      </c>
      <c r="T98">
        <f>ROUNDUP(HLOOKUP(ROUNDUP(K98,0),'배송비 조회'!A$10:U$22,7,0)*C$3,-2)</f>
        <v>13400</v>
      </c>
      <c r="U98">
        <v>0</v>
      </c>
      <c r="V98">
        <f>ROUND(IF(R98&gt;0,0,(S98+T98)*0.3),-2)</f>
        <v>26500</v>
      </c>
      <c r="W98">
        <f>ROUND(IF(R98&gt;0,0,(S98+T98)*0.5),-2)</f>
        <v>44200</v>
      </c>
      <c r="X98">
        <f>IF(R98&gt;0,SUM(S98:T98),SUM(S98:V98))</f>
        <v>114900</v>
      </c>
      <c r="Y98">
        <f>IF(R98&gt;0,SUM(S98:T98),SUM(S98:U98)+W98)</f>
        <v>132600</v>
      </c>
      <c r="Z98">
        <v>0</v>
      </c>
      <c r="AA98">
        <f>X98*0.038</f>
        <v>4366.2</v>
      </c>
      <c r="AB98">
        <f>X98*0.02</f>
        <v>2298</v>
      </c>
      <c r="AC98">
        <f>Y98*0.1</f>
        <v>13260</v>
      </c>
      <c r="AD98">
        <f>X98-AA98-AB98</f>
        <v>108235.8</v>
      </c>
      <c r="AE98">
        <f>Y98-AC98</f>
        <v>119340</v>
      </c>
      <c r="AF98">
        <f>AD98*0.01</f>
        <v>1082.358</v>
      </c>
      <c r="AG98">
        <f>AD98-Q98-AF98-T98</f>
        <v>18753.442000000003</v>
      </c>
      <c r="AH98">
        <f>AE98-Q98-AF98-T98</f>
        <v>29857.642</v>
      </c>
      <c r="AI98">
        <f>AG98/X98</f>
        <v>0.1632153350739774</v>
      </c>
      <c r="AJ98">
        <f>AH98/Y98</f>
        <v>0.22517075414781296</v>
      </c>
      <c r="AK98">
        <f>X98-X97</f>
        <v>-16300</v>
      </c>
    </row>
    <row r="99">
      <c r="F99" t="str">
        <v>Olive</v>
      </c>
      <c r="G99" t="str">
        <f>HYPERLINK("https://www.amazon.com/Samsonite-Modern-Utility-Laptop-Backpack/dp/B07KD81W74/ref=sr_1_5?keywords=samsonite%2Bbackpack&amp;qid=1560434338&amp;refinements=p_89%3ASamsonite&amp;rnid=2528832011&amp;s=gateway&amp;sr=8-5&amp;th=1","A")</f>
        <v>A</v>
      </c>
      <c r="J99">
        <v>70</v>
      </c>
      <c r="K99">
        <v>2.55</v>
      </c>
      <c r="L99">
        <f>IF(K99&gt;0,K99*16,)</f>
        <v>40.8</v>
      </c>
      <c r="M99">
        <f>IF(K99&gt;0,K99*0.453592,IF(L99&gt;0,L99*0.02835,))</f>
        <v>1.1566596</v>
      </c>
      <c r="N99">
        <v>0</v>
      </c>
      <c r="O99">
        <v>0</v>
      </c>
      <c r="P99">
        <f>J99+O99+N99</f>
        <v>70</v>
      </c>
      <c r="Q99">
        <f>P99*C$3</f>
        <v>87500</v>
      </c>
      <c r="R99">
        <v>0</v>
      </c>
      <c r="S99">
        <f>ROUND(SUM(Q99:R99), -2)</f>
        <v>87500</v>
      </c>
      <c r="T99">
        <f>ROUNDUP(HLOOKUP(ROUNDUP(K99,0),'배송비 조회'!A$10:U$22,7,0)*C$3,-2)</f>
        <v>13400</v>
      </c>
      <c r="U99">
        <v>0</v>
      </c>
      <c r="V99">
        <f>ROUND(IF(R99&gt;0,0,(S99+T99)*0.3),-2)</f>
        <v>30300</v>
      </c>
      <c r="W99">
        <f>ROUND(IF(R99&gt;0,0,(S99+T99)*0.5),-2)</f>
        <v>50500</v>
      </c>
      <c r="X99">
        <f>IF(R99&gt;0,SUM(S99:T99),SUM(S99:V99))</f>
        <v>131200</v>
      </c>
      <c r="Y99">
        <f>IF(R99&gt;0,SUM(S99:T99),SUM(S99:U99)+W99)</f>
        <v>151400</v>
      </c>
      <c r="Z99">
        <v>0</v>
      </c>
      <c r="AA99">
        <f>X99*0.038</f>
        <v>4985.599999999999</v>
      </c>
      <c r="AB99">
        <f>X99*0.02</f>
        <v>2624</v>
      </c>
      <c r="AC99">
        <f>Y99*0.1</f>
        <v>15140</v>
      </c>
      <c r="AD99">
        <f>X99-AA99-AB99</f>
        <v>123590.4</v>
      </c>
      <c r="AE99">
        <f>Y99-AC99</f>
        <v>136260</v>
      </c>
      <c r="AF99">
        <f>AD99*0.01</f>
        <v>1235.904</v>
      </c>
      <c r="AG99">
        <f>AD99-Q99-AF99-T99</f>
        <v>21454.495999999992</v>
      </c>
      <c r="AH99">
        <f>AE99-Q99-AF99-T99</f>
        <v>34124.096</v>
      </c>
      <c r="AI99">
        <f>AG99/X99</f>
        <v>0.16352512195121946</v>
      </c>
      <c r="AJ99">
        <f>AH99/Y99</f>
        <v>0.22539033025099073</v>
      </c>
      <c r="AK99">
        <f>X99-X97</f>
        <v>0</v>
      </c>
    </row>
    <row r="100">
      <c r="A100">
        <f>HYPERLINK("https://smartstore.naver.com/brickstore2019/products/4556434495",AW:AW)</f>
        <v>4556434495</v>
      </c>
      <c r="C100" t="str">
        <v>콜맨 스테인레스 휴대용 캠핑 와인 잔</v>
      </c>
      <c r="E100" t="str">
        <v>Coleman Claret Insulated Stainless Steel Wine Glass 13 oz</v>
      </c>
      <c r="F100" t="str">
        <v>Black</v>
      </c>
      <c r="G100" t="str">
        <f>HYPERLINK("https://www.amazon.com/Coleman-Claret-Insulated-Stainless-Seafoam/dp/B0728968XF/ref=sr_1_6?keywords=camping%2Bwine&amp;qid=1560697329&amp;s=gateway&amp;sr=8-6&amp;th=1","A")</f>
        <v>A</v>
      </c>
      <c r="J100">
        <v>15</v>
      </c>
      <c r="K100">
        <f>IF(L100&gt;0,L100*0.0625,)</f>
        <v>0.35</v>
      </c>
      <c r="L100">
        <v>5.6</v>
      </c>
      <c r="M100">
        <f>IF(K100&gt;0,K100*0.453592,IF(L100&gt;0,L100*0.02835,))</f>
        <v>0.1587572</v>
      </c>
      <c r="N100">
        <v>0</v>
      </c>
      <c r="O100">
        <v>0</v>
      </c>
      <c r="P100">
        <f>J100+O100+N100</f>
        <v>15</v>
      </c>
      <c r="Q100">
        <f>P100*C$3</f>
        <v>18750</v>
      </c>
      <c r="R100">
        <v>0</v>
      </c>
      <c r="S100">
        <f>ROUND(SUM(Q100:R100), -2)</f>
        <v>18800</v>
      </c>
      <c r="T100">
        <f>ROUNDUP(HLOOKUP(ROUNDUP(K100,0),'배송비 조회'!A$10:U$22,7,0)*C$3,-2)</f>
        <v>9000</v>
      </c>
      <c r="U100">
        <v>0</v>
      </c>
      <c r="V100">
        <f>ROUND(IF(R100&gt;0,0,(S100+T100)*0.5),-2)</f>
        <v>13900</v>
      </c>
      <c r="W100">
        <f>ROUND(IF(R100&gt;0,0,(S100+T100)*0.5),-2)</f>
        <v>13900</v>
      </c>
      <c r="X100">
        <f>IF(R100&gt;0,SUM(S100:T100),SUM(S100:V100))</f>
        <v>41700</v>
      </c>
      <c r="Y100">
        <f>IF(R100&gt;0,SUM(S100:T100),SUM(S100:U100)+W100)</f>
        <v>41700</v>
      </c>
      <c r="Z100">
        <v>0</v>
      </c>
      <c r="AA100">
        <f>X100*0.038</f>
        <v>1584.6</v>
      </c>
      <c r="AB100">
        <f>X100*0.02</f>
        <v>834</v>
      </c>
      <c r="AC100">
        <f>Y100*0.1</f>
        <v>4170</v>
      </c>
      <c r="AD100">
        <f>X100-AA100-AB100</f>
        <v>39281.4</v>
      </c>
      <c r="AE100">
        <f>Y100-AC100</f>
        <v>37530</v>
      </c>
      <c r="AF100">
        <f>AD100*0.01</f>
        <v>392.814</v>
      </c>
      <c r="AG100">
        <f>AD100-Q100-AF100-T100</f>
        <v>11138.586000000003</v>
      </c>
      <c r="AH100">
        <f>AE100-Q100-AF100-T100</f>
        <v>9387.186000000002</v>
      </c>
      <c r="AI100">
        <f>AG100/X100</f>
        <v>0.2671123741007195</v>
      </c>
      <c r="AJ100">
        <f>AH100/Y100</f>
        <v>0.22511237410071946</v>
      </c>
      <c r="AW100">
        <v>4556434495</v>
      </c>
    </row>
    <row r="101">
      <c r="F101" t="str">
        <v>Seafoam</v>
      </c>
      <c r="G101" t="str">
        <f>HYPERLINK("https://www.amazon.com/Coleman-Claret-Insulated-Stainless-Seafoam/dp/B076ZP8ZRM/ref=sr_1_6?keywords=camping%2Bwine&amp;qid=1560697329&amp;s=gateway&amp;sr=8-6&amp;th=1","A")</f>
        <v>A</v>
      </c>
      <c r="J101">
        <v>15</v>
      </c>
      <c r="K101">
        <f>IF(L101&gt;0,L101*0.0625,)</f>
        <v>0.35</v>
      </c>
      <c r="L101">
        <v>5.6</v>
      </c>
      <c r="M101">
        <f>IF(K101&gt;0,K101*0.453592,IF(L101&gt;0,L101*0.02835,))</f>
        <v>0.1587572</v>
      </c>
      <c r="N101">
        <v>0</v>
      </c>
      <c r="O101">
        <v>0</v>
      </c>
      <c r="P101">
        <f>J101+O101+N101</f>
        <v>15</v>
      </c>
      <c r="Q101">
        <f>P101*C$3</f>
        <v>18750</v>
      </c>
      <c r="R101">
        <v>0</v>
      </c>
      <c r="S101">
        <f>ROUND(SUM(Q101:R101), -2)</f>
        <v>18800</v>
      </c>
      <c r="T101">
        <f>ROUNDUP(HLOOKUP(ROUNDUP(K101,0),'배송비 조회'!A$10:U$22,7,0)*C$3,-2)</f>
        <v>9000</v>
      </c>
      <c r="U101">
        <v>0</v>
      </c>
      <c r="V101">
        <f>ROUND(IF(R101&gt;0,0,(S101+T101)*0.5),-2)</f>
        <v>13900</v>
      </c>
      <c r="W101">
        <f>ROUND(IF(R101&gt;0,0,(S101+T101)*0.5),-2)</f>
        <v>13900</v>
      </c>
      <c r="X101">
        <f>IF(R101&gt;0,SUM(S101:T101),SUM(S101:V101))</f>
        <v>41700</v>
      </c>
      <c r="Y101">
        <f>IF(R101&gt;0,SUM(S101:T101),SUM(S101:U101)+W101)</f>
        <v>41700</v>
      </c>
      <c r="Z101">
        <v>0</v>
      </c>
      <c r="AA101">
        <f>X101*0.038</f>
        <v>1584.6</v>
      </c>
      <c r="AB101">
        <f>X101*0.02</f>
        <v>834</v>
      </c>
      <c r="AC101">
        <f>Y101*0.1</f>
        <v>4170</v>
      </c>
      <c r="AD101">
        <f>X101-AA101-AB101</f>
        <v>39281.4</v>
      </c>
      <c r="AE101">
        <f>Y101-AC101</f>
        <v>37530</v>
      </c>
      <c r="AF101">
        <f>AD101*0.01</f>
        <v>392.814</v>
      </c>
      <c r="AG101">
        <f>AD101-Q101-AF101-T101</f>
        <v>11138.586000000003</v>
      </c>
      <c r="AH101">
        <f>AE101-Q101-AF101-T101</f>
        <v>9387.186000000002</v>
      </c>
      <c r="AI101">
        <f>AG101/X101</f>
        <v>0.2671123741007195</v>
      </c>
      <c r="AJ101">
        <f>AH101/Y101</f>
        <v>0.22511237410071946</v>
      </c>
    </row>
    <row r="102">
      <c r="F102" t="str">
        <v>Slate</v>
      </c>
      <c r="G102" t="str">
        <f>HYPERLINK("https://www.amazon.com/Coleman-Claret-Insulated-Stainless-Seafoam/dp/B076ZKR22R/ref=sr_1_6?keywords=camping%2Bwine&amp;qid=1560697329&amp;s=gateway&amp;sr=8-6&amp;th=1","A")</f>
        <v>A</v>
      </c>
      <c r="J102">
        <v>15</v>
      </c>
      <c r="K102">
        <f>IF(L102&gt;0,L102*0.0625,)</f>
        <v>0.35</v>
      </c>
      <c r="L102">
        <v>5.6</v>
      </c>
      <c r="M102">
        <f>IF(K102&gt;0,K102*0.453592,IF(L102&gt;0,L102*0.02835,))</f>
        <v>0.1587572</v>
      </c>
      <c r="N102">
        <v>0</v>
      </c>
      <c r="O102">
        <v>0</v>
      </c>
      <c r="P102">
        <f>J102+O102+N102</f>
        <v>15</v>
      </c>
      <c r="Q102">
        <f>P102*C$3</f>
        <v>18750</v>
      </c>
      <c r="R102">
        <v>0</v>
      </c>
      <c r="S102">
        <f>ROUND(SUM(Q102:R102), -2)</f>
        <v>18800</v>
      </c>
      <c r="T102">
        <f>ROUNDUP(HLOOKUP(ROUNDUP(K102,0),'배송비 조회'!A$10:U$22,7,0)*C$3,-2)</f>
        <v>9000</v>
      </c>
      <c r="U102">
        <v>0</v>
      </c>
      <c r="V102">
        <f>ROUND(IF(R102&gt;0,0,(S102+T102)*0.5),-2)</f>
        <v>13900</v>
      </c>
      <c r="W102">
        <f>ROUND(IF(R102&gt;0,0,(S102+T102)*0.5),-2)</f>
        <v>13900</v>
      </c>
      <c r="X102">
        <f>IF(R102&gt;0,SUM(S102:T102),SUM(S102:V102))</f>
        <v>41700</v>
      </c>
      <c r="Y102">
        <f>IF(R102&gt;0,SUM(S102:T102),SUM(S102:U102)+W102)</f>
        <v>41700</v>
      </c>
      <c r="Z102">
        <v>0</v>
      </c>
      <c r="AA102">
        <f>X102*0.038</f>
        <v>1584.6</v>
      </c>
      <c r="AB102">
        <f>X102*0.02</f>
        <v>834</v>
      </c>
      <c r="AC102">
        <f>Y102*0.1</f>
        <v>4170</v>
      </c>
      <c r="AD102">
        <f>X102-AA102-AB102</f>
        <v>39281.4</v>
      </c>
      <c r="AE102">
        <f>Y102-AC102</f>
        <v>37530</v>
      </c>
      <c r="AF102">
        <f>AD102*0.01</f>
        <v>392.814</v>
      </c>
      <c r="AG102">
        <f>AD102-Q102-AF102-T102</f>
        <v>11138.586000000003</v>
      </c>
      <c r="AH102">
        <f>AE102-Q102-AF102-T102</f>
        <v>9387.186000000002</v>
      </c>
      <c r="AI102">
        <f>AG102/X102</f>
        <v>0.2671123741007195</v>
      </c>
      <c r="AJ102">
        <f>AH102/Y102</f>
        <v>0.22511237410071946</v>
      </c>
    </row>
    <row r="103">
      <c r="F103" t="str">
        <v>Heritage Red</v>
      </c>
      <c r="G103" t="str">
        <f>HYPERLINK("https://www.amazon.com/Coleman-Claret-Insulated-Stainless-Seafoam/dp/B076ZKQL8Z/ref=sr_1_6?keywords=camping%2Bwine&amp;qid=1560697329&amp;s=gateway&amp;sr=8-6&amp;th=1","A")</f>
        <v>A</v>
      </c>
      <c r="J103">
        <v>15</v>
      </c>
      <c r="K103">
        <f>IF(L103&gt;0,L103*0.0625,)</f>
        <v>0.35</v>
      </c>
      <c r="L103">
        <v>5.6</v>
      </c>
      <c r="M103">
        <f>IF(K103&gt;0,K103*0.453592,IF(L103&gt;0,L103*0.02835,))</f>
        <v>0.1587572</v>
      </c>
      <c r="N103">
        <v>0</v>
      </c>
      <c r="O103">
        <v>0</v>
      </c>
      <c r="P103">
        <f>J103+O103+N103</f>
        <v>15</v>
      </c>
      <c r="Q103">
        <f>P103*C3</f>
        <v>18750</v>
      </c>
      <c r="R103">
        <v>0</v>
      </c>
      <c r="S103">
        <f>ROUND(SUM(Q103:R103), -2)</f>
        <v>18800</v>
      </c>
      <c r="T103">
        <f>ROUNDUP(HLOOKUP(ROUNDUP(K103,0),'배송비 조회'!A$10:U$22,7,0)*C$3,-2)</f>
        <v>9000</v>
      </c>
      <c r="U103">
        <v>0</v>
      </c>
      <c r="V103">
        <f>ROUND(IF(R103&gt;0,0,(S103+T103)*0.5),-2)</f>
        <v>13900</v>
      </c>
      <c r="W103">
        <f>ROUND(IF(R103&gt;0,0,(S103+T103)*0.5),-2)</f>
        <v>13900</v>
      </c>
      <c r="X103">
        <f>IF(R103&gt;0,SUM(S103:T103),SUM(S103:V103))</f>
        <v>41700</v>
      </c>
      <c r="Y103">
        <f>IF(R103&gt;0,SUM(S103:T103),SUM(S103:U103)+W103)</f>
        <v>41700</v>
      </c>
      <c r="Z103">
        <v>0</v>
      </c>
      <c r="AA103">
        <f>X103*0.038</f>
        <v>1584.6</v>
      </c>
      <c r="AB103">
        <f>X103*0.02</f>
        <v>834</v>
      </c>
      <c r="AC103">
        <f>Y103*0.1</f>
        <v>4170</v>
      </c>
      <c r="AD103">
        <f>X103-AA103-AB103</f>
        <v>39281.4</v>
      </c>
      <c r="AE103">
        <f>Y103-AC103</f>
        <v>37530</v>
      </c>
      <c r="AF103">
        <f>AD103*0.01</f>
        <v>392.814</v>
      </c>
      <c r="AG103">
        <f>AD103-Q103-AF103-T103</f>
        <v>11138.586000000003</v>
      </c>
      <c r="AH103">
        <f>AE103-Q103-AF103-T103</f>
        <v>9387.186000000002</v>
      </c>
      <c r="AI103">
        <f>AG103/X103</f>
        <v>0.2671123741007195</v>
      </c>
      <c r="AJ103">
        <f>AH103/Y103</f>
        <v>0.22511237410071946</v>
      </c>
    </row>
    <row r="104">
      <c r="F104" t="str">
        <v>Heritage Green</v>
      </c>
      <c r="G104" t="str">
        <f>HYPERLINK("https://www.amazon.com/Coleman-Claret-Insulated-Stainless-Seafoam/dp/B071Z7MNP1/ref=sr_1_6?keywords=camping%2Bwine&amp;qid=1560697329&amp;s=gateway&amp;sr=8-6&amp;th=1","A")</f>
        <v>A</v>
      </c>
      <c r="J104">
        <v>15</v>
      </c>
      <c r="K104">
        <f>IF(L104&gt;0,L104*0.0625,)</f>
        <v>0.35</v>
      </c>
      <c r="L104">
        <v>5.6</v>
      </c>
      <c r="M104">
        <f>IF(K104&gt;0,K104*0.453592,IF(L104&gt;0,L104*0.02835,))</f>
        <v>0.1587572</v>
      </c>
      <c r="N104">
        <v>0</v>
      </c>
      <c r="O104">
        <v>0</v>
      </c>
      <c r="P104">
        <f>J104+O104+N104</f>
        <v>15</v>
      </c>
      <c r="Q104">
        <f>P104*C3</f>
        <v>18750</v>
      </c>
      <c r="R104">
        <v>0</v>
      </c>
      <c r="S104">
        <f>ROUND(SUM(Q104:R104), -2)</f>
        <v>18800</v>
      </c>
      <c r="T104">
        <f>ROUNDUP(HLOOKUP(ROUNDUP(K104,0),'배송비 조회'!A$10:U$22,7,0)*C$3,-2)</f>
        <v>9000</v>
      </c>
      <c r="U104">
        <v>0</v>
      </c>
      <c r="V104">
        <f>ROUND(IF(R104&gt;0,0,(S104+T104)*0.5),-2)</f>
        <v>13900</v>
      </c>
      <c r="W104">
        <f>ROUND(IF(R104&gt;0,0,(S104+T104)*0.5),-2)</f>
        <v>13900</v>
      </c>
      <c r="X104">
        <f>IF(R104&gt;0,SUM(S104:T104),SUM(S104:V104))</f>
        <v>41700</v>
      </c>
      <c r="Y104">
        <f>IF(R104&gt;0,SUM(S104:T104),SUM(S104:U104)+W104)</f>
        <v>41700</v>
      </c>
      <c r="Z104">
        <v>0</v>
      </c>
      <c r="AA104">
        <f>X104*0.038</f>
        <v>1584.6</v>
      </c>
      <c r="AB104">
        <f>X104*0.02</f>
        <v>834</v>
      </c>
      <c r="AC104">
        <f>Y104*0.1</f>
        <v>4170</v>
      </c>
      <c r="AD104">
        <f>X104-AA104-AB104</f>
        <v>39281.4</v>
      </c>
      <c r="AE104">
        <f>Y104-AC104</f>
        <v>37530</v>
      </c>
      <c r="AF104">
        <f>AD104*0.01</f>
        <v>392.814</v>
      </c>
      <c r="AG104">
        <f>AD104-Q104-AF104-T104</f>
        <v>11138.586000000003</v>
      </c>
      <c r="AH104">
        <f>AE104-Q104-AF104-T104</f>
        <v>9387.186000000002</v>
      </c>
      <c r="AI104">
        <f>AG104/X104</f>
        <v>0.2671123741007195</v>
      </c>
      <c r="AJ104">
        <f>AH104/Y104</f>
        <v>0.22511237410071946</v>
      </c>
    </row>
    <row r="105">
      <c r="A105">
        <f>HYPERLINK("https://smartstore.naver.com/brickstore2019/products/4556589270",AW:AW)</f>
        <v>4556589270</v>
      </c>
      <c r="C105" t="str">
        <v>클래식 와인잔거치대</v>
      </c>
      <c r="E105" t="str">
        <v>Wine Glass Holder, Coffee4u Classic Stainless Steel Wine Glass Cup Holder with 6 Hooks, Freestanding Tabletop Stemware Storage Rack with Air Dry System, Suit for Home and Bar Storage, Bronze</v>
      </c>
      <c r="F105" t="str">
        <v>Spiral</v>
      </c>
      <c r="G105" t="str">
        <f>HYPERLINK("https://www.amazon.com/Coffee4u-Stainless-Freestanding-Tabletop-Stemware/dp/B07DVVCY8H/ref=sr_1_2_sspa?keywords=wine%2Bcup%2Bstand&amp;qid=1560697313&amp;s=gateway&amp;sr=8-2-spons&amp;th=1","A")</f>
        <v>A</v>
      </c>
      <c r="J105">
        <v>19</v>
      </c>
      <c r="K105">
        <v>1.3</v>
      </c>
      <c r="L105">
        <f>IF(K105&gt;0,K105*16,)</f>
        <v>20.8</v>
      </c>
      <c r="M105">
        <f>IF(K105&gt;0,K105*0.453592,IF(L105&gt;0,L105*0.02835,))</f>
        <v>0.5896696</v>
      </c>
      <c r="N105">
        <v>0</v>
      </c>
      <c r="O105">
        <v>0</v>
      </c>
      <c r="P105">
        <f>J105+O105+N105</f>
        <v>19</v>
      </c>
      <c r="Q105">
        <f>P105*C3</f>
        <v>23750</v>
      </c>
      <c r="R105">
        <v>0</v>
      </c>
      <c r="S105">
        <f>ROUND(SUM(Q105:R105), -2)</f>
        <v>23800</v>
      </c>
      <c r="T105">
        <f>ROUNDUP(HLOOKUP(ROUNDUP(K105,0),'배송비 조회'!A$10:U$22,7,0)*C$3,-2)</f>
        <v>11200</v>
      </c>
      <c r="U105">
        <v>0</v>
      </c>
      <c r="V105">
        <f>ROUND(IF(R105&gt;0,0,(S105+T105)*0.5),-2)</f>
        <v>17500</v>
      </c>
      <c r="W105">
        <f>ROUND(IF(R105&gt;0,0,(S105+T105)*0.5),-2)</f>
        <v>17500</v>
      </c>
      <c r="X105">
        <f>IF(R105&gt;0,SUM(S105:T105),SUM(S105:V105))</f>
        <v>52500</v>
      </c>
      <c r="Y105">
        <f>IF(R105&gt;0,SUM(S105:T105),SUM(S105:U105)+W105)</f>
        <v>52500</v>
      </c>
      <c r="Z105">
        <v>0</v>
      </c>
      <c r="AA105">
        <f>X105*0.038</f>
        <v>1995</v>
      </c>
      <c r="AB105">
        <f>X105*0.02</f>
        <v>1050</v>
      </c>
      <c r="AC105">
        <f>Y105*0.1</f>
        <v>5250</v>
      </c>
      <c r="AD105">
        <f>X105-AA105-AB105</f>
        <v>49455</v>
      </c>
      <c r="AE105">
        <f>Y105-AC105</f>
        <v>47250</v>
      </c>
      <c r="AF105">
        <f>AD105*0.01</f>
        <v>494.55</v>
      </c>
      <c r="AG105">
        <f>AD105-Q105-AF105-T105</f>
        <v>14010.45</v>
      </c>
      <c r="AH105">
        <f>AE105-Q105-AF105-T105</f>
        <v>11805.45</v>
      </c>
      <c r="AI105">
        <f>AG105/X105</f>
        <v>0.2668657142857143</v>
      </c>
      <c r="AJ105">
        <f>AH105/Y105</f>
        <v>0.2248657142857143</v>
      </c>
      <c r="AW105">
        <v>4556589270</v>
      </c>
    </row>
    <row r="106">
      <c r="F106" t="str">
        <v>Heart by heart(삭제됨)</v>
      </c>
      <c r="J106">
        <v>19.99</v>
      </c>
      <c r="K106">
        <v>1.3</v>
      </c>
      <c r="L106">
        <f>IF(K106&gt;0,K106*16,)</f>
        <v>20.8</v>
      </c>
      <c r="M106">
        <f>IF(K106&gt;0,K106*0.453592,IF(L106&gt;0,L106*0.02835,))</f>
        <v>0.5896696</v>
      </c>
      <c r="N106">
        <v>0</v>
      </c>
      <c r="O106">
        <v>5.99</v>
      </c>
      <c r="P106">
        <f>J106+O106+N106</f>
        <v>25.979999999999997</v>
      </c>
      <c r="Q106">
        <f>P106*C3</f>
        <v>32474.999999999996</v>
      </c>
      <c r="R106">
        <f>ROUND(Q106*0.5,-2)</f>
        <v>16200</v>
      </c>
      <c r="S106">
        <f>ROUND(SUM(Q106:R106), -2)</f>
        <v>48700</v>
      </c>
      <c r="T106">
        <f>ROUNDUP(HLOOKUP(ROUNDUP(K106,0),'배송비 조회'!A$10:U$22,7,0)*C$3,-2)</f>
        <v>11200</v>
      </c>
      <c r="W106">
        <f>ROUND(IF(R106&gt;0,0,(S106+T106)*0.5),-2)</f>
        <v>0</v>
      </c>
      <c r="X106">
        <f>SUM(S106:T106)</f>
        <v>59900</v>
      </c>
      <c r="Y106">
        <f>IF(R106&gt;0,SUM(S106:T106),SUM(S106:U106)+W106)</f>
        <v>59900</v>
      </c>
      <c r="AA106">
        <f>X106*0.038</f>
        <v>2276.2</v>
      </c>
      <c r="AB106">
        <f>X106*0.02</f>
        <v>1198</v>
      </c>
      <c r="AC106">
        <f>Y106*0.1</f>
        <v>5990</v>
      </c>
      <c r="AD106">
        <f>X106-AA106-AB106</f>
        <v>56425.8</v>
      </c>
      <c r="AE106">
        <f>Y106-AC106</f>
        <v>53910</v>
      </c>
      <c r="AF106">
        <f>AD106*0.01</f>
        <v>564.258</v>
      </c>
      <c r="AG106">
        <f>AD106-Q106-AF106-T106</f>
        <v>12186.542000000005</v>
      </c>
      <c r="AH106">
        <f>AE106-Q106-AF106-T106</f>
        <v>9670.742000000002</v>
      </c>
      <c r="AI106">
        <f>AG106/X106</f>
        <v>0.20344811352253764</v>
      </c>
      <c r="AJ106">
        <f>AH106/Y106</f>
        <v>0.1614481135225376</v>
      </c>
    </row>
    <row r="107">
      <c r="A107">
        <f>HYPERLINK("https://smartstore.naver.com/brickstore2019/products/4558470291",AW:AW)</f>
        <v>4558470291</v>
      </c>
      <c r="C107" t="str">
        <v>시티즌 에코드라이브 크로노그래프 남자시계 Citizen AT2141-52L</v>
      </c>
      <c r="E107" t="str">
        <v>Citizen Men's Eco-Drive Chronograph Stainless Steel Watch with Date, AT2141-52L</v>
      </c>
      <c r="G107" t="str">
        <f>HYPERLINK("https://www.amazon.com/Citizen-Eco-Drive-Chronograph-Stainless-AT2141-52L/dp/B00UMD8ICW/ref=lp_19309464011_1_2?m=ATVPDKIKX0DER&amp;s=apparel&amp;ie=UTF8&amp;qid=1560196108&amp;sr=1-2&amp;nodeID=19309464011&amp;psd=1","A")</f>
        <v>A</v>
      </c>
      <c r="J107">
        <v>185</v>
      </c>
      <c r="K107">
        <v>2</v>
      </c>
      <c r="L107">
        <v>11.8</v>
      </c>
      <c r="M107">
        <f>IF(K107&gt;0,K107*0.453592,IF(L107&gt;0,L107*0.02835,))</f>
        <v>0.907184</v>
      </c>
      <c r="N107">
        <v>0</v>
      </c>
      <c r="O107">
        <v>0</v>
      </c>
      <c r="P107">
        <f>J107+O107+N107</f>
        <v>185</v>
      </c>
      <c r="Q107">
        <f>P107*C3</f>
        <v>231250</v>
      </c>
      <c r="R107">
        <v>0</v>
      </c>
      <c r="S107">
        <f>ROUND(SUM(Q107:R107), -2)</f>
        <v>231300</v>
      </c>
      <c r="T107">
        <f>ROUNDUP(HLOOKUP(ROUNDUP(K107,0),'배송비 조회'!A$10:U$22,7,0)*C$3,-2)</f>
        <v>11200</v>
      </c>
      <c r="U107">
        <v>0</v>
      </c>
      <c r="V107">
        <f>ROUND(IF(R107&gt;0,0,(S107+T107)*0.3),-2)</f>
        <v>72800</v>
      </c>
      <c r="W107">
        <f>ROUND(IF(R107&gt;0,0,(S107+T107)*0.5),-2)</f>
        <v>121300</v>
      </c>
      <c r="X107">
        <f>IF(R107&gt;0,SUM(S107:T107),SUM(S107:V107))</f>
        <v>315300</v>
      </c>
      <c r="Y107">
        <f>IF(R107&gt;0,SUM(S107:T107),SUM(S107:U107)+W107)</f>
        <v>363800</v>
      </c>
      <c r="Z107">
        <v>0</v>
      </c>
      <c r="AA107">
        <f>X107*0.038</f>
        <v>11981.4</v>
      </c>
      <c r="AB107">
        <f>X107*0.02</f>
        <v>6306</v>
      </c>
      <c r="AC107">
        <f>Y107*0.1</f>
        <v>36380</v>
      </c>
      <c r="AD107">
        <f>X107-AA107-AB107</f>
        <v>297012.6</v>
      </c>
      <c r="AE107">
        <f>Y107-AC107</f>
        <v>327420</v>
      </c>
      <c r="AF107">
        <f>AD107*0.01</f>
        <v>2970.1259999999997</v>
      </c>
      <c r="AG107">
        <f>AD107-Q107-AF107-T107</f>
        <v>51592.47399999998</v>
      </c>
      <c r="AH107">
        <f>AE107-Q107-AF107-T107</f>
        <v>81999.874</v>
      </c>
      <c r="AI107">
        <f>AG107/X107</f>
        <v>0.16362979384712967</v>
      </c>
      <c r="AJ107">
        <f>AH107/Y107</f>
        <v>0.22539822429906542</v>
      </c>
      <c r="AW107">
        <v>4558470291</v>
      </c>
    </row>
    <row r="108">
      <c r="A108">
        <f>HYPERLINK("https://smartstore.naver.com/brickstore2019/products/4560638018",AW:AW)</f>
        <v>4560638018</v>
      </c>
      <c r="C108" t="str">
        <v>나사 로고 모자 NASA Insignia Embroidered Washed Cap</v>
      </c>
      <c r="E108" t="str">
        <v>e4Hats.com NASA Insignia Embroidered Washed Cap</v>
      </c>
      <c r="F108" t="str">
        <v>black</v>
      </c>
      <c r="G108" t="str">
        <f>HYPERLINK("https://www.amazon.com/E4hats-NASA-Insignia-Embroidered-Washed/dp/B016Z67TM4/ref=sr_1_3?keywords=nasa%2Bhat&amp;qid=1560951482&amp;s=gateway&amp;sr=8-3&amp;th=1&amp;psc=1","A")</f>
        <v>A</v>
      </c>
      <c r="J108">
        <v>23</v>
      </c>
      <c r="K108">
        <v>0.66</v>
      </c>
      <c r="L108">
        <f>IF(K108&gt;0,K108*16,)</f>
        <v>10.56</v>
      </c>
      <c r="M108">
        <f>IF(K108&gt;0,K108*0.453592,IF(L108&gt;0,L108*0.02835,))</f>
        <v>0.29937072000000003</v>
      </c>
      <c r="N108">
        <v>0</v>
      </c>
      <c r="O108">
        <v>0</v>
      </c>
      <c r="P108">
        <f>J108+O108+N108</f>
        <v>23</v>
      </c>
      <c r="Q108">
        <f>P108*C3</f>
        <v>28750</v>
      </c>
      <c r="R108">
        <v>0</v>
      </c>
      <c r="S108">
        <f>ROUND(SUM(Q108:R108), -2)</f>
        <v>28800</v>
      </c>
      <c r="T108">
        <f>ROUNDUP(HLOOKUP(ROUNDUP(K108,0),'배송비 조회'!A$10:U$22,7,0)*C$3,-2)</f>
        <v>9000</v>
      </c>
      <c r="U108">
        <v>0</v>
      </c>
      <c r="V108">
        <f>ROUND(IF(R108&gt;0,0,(S108+T108)*0.5),-2)</f>
        <v>18900</v>
      </c>
      <c r="W108">
        <f>ROUND(IF(R108&gt;0,0,(S108+T108)*0.5),-2)</f>
        <v>18900</v>
      </c>
      <c r="X108">
        <f>IF(R108&gt;0,SUM(S108:T108),SUM(S108:V108))</f>
        <v>56700</v>
      </c>
      <c r="Y108">
        <f>IF(R108&gt;0,SUM(S108:T108),SUM(S108:U108)+W108)</f>
        <v>56700</v>
      </c>
      <c r="Z108">
        <v>0</v>
      </c>
      <c r="AA108">
        <f>X108*0.038</f>
        <v>2154.6</v>
      </c>
      <c r="AB108">
        <f>X108*0.02</f>
        <v>1134</v>
      </c>
      <c r="AC108">
        <f>Y108*0.1</f>
        <v>5670</v>
      </c>
      <c r="AD108">
        <f>X108-AA108-AB108</f>
        <v>53411.4</v>
      </c>
      <c r="AE108">
        <f>Y108-AC108</f>
        <v>51030</v>
      </c>
      <c r="AF108">
        <f>AD108*0.01</f>
        <v>534.114</v>
      </c>
      <c r="AG108">
        <f>AD108-Q108-AF108-T108</f>
        <v>15127.286</v>
      </c>
      <c r="AH108">
        <f>AE108-Q108-AF108-T108</f>
        <v>12745.885999999999</v>
      </c>
      <c r="AI108">
        <f>AG108/X108</f>
        <v>0.26679516754850086</v>
      </c>
      <c r="AJ108">
        <f>AH108/Y108</f>
        <v>0.22479516754850085</v>
      </c>
      <c r="AW108">
        <v>4560638018</v>
      </c>
    </row>
    <row r="109">
      <c r="F109" t="str">
        <v>Red</v>
      </c>
      <c r="G109" t="str">
        <f>HYPERLINK("https://www.amazon.com/E4hats-NASA-Insignia-Embroidered-Washed/dp/B016Z67WAI/ref=sr_1_3?keywords=nasa%2Bhat&amp;qid=1560951482&amp;s=gateway&amp;sr=8-3&amp;th=1&amp;psc=1","A")</f>
        <v>A</v>
      </c>
      <c r="J109">
        <v>23</v>
      </c>
      <c r="K109">
        <v>0.66</v>
      </c>
      <c r="L109">
        <f>IF(K109&gt;0,K109*16,)</f>
        <v>10.56</v>
      </c>
      <c r="M109">
        <f>IF(K109&gt;0,K109*0.453592,IF(L109&gt;0,L109*0.02835,))</f>
        <v>0.29937072000000003</v>
      </c>
      <c r="N109">
        <v>0</v>
      </c>
      <c r="O109">
        <v>0</v>
      </c>
      <c r="P109">
        <f>J109+O109+N109</f>
        <v>23</v>
      </c>
      <c r="Q109">
        <f>P109*C3</f>
        <v>28750</v>
      </c>
      <c r="R109">
        <v>0</v>
      </c>
      <c r="S109">
        <f>ROUND(SUM(Q109:R109), -2)</f>
        <v>28800</v>
      </c>
      <c r="T109">
        <f>ROUNDUP(HLOOKUP(ROUNDUP(K109,0),'배송비 조회'!A$10:U$22,7,0)*C$3,-2)</f>
        <v>9000</v>
      </c>
      <c r="U109">
        <v>0</v>
      </c>
      <c r="V109">
        <f>ROUND(IF(R109&gt;0,0,(S109+T109)*0.5),-2)</f>
        <v>18900</v>
      </c>
      <c r="W109">
        <f>ROUND(IF(R109&gt;0,0,(S109+T109)*0.5),-2)</f>
        <v>18900</v>
      </c>
      <c r="X109">
        <f>IF(R109&gt;0,SUM(S109:T109),SUM(S109:V109))</f>
        <v>56700</v>
      </c>
      <c r="Y109">
        <f>IF(R109&gt;0,SUM(S109:T109),SUM(S109:U109)+W109)</f>
        <v>56700</v>
      </c>
      <c r="Z109">
        <v>0</v>
      </c>
      <c r="AA109">
        <f>X109*0.038</f>
        <v>2154.6</v>
      </c>
      <c r="AB109">
        <f>X109*0.02</f>
        <v>1134</v>
      </c>
      <c r="AC109">
        <f>Y109*0.1</f>
        <v>5670</v>
      </c>
      <c r="AD109">
        <f>X109-AA109-AB109</f>
        <v>53411.4</v>
      </c>
      <c r="AE109">
        <f>Y109-AC109</f>
        <v>51030</v>
      </c>
      <c r="AF109">
        <f>AD109*0.01</f>
        <v>534.114</v>
      </c>
      <c r="AG109">
        <f>AD109-Q109-AF109-T109</f>
        <v>15127.286</v>
      </c>
      <c r="AH109">
        <f>AE109-Q109-AF109-T109</f>
        <v>12745.885999999999</v>
      </c>
      <c r="AI109">
        <f>AG109/X109</f>
        <v>0.26679516754850086</v>
      </c>
      <c r="AJ109">
        <f>AH109/Y109</f>
        <v>0.22479516754850085</v>
      </c>
    </row>
    <row r="110">
      <c r="A110">
        <f>HYPERLINK("https://smartstore.naver.com/brickstore2019/products/4565310486",AW:AW)</f>
        <v>4565310486</v>
      </c>
      <c r="C110" t="str">
        <v>BMW 남자 반지갑 가죽 지갑 BMW Bifold Wallet</v>
      </c>
      <c r="E110" t="str">
        <v>BMW Bifold Wallet with 3 Credit Card Slots and ID Window - Genuine Leather</v>
      </c>
      <c r="G110" t="str">
        <f>HYPERLINK("https://www.amazon.com/Bifold-Wallet-Credit-Slots-Window/dp/B01BHXN6CC/ref=sr_1_1?keywords=BMW+Bifold+Wallet+with+3+Credit+Card+Slots+and+ID+Window+-+Genuine+Leather&amp;qid=1562076373&amp;s=gateway&amp;sr=8-1","A")</f>
        <v>A</v>
      </c>
      <c r="J110">
        <v>36.9</v>
      </c>
      <c r="K110">
        <f>IF(L110&gt;0,L110*0.0625,)</f>
        <v>0.3</v>
      </c>
      <c r="L110">
        <v>4.8</v>
      </c>
      <c r="M110">
        <f>IF(K110&gt;0,K110*0.453592,IF(L110&gt;0,L110*0.02835,))</f>
        <v>0.1360776</v>
      </c>
      <c r="N110">
        <v>0</v>
      </c>
      <c r="O110">
        <v>0</v>
      </c>
      <c r="P110">
        <f>J110+O110+N110</f>
        <v>36.9</v>
      </c>
      <c r="Q110">
        <f>P110*C3</f>
        <v>46125</v>
      </c>
      <c r="R110">
        <v>0</v>
      </c>
      <c r="S110">
        <f>ROUND(SUM(Q110:R110), -2)</f>
        <v>46100</v>
      </c>
      <c r="T110">
        <f>ROUNDUP(HLOOKUP(ROUNDUP(K110,0),'배송비 조회'!A$10:U$22,7,0)*C$3,-2)</f>
        <v>9000</v>
      </c>
      <c r="U110">
        <v>0</v>
      </c>
      <c r="V110">
        <f>ROUND(IF(R110&gt;0,0,(S110+T110)*0.3),-2)</f>
        <v>16500</v>
      </c>
      <c r="W110">
        <f>ROUND(IF(R110&gt;0,0,(S110+T110)*0.5),-2)</f>
        <v>27600</v>
      </c>
      <c r="X110">
        <f>IF(R110&gt;0,SUM(S110:T110),SUM(S110:V110))</f>
        <v>71600</v>
      </c>
      <c r="Y110">
        <f>IF(R110&gt;0,SUM(S110:T110),SUM(S110:U110)+W110)</f>
        <v>82700</v>
      </c>
      <c r="Z110">
        <v>0</v>
      </c>
      <c r="AA110">
        <f>X110*0.038</f>
        <v>2720.7999999999997</v>
      </c>
      <c r="AB110">
        <f>X110*0.02</f>
        <v>1432</v>
      </c>
      <c r="AC110">
        <f>Y110*0.1</f>
        <v>8270</v>
      </c>
      <c r="AD110">
        <f>X110-AA110-AB110</f>
        <v>67447.2</v>
      </c>
      <c r="AE110">
        <f>Y110-AC110</f>
        <v>74430</v>
      </c>
      <c r="AF110">
        <f>AD110*0.01</f>
        <v>674.472</v>
      </c>
      <c r="AG110">
        <f>AD110-Q110-AF110-T110</f>
        <v>11647.727999999996</v>
      </c>
      <c r="AH110">
        <f>AE110-Q110-AF110-T110</f>
        <v>18630.528</v>
      </c>
      <c r="AI110">
        <f>AG110/X110</f>
        <v>0.16267776536312842</v>
      </c>
      <c r="AJ110">
        <f>AH110/Y110</f>
        <v>0.2252784522370012</v>
      </c>
      <c r="AW110">
        <v>4565310486</v>
      </c>
    </row>
    <row r="111">
      <c r="A111">
        <f>HYPERLINK("https://smartstore.naver.com/brickstore2019/products/4565315221",AW:AW)</f>
        <v>4565315221</v>
      </c>
      <c r="C111" t="str">
        <v>마세라티 남자 반지갑 가죽 지갑 Maserati Bifold Wallet</v>
      </c>
      <c r="E111" t="str">
        <v>Maserati Bifold Wallet with 3 Card Slots and ID Window - Genuine Leather</v>
      </c>
      <c r="G111" t="str">
        <f>HYPERLINK("https://www.amazon.com/Maserati-Bifold-Wallet-Slots-Window/dp/B01NBFVBF0/ref=sr_1_1?keywords=Maserati+Bifold+Wallet+with+3+Card+Slots+and+ID+Window+-+Genuine+Leather&amp;qid=1562076355&amp;s=gateway&amp;sr=8-1","A")</f>
        <v>A</v>
      </c>
      <c r="J111">
        <v>36.9</v>
      </c>
      <c r="K111">
        <f>IF(L111&gt;0,L111*0.0625,)</f>
        <v>0.3</v>
      </c>
      <c r="L111">
        <v>4.8</v>
      </c>
      <c r="M111">
        <f>IF(K111&gt;0,K111*0.453592,IF(L111&gt;0,L111*0.02835,))</f>
        <v>0.1360776</v>
      </c>
      <c r="N111">
        <v>0</v>
      </c>
      <c r="O111">
        <v>0</v>
      </c>
      <c r="P111">
        <f>J111+O111+N111</f>
        <v>36.9</v>
      </c>
      <c r="Q111">
        <f>P111*C3</f>
        <v>46125</v>
      </c>
      <c r="R111">
        <v>0</v>
      </c>
      <c r="S111">
        <f>ROUND(SUM(Q111:R111), -2)</f>
        <v>46100</v>
      </c>
      <c r="T111">
        <f>ROUNDUP(HLOOKUP(ROUNDUP(K111,0),'배송비 조회'!A$10:U$22,7,0)*C$3,-2)</f>
        <v>9000</v>
      </c>
      <c r="U111">
        <v>0</v>
      </c>
      <c r="V111">
        <f>ROUND(IF(R111&gt;0,0,(S111+T111)*0.3),-2)</f>
        <v>16500</v>
      </c>
      <c r="W111">
        <f>ROUND(IF(R111&gt;0,0,(S111+T111)*0.5),-2)</f>
        <v>27600</v>
      </c>
      <c r="X111">
        <f>IF(R111&gt;0,SUM(S111:T111),SUM(S111:V111))</f>
        <v>71600</v>
      </c>
      <c r="Y111">
        <f>IF(R111&gt;0,SUM(S111:T111),SUM(S111:U111)+W111)</f>
        <v>82700</v>
      </c>
      <c r="Z111">
        <v>0</v>
      </c>
      <c r="AA111">
        <f>X111*0.038</f>
        <v>2720.7999999999997</v>
      </c>
      <c r="AB111">
        <f>X111*0.02</f>
        <v>1432</v>
      </c>
      <c r="AC111">
        <f>Y111*0.1</f>
        <v>8270</v>
      </c>
      <c r="AD111">
        <f>X111-AA111-AB111</f>
        <v>67447.2</v>
      </c>
      <c r="AE111">
        <f>Y111-AC111</f>
        <v>74430</v>
      </c>
      <c r="AF111">
        <f>AD111*0.01</f>
        <v>674.472</v>
      </c>
      <c r="AG111">
        <f>AD111-Q111-AF111-T111</f>
        <v>11647.727999999996</v>
      </c>
      <c r="AH111">
        <f>AE111-Q111-AF111-T111</f>
        <v>18630.528</v>
      </c>
      <c r="AI111">
        <f>AG111/X111</f>
        <v>0.16267776536312842</v>
      </c>
      <c r="AJ111">
        <f>AH111/Y111</f>
        <v>0.2252784522370012</v>
      </c>
      <c r="AW111">
        <v>4565315221</v>
      </c>
    </row>
    <row r="112">
      <c r="A112">
        <f>HYPERLINK("https://smartstore.naver.com/brickstore2019/products/4565318624",AW:AW)</f>
        <v>4565318624</v>
      </c>
      <c r="C112" t="str">
        <v>메르세데스 벤츠 남자 반지갑 가죽 지갑 Mercedes Benz Bifold Wallet</v>
      </c>
      <c r="E112" t="str">
        <v>Mercedes Benz Bifold Wallet with 3 Card Slots and ID Window - Genuine Leather</v>
      </c>
      <c r="G112" t="str">
        <f>HYPERLINK("https://www.amazon.com/Mercedes-Bifold-Wallet-Slots-Window/dp/B01BHXGGBA/ref=sr_1_1?keywords=Mercedes+Benz+Bifold+Wallet+with+3+Card+Slots+and+ID+Window+-+Genuine+Leather&amp;qid=1562076340&amp;s=gateway&amp;sr=8-1","A")</f>
        <v>A</v>
      </c>
      <c r="J112">
        <v>36.9</v>
      </c>
      <c r="K112">
        <f>IF(L112&gt;0,L112*0.0625,)</f>
        <v>0.25</v>
      </c>
      <c r="L112">
        <v>4</v>
      </c>
      <c r="M112">
        <f>IF(K112&gt;0,K112*0.453592,IF(L112&gt;0,L112*0.02835,))</f>
        <v>0.113398</v>
      </c>
      <c r="N112">
        <v>0</v>
      </c>
      <c r="O112">
        <v>0</v>
      </c>
      <c r="P112">
        <f>J112+O112+N112</f>
        <v>36.9</v>
      </c>
      <c r="Q112">
        <f>P112*C3</f>
        <v>46125</v>
      </c>
      <c r="R112">
        <v>0</v>
      </c>
      <c r="S112">
        <f>ROUND(SUM(Q112:R112), -2)</f>
        <v>46100</v>
      </c>
      <c r="T112">
        <f>ROUNDUP(HLOOKUP(ROUNDUP(K112,0),'배송비 조회'!A$10:U$22,7,0)*C$3,-2)</f>
        <v>9000</v>
      </c>
      <c r="U112">
        <v>0</v>
      </c>
      <c r="V112">
        <f>ROUND(IF(R112&gt;0,0,(S112+T112)*0.3),-2)</f>
        <v>16500</v>
      </c>
      <c r="W112">
        <f>ROUND(IF(R112&gt;0,0,(S112+T112)*0.5),-2)</f>
        <v>27600</v>
      </c>
      <c r="X112">
        <f>IF(R112&gt;0,SUM(S112:T112),SUM(S112:V112))</f>
        <v>71600</v>
      </c>
      <c r="Y112">
        <f>IF(R112&gt;0,SUM(S112:T112),SUM(S112:U112)+W112)</f>
        <v>82700</v>
      </c>
      <c r="Z112">
        <v>0</v>
      </c>
      <c r="AA112">
        <f>X112*0.038</f>
        <v>2720.7999999999997</v>
      </c>
      <c r="AB112">
        <f>X112*0.02</f>
        <v>1432</v>
      </c>
      <c r="AC112">
        <f>Y112*0.1</f>
        <v>8270</v>
      </c>
      <c r="AD112">
        <f>X112-AA112-AB112</f>
        <v>67447.2</v>
      </c>
      <c r="AE112">
        <f>Y112-AC112</f>
        <v>74430</v>
      </c>
      <c r="AF112">
        <f>AD112*0.01</f>
        <v>674.472</v>
      </c>
      <c r="AG112">
        <f>AD112-Q112-AF112-T112</f>
        <v>11647.727999999996</v>
      </c>
      <c r="AH112">
        <f>AE112-Q112-AF112-T112</f>
        <v>18630.528</v>
      </c>
      <c r="AI112">
        <f>AG112/X112</f>
        <v>0.16267776536312842</v>
      </c>
      <c r="AJ112">
        <f>AH112/Y112</f>
        <v>0.2252784522370012</v>
      </c>
      <c r="AW112">
        <v>4565318624</v>
      </c>
    </row>
    <row r="113">
      <c r="A113">
        <f>HYPERLINK("https://smartstore.naver.com/brickstore2019/products/4565416625",AW:AW)</f>
        <v>4565416625</v>
      </c>
      <c r="C113" t="str">
        <v>픽디자인 테크 파우치 전자제품 여행용 파우치 Peak Design Tech Pouch Black</v>
      </c>
      <c r="E113" t="str">
        <v>Peak Design Tech Pouch (Black)</v>
      </c>
      <c r="G113" t="str">
        <f>HYPERLINK("https://www.amazon.com/Peak-Design-Tech-Pouch-Black/dp/B07GH28WNB/ref=sr_1_3?keywords=peak+design+tech+pouch&amp;qid=1561254354&amp;s=gateway&amp;sr=8-3","A")</f>
        <v>A</v>
      </c>
      <c r="J113">
        <v>60</v>
      </c>
      <c r="K113">
        <f>IF(L113&gt;0,L113*0.0625,)</f>
        <v>0.6625</v>
      </c>
      <c r="L113">
        <v>10.6</v>
      </c>
      <c r="M113">
        <f>IF(K113&gt;0,K113*0.453592,IF(L113&gt;0,L113*0.02835,))</f>
        <v>0.3005047</v>
      </c>
      <c r="N113">
        <v>0</v>
      </c>
      <c r="O113">
        <v>0</v>
      </c>
      <c r="P113">
        <f>J113+O113+N113</f>
        <v>60</v>
      </c>
      <c r="Q113">
        <f>P113*C3</f>
        <v>75000</v>
      </c>
      <c r="R113">
        <v>0</v>
      </c>
      <c r="S113">
        <f>ROUND(SUM(Q113:R113), -2)</f>
        <v>75000</v>
      </c>
      <c r="T113">
        <f>ROUNDUP(HLOOKUP(ROUNDUP(K113,0),'배송비 조회'!A$10:U$22,7,0)*C$3,-2)</f>
        <v>9000</v>
      </c>
      <c r="U113">
        <v>0</v>
      </c>
      <c r="V113">
        <f>ROUND(IF(R113&gt;0,0,(S113+T113)*0.3),-2)</f>
        <v>25200</v>
      </c>
      <c r="W113">
        <f>ROUND(IF(R113&gt;0,0,(S113+T113)*0.5),-2)</f>
        <v>42000</v>
      </c>
      <c r="X113">
        <f>IF(R113&gt;0,SUM(S113:T113),SUM(S113:V113))</f>
        <v>109200</v>
      </c>
      <c r="Y113">
        <f>IF(R113&gt;0,SUM(S113:T113),SUM(S113:U113)+W113)</f>
        <v>126000</v>
      </c>
      <c r="Z113">
        <v>0</v>
      </c>
      <c r="AA113">
        <f>X113*0.038</f>
        <v>4149.599999999999</v>
      </c>
      <c r="AB113">
        <f>X113*0.02</f>
        <v>2184</v>
      </c>
      <c r="AC113">
        <f>Y113*0.1</f>
        <v>12600</v>
      </c>
      <c r="AD113">
        <f>X113-AA113-AB113</f>
        <v>102866.4</v>
      </c>
      <c r="AE113">
        <f>Y113-AC113</f>
        <v>113400</v>
      </c>
      <c r="AF113">
        <f>AD113*0.01</f>
        <v>1028.664</v>
      </c>
      <c r="AG113">
        <f>AD113-Q113-AF113-T113</f>
        <v>17837.735999999994</v>
      </c>
      <c r="AH113">
        <f>AE113-Q113-AF113-T113</f>
        <v>28371.336000000003</v>
      </c>
      <c r="AI113">
        <f>AG113/X113</f>
        <v>0.16334923076923072</v>
      </c>
      <c r="AJ113">
        <f>AH113/Y113</f>
        <v>0.22516933333333336</v>
      </c>
      <c r="AW113">
        <v>4565416625</v>
      </c>
    </row>
    <row r="114">
      <c r="A114">
        <f>HYPERLINK("https://smartstore.naver.com/brickstore2019/products/4565526879",AW:AW)</f>
        <v>4565526879</v>
      </c>
      <c r="C114" t="str">
        <v>BOSE QC25 보스 노이즈 캔슬링 헤드폰 Headphones (무료배송)</v>
      </c>
      <c r="E114" t="str">
        <v>Bose QuietComfort 25 Acoustic Noise Cancelling Headphones for Apple devices - Black (wired, 3.5mm)</v>
      </c>
      <c r="F114" t="str">
        <v>애플</v>
      </c>
      <c r="G114" t="str">
        <v>A</v>
      </c>
      <c r="J114">
        <v>130</v>
      </c>
      <c r="K114">
        <v>1.46</v>
      </c>
      <c r="L114">
        <f>IF(K114&gt;0,K114*16,)</f>
        <v>23.36</v>
      </c>
      <c r="M114">
        <f>IF(K114&gt;0,K114*0.453592,IF(L114&gt;0,L114*0.02835,))</f>
        <v>0.66224432</v>
      </c>
      <c r="N114">
        <v>0</v>
      </c>
      <c r="O114">
        <v>0</v>
      </c>
      <c r="P114">
        <f>J114+O114+N114</f>
        <v>130</v>
      </c>
      <c r="Q114">
        <f>P114*C3</f>
        <v>162500</v>
      </c>
      <c r="R114">
        <v>0</v>
      </c>
      <c r="S114">
        <f>ROUND(SUM(Q114:R114), -2)</f>
        <v>162500</v>
      </c>
      <c r="T114">
        <f>ROUNDUP(HLOOKUP(ROUNDUP(K114,0),'배송비 조회'!A$10:U$22,7,0)*C$3,-2)</f>
        <v>11200</v>
      </c>
      <c r="U114">
        <v>0</v>
      </c>
      <c r="V114">
        <f>ROUND(IF(R114&gt;0,0,(S114+T114)*0.3),-2)</f>
        <v>52100</v>
      </c>
      <c r="W114">
        <f>ROUND(IF(R114&gt;0,0,(S114+T114)*0.5),-2)</f>
        <v>86900</v>
      </c>
      <c r="X114">
        <f>IF(R114&gt;0,SUM(S114:T114),SUM(S114:V114))</f>
        <v>225800</v>
      </c>
      <c r="Y114">
        <f>IF(R114&gt;0,SUM(S114:T114),SUM(S114:U114)+W114)</f>
        <v>260600</v>
      </c>
      <c r="Z114">
        <v>0</v>
      </c>
      <c r="AA114">
        <f>X114*0.038</f>
        <v>8580.4</v>
      </c>
      <c r="AB114">
        <f>X114*0.02</f>
        <v>4516</v>
      </c>
      <c r="AC114">
        <f>Y114*0.1</f>
        <v>26060</v>
      </c>
      <c r="AD114">
        <f>X114-AA114-AB114</f>
        <v>212703.6</v>
      </c>
      <c r="AE114">
        <f>Y114-AC114</f>
        <v>234540</v>
      </c>
      <c r="AF114">
        <f>AD114*0.01</f>
        <v>2127.036</v>
      </c>
      <c r="AG114">
        <f>AD114-Q114-AF114-T114</f>
        <v>36876.564000000006</v>
      </c>
      <c r="AH114">
        <f>AE114-Q114-AF114-T114</f>
        <v>58712.96400000001</v>
      </c>
      <c r="AI114">
        <f>AG114/X114</f>
        <v>0.16331516386182465</v>
      </c>
      <c r="AJ114">
        <f>AH114/Y114</f>
        <v>0.225299171143515</v>
      </c>
      <c r="AK114">
        <f>X114-X115</f>
        <v>-100700</v>
      </c>
      <c r="AW114">
        <v>4565526879</v>
      </c>
    </row>
    <row r="115">
      <c r="F115" t="str">
        <v>안드로이드</v>
      </c>
      <c r="G115" t="str">
        <v>A</v>
      </c>
      <c r="J115">
        <v>200</v>
      </c>
      <c r="K115">
        <v>1.46</v>
      </c>
      <c r="L115">
        <f>IF(K115&gt;0,K115*16,)</f>
        <v>23.36</v>
      </c>
      <c r="M115">
        <f>IF(K115&gt;0,K115*0.453592,IF(L115&gt;0,L115*0.02835,))</f>
        <v>0.66224432</v>
      </c>
      <c r="N115">
        <v>0</v>
      </c>
      <c r="O115">
        <v>0</v>
      </c>
      <c r="P115">
        <f>J115+O115+N115</f>
        <v>200</v>
      </c>
      <c r="Q115">
        <f>P115*C3</f>
        <v>250000</v>
      </c>
      <c r="R115">
        <v>0</v>
      </c>
      <c r="S115">
        <f>ROUND(SUM(Q115:R115), -2)</f>
        <v>250000</v>
      </c>
      <c r="T115">
        <f>ROUNDUP(HLOOKUP(ROUNDUP(K115,0),'배송비 조회'!A$10:U$22,7,0)*C$3,-2)</f>
        <v>11200</v>
      </c>
      <c r="U115">
        <v>0</v>
      </c>
      <c r="V115">
        <f>ROUND(IF(R115&gt;0,0,(S115+T115)*0.25),-2)</f>
        <v>65300</v>
      </c>
      <c r="W115">
        <f>ROUND(IF(R115&gt;0,0,(S115+T115)*0.5),-2)</f>
        <v>130600</v>
      </c>
      <c r="X115">
        <f>IF(R115&gt;0,SUM(S115:T115),SUM(S115:V115))</f>
        <v>326500</v>
      </c>
      <c r="Y115">
        <f>IF(R115&gt;0,SUM(S115:T115),SUM(S115:U115)+W115)</f>
        <v>391800</v>
      </c>
      <c r="Z115">
        <v>0</v>
      </c>
      <c r="AA115">
        <f>X115*0.038</f>
        <v>12407</v>
      </c>
      <c r="AB115">
        <f>X115*0.02</f>
        <v>6530</v>
      </c>
      <c r="AC115">
        <f>Y115*0.1</f>
        <v>39180</v>
      </c>
      <c r="AD115">
        <f>X115-AA115-AB115</f>
        <v>307563</v>
      </c>
      <c r="AE115">
        <f>Y115-AC115</f>
        <v>352620</v>
      </c>
      <c r="AF115">
        <f>AD115*0.01</f>
        <v>3075.63</v>
      </c>
      <c r="AG115">
        <f>AD115-Q115-AF115-T115</f>
        <v>43287.37</v>
      </c>
      <c r="AH115">
        <f>AE115-Q115-AF115-T115</f>
        <v>88344.37</v>
      </c>
      <c r="AI115">
        <f>AG115/X115</f>
        <v>0.13258</v>
      </c>
      <c r="AJ115">
        <f>AH115/Y115</f>
        <v>0.2254833333333333</v>
      </c>
    </row>
    <row r="116">
      <c r="A116">
        <f>HYPERLINK("https://smartstore.naver.com/brickstore2019/products/4565620710",AW:AW)</f>
        <v>4565620710</v>
      </c>
      <c r="C116" t="str">
        <v>BOSS QC25 블루투스 무선 어뎁터 Bolle&amp;Raven Wireless Bluetooth Adapter</v>
      </c>
      <c r="E116" t="str">
        <v>Bolle&amp;Raven Wireless Bluetooth Adapter for Bose QuietComfort 25 Headphones (QC25)</v>
      </c>
      <c r="F116" t="str">
        <v>Black</v>
      </c>
      <c r="G116" t="str">
        <f>HYPERLINK("https://www.amazon.com/Wireless-Bluetooth-Adapter-QuietComfort-Headphones/dp/B01MTQGY69/ref=sr_1_1_sspa?crid=191Z2KBK481UZ&amp;keywords=bose%2Bqc25%2Bbluetooth%2Badapter&amp;qid=1561257912&amp;s=gateway&amp;sprefix=bose%2Bqc25%2Bblu%2Caps%2C561&amp;sr=8-1-spons&amp;th=1","A")</f>
        <v>A</v>
      </c>
      <c r="J116">
        <v>50</v>
      </c>
      <c r="K116">
        <f>IF(L116&gt;0,L116*0.0625,)</f>
        <v>0.04</v>
      </c>
      <c r="L116">
        <v>0.64</v>
      </c>
      <c r="M116">
        <f>IF(K116&gt;0,K116*0.453592,IF(L116&gt;0,L116*0.02835,))</f>
        <v>0.01814368</v>
      </c>
      <c r="N116">
        <v>0</v>
      </c>
      <c r="O116">
        <v>0</v>
      </c>
      <c r="P116">
        <f>J116+O116+N116</f>
        <v>50</v>
      </c>
      <c r="Q116">
        <f>P116*C3</f>
        <v>62500</v>
      </c>
      <c r="R116">
        <v>0</v>
      </c>
      <c r="S116">
        <f>ROUND(SUM(Q116:R116), -2)</f>
        <v>62500</v>
      </c>
      <c r="T116">
        <f>ROUNDUP(HLOOKUP(ROUNDUP(K116,0),'배송비 조회'!A$10:U$22,7,0)*C$3,-2)</f>
        <v>9000</v>
      </c>
      <c r="U116">
        <v>0</v>
      </c>
      <c r="V116">
        <f>ROUND(IF(R116&gt;0,0,(S116+T116)*0.3),-2)</f>
        <v>21500</v>
      </c>
      <c r="W116">
        <f>ROUND(IF(R116&gt;0,0,(S116+T116)*0.5),-2)</f>
        <v>35800</v>
      </c>
      <c r="X116">
        <f>IF(R116&gt;0,SUM(S116:T116),SUM(S116:V116))</f>
        <v>93000</v>
      </c>
      <c r="Y116">
        <f>IF(R116&gt;0,SUM(S116:T116),SUM(S116:U116)+W116)</f>
        <v>107300</v>
      </c>
      <c r="Z116">
        <v>0</v>
      </c>
      <c r="AA116">
        <f>X116*0.038</f>
        <v>3534</v>
      </c>
      <c r="AB116">
        <f>X116*0.02</f>
        <v>1860</v>
      </c>
      <c r="AC116">
        <f>Y116*0.1</f>
        <v>10730</v>
      </c>
      <c r="AD116">
        <f>X116-AA116-AB116</f>
        <v>87606</v>
      </c>
      <c r="AE116">
        <f>Y116-AC116</f>
        <v>96570</v>
      </c>
      <c r="AF116">
        <f>AD116*0.01</f>
        <v>876.0600000000001</v>
      </c>
      <c r="AG116">
        <f>AD116-Q116-AF116-T116</f>
        <v>15229.939999999999</v>
      </c>
      <c r="AH116">
        <f>AE116-Q116-AF116-T116</f>
        <v>24193.940000000002</v>
      </c>
      <c r="AI116">
        <f>AG116/X116</f>
        <v>0.1637627956989247</v>
      </c>
      <c r="AJ116">
        <f>AH116/Y116</f>
        <v>0.22547940354147253</v>
      </c>
      <c r="AW116">
        <v>4565620710</v>
      </c>
    </row>
    <row r="117">
      <c r="F117" t="str">
        <v>White</v>
      </c>
      <c r="G117" t="str">
        <f>HYPERLINK("https://www.amazon.com/Wireless-Bluetooth-Adapter-QuietComfort-Headphones/dp/B07FN56NJH/ref=sr_1_1_sspa?crid=191Z2KBK481UZ&amp;keywords=bose%2Bqc25%2Bbluetooth%2Badapter&amp;qid=1561257912&amp;s=gateway&amp;sprefix=bose%2Bqc25%2Bblu%2Caps%2C561&amp;sr=8-1-spons&amp;th=1","A")</f>
        <v>A</v>
      </c>
      <c r="J117">
        <v>50</v>
      </c>
      <c r="K117">
        <f>IF(L117&gt;0,L117*0.0625,)</f>
        <v>0.04</v>
      </c>
      <c r="L117">
        <v>0.64</v>
      </c>
      <c r="M117">
        <f>IF(K117&gt;0,K117*0.453592,IF(L117&gt;0,L117*0.02835,))</f>
        <v>0.01814368</v>
      </c>
      <c r="N117">
        <v>0</v>
      </c>
      <c r="O117">
        <v>0</v>
      </c>
      <c r="P117">
        <f>J117+O117+N117</f>
        <v>50</v>
      </c>
      <c r="Q117">
        <f>P117*C3</f>
        <v>62500</v>
      </c>
      <c r="R117">
        <v>0</v>
      </c>
      <c r="S117">
        <f>ROUND(SUM(Q117:R117), -2)</f>
        <v>62500</v>
      </c>
      <c r="T117">
        <f>ROUNDUP(HLOOKUP(ROUNDUP(K117,0),'배송비 조회'!A$10:U$22,7,0)*C$3,-2)</f>
        <v>9000</v>
      </c>
      <c r="U117">
        <v>0</v>
      </c>
      <c r="V117">
        <f>ROUND(IF(R117&gt;0,0,(S117+T117)*0.3),-2)</f>
        <v>21500</v>
      </c>
      <c r="W117">
        <f>ROUND(IF(R117&gt;0,0,(S117+T117)*0.5),-2)</f>
        <v>35800</v>
      </c>
      <c r="X117">
        <f>IF(R117&gt;0,SUM(S117:T117),SUM(S117:V117))</f>
        <v>93000</v>
      </c>
      <c r="Y117">
        <f>IF(R117&gt;0,SUM(S117:T117),SUM(S117:U117)+W117)</f>
        <v>107300</v>
      </c>
      <c r="Z117">
        <v>0</v>
      </c>
      <c r="AA117">
        <f>X117*0.038</f>
        <v>3534</v>
      </c>
      <c r="AB117">
        <f>X117*0.02</f>
        <v>1860</v>
      </c>
      <c r="AC117">
        <f>Y117*0.1</f>
        <v>10730</v>
      </c>
      <c r="AD117">
        <f>X117-AA117-AB117</f>
        <v>87606</v>
      </c>
      <c r="AE117">
        <f>Y117-AC117</f>
        <v>96570</v>
      </c>
      <c r="AF117">
        <f>AD117*0.01</f>
        <v>876.0600000000001</v>
      </c>
      <c r="AG117">
        <f>AD117-Q117-AF117-T117</f>
        <v>15229.939999999999</v>
      </c>
      <c r="AH117">
        <f>AE117-Q117-AF117-T117</f>
        <v>24193.940000000002</v>
      </c>
      <c r="AI117">
        <f>AG117/X117</f>
        <v>0.1637627956989247</v>
      </c>
      <c r="AJ117">
        <f>AH117/Y117</f>
        <v>0.22547940354147253</v>
      </c>
    </row>
    <row r="118">
      <c r="A118">
        <f>HYPERLINK("https://smartstore.naver.com/brickstore2019/products/4567420947",AW:AW)</f>
        <v>4567420947</v>
      </c>
      <c r="C118" t="str">
        <v>잔스포츠 하프 핀트 FX 미니 백팩 블랙/골드 JanSport Mini Backpack</v>
      </c>
      <c r="E118" t="str">
        <v>JanSport Half Pint FX Mini Backpack - Black/Gold</v>
      </c>
      <c r="G118" t="str">
        <f>HYPERLINK("https://www.amazon.com/dp/B076XNFGW4/ref=cm_sw_r_cp_api_i_a6leDbAPGYHBZ","A")</f>
        <v>A</v>
      </c>
      <c r="J118">
        <v>32</v>
      </c>
      <c r="K118">
        <f>IF(L118&gt;0,L118*0.0625,)</f>
        <v>0.35</v>
      </c>
      <c r="L118">
        <v>5.6</v>
      </c>
      <c r="M118">
        <f>IF(K118&gt;0,K118*0.453592,IF(L118&gt;0,L118*0.02835,))</f>
        <v>0.1587572</v>
      </c>
      <c r="N118">
        <v>0</v>
      </c>
      <c r="O118">
        <v>0</v>
      </c>
      <c r="P118">
        <f>J118+O118+N118</f>
        <v>32</v>
      </c>
      <c r="Q118">
        <f>P118*C3</f>
        <v>40000</v>
      </c>
      <c r="R118">
        <v>0</v>
      </c>
      <c r="S118">
        <f>ROUND(SUM(Q118:R118), -2)</f>
        <v>40000</v>
      </c>
      <c r="T118">
        <f>ROUNDUP(HLOOKUP(ROUNDUP(K118,0),'배송비 조회'!A$10:U$22,7,0)*C$3,-2)</f>
        <v>9000</v>
      </c>
      <c r="U118">
        <v>0</v>
      </c>
      <c r="V118">
        <f>ROUND(IF(R118&gt;0,0,(S118+T118)*0.5),-2)</f>
        <v>24500</v>
      </c>
      <c r="W118">
        <f>ROUND(IF(R118&gt;0,0,(S118+T118)*0.5),-2)</f>
        <v>24500</v>
      </c>
      <c r="X118">
        <f>IF(R118&gt;0,SUM(S118:T118),SUM(S118:V118))</f>
        <v>73500</v>
      </c>
      <c r="Y118">
        <f>IF(R118&gt;0,SUM(S118:T118),SUM(S118:U118)+W118)</f>
        <v>73500</v>
      </c>
      <c r="Z118">
        <v>0</v>
      </c>
      <c r="AA118">
        <f>X118*0.038</f>
        <v>2793</v>
      </c>
      <c r="AB118">
        <f>X118*0.02</f>
        <v>1470</v>
      </c>
      <c r="AC118">
        <f>Y118*0.1</f>
        <v>7350</v>
      </c>
      <c r="AD118">
        <f>X118-AA118-AB118</f>
        <v>69237</v>
      </c>
      <c r="AE118">
        <f>Y118-AC118</f>
        <v>66150</v>
      </c>
      <c r="AF118">
        <f>AD118*0.01</f>
        <v>692.37</v>
      </c>
      <c r="AG118">
        <f>AD118-Q118-AF118-T118</f>
        <v>19544.63</v>
      </c>
      <c r="AH118">
        <f>AE118-Q118-AF118-T118</f>
        <v>16457.63</v>
      </c>
      <c r="AI118">
        <f>AG118/X118</f>
        <v>0.26591333333333333</v>
      </c>
      <c r="AJ118">
        <f>AH118/Y118</f>
        <v>0.22391333333333335</v>
      </c>
      <c r="AW118">
        <v>4567420947</v>
      </c>
    </row>
    <row r="119">
      <c r="A119">
        <f>HYPERLINK("https://smartstore.naver.com/brickstore2019/products/4567439786",AW:AW)</f>
        <v>4567439786</v>
      </c>
      <c r="B119">
        <v>330193296</v>
      </c>
      <c r="C119" t="str">
        <v>JBL 바이크 자전거 라이딩용 블루투스 스피커 B074JHPR2X</v>
      </c>
      <c r="D119" t="str">
        <v>JBL 바이크 자전거 라이딩용 블루투스 스피커</v>
      </c>
      <c r="E119" t="str">
        <v>JBL Wind Bike Portable Bluetooth Speaker with FM Radio and Supports A Micro SD Card</v>
      </c>
      <c r="G119" t="str">
        <f>HYPERLINK("https://www.amazon.com/dp/B074JHPR2X/ref=cm_sw_r_cp_api_i_O4leDb4R4NHHW","A")</f>
        <v>A</v>
      </c>
      <c r="J119">
        <v>38</v>
      </c>
      <c r="K119">
        <f>IF(L119&gt;0,L119*0.0625,)</f>
        <v>0.65</v>
      </c>
      <c r="L119">
        <v>10.4</v>
      </c>
      <c r="M119">
        <f>IF(K119&gt;0,K119*0.453592,IF(L119&gt;0,L119*0.02835,))</f>
        <v>0.2948348</v>
      </c>
      <c r="N119">
        <v>0</v>
      </c>
      <c r="O119">
        <v>0</v>
      </c>
      <c r="P119">
        <f>J119+O119+N119</f>
        <v>38</v>
      </c>
      <c r="Q119">
        <f>P119*C3</f>
        <v>47500</v>
      </c>
      <c r="R119">
        <v>0</v>
      </c>
      <c r="S119">
        <f>ROUND(SUM(Q119:R119), -2)</f>
        <v>47500</v>
      </c>
      <c r="T119">
        <f>ROUNDUP(HLOOKUP(ROUNDUP(K119,0),'배송비 조회'!A$10:U$22,7,0)*C$3,-2)</f>
        <v>9000</v>
      </c>
      <c r="U119">
        <v>0</v>
      </c>
      <c r="V119">
        <f>ROUND(IF(R119&gt;0,0,(S119+T119)*0.3),-2)</f>
        <v>17000</v>
      </c>
      <c r="W119">
        <f>ROUND(IF(R119&gt;0,0,(S119+T119)*0.4),-2)</f>
        <v>22600</v>
      </c>
      <c r="X119">
        <f>IF(R119&gt;0,SUM(S119:T119),SUM(S119:V119))</f>
        <v>73500</v>
      </c>
      <c r="Y119">
        <f>IF(R119&gt;0,SUM(S119:T119),SUM(S119:U119)+W119)</f>
        <v>79100</v>
      </c>
      <c r="Z119">
        <v>0</v>
      </c>
      <c r="AA119">
        <f>X119*0.038</f>
        <v>2793</v>
      </c>
      <c r="AB119">
        <f>X119*0.02</f>
        <v>1470</v>
      </c>
      <c r="AC119">
        <f>Y119*0.1</f>
        <v>7910</v>
      </c>
      <c r="AD119">
        <f>X119-AA119-AB119</f>
        <v>69237</v>
      </c>
      <c r="AE119">
        <f>Y119-AC119</f>
        <v>71190</v>
      </c>
      <c r="AF119">
        <f>AD119*0.01</f>
        <v>692.37</v>
      </c>
      <c r="AG119">
        <f>AD119-Q119-AF119-T119</f>
        <v>12044.630000000001</v>
      </c>
      <c r="AH119">
        <f>AE119-Q119-AF119-T119</f>
        <v>13997.630000000001</v>
      </c>
      <c r="AI119">
        <f>AG119/X119</f>
        <v>0.16387251700680275</v>
      </c>
      <c r="AJ119">
        <f>AH119/Y119</f>
        <v>0.17696118836915298</v>
      </c>
      <c r="AW119">
        <v>4567439786</v>
      </c>
    </row>
    <row r="120">
      <c r="A120">
        <f>HYPERLINK("https://smartstore.naver.com/brickstore2019/products/4572462972",AW:AW)</f>
        <v>4572462972</v>
      </c>
      <c r="C120" t="str">
        <v>타이맥스 아이언맨 시계 Timex Ironman Analog 42mm Watch</v>
      </c>
      <c r="E120" t="str">
        <v>Timex Ironman Essential Urban Analog 42mm Watch</v>
      </c>
      <c r="F120" t="str">
        <v>Black/Red Accents</v>
      </c>
      <c r="G120" t="str">
        <f>HYPERLINK("https://www.amazon.com/Timex-TW5M16800-Ironman-Essential-Silicone/dp/B079HXN4P8/ref=sr_1_41?keywords=timex%2Bironman%2Bwatch&amp;qid=1561642286&amp;s=gateway&amp;sr=8-41&amp;th=1","A")</f>
        <v>A</v>
      </c>
      <c r="J120">
        <v>34.28</v>
      </c>
      <c r="K120">
        <f>IF(L120&gt;0,L120*0.0625,)</f>
        <v>0.6</v>
      </c>
      <c r="L120">
        <v>9.6</v>
      </c>
      <c r="M120">
        <f>IF(K120&gt;0,K120*0.453592,IF(L120&gt;0,L120*0.02835,))</f>
        <v>0.2721552</v>
      </c>
      <c r="N120">
        <v>0</v>
      </c>
      <c r="O120">
        <v>0</v>
      </c>
      <c r="P120">
        <f>J120+O120+N120</f>
        <v>34.28</v>
      </c>
      <c r="Q120">
        <f>P120*C3</f>
        <v>42850</v>
      </c>
      <c r="R120">
        <v>0</v>
      </c>
      <c r="S120">
        <f>ROUND(SUM(Q120:R120), -2)</f>
        <v>42900</v>
      </c>
      <c r="T120">
        <f>ROUNDUP(HLOOKUP(ROUNDUP(K120,0),'배송비 조회'!A$10:U$22,7,0)*C$3,-2)</f>
        <v>9000</v>
      </c>
      <c r="U120">
        <v>0</v>
      </c>
      <c r="V120">
        <f>ROUND(IF(R120&gt;0,0,(S120+T120)*0.3),-2)</f>
        <v>15600</v>
      </c>
      <c r="W120">
        <f>ROUND(IF(R120&gt;0,0,(S120+T120)*0.5),-2)</f>
        <v>26000</v>
      </c>
      <c r="X120">
        <f>IF(R120&gt;0,SUM(S120:T120),SUM(S120:V120))</f>
        <v>67500</v>
      </c>
      <c r="Y120">
        <f>IF(R120&gt;0,SUM(S120:T120),SUM(S120:U120)+W120)</f>
        <v>77900</v>
      </c>
      <c r="Z120">
        <v>0</v>
      </c>
      <c r="AA120">
        <f>X120*0.038</f>
        <v>2565</v>
      </c>
      <c r="AB120">
        <f>X120*0.02</f>
        <v>1350</v>
      </c>
      <c r="AC120">
        <f>Y120*0.1</f>
        <v>7790</v>
      </c>
      <c r="AD120">
        <f>X120-AA120-AB120</f>
        <v>63585</v>
      </c>
      <c r="AE120">
        <f>Y120-AC120</f>
        <v>70110</v>
      </c>
      <c r="AF120">
        <f>AD120*0.01</f>
        <v>635.85</v>
      </c>
      <c r="AG120">
        <f>AD120-Q120-AF120-T120</f>
        <v>11099.150000000001</v>
      </c>
      <c r="AH120">
        <f>AE120-Q120-AF120-T120</f>
        <v>17624.15</v>
      </c>
      <c r="AI120">
        <f>AG120/X120</f>
        <v>0.16443185185185188</v>
      </c>
      <c r="AJ120">
        <f>AH120/Y120</f>
        <v>0.22624069319640566</v>
      </c>
      <c r="AW120">
        <v>4572462972</v>
      </c>
    </row>
    <row r="121">
      <c r="F121" t="str">
        <v>Gray/Orange Accents</v>
      </c>
      <c r="G121" t="str">
        <f>HYPERLINK("https://www.amazon.com/Timex-TW5M16800-Ironman-Essential-Silicone/dp/B079HZP6BW/ref=sr_1_41?keywords=timex%2Bironman%2Bwatch&amp;qid=1561642286&amp;s=gateway&amp;sr=8-41&amp;th=1","A")</f>
        <v>A</v>
      </c>
      <c r="J121">
        <v>43.85</v>
      </c>
      <c r="K121">
        <f>IF(L121&gt;0,L121*0.0625,)</f>
        <v>0.6</v>
      </c>
      <c r="L121">
        <v>9.6</v>
      </c>
      <c r="M121">
        <f>IF(K121&gt;0,K121*0.453592,IF(L121&gt;0,L121*0.02835,))</f>
        <v>0.2721552</v>
      </c>
      <c r="N121">
        <v>0</v>
      </c>
      <c r="O121">
        <v>0</v>
      </c>
      <c r="P121">
        <f>J121+O121+N121</f>
        <v>43.85</v>
      </c>
      <c r="Q121">
        <f>P121*C3</f>
        <v>54812.5</v>
      </c>
      <c r="R121">
        <v>0</v>
      </c>
      <c r="S121">
        <f>ROUND(SUM(Q121:R121), -2)</f>
        <v>54800</v>
      </c>
      <c r="T121">
        <f>ROUNDUP(HLOOKUP(ROUNDUP(K121,0),'배송비 조회'!A$10:U$22,7,0)*C$3,-2)</f>
        <v>9000</v>
      </c>
      <c r="U121">
        <v>0</v>
      </c>
      <c r="V121">
        <f>ROUND(IF(R121&gt;0,0,(S121+T121)*0.3),-2)</f>
        <v>19100</v>
      </c>
      <c r="W121">
        <f>ROUND(IF(R121&gt;0,0,(S121+T121)*0.5),-2)</f>
        <v>31900</v>
      </c>
      <c r="X121">
        <f>IF(R121&gt;0,SUM(S121:T121),SUM(S121:V121))</f>
        <v>82900</v>
      </c>
      <c r="Y121">
        <f>IF(R121&gt;0,SUM(S121:T121),SUM(S121:U121)+W121)</f>
        <v>95700</v>
      </c>
      <c r="Z121">
        <v>0</v>
      </c>
      <c r="AA121">
        <f>X121*0.038</f>
        <v>3150.2</v>
      </c>
      <c r="AB121">
        <f>X121*0.02</f>
        <v>1658</v>
      </c>
      <c r="AC121">
        <f>Y121*0.1</f>
        <v>9570</v>
      </c>
      <c r="AD121">
        <f>X121-AA121-AB121</f>
        <v>78091.8</v>
      </c>
      <c r="AE121">
        <f>Y121-AC121</f>
        <v>86130</v>
      </c>
      <c r="AF121">
        <f>AD121*0.01</f>
        <v>780.918</v>
      </c>
      <c r="AG121">
        <f>AD121-Q121-AF121-T121</f>
        <v>13498.382000000001</v>
      </c>
      <c r="AH121">
        <f>AE121-Q121-AF121-T121</f>
        <v>21536.582</v>
      </c>
      <c r="AI121">
        <f>AG121/X121</f>
        <v>0.16282728588661038</v>
      </c>
      <c r="AJ121">
        <f>AH121/Y121</f>
        <v>0.2250426541274817</v>
      </c>
      <c r="AK121">
        <f>X121-$X$120</f>
        <v>15400</v>
      </c>
    </row>
    <row r="122">
      <c r="F122" t="str">
        <v>Navy/Red Accents</v>
      </c>
      <c r="G122" t="str">
        <f>HYPERLINK("https://www.amazon.com/Timex-TW5M16800-Ironman-Essential-Silicone/dp/B079J9WMBQ/ref=sr_1_41?keywords=timex%2Bironman%2Bwatch&amp;qid=1561642286&amp;s=gateway&amp;sr=8-41&amp;th=1","A")</f>
        <v>A</v>
      </c>
      <c r="J122">
        <v>35</v>
      </c>
      <c r="K122">
        <f>IF(L122&gt;0,L122*0.0625,)</f>
        <v>0.6</v>
      </c>
      <c r="L122">
        <v>9.6</v>
      </c>
      <c r="M122">
        <f>IF(K122&gt;0,K122*0.453592,IF(L122&gt;0,L122*0.02835,))</f>
        <v>0.2721552</v>
      </c>
      <c r="N122">
        <v>0</v>
      </c>
      <c r="O122">
        <v>0</v>
      </c>
      <c r="P122">
        <f>J122+O122+N122</f>
        <v>35</v>
      </c>
      <c r="Q122">
        <f>P122*C3</f>
        <v>43750</v>
      </c>
      <c r="R122">
        <v>0</v>
      </c>
      <c r="S122">
        <f>ROUND(SUM(Q122:R122), -2)</f>
        <v>43800</v>
      </c>
      <c r="T122">
        <f>ROUNDUP(HLOOKUP(ROUNDUP(K122,0),'배송비 조회'!A$10:U$22,7,0)*C$3,-2)</f>
        <v>9000</v>
      </c>
      <c r="U122">
        <v>0</v>
      </c>
      <c r="V122">
        <f>ROUND(IF(R122&gt;0,0,(S122+T122)*0.3),-2)</f>
        <v>15800</v>
      </c>
      <c r="W122">
        <f>ROUND(IF(R122&gt;0,0,(S122+T122)*0.5),-2)</f>
        <v>26400</v>
      </c>
      <c r="X122">
        <f>IF(R122&gt;0,SUM(S122:T122),SUM(S122:V122))</f>
        <v>68600</v>
      </c>
      <c r="Y122">
        <f>IF(R122&gt;0,SUM(S122:T122),SUM(S122:U122)+W122)</f>
        <v>79200</v>
      </c>
      <c r="Z122">
        <v>0</v>
      </c>
      <c r="AA122">
        <f>X122*0.038</f>
        <v>2606.7999999999997</v>
      </c>
      <c r="AB122">
        <f>X122*0.02</f>
        <v>1372</v>
      </c>
      <c r="AC122">
        <f>Y122*0.1</f>
        <v>7920</v>
      </c>
      <c r="AD122">
        <f>X122-AA122-AB122</f>
        <v>64621.2</v>
      </c>
      <c r="AE122">
        <f>Y122-AC122</f>
        <v>71280</v>
      </c>
      <c r="AF122">
        <f>AD122*0.01</f>
        <v>646.212</v>
      </c>
      <c r="AG122">
        <f>AD122-Q122-AF122-T122</f>
        <v>11224.987999999998</v>
      </c>
      <c r="AH122">
        <f>AE122-Q122-AF122-T122</f>
        <v>17883.788</v>
      </c>
      <c r="AI122">
        <f>AG122/X122</f>
        <v>0.1636295626822157</v>
      </c>
      <c r="AJ122">
        <f>AH122/Y122</f>
        <v>0.22580540404040406</v>
      </c>
      <c r="AK122">
        <f>X122-$X$120</f>
        <v>1100</v>
      </c>
    </row>
    <row r="123">
      <c r="A123">
        <f>HYPERLINK("https://smartstore.naver.com/brickstore2019/products/4577708170",AW:AW)</f>
        <v>4577708170</v>
      </c>
      <c r="C123" t="str">
        <v>헨지독 아이폰 아이패드 도킹 스테이션 충전 거치대 Henge Docks</v>
      </c>
      <c r="E123" t="str">
        <v>Gravitas² - Dock for iPhone and iPad by Henge Docks - Heavy, Compact Footprint Allows Single-Handed undocking with Built-in Lightning Connector</v>
      </c>
      <c r="G123" t="str">
        <f>HYPERLINK("https://www.amazon.com/Gravitas%C2%B2-Footprint-Single-Handed-undocking-Built/dp/B01M7P23DK?ref_=bl_dp_s_web_9056527011","A")</f>
        <v>A</v>
      </c>
      <c r="J123">
        <v>59</v>
      </c>
      <c r="K123">
        <v>3.17</v>
      </c>
      <c r="L123">
        <f>IF(K123&gt;0,K123*16,)</f>
        <v>50.72</v>
      </c>
      <c r="M123">
        <f>IF(K123&gt;0,K123*0.453592,IF(L123&gt;0,L123*0.02835,))</f>
        <v>1.4378866399999999</v>
      </c>
      <c r="N123">
        <v>0</v>
      </c>
      <c r="O123">
        <v>0</v>
      </c>
      <c r="P123">
        <f>J123+O123+N123</f>
        <v>59</v>
      </c>
      <c r="Q123">
        <f>P123*C3</f>
        <v>73750</v>
      </c>
      <c r="R123">
        <v>0</v>
      </c>
      <c r="S123">
        <f>ROUND(SUM(Q123:R123), -2)</f>
        <v>73800</v>
      </c>
      <c r="T123">
        <f>ROUNDUP(HLOOKUP(ROUNDUP(K123,0),'배송비 조회'!A$10:U$22,7,0)*C$3,-2)</f>
        <v>15600</v>
      </c>
      <c r="U123">
        <v>0</v>
      </c>
      <c r="V123">
        <f>ROUND(IF(R123&gt;0,0,(S123+T123)*0.3),-2)</f>
        <v>26800</v>
      </c>
      <c r="W123">
        <f>ROUND(IF(R123&gt;0,0,(S123+T123)*0.5),-2)</f>
        <v>44700</v>
      </c>
      <c r="X123">
        <f>IF(R123&gt;0,SUM(S123:T123),SUM(S123:V123))</f>
        <v>116200</v>
      </c>
      <c r="Y123">
        <f>IF(R123&gt;0,SUM(S123:T123),SUM(S123:U123)+W123)</f>
        <v>134100</v>
      </c>
      <c r="Z123">
        <v>0</v>
      </c>
      <c r="AA123">
        <f>X123*0.038</f>
        <v>4415.599999999999</v>
      </c>
      <c r="AB123">
        <f>X123*0.02</f>
        <v>2324</v>
      </c>
      <c r="AC123">
        <f>Y123*0.1</f>
        <v>13410</v>
      </c>
      <c r="AD123">
        <f>X123-AA123-AB123</f>
        <v>109460.4</v>
      </c>
      <c r="AE123">
        <f>Y123-AC123</f>
        <v>120690</v>
      </c>
      <c r="AF123">
        <f>AD123*0.01</f>
        <v>1094.604</v>
      </c>
      <c r="AG123">
        <f>AD123-Q123-AF123-T123</f>
        <v>19015.795999999995</v>
      </c>
      <c r="AH123">
        <f>AE123-Q123-AF123-T123</f>
        <v>30245.396</v>
      </c>
      <c r="AI123">
        <f>AG123/X123</f>
        <v>0.16364712564543885</v>
      </c>
      <c r="AJ123">
        <f>AH123/Y123</f>
        <v>0.22554359433258764</v>
      </c>
      <c r="AW123">
        <v>4577708170</v>
      </c>
    </row>
    <row r="124">
      <c r="A124">
        <f>HYPERLINK("https://smartstore.naver.com/brickstore2019/products/4579241908",AW:AW)</f>
        <v>4579241908</v>
      </c>
      <c r="C124" t="str">
        <v>PICTEK 픽텍 침대용 LED 스크린 디지털 알람 시계</v>
      </c>
      <c r="E124" t="str">
        <v>PICTEK Digital Alarm Clock, 5" Curved Dimmable LED Screen Digital Clock for Kids Bedroom, White Large Number Clock, 6 Brightness, Snooze, 12/24 Hour, USB Port(Without Adapter)</v>
      </c>
      <c r="F124" t="str">
        <v>White</v>
      </c>
      <c r="G124" t="str">
        <f>HYPERLINK("https://www.amazon.com/dp/B07KP33RD6/ref=sspa_dk_hqp_detail_aax_0?th=1","A")</f>
        <v>A</v>
      </c>
      <c r="J124">
        <v>16</v>
      </c>
      <c r="K124">
        <f>IF(L124&gt;0,L124*0.0625,)</f>
        <v>0.6</v>
      </c>
      <c r="L124">
        <v>9.6</v>
      </c>
      <c r="M124">
        <f>IF(K124&gt;0,K124*0.453592,IF(L124&gt;0,L124*0.02835,))</f>
        <v>0.2721552</v>
      </c>
      <c r="N124">
        <v>0</v>
      </c>
      <c r="O124">
        <v>0</v>
      </c>
      <c r="P124">
        <f>J124+O124+N124</f>
        <v>16</v>
      </c>
      <c r="Q124">
        <f>P124*C3</f>
        <v>20000</v>
      </c>
      <c r="R124">
        <v>0</v>
      </c>
      <c r="S124">
        <f>ROUND(SUM(Q124:R124), -2)</f>
        <v>20000</v>
      </c>
      <c r="T124">
        <f>ROUNDUP(HLOOKUP(ROUNDUP(K124,0),'배송비 조회'!A$10:U$22,7,0)*C$3,-2)</f>
        <v>9000</v>
      </c>
      <c r="U124">
        <v>0</v>
      </c>
      <c r="V124">
        <f>ROUND(IF(R124&gt;0,0,(S124+T124)*0.5),-2)</f>
        <v>14500</v>
      </c>
      <c r="W124">
        <f>ROUND(IF(R124&gt;0,0,(S124+T124)*0.5),-2)</f>
        <v>14500</v>
      </c>
      <c r="X124">
        <f>IF(R124&gt;0,SUM(S124:T124),SUM(S124:V124))</f>
        <v>43500</v>
      </c>
      <c r="Y124">
        <f>IF(R124&gt;0,SUM(S124:T124),SUM(S124:U124)+W124)</f>
        <v>43500</v>
      </c>
      <c r="Z124">
        <v>0</v>
      </c>
      <c r="AA124">
        <f>X124*0.038</f>
        <v>1653</v>
      </c>
      <c r="AB124">
        <f>X124*0.02</f>
        <v>870</v>
      </c>
      <c r="AC124">
        <f>Y124*0.1</f>
        <v>4350</v>
      </c>
      <c r="AD124">
        <f>X124-AA124-AB124</f>
        <v>40977</v>
      </c>
      <c r="AE124">
        <f>Y124-AC124</f>
        <v>39150</v>
      </c>
      <c r="AF124">
        <f>AD124*0.01</f>
        <v>409.77</v>
      </c>
      <c r="AG124">
        <f>AD124-Q124-AF124-T124</f>
        <v>11567.23</v>
      </c>
      <c r="AH124">
        <f>AE124-Q124-AF124-T124</f>
        <v>9740.23</v>
      </c>
      <c r="AI124">
        <f>AG124/X124</f>
        <v>0.26591333333333333</v>
      </c>
      <c r="AJ124">
        <f>AH124/Y124</f>
        <v>0.22391333333333333</v>
      </c>
      <c r="AW124">
        <v>4579241908</v>
      </c>
    </row>
    <row r="125">
      <c r="F125" t="str">
        <v>White Red</v>
      </c>
      <c r="G125" t="str">
        <f>HYPERLINK("https://www.amazon.com/dp/B07NQ8JLDT/ref=sspa_dk_hqp_detail_aax_0?th=1","A")</f>
        <v>A</v>
      </c>
      <c r="J125">
        <v>16</v>
      </c>
      <c r="K125">
        <f>IF(L125&gt;0,L125*0.0625,)</f>
        <v>0.6</v>
      </c>
      <c r="L125">
        <v>9.6</v>
      </c>
      <c r="M125">
        <f>IF(K125&gt;0,K125*0.453592,IF(L125&gt;0,L125*0.02835,))</f>
        <v>0.2721552</v>
      </c>
      <c r="N125">
        <v>0</v>
      </c>
      <c r="O125">
        <v>0</v>
      </c>
      <c r="P125">
        <f>J125+O125+N125</f>
        <v>16</v>
      </c>
      <c r="Q125">
        <f>P125*C3</f>
        <v>20000</v>
      </c>
      <c r="R125">
        <v>0</v>
      </c>
      <c r="S125">
        <f>ROUND(SUM(Q125:R125), -2)</f>
        <v>20000</v>
      </c>
      <c r="T125">
        <f>ROUNDUP(HLOOKUP(ROUNDUP(K125,0),'배송비 조회'!A$10:U$22,7,0)*C$3,-2)</f>
        <v>9000</v>
      </c>
      <c r="U125">
        <v>0</v>
      </c>
      <c r="V125">
        <f>ROUND(IF(R125&gt;0,0,(S125+T125)*0.5),-2)</f>
        <v>14500</v>
      </c>
      <c r="W125">
        <f>ROUND(IF(R125&gt;0,0,(S125+T125)*0.5),-2)</f>
        <v>14500</v>
      </c>
      <c r="X125">
        <f>IF(R125&gt;0,SUM(S125:T125),SUM(S125:V125))</f>
        <v>43500</v>
      </c>
      <c r="Y125">
        <f>IF(R125&gt;0,SUM(S125:T125),SUM(S125:U125)+W125)</f>
        <v>43500</v>
      </c>
      <c r="Z125">
        <v>0</v>
      </c>
      <c r="AA125">
        <f>X125*0.038</f>
        <v>1653</v>
      </c>
      <c r="AB125">
        <f>X125*0.02</f>
        <v>870</v>
      </c>
      <c r="AC125">
        <f>Y125*0.1</f>
        <v>4350</v>
      </c>
      <c r="AD125">
        <f>X125-AA125-AB125</f>
        <v>40977</v>
      </c>
      <c r="AE125">
        <f>Y125-AC125</f>
        <v>39150</v>
      </c>
      <c r="AF125">
        <f>AD125*0.01</f>
        <v>409.77</v>
      </c>
      <c r="AG125">
        <f>AD125-Q125-AF125-T125</f>
        <v>11567.23</v>
      </c>
      <c r="AH125">
        <f>AE125-Q125-AF125-T125</f>
        <v>9740.23</v>
      </c>
      <c r="AI125">
        <f>AG125/X125</f>
        <v>0.26591333333333333</v>
      </c>
      <c r="AJ125">
        <f>AH125/Y125</f>
        <v>0.22391333333333333</v>
      </c>
    </row>
    <row r="126">
      <c r="A126">
        <f>HYPERLINK("https://smartstore.naver.com/brickstore2019/products/4580774649",AW:AW)</f>
        <v>4580774649</v>
      </c>
      <c r="C126" t="str">
        <v>가성비 블루투스 무선 이어폰 Linpa 5.0</v>
      </c>
      <c r="E126" t="str">
        <v>Bluetooth Earbuds Wireless Headphones, Linpa 5.0 True Wireless Earphone 20H Playtime, HiFi Stereo Mini in-Ear Earbuds w/Mic, Auto Pairing, Noise Cancelling, Single &amp;Couple Ears Modes for Cellphone</v>
      </c>
      <c r="G126" t="str">
        <f>HYPERLINK("https://www.amazon.com/dp/B07Q5XCTYV/ref=cm_sw_r_cp_api_i_XPihDbKV7P1HT","A")</f>
        <v>A</v>
      </c>
      <c r="J126">
        <v>34.99</v>
      </c>
      <c r="K126" t="str">
        <f>IF(L126&gt;0,L126*0.0625,)</f>
        <v>#REF!</v>
      </c>
      <c r="L126" t="str">
        <f>IF(K126&gt;0,K126*16,)</f>
        <v>#REF!</v>
      </c>
      <c r="M126" t="str">
        <f>IF(K126&gt;0,K126*0.453592,IF(L126&gt;0,L126*0.02835,))</f>
        <v>#REF!</v>
      </c>
      <c r="N126">
        <v>0</v>
      </c>
      <c r="O126">
        <v>0</v>
      </c>
      <c r="P126">
        <f>J126+O126+N126</f>
        <v>34.99</v>
      </c>
      <c r="Q126">
        <f>P126*C3</f>
        <v>43737.5</v>
      </c>
      <c r="R126">
        <v>0</v>
      </c>
      <c r="S126">
        <f>ROUND(SUM(Q126:R126), -2)</f>
        <v>43700</v>
      </c>
      <c r="T126" t="str">
        <f>ROUNDUP(HLOOKUP(ROUNDUP(K126,0),'배송비 조회'!A$10:U$22,7,0)*C$3,-2)</f>
        <v>#REF!</v>
      </c>
      <c r="U126">
        <v>0</v>
      </c>
      <c r="V126" t="str">
        <f>ROUND(IF(R126&gt;0,0,(S126+T126)*0.3),-2)</f>
        <v>#REF!</v>
      </c>
      <c r="W126" t="str">
        <f>ROUND(IF(R126&gt;0,0,(S126+T126)*0.5),-2)</f>
        <v>#REF!</v>
      </c>
      <c r="X126" t="str">
        <f>IF(R126&gt;0,SUM(S126:T126),SUM(S126:V126))</f>
        <v>#REF!</v>
      </c>
      <c r="Y126" t="str">
        <f>IF(R126&gt;0,SUM(S126:T126),SUM(S126:U126)+W126)</f>
        <v>#REF!</v>
      </c>
      <c r="AA126" t="str">
        <f>X126*0.038</f>
        <v>#REF!</v>
      </c>
      <c r="AB126" t="str">
        <f>X126*0.02</f>
        <v>#REF!</v>
      </c>
      <c r="AC126" t="str">
        <f>Y126*0.1</f>
        <v>#REF!</v>
      </c>
      <c r="AD126" t="str">
        <f>X126-AA126-AB126</f>
        <v>#REF!</v>
      </c>
      <c r="AE126" t="str">
        <f>Y126-AC126</f>
        <v>#REF!</v>
      </c>
      <c r="AF126" t="str">
        <f>AD126*0.01</f>
        <v>#REF!</v>
      </c>
      <c r="AG126" t="str">
        <f>AD126-Q126-AF126-T126</f>
        <v>#REF!</v>
      </c>
      <c r="AH126" t="str">
        <f>AE126-Q126-AF126-T126</f>
        <v>#REF!</v>
      </c>
      <c r="AI126" t="str">
        <f>AG126/X126</f>
        <v>#REF!</v>
      </c>
      <c r="AJ126" t="str">
        <f>AH126/Y126</f>
        <v>#REF!</v>
      </c>
      <c r="AW126">
        <v>4580774649</v>
      </c>
    </row>
    <row r="127">
      <c r="A127">
        <f>HYPERLINK("https://smartstore.naver.com/brickstore2019/products/4585212654",AW:AW)</f>
        <v>4585212654</v>
      </c>
      <c r="C127" t="str">
        <v>밀리터리 전술 미군 군용 백팩 야외 캠핑 낚시용 백팩</v>
      </c>
      <c r="E127" t="str">
        <v>CVLIFE Military Tactical Backpacks 3 Day Assault Pack Molle Bag Army Rucksacks for Outdoor Hiking Camping Fishing Hunting with Tactical Flag Patch</v>
      </c>
      <c r="F127" t="str">
        <v>CP</v>
      </c>
      <c r="G127" t="str">
        <v>A</v>
      </c>
      <c r="J127">
        <v>36</v>
      </c>
      <c r="K127">
        <v>2.6</v>
      </c>
      <c r="L127">
        <f>IF(K127&gt;0,K127*16,)</f>
        <v>41.6</v>
      </c>
      <c r="M127">
        <f>IF(K127&gt;0,K127*0.453592,IF(L127&gt;0,L127*0.02835,))</f>
        <v>1.1793392</v>
      </c>
      <c r="N127">
        <v>0</v>
      </c>
      <c r="O127">
        <v>0</v>
      </c>
      <c r="P127">
        <f>J127+O127+N127</f>
        <v>36</v>
      </c>
      <c r="Q127">
        <f>P127*C3</f>
        <v>45000</v>
      </c>
      <c r="R127">
        <v>0</v>
      </c>
      <c r="S127">
        <f>ROUND(SUM(Q127:R127), -2)</f>
        <v>45000</v>
      </c>
      <c r="T127">
        <f>ROUNDUP(HLOOKUP(ROUNDUP(K127,0),'배송비 조회'!A$10:U$22,7,0)*C$3,-2)</f>
        <v>13400</v>
      </c>
      <c r="U127">
        <v>0</v>
      </c>
      <c r="V127">
        <f>ROUND(IF(R127&gt;0,0,(S127+T127)*0.3),-2)</f>
        <v>17500</v>
      </c>
      <c r="W127">
        <f>ROUND(IF(R127&gt;0,0,(S127+T127)*0.5),-2)</f>
        <v>29200</v>
      </c>
      <c r="X127">
        <f>IF(R127&gt;0,SUM(S127:T127),SUM(S127:V127))</f>
        <v>75900</v>
      </c>
      <c r="Y127">
        <f>IF(R127&gt;0,SUM(S127:T127),SUM(S127:U127)+W127)</f>
        <v>87600</v>
      </c>
      <c r="Z127">
        <v>0</v>
      </c>
      <c r="AA127">
        <f>X127*0.038</f>
        <v>2884.2</v>
      </c>
      <c r="AB127">
        <f>X127*0.02</f>
        <v>1518</v>
      </c>
      <c r="AC127">
        <f>Y127*0.1</f>
        <v>8760</v>
      </c>
      <c r="AD127">
        <f>X127-AA127-AB127</f>
        <v>71497.8</v>
      </c>
      <c r="AE127">
        <f>Y127-AC127</f>
        <v>78840</v>
      </c>
      <c r="AF127">
        <f>AD127*0.01</f>
        <v>714.9780000000001</v>
      </c>
      <c r="AG127">
        <f>AD127-Q127-AF127-T127</f>
        <v>12382.822000000004</v>
      </c>
      <c r="AH127">
        <f>AE127-Q127-AF127-T127</f>
        <v>19725.021999999997</v>
      </c>
      <c r="AI127">
        <f>AG127/X127</f>
        <v>0.16314653491436104</v>
      </c>
      <c r="AJ127">
        <f>AH127/Y127</f>
        <v>0.2251714840182648</v>
      </c>
      <c r="AW127">
        <v>4585212654</v>
      </c>
    </row>
    <row r="128">
      <c r="F128" t="str">
        <v>New Black</v>
      </c>
      <c r="G128" t="str">
        <v>A</v>
      </c>
      <c r="H128" t="e">
        <f>HYPERLINK("https://www.amazon.com/CVLIFE-Military-Tactical-Backpacks-Rucksacks/dp/B07KY7BFKC/ref=sr_1_1?keywords=CVLIFE%2BMilitary%2BTactical%2BMolle%2BBackpacks%2B3%2BDay%2BAssault%2BPack%2BBug%2BOut%2BBag%2BArmy%2BRucksacks%2Bfor%2BOutdoor%2BHiking%2BCamping%2BFis"&amp;"hing%2BHunting%2Bwith%2BTactical%2BFlag%2BPatch&amp;qid=1562312614&amp;s=gateway&amp;sr=8-1&amp;th=1","A")</f>
        <v>#VALUE!</v>
      </c>
      <c r="J128">
        <v>36</v>
      </c>
      <c r="K128">
        <v>2.6</v>
      </c>
      <c r="L128">
        <f>IF(K128&gt;0,K128*16,)</f>
        <v>41.6</v>
      </c>
      <c r="M128">
        <f>IF(K128&gt;0,K128*0.453592,IF(L128&gt;0,L128*0.02835,))</f>
        <v>1.1793392</v>
      </c>
      <c r="N128">
        <v>0</v>
      </c>
      <c r="O128">
        <v>0</v>
      </c>
      <c r="P128">
        <f>J128+O128+N128</f>
        <v>36</v>
      </c>
      <c r="Q128">
        <f>P128*C3</f>
        <v>45000</v>
      </c>
      <c r="R128">
        <v>0</v>
      </c>
      <c r="S128">
        <f>ROUND(SUM(Q128:R128), -2)</f>
        <v>45000</v>
      </c>
      <c r="T128">
        <f>ROUNDUP(HLOOKUP(ROUNDUP(K128,0),'배송비 조회'!A$10:U$22,7,0)*C$3,-2)</f>
        <v>13400</v>
      </c>
      <c r="U128">
        <v>0</v>
      </c>
      <c r="V128">
        <f>ROUND(IF(R128&gt;0,0,(S128+T128)*0.3),-2)</f>
        <v>17500</v>
      </c>
      <c r="W128">
        <f>ROUND(IF(R128&gt;0,0,(S128+T128)*0.5),-2)</f>
        <v>29200</v>
      </c>
      <c r="X128">
        <f>IF(R128&gt;0,SUM(S128:T128),SUM(S128:V128))</f>
        <v>75900</v>
      </c>
      <c r="Y128">
        <f>IF(R128&gt;0,SUM(S128:T128),SUM(S128:U128)+W128)</f>
        <v>87600</v>
      </c>
      <c r="Z128">
        <v>0</v>
      </c>
      <c r="AA128">
        <f>X128*0.038</f>
        <v>2884.2</v>
      </c>
      <c r="AB128">
        <f>X128*0.02</f>
        <v>1518</v>
      </c>
      <c r="AC128">
        <f>Y128*0.1</f>
        <v>8760</v>
      </c>
      <c r="AD128">
        <f>X128-AA128-AB128</f>
        <v>71497.8</v>
      </c>
      <c r="AE128">
        <f>Y128-AC128</f>
        <v>78840</v>
      </c>
      <c r="AF128">
        <f>AD128*0.01</f>
        <v>714.9780000000001</v>
      </c>
      <c r="AG128">
        <f>AD128-Q128-AF128-T128</f>
        <v>12382.822000000004</v>
      </c>
      <c r="AH128">
        <f>AE128-Q128-AF128-T128</f>
        <v>19725.021999999997</v>
      </c>
      <c r="AI128">
        <f>AG128/X128</f>
        <v>0.16314653491436104</v>
      </c>
      <c r="AJ128">
        <f>AH128/Y128</f>
        <v>0.2251714840182648</v>
      </c>
    </row>
    <row r="129">
      <c r="A129">
        <f>HYPERLINK("https://smartstore.naver.com/brickstore2019/products/4585227922",AW:AW)</f>
        <v>4585227922</v>
      </c>
      <c r="C129" t="str">
        <v>PS4-Slim/Pro 컨트롤러 충전기 독 스테이션 oivo ps4 Dual Shock 4</v>
      </c>
      <c r="E129" t="str">
        <v>PS4/PS4 Slim/PS4 Pro Controller Charger Dock Station, OIVO PS4 Dual Shock 4 Charging Docking Station for Sony Playstation 4 Controller- 1.8hours Fast Charger with Updated Copper Sheet</v>
      </c>
      <c r="G129" t="str">
        <f>HYPERLINK("https://www.amazon.com/OIVO-Controller-Compatible-Playstation-Indicators/dp/B075YBBQMM?SubscriptionId=AKIAJ6HCB5BRWX67J5VQ&amp;tag=207858-20&amp;linkCode=xm2&amp;camp=2025&amp;creative=165953&amp;creativeASIN=B07B9PKT24&amp;th=1","A")</f>
        <v>A</v>
      </c>
      <c r="J129">
        <v>14</v>
      </c>
      <c r="K129">
        <f>IF(L129&gt;0,L129*0.0625,)</f>
        <v>0.3</v>
      </c>
      <c r="L129">
        <v>4.8</v>
      </c>
      <c r="M129">
        <f>IF(K129&gt;0,K129*0.453592,IF(L129&gt;0,L129*0.02835,))</f>
        <v>0.1360776</v>
      </c>
      <c r="N129">
        <v>0</v>
      </c>
      <c r="O129">
        <v>0</v>
      </c>
      <c r="P129">
        <f>J129+O129+N129</f>
        <v>14</v>
      </c>
      <c r="Q129">
        <f>P129*C3</f>
        <v>17500</v>
      </c>
      <c r="R129">
        <v>0</v>
      </c>
      <c r="S129">
        <f>ROUND(SUM(Q129:R129), -2)</f>
        <v>17500</v>
      </c>
      <c r="T129">
        <f>ROUNDUP(HLOOKUP(ROUNDUP(K129,0),'배송비 조회'!A$10:U$22,7,0)*C$3,-2)</f>
        <v>9000</v>
      </c>
      <c r="U129">
        <v>0</v>
      </c>
      <c r="V129">
        <f>ROUND(IF(R129&gt;0,0,(S129+T129)*0.6),-2)</f>
        <v>15900</v>
      </c>
      <c r="W129">
        <f>ROUND(IF(R129&gt;0,0,(S129+T129)*0.5),-2)</f>
        <v>13300</v>
      </c>
      <c r="X129">
        <f>IF(R129&gt;0,SUM(S129:T129),SUM(S129:V129))</f>
        <v>42400</v>
      </c>
      <c r="Y129">
        <f>IF(R129&gt;0,SUM(S129:T129),SUM(S129:U129)+W129)</f>
        <v>39800</v>
      </c>
      <c r="Z129">
        <v>0</v>
      </c>
      <c r="AA129">
        <f>X129*0.038</f>
        <v>1611.2</v>
      </c>
      <c r="AB129">
        <f>X129*0.02</f>
        <v>848</v>
      </c>
      <c r="AC129">
        <f>Y129*0.1</f>
        <v>3980</v>
      </c>
      <c r="AD129">
        <f>X129-AA129-AB129</f>
        <v>39940.8</v>
      </c>
      <c r="AE129">
        <f>Y129-AC129</f>
        <v>35820</v>
      </c>
      <c r="AF129">
        <f>AD129*0.01</f>
        <v>399.408</v>
      </c>
      <c r="AG129">
        <f>AD129-Q129-AF129-T129</f>
        <v>13041.392000000003</v>
      </c>
      <c r="AH129">
        <f>AE129-Q129-AF129-T129</f>
        <v>8920.592</v>
      </c>
      <c r="AI129">
        <f>AG129/X129</f>
        <v>0.3075800000000001</v>
      </c>
      <c r="AJ129">
        <f>AH129/Y129</f>
        <v>0.22413547738693468</v>
      </c>
      <c r="AW129">
        <v>4585227922</v>
      </c>
    </row>
    <row r="130">
      <c r="A130">
        <f>HYPERLINK("https://smartstore.naver.com/brickstore2019/products/4585234622",AW:AW)</f>
        <v>4585234622</v>
      </c>
      <c r="C130" t="str">
        <v>휴대용 미니 소형 감시 카메라 HD 1080P</v>
      </c>
      <c r="E130" t="str">
        <v>Spy Camera, Wireless Hidden HD 1080P Mini Portable Home Security Battery Powered Covert Nanny Cam, Small Indoor WiFi Video Recorder- Motion Activated/Night Vision Remote Monitor Phone App</v>
      </c>
      <c r="G130" t="str">
        <f>HYPERLINK("https://www.amazon.com/Wireless-Portable-Security-Recorder-Activated/dp/B07QNP7ZD6?SubscriptionId=AKIAJ6HCB5BRWX67J5VQ&amp;tag=207858-20&amp;linkCode=xm2&amp;camp=2025&amp;creative=165953&amp;creativeASIN=B07QNP7ZD6#customerReviews","A")</f>
        <v>A</v>
      </c>
      <c r="H130" t="str">
        <v>품절</v>
      </c>
      <c r="J130">
        <v>30</v>
      </c>
      <c r="K130">
        <f>IF(L130&gt;0,L130*0.0625,)</f>
        <v>0.35</v>
      </c>
      <c r="L130">
        <v>5.6</v>
      </c>
      <c r="M130">
        <f>IF(K130&gt;0,K130*0.453592,IF(L130&gt;0,L130*0.02835,))</f>
        <v>0.1587572</v>
      </c>
      <c r="N130">
        <v>0</v>
      </c>
      <c r="O130">
        <v>0</v>
      </c>
      <c r="P130">
        <f>J130+O130+N130</f>
        <v>30</v>
      </c>
      <c r="Q130">
        <f>P130*C3</f>
        <v>37500</v>
      </c>
      <c r="R130">
        <v>0</v>
      </c>
      <c r="S130">
        <f>ROUND(SUM(Q130:R130), -2)</f>
        <v>37500</v>
      </c>
      <c r="T130">
        <f>ROUNDUP(HLOOKUP(ROUNDUP(K130,0),'배송비 조회'!A$10:U$22,7,0)*C$3,-2)</f>
        <v>9000</v>
      </c>
      <c r="U130">
        <v>0</v>
      </c>
      <c r="V130">
        <f>ROUND(IF(R130&gt;0,0,(S130+T130)*0.4),-2)</f>
        <v>18600</v>
      </c>
      <c r="W130">
        <f>ROUND(IF(R130&gt;0,0,(S130+T130)*0.5),-2)</f>
        <v>23300</v>
      </c>
      <c r="X130">
        <f>IF(R130&gt;0,SUM(S130:T130),SUM(S130:V130))</f>
        <v>65100</v>
      </c>
      <c r="Y130">
        <f>IF(R130&gt;0,SUM(S130:T130),SUM(S130:U130)+W130)</f>
        <v>69800</v>
      </c>
      <c r="Z130">
        <v>0</v>
      </c>
      <c r="AA130">
        <f>X130*0.038</f>
        <v>2473.7999999999997</v>
      </c>
      <c r="AB130">
        <f>X130*0.02</f>
        <v>1302</v>
      </c>
      <c r="AC130">
        <f>Y130*0.1</f>
        <v>6980</v>
      </c>
      <c r="AD130">
        <f>X130-AA130-AB130</f>
        <v>61324.2</v>
      </c>
      <c r="AE130">
        <f>Y130-AC130</f>
        <v>62820</v>
      </c>
      <c r="AF130">
        <f>AD130*0.01</f>
        <v>613.242</v>
      </c>
      <c r="AG130">
        <f>AD130-Q130-AF130-T130</f>
        <v>14210.957999999999</v>
      </c>
      <c r="AH130">
        <f>AE130-Q130-AF130-T130</f>
        <v>15706.758000000002</v>
      </c>
      <c r="AI130">
        <f>AG130/X130</f>
        <v>0.2182942857142857</v>
      </c>
      <c r="AJ130">
        <f>AH130/Y130</f>
        <v>0.22502518624641837</v>
      </c>
      <c r="AW130">
        <v>4585234622</v>
      </c>
    </row>
    <row r="131">
      <c r="A131">
        <f>HYPERLINK("https://smartstore.naver.com/brickstore2019/products/4585306311",AW:AW)</f>
        <v>4585306311</v>
      </c>
      <c r="C131" t="str">
        <v>집, 사무실 선 정리 벨크로 케이블 밴드 100개</v>
      </c>
      <c r="E131" t="str">
        <v>VELCRO Brand ONE WRAP Thin Ties | Strong &amp; Reusable | Perfect for Fastening Wires &amp; Organizing Cords | Black, 8 x 1/2-Inch | 100 Count</v>
      </c>
      <c r="G131" t="str">
        <f>HYPERLINK("https://www.amazon.com/VELCRO-Brand-Reusable-Fastening-Organizing/dp/B001E1Y5O6/ref=sr_1_1_sspa?keywords=Velcro%2BBrand%2BOne%2BWrap%2Bthin%2Bties&amp;qid=1562317812&amp;s=gateway&amp;sr=8-1-spons&amp;th=1","A")</f>
        <v>A</v>
      </c>
      <c r="J131">
        <v>13</v>
      </c>
      <c r="K131">
        <f>IF(L131&gt;0,L131*0.0625,)</f>
        <v>0.22</v>
      </c>
      <c r="L131">
        <v>3.52</v>
      </c>
      <c r="M131">
        <f>IF(K131&gt;0,K131*0.453592,IF(L131&gt;0,L131*0.02835,))</f>
        <v>0.09979024</v>
      </c>
      <c r="N131">
        <v>0</v>
      </c>
      <c r="O131">
        <v>0</v>
      </c>
      <c r="P131">
        <f>J131+O131+N131</f>
        <v>13</v>
      </c>
      <c r="Q131">
        <f>P131*C3</f>
        <v>16250</v>
      </c>
      <c r="R131">
        <v>0</v>
      </c>
      <c r="S131">
        <f>ROUND(SUM(Q131:R131), -2)</f>
        <v>16300</v>
      </c>
      <c r="T131">
        <f>ROUNDUP(HLOOKUP(ROUNDUP(K131,0),'배송비 조회'!A$10:U$22,7,0)*C$3,-2)</f>
        <v>9000</v>
      </c>
      <c r="U131">
        <v>0</v>
      </c>
      <c r="V131">
        <f>ROUND(IF(R131&gt;0,0,(S131+T131)*0.6),-2)</f>
        <v>15200</v>
      </c>
      <c r="W131">
        <f>ROUND(IF(R131&gt;0,0,(S131+T131)*0.5),-2)</f>
        <v>12700</v>
      </c>
      <c r="X131">
        <f>IF(R131&gt;0,SUM(S131:T131),SUM(S131:V131))</f>
        <v>40500</v>
      </c>
      <c r="Y131">
        <f>IF(R131&gt;0,SUM(S131:T131),SUM(S131:U131)+W131)</f>
        <v>38000</v>
      </c>
      <c r="Z131">
        <v>0</v>
      </c>
      <c r="AA131">
        <f>X131*0.038</f>
        <v>1539</v>
      </c>
      <c r="AB131">
        <f>X131*0.02</f>
        <v>810</v>
      </c>
      <c r="AC131">
        <f>Y131*0.1</f>
        <v>3800</v>
      </c>
      <c r="AD131">
        <f>X131-AA131-AB131</f>
        <v>38151</v>
      </c>
      <c r="AE131">
        <f>Y131-AC131</f>
        <v>34200</v>
      </c>
      <c r="AF131">
        <f>AD131*0.01</f>
        <v>381.51</v>
      </c>
      <c r="AG131">
        <f>AD131-Q131-AF131-T131</f>
        <v>12519.490000000002</v>
      </c>
      <c r="AH131">
        <f>AE131-Q131-AF131-T131</f>
        <v>8568.490000000002</v>
      </c>
      <c r="AI131">
        <f>AG131/X131</f>
        <v>0.30912320987654324</v>
      </c>
      <c r="AJ131">
        <f>AH131/Y131</f>
        <v>0.22548657894736845</v>
      </c>
      <c r="AW131">
        <v>4585306311</v>
      </c>
    </row>
    <row r="132">
      <c r="A132">
        <f>HYPERLINK("https://smartstore.naver.com/brickstore2019/products/4585320054",AW:AW)</f>
        <v>4585320054</v>
      </c>
      <c r="C132" t="str">
        <v>닌텐도 스위치 조이콘 프로 컨트롤러 충전독 충전거치대</v>
      </c>
      <c r="E132" t="str">
        <v>PowerA Joy-Con &amp; Pro Controller Charging Dock - Nintendo Switch</v>
      </c>
      <c r="G132" t="str">
        <f>HYPERLINK("https://www.amazon.com/PowerA-Joy-Pro-Controller-Charging-Dock/dp/B075FF6HDN/ref=sr_1_1?keywords=PowerA%2BJoy-Con%2B%26%2BPro%2BController%2BCharging%2BDock%2B-%2BNintendo%2BSwitch&amp;qid=1562476652&amp;s=gateway&amp;sr=8-1&amp;th=1","A")</f>
        <v>A</v>
      </c>
      <c r="J132">
        <v>25</v>
      </c>
      <c r="K132">
        <v>2</v>
      </c>
      <c r="L132">
        <f>IF(K132&gt;0,K132*16,)</f>
        <v>32</v>
      </c>
      <c r="M132">
        <f>IF(K132&gt;0,K132*0.453592,IF(L132&gt;0,L132*0.02835,))</f>
        <v>0.907184</v>
      </c>
      <c r="N132">
        <v>0</v>
      </c>
      <c r="O132">
        <v>0</v>
      </c>
      <c r="P132">
        <f>J132+O132+N132</f>
        <v>25</v>
      </c>
      <c r="Q132">
        <f>P132*C3</f>
        <v>31250</v>
      </c>
      <c r="R132">
        <v>0</v>
      </c>
      <c r="S132">
        <f>ROUND(SUM(Q132:R132), -2)</f>
        <v>31300</v>
      </c>
      <c r="T132">
        <f>ROUNDUP(HLOOKUP(ROUNDUP(K132,0),'배송비 조회'!A$10:U$22,7,0)*C$3,-2)</f>
        <v>11200</v>
      </c>
      <c r="U132">
        <v>0</v>
      </c>
      <c r="V132">
        <f>ROUND(IF(R132&gt;0,0,(S132+T132)*0.3),-2)</f>
        <v>12800</v>
      </c>
      <c r="W132">
        <f>ROUND(IF(R132&gt;0,0,(S132+T132)*0.5),-2)</f>
        <v>21300</v>
      </c>
      <c r="X132">
        <f>IF(R132&gt;0,SUM(S132:T132),SUM(S132:V132))</f>
        <v>55300</v>
      </c>
      <c r="Y132">
        <f>IF(R132&gt;0,SUM(S132:T132),SUM(S132:U132)+W132)</f>
        <v>63800</v>
      </c>
      <c r="Z132">
        <v>0</v>
      </c>
      <c r="AA132">
        <f>X132*0.038</f>
        <v>2101.4</v>
      </c>
      <c r="AB132">
        <f>X132*0.02</f>
        <v>1106</v>
      </c>
      <c r="AC132">
        <f>Y132*0.1</f>
        <v>6380</v>
      </c>
      <c r="AD132">
        <f>X132-AA132-AB132</f>
        <v>52092.6</v>
      </c>
      <c r="AE132">
        <f>Y132-AC132</f>
        <v>57420</v>
      </c>
      <c r="AF132">
        <f>AD132*0.01</f>
        <v>520.926</v>
      </c>
      <c r="AG132">
        <f>AD132-Q132-AF132-T132</f>
        <v>9121.673999999999</v>
      </c>
      <c r="AH132">
        <f>AE132-Q132-AF132-T132</f>
        <v>14449.074</v>
      </c>
      <c r="AI132">
        <f>AG132/X132</f>
        <v>0.16494889692585893</v>
      </c>
      <c r="AJ132">
        <f>AH132/Y132</f>
        <v>0.2264745141065831</v>
      </c>
      <c r="AW132">
        <v>4585320054</v>
      </c>
    </row>
    <row r="133">
      <c r="A133">
        <f>HYPERLINK("https://smartstore.naver.com/brickstore2019/products/4585684336",AW:AW)</f>
        <v>4585684336</v>
      </c>
      <c r="C133" t="str">
        <v>샘소나이트 회사원 직장인 학생 여행용 백팩 Samsonite</v>
      </c>
      <c r="E133" t="str">
        <v>Samsonite Modern Utility GT Laptop Backpack - RFID-Blocking Passport Pocket - Fits Up To 15.6" Laptops &amp; Tablets</v>
      </c>
      <c r="G133" t="str">
        <f>HYPERLINK("https://www.amazon.com/Samsonite-Modern-Utility-Laptop-Backpack/dp/B076MYW7CM/ref=sr_1_6?keywords=samsonite+backpack&amp;qid=1562478905&amp;refinements=p_89%3ASamsonite&amp;rnid=2528832011&amp;s=gateway&amp;sr=8-6","A")</f>
        <v>A</v>
      </c>
      <c r="J133">
        <v>82</v>
      </c>
      <c r="K133">
        <v>3</v>
      </c>
      <c r="L133">
        <f>IF(K133&gt;0,K133*16,)</f>
        <v>48</v>
      </c>
      <c r="M133">
        <f>IF(K133&gt;0,K133*0.453592,IF(L133&gt;0,L133*0.02835,))</f>
        <v>1.360776</v>
      </c>
      <c r="N133">
        <v>0</v>
      </c>
      <c r="O133">
        <v>0</v>
      </c>
      <c r="P133">
        <f>J133+O133+N133</f>
        <v>82</v>
      </c>
      <c r="Q133">
        <f>P133*C3</f>
        <v>102500</v>
      </c>
      <c r="R133">
        <v>0</v>
      </c>
      <c r="S133">
        <f>ROUND(SUM(Q133:R133), -2)</f>
        <v>102500</v>
      </c>
      <c r="T133">
        <f>ROUNDUP(HLOOKUP(ROUNDUP(K133,0),'배송비 조회'!A$10:U$22,7,0)*C$3,-2)</f>
        <v>13400</v>
      </c>
      <c r="U133">
        <v>0</v>
      </c>
      <c r="V133">
        <f>ROUND(IF(R133&gt;0,0,(S133+T133)*0.3),-2)</f>
        <v>34800</v>
      </c>
      <c r="W133">
        <f>ROUND(IF(R133&gt;0,0,(S133+T133)*0.5),-2)</f>
        <v>58000</v>
      </c>
      <c r="X133">
        <f>IF(R133&gt;0,SUM(S133:T133),SUM(S133:V133))</f>
        <v>150700</v>
      </c>
      <c r="Y133">
        <f>IF(R133&gt;0,SUM(S133:T133),SUM(S133:U133)+W133)</f>
        <v>173900</v>
      </c>
      <c r="Z133">
        <v>0</v>
      </c>
      <c r="AA133">
        <f>X133*0.038</f>
        <v>5726.599999999999</v>
      </c>
      <c r="AB133">
        <f>X133*0.02</f>
        <v>3014</v>
      </c>
      <c r="AC133">
        <f>Y133*0.1</f>
        <v>17390</v>
      </c>
      <c r="AD133">
        <f>X133-AA133-AB133</f>
        <v>141959.4</v>
      </c>
      <c r="AE133">
        <f>Y133-AC133</f>
        <v>156510</v>
      </c>
      <c r="AF133">
        <f>AD133*0.01</f>
        <v>1419.594</v>
      </c>
      <c r="AG133">
        <f>AD133-Q133-AF133-T133</f>
        <v>24639.805999999997</v>
      </c>
      <c r="AH133">
        <f>AE133-Q133-AF133-T133</f>
        <v>39190.406</v>
      </c>
      <c r="AI133">
        <f>AG133/X133</f>
        <v>0.1635023623092236</v>
      </c>
      <c r="AJ133">
        <f>AH133/Y133</f>
        <v>0.22536173663024728</v>
      </c>
      <c r="AW133">
        <v>4585684336</v>
      </c>
    </row>
    <row r="134">
      <c r="A134">
        <f>HYPERLINK("https://smartstore.naver.com/brickstore2019/products/4585698573",AW:AW)</f>
        <v>4585698573</v>
      </c>
      <c r="C134" t="str">
        <v xml:space="preserve">세이코 남성 손목 시계 세이코5 SNK805 </v>
      </c>
      <c r="E134" t="str">
        <v>Seiko Men's SNK805 Seiko 5 Automatic Stainless Steel Watch with Green Canvas</v>
      </c>
      <c r="G134" t="str">
        <f>HYPERLINK("https://www.amazon.com/Seiko-SNK805-Automatic-Stainless-Canvas/dp/B000LTAY1U/ref=sr_1_4?keywords=seiko+5&amp;qid=1562505155&amp;s=gateway&amp;sr=8-4","A")</f>
        <v>A</v>
      </c>
      <c r="J134">
        <v>80</v>
      </c>
      <c r="K134">
        <f>IF(L134&gt;0,L134*0.0625,)</f>
        <v>0.5</v>
      </c>
      <c r="L134">
        <v>8</v>
      </c>
      <c r="M134">
        <f>IF(K134&gt;0,K134*0.453592,IF(L134&gt;0,L134*0.02835,))</f>
        <v>0.226796</v>
      </c>
      <c r="N134">
        <v>0</v>
      </c>
      <c r="O134">
        <v>0</v>
      </c>
      <c r="P134">
        <f>J134+O134+N134</f>
        <v>80</v>
      </c>
      <c r="Q134">
        <f>P134*C3</f>
        <v>100000</v>
      </c>
      <c r="R134">
        <v>0</v>
      </c>
      <c r="S134">
        <f>ROUND(SUM(Q134:R134), -2)</f>
        <v>100000</v>
      </c>
      <c r="T134">
        <f>ROUNDUP(HLOOKUP(ROUNDUP(K134,0),'배송비 조회'!A$10:U$22,7,0)*C$3,-2)</f>
        <v>9000</v>
      </c>
      <c r="U134">
        <v>0</v>
      </c>
      <c r="V134">
        <f>ROUND(IF(R134&gt;0,0,(S134+T134)*0.3),-2)</f>
        <v>32700</v>
      </c>
      <c r="W134">
        <f>ROUND(IF(R134&gt;0,0,(S134+T134)*0.5),-2)</f>
        <v>54500</v>
      </c>
      <c r="X134">
        <f>IF(R134&gt;0,SUM(S134:T134),SUM(S134:V134))</f>
        <v>141700</v>
      </c>
      <c r="Y134">
        <f>IF(R134&gt;0,SUM(S134:T134),SUM(S134:U134)+W134)</f>
        <v>163500</v>
      </c>
      <c r="Z134">
        <v>0</v>
      </c>
      <c r="AA134">
        <f>X134*0.038</f>
        <v>5384.599999999999</v>
      </c>
      <c r="AB134">
        <f>X134*0.02</f>
        <v>2834</v>
      </c>
      <c r="AC134">
        <f>Y134*0.1</f>
        <v>16350</v>
      </c>
      <c r="AD134">
        <f>X134-AA134-AB134</f>
        <v>133481.4</v>
      </c>
      <c r="AE134">
        <f>Y134-AC134</f>
        <v>147150</v>
      </c>
      <c r="AF134">
        <f>AD134*0.01</f>
        <v>1334.814</v>
      </c>
      <c r="AG134">
        <f>AD134-Q134-AF134-T134</f>
        <v>23146.585999999996</v>
      </c>
      <c r="AH134">
        <f>AE134-Q134-AF134-T134</f>
        <v>36815.186</v>
      </c>
      <c r="AI134">
        <f>AG134/X134</f>
        <v>0.16334923076923075</v>
      </c>
      <c r="AJ134">
        <f>AH134/Y134</f>
        <v>0.22516933333333333</v>
      </c>
      <c r="AW134">
        <v>4585698573</v>
      </c>
    </row>
    <row r="135">
      <c r="A135">
        <f>HYPERLINK("https://smartstore.naver.com/brickstore2019/products/4588865158",AW:AW)</f>
        <v>4588865158</v>
      </c>
      <c r="C135" t="str">
        <v>타이거너 USB스마트 백팩 학생 백팩 비즈니스 회사원 백팩</v>
      </c>
      <c r="E135" t="str">
        <v>Tigernu College Laptop Backpack School Bookbag with USB Charging Port for Women Men Water Resistant Travel Computer Bag Fits 15.6 inch Laptop/MacBook - Black</v>
      </c>
      <c r="F135" t="str">
        <v>Black</v>
      </c>
      <c r="G135" t="str">
        <f>HYPERLINK("https://www.amazon.com/Backpack-Resistant-University-Anti-Theft-Black/dp/B07D9DNC74/ref=sr_1_4?crid=1PI3RQ0R5X0B&amp;keywords=tigernu%2Bbackpack&amp;qid=1562680394&amp;refinements=p_89%3ATIGERNU&amp;rnid=2528832011&amp;s=gateway&amp;sprefix=tigernu%2B%2Caps%2C352&amp;sr=8-4&amp;th=1","A")</f>
        <v>A</v>
      </c>
      <c r="J135">
        <v>36</v>
      </c>
      <c r="K135">
        <v>1.6</v>
      </c>
      <c r="L135">
        <f>IF(K135&gt;0,K135*16,)</f>
        <v>25.6</v>
      </c>
      <c r="M135">
        <f>IF(K135&gt;0,K135*0.453592,IF(L135&gt;0,L135*0.02835,))</f>
        <v>0.7257472</v>
      </c>
      <c r="N135">
        <v>0</v>
      </c>
      <c r="O135">
        <v>0</v>
      </c>
      <c r="P135">
        <f>J135+O135+N135</f>
        <v>36</v>
      </c>
      <c r="Q135">
        <f>P135*C3</f>
        <v>45000</v>
      </c>
      <c r="R135">
        <v>0</v>
      </c>
      <c r="S135">
        <f>ROUND(SUM(Q135:R135), -2)</f>
        <v>45000</v>
      </c>
      <c r="T135">
        <f>ROUNDUP(HLOOKUP(ROUNDUP(K135,0),'배송비 조회'!A$10:U$22,7,0)*C$3,-2)</f>
        <v>11200</v>
      </c>
      <c r="U135">
        <v>0</v>
      </c>
      <c r="V135">
        <f>ROUND(IF(R135&gt;0,0,(S135+T135)*0.4),-2)</f>
        <v>22500</v>
      </c>
      <c r="W135">
        <f>ROUND(IF(R135&gt;0,0,(S135+T135)*0.5),-2)</f>
        <v>28100</v>
      </c>
      <c r="X135">
        <f>IF(R135&gt;0,SUM(S135:T135),SUM(S135:V135))</f>
        <v>78700</v>
      </c>
      <c r="Y135">
        <f>IF(R135&gt;0,SUM(S135:T135),SUM(S135:U135)+W135)</f>
        <v>84300</v>
      </c>
      <c r="Z135">
        <v>0</v>
      </c>
      <c r="AA135">
        <f>X135*0.038</f>
        <v>2990.6</v>
      </c>
      <c r="AB135">
        <f>X135*0.02</f>
        <v>1574</v>
      </c>
      <c r="AC135">
        <f>Y135*0.1</f>
        <v>8430</v>
      </c>
      <c r="AD135">
        <f>X135-AA135-AB135</f>
        <v>74135.4</v>
      </c>
      <c r="AE135">
        <f>Y135-AC135</f>
        <v>75870</v>
      </c>
      <c r="AF135">
        <f>AD135*0.01</f>
        <v>741.3539999999999</v>
      </c>
      <c r="AG135">
        <f>AD135-Q135-AF135-T135</f>
        <v>17194.045999999995</v>
      </c>
      <c r="AH135">
        <f>AE135-Q135-AF135-T135</f>
        <v>18928.646</v>
      </c>
      <c r="AI135">
        <f>AG135/X135</f>
        <v>0.2184758068614993</v>
      </c>
      <c r="AJ135">
        <f>AH135/Y135</f>
        <v>0.2245390984578885</v>
      </c>
      <c r="AW135">
        <v>4588865158</v>
      </c>
    </row>
    <row r="136">
      <c r="F136" t="str">
        <v>Red</v>
      </c>
      <c r="G136" t="str">
        <f>HYPERLINK("https://www.amazon.com/Backpack-Resistant-University-Anti-Theft-Black/dp/B07D9G2X2B/ref=sr_1_4?crid=1PI3RQ0R5X0B&amp;keywords=tigernu%2Bbackpack&amp;qid=1562680394&amp;refinements=p_89%3ATIGERNU&amp;rnid=2528832011&amp;s=gateway&amp;sprefix=tigernu%2B%2Caps%2C352&amp;sr=8-4&amp;th=1","A")</f>
        <v>A</v>
      </c>
      <c r="J136">
        <v>30</v>
      </c>
      <c r="K136">
        <v>1.6</v>
      </c>
      <c r="L136">
        <f>IF(K136&gt;0,K136*16,)</f>
        <v>25.6</v>
      </c>
      <c r="M136">
        <f>IF(K136&gt;0,K136*0.453592,IF(L136&gt;0,L136*0.02835,))</f>
        <v>0.7257472</v>
      </c>
      <c r="N136">
        <v>0</v>
      </c>
      <c r="O136">
        <v>0</v>
      </c>
      <c r="P136">
        <f>J136+O136+N136</f>
        <v>30</v>
      </c>
      <c r="Q136">
        <f>P136*C3</f>
        <v>37500</v>
      </c>
      <c r="R136">
        <v>0</v>
      </c>
      <c r="S136">
        <f>ROUND(SUM(Q136:R136), -2)</f>
        <v>37500</v>
      </c>
      <c r="T136">
        <f>ROUNDUP(HLOOKUP(ROUNDUP(K136,0),'배송비 조회'!A$10:U$22,7,0)*C$3,-2)</f>
        <v>11200</v>
      </c>
      <c r="U136">
        <v>0</v>
      </c>
      <c r="V136">
        <f>ROUND(IF(R136&gt;0,0,(S136+T136)*0.4),-2)</f>
        <v>19500</v>
      </c>
      <c r="W136">
        <f>ROUND(IF(R136&gt;0,0,(S136+T136)*0.5),-2)</f>
        <v>24400</v>
      </c>
      <c r="X136">
        <f>IF(R136&gt;0,SUM(S136:T136),SUM(S136:V136))</f>
        <v>68200</v>
      </c>
      <c r="Y136">
        <f>IF(R136&gt;0,SUM(S136:T136),SUM(S136:U136)+W136)</f>
        <v>73100</v>
      </c>
      <c r="Z136">
        <v>0</v>
      </c>
      <c r="AA136">
        <f>X136*0.038</f>
        <v>2591.6</v>
      </c>
      <c r="AB136">
        <f>X136*0.02</f>
        <v>1364</v>
      </c>
      <c r="AC136">
        <f>Y136*0.1</f>
        <v>7310</v>
      </c>
      <c r="AD136">
        <f>X136-AA136-AB136</f>
        <v>64244.399999999994</v>
      </c>
      <c r="AE136">
        <f>Y136-AC136</f>
        <v>65790</v>
      </c>
      <c r="AF136">
        <f>AD136*0.01</f>
        <v>642.444</v>
      </c>
      <c r="AG136">
        <f>AD136-Q136-AF136-T136</f>
        <v>14901.955999999995</v>
      </c>
      <c r="AH136">
        <f>AE136-Q136-AF136-T136</f>
        <v>16447.556</v>
      </c>
      <c r="AI136">
        <f>AG136/X136</f>
        <v>0.21850375366568908</v>
      </c>
      <c r="AJ136">
        <f>AH136/Y136</f>
        <v>0.22500076607387143</v>
      </c>
    </row>
    <row r="137">
      <c r="A137">
        <f>HYPERLINK("https://smartstore.naver.com/brickstore2019/products/4590410862",AW:AW)</f>
        <v>4590410862</v>
      </c>
      <c r="C137" t="str">
        <v>언더아머 스톰 컨텐더 백팩 스포츠 운동 백팩 City Khaki (299)/Black</v>
      </c>
      <c r="E137" t="str">
        <v>Under Armour Storm Contender Backpack</v>
      </c>
      <c r="G137" t="str">
        <f>HYPERLINK("https://www.amazon.com/Under-Armour-Contender-Backpack-Khaki/dp/B077KG9M73/ref=sr_1_25?crid=1FO64TWRE1U1L&amp;keywords=under%2Barmour%2Bbackpack&amp;qid=1562768108&amp;s=gateway&amp;sprefix=under%2Barmour%2Bba%2Caps%2C346&amp;sr=8-25&amp;th=1&amp;psc=1","A")</f>
        <v>A</v>
      </c>
      <c r="H137" t="str">
        <v>품절</v>
      </c>
      <c r="J137">
        <v>80</v>
      </c>
      <c r="K137">
        <v>2.2</v>
      </c>
      <c r="L137">
        <f>IF(K137&gt;0,K137*16,)</f>
        <v>35.2</v>
      </c>
      <c r="M137">
        <f>IF(K137&gt;0,K137*0.453592,IF(L137&gt;0,L137*0.02835,))</f>
        <v>0.9979024000000001</v>
      </c>
      <c r="N137">
        <v>0</v>
      </c>
      <c r="O137">
        <v>0</v>
      </c>
      <c r="P137">
        <f>J137+O137+N137</f>
        <v>80</v>
      </c>
      <c r="Q137">
        <f>P137*C3</f>
        <v>100000</v>
      </c>
      <c r="R137">
        <v>0</v>
      </c>
      <c r="S137">
        <f>ROUND(SUM(Q137:R137), -2)</f>
        <v>100000</v>
      </c>
      <c r="T137">
        <f>ROUNDUP(HLOOKUP(ROUNDUP(K137,0),'배송비 조회'!A$10:U$22,7,0)*C$3,-2)</f>
        <v>13400</v>
      </c>
      <c r="U137">
        <v>0</v>
      </c>
      <c r="V137">
        <f>ROUND(IF(R137&gt;0,0,(S137+T137)*0.3),-2)</f>
        <v>34000</v>
      </c>
      <c r="W137">
        <f>ROUND(IF(R137&gt;0,0,(S137+T137)*0.5),-2)</f>
        <v>56700</v>
      </c>
      <c r="X137">
        <f>IF(R137&gt;0,SUM(S137:T137),SUM(S137:V137))</f>
        <v>147400</v>
      </c>
      <c r="Y137">
        <f>IF(R137&gt;0,SUM(S137:T137),SUM(S137:U137)+W137)</f>
        <v>170100</v>
      </c>
      <c r="Z137">
        <v>0</v>
      </c>
      <c r="AA137">
        <f>X137*0.038</f>
        <v>5601.2</v>
      </c>
      <c r="AB137">
        <f>X137*0.02</f>
        <v>2948</v>
      </c>
      <c r="AC137">
        <f>Y137*0.1</f>
        <v>17010</v>
      </c>
      <c r="AD137">
        <f>X137-AA137-AB137</f>
        <v>138850.8</v>
      </c>
      <c r="AE137">
        <f>Y137-AC137</f>
        <v>153090</v>
      </c>
      <c r="AF137">
        <f>AD137*0.01</f>
        <v>1388.5079999999998</v>
      </c>
      <c r="AG137">
        <f>AD137-Q137-AF137-T137</f>
        <v>24062.291999999987</v>
      </c>
      <c r="AH137">
        <f>AE137-Q137-AF137-T137</f>
        <v>38301.492</v>
      </c>
      <c r="AI137">
        <f>AG137/X137</f>
        <v>0.16324485753052909</v>
      </c>
      <c r="AJ137">
        <f>AH137/Y137</f>
        <v>0.22517044091710758</v>
      </c>
      <c r="AW137">
        <v>4590410862</v>
      </c>
    </row>
    <row r="138">
      <c r="A138">
        <f>HYPERLINK("https://smartstore.naver.com/brickstore2019/products/4595193469",AW:AW)</f>
        <v>4595193469</v>
      </c>
      <c r="C138" t="str">
        <v>타이거너 여행용 슬링백 숄더백</v>
      </c>
      <c r="E138" t="str">
        <v>Tigernu Sling Bag, Crossbody with Headphone Port Water Resistant Bags Men Women</v>
      </c>
      <c r="G138" t="str">
        <f>HYPERLINK("https://www.amazon.com/Tigernu-Sling-Crossbody-Headphone-Resistant/dp/B07D9DRT6P?ref_=bl_dp_s_web_12733822011#customerReviews","A")</f>
        <v>A</v>
      </c>
      <c r="J138">
        <v>24.99</v>
      </c>
      <c r="K138">
        <f>IF(L138&gt;0,L138*0.0625,)</f>
        <v>0.85</v>
      </c>
      <c r="L138">
        <v>13.6</v>
      </c>
      <c r="M138">
        <f>IF(K138&gt;0,K138*0.453592,IF(L138&gt;0,L138*0.02835,))</f>
        <v>0.3855532</v>
      </c>
      <c r="N138">
        <v>0</v>
      </c>
      <c r="O138">
        <v>0</v>
      </c>
      <c r="P138">
        <f>J138+O138+N138</f>
        <v>24.99</v>
      </c>
      <c r="Q138">
        <f>P138*C3</f>
        <v>31237.499999999996</v>
      </c>
      <c r="R138">
        <v>0</v>
      </c>
      <c r="S138">
        <f>ROUND(SUM(Q138:R138), -2)</f>
        <v>31200</v>
      </c>
      <c r="T138">
        <f>ROUNDUP(HLOOKUP(ROUNDUP(K138,0),'배송비 조회'!A$10:U$22,7,0)*C$3,-2)</f>
        <v>9000</v>
      </c>
      <c r="U138">
        <v>0</v>
      </c>
      <c r="V138">
        <f>ROUND(IF(R138&gt;0,0,(S138+T138)*0.4),-2)</f>
        <v>16100</v>
      </c>
      <c r="W138">
        <f>ROUND(IF(R138&gt;0,0,(S138+T138)*0.5),-2)</f>
        <v>20100</v>
      </c>
      <c r="X138">
        <f>IF(R138&gt;0,SUM(S138:T138),SUM(S138:V138))</f>
        <v>56300</v>
      </c>
      <c r="Y138">
        <f>IF(R138&gt;0,SUM(S138:T138),SUM(S138:U138)+W138)</f>
        <v>60300</v>
      </c>
      <c r="Z138">
        <v>0</v>
      </c>
      <c r="AA138">
        <f>X138*0.038</f>
        <v>2139.4</v>
      </c>
      <c r="AB138">
        <f>X138*0.02</f>
        <v>1126</v>
      </c>
      <c r="AC138">
        <f>Y138*0.1</f>
        <v>6030</v>
      </c>
      <c r="AD138">
        <f>X138-AA138-AB138</f>
        <v>53034.6</v>
      </c>
      <c r="AE138">
        <f>Y138-AC138</f>
        <v>54270</v>
      </c>
      <c r="AF138">
        <f>AD138*0.01</f>
        <v>530.346</v>
      </c>
      <c r="AG138">
        <f>AD138-Q138-AF138-T138</f>
        <v>12266.754</v>
      </c>
      <c r="AH138">
        <f>AE138-Q138-AF138-T138</f>
        <v>13502.154000000002</v>
      </c>
      <c r="AI138">
        <f>AG138/X138</f>
        <v>0.21788195381882772</v>
      </c>
      <c r="AJ138">
        <f>AH138/Y138</f>
        <v>0.22391631840796022</v>
      </c>
      <c r="AW138">
        <v>4595193469</v>
      </c>
    </row>
    <row r="139">
      <c r="A139">
        <f>HYPERLINK("https://smartstore.naver.com/brickstore2019/products/4595204831",AW:AW)</f>
        <v>4595204831</v>
      </c>
      <c r="C139" t="str">
        <v>언더아머 리크루트 백팩 2.0</v>
      </c>
      <c r="E139" t="str">
        <v>Under Armour Unisex-Adult Recruit Backpack 2.0</v>
      </c>
      <c r="G139" t="str">
        <f>HYPERLINK("https://www.amazon.com/Under-Armour-Recruit-2-0-Backpack/dp/B077KF7RXQ/ref=sr_1_6?crid=3I8FMDYWBIQE7&amp;keywords=under%2Barmour%2Bbackpack&amp;qid=1563081070&amp;s=gateway&amp;sprefix=underarmour%2Bbackpack%2Caps%2C382&amp;sr=8-6&amp;th=1&amp;psc=1","A")</f>
        <v>A</v>
      </c>
      <c r="J139">
        <v>65</v>
      </c>
      <c r="K139">
        <v>1.44</v>
      </c>
      <c r="L139">
        <f>IF(K139&gt;0,K139*16,)</f>
        <v>23.04</v>
      </c>
      <c r="M139">
        <f>IF(K139&gt;0,K139*0.453592,IF(L139&gt;0,L139*0.02835,))</f>
        <v>0.6531724799999999</v>
      </c>
      <c r="N139">
        <v>0</v>
      </c>
      <c r="O139">
        <v>0</v>
      </c>
      <c r="P139">
        <f>J139+O139+N139</f>
        <v>65</v>
      </c>
      <c r="Q139">
        <f>P139*C3</f>
        <v>81250</v>
      </c>
      <c r="R139">
        <v>0</v>
      </c>
      <c r="S139">
        <f>ROUND(SUM(Q139:R139), -2)</f>
        <v>81300</v>
      </c>
      <c r="T139">
        <f>ROUNDUP(HLOOKUP(ROUNDUP(K139,0),'배송비 조회'!A$10:U$22,7,0)*C$3,-2)</f>
        <v>11200</v>
      </c>
      <c r="U139">
        <v>0</v>
      </c>
      <c r="V139">
        <f>ROUND(IF(R139&gt;0,0,(S139+T139)*0.3),-2)</f>
        <v>27800</v>
      </c>
      <c r="W139">
        <f>ROUND(IF(R139&gt;0,0,(S139+T139)*0.5),-2)</f>
        <v>46300</v>
      </c>
      <c r="X139">
        <f>IF(R139&gt;0,SUM(S139:T139),SUM(S139:V139))</f>
        <v>120300</v>
      </c>
      <c r="Y139">
        <f>IF(R139&gt;0,SUM(S139:T139),SUM(S139:U139)+W139)</f>
        <v>138800</v>
      </c>
      <c r="AA139">
        <f>X139*0.038</f>
        <v>4571.4</v>
      </c>
      <c r="AB139">
        <f>X139*0.02</f>
        <v>2406</v>
      </c>
      <c r="AC139">
        <f>Y139*0.1</f>
        <v>13880</v>
      </c>
      <c r="AD139">
        <f>X139-AA139-AB139</f>
        <v>113322.6</v>
      </c>
      <c r="AE139">
        <f>Y139-AC139</f>
        <v>124920</v>
      </c>
      <c r="AF139">
        <f>AD139*0.01</f>
        <v>1133.226</v>
      </c>
      <c r="AG139">
        <f>AD139-Q139-AF139-T139</f>
        <v>19739.374000000007</v>
      </c>
      <c r="AH139">
        <f>AE139-Q139-AF139-T139</f>
        <v>31336.773999999998</v>
      </c>
      <c r="AI139">
        <f>AG139/X139</f>
        <v>0.16408457190357445</v>
      </c>
      <c r="AJ139">
        <f>AH139/Y139</f>
        <v>0.22576926512968298</v>
      </c>
      <c r="AW139">
        <v>4595204831</v>
      </c>
    </row>
    <row r="140">
      <c r="A140">
        <f>HYPERLINK("https://smartstore.naver.com/brickstore2019/products/4595215826",AW:AW)</f>
        <v>4595215826</v>
      </c>
      <c r="C140" t="str">
        <v>언더아머 스톰 리크루트 백팩 B01M272Q37</v>
      </c>
      <c r="E140" t="str">
        <v>Under Armour Storm Recruit Backpack</v>
      </c>
      <c r="G140" t="str">
        <f>HYPERLINK("https://www.amazon.com/Under-Armour-Recruit-Backpack-Overcast/dp/B01M272Q37/ref=sr_1_11?crid=3I8FMDYWBIQE7&amp;keywords=under%2Barmour%2Bbackpack&amp;qid=1563081070&amp;s=gateway&amp;sprefix=underarmour%2Bbackpack%2Caps%2C382&amp;sr=8-11&amp;th=1&amp;psc=1","A")</f>
        <v>A</v>
      </c>
      <c r="H140" t="str">
        <v>품절</v>
      </c>
      <c r="J140">
        <v>80.72</v>
      </c>
      <c r="K140">
        <v>1.45</v>
      </c>
      <c r="L140">
        <f>IF(K140&gt;0,K140*16,)</f>
        <v>23.2</v>
      </c>
      <c r="M140">
        <f>IF(K140&gt;0,K140*0.453592,IF(L140&gt;0,L140*0.02835,))</f>
        <v>0.6577084</v>
      </c>
      <c r="N140">
        <v>0</v>
      </c>
      <c r="O140">
        <v>0</v>
      </c>
      <c r="P140">
        <f>J140+O140+N140</f>
        <v>80.72</v>
      </c>
      <c r="Q140">
        <f>P140*C3</f>
        <v>100900</v>
      </c>
      <c r="R140">
        <v>0</v>
      </c>
      <c r="S140">
        <f>ROUND(SUM(Q140:R140), -2)</f>
        <v>100900</v>
      </c>
      <c r="T140">
        <f>ROUNDUP(HLOOKUP(ROUNDUP(K140,0),'배송비 조회'!A$10:U$22,7,0)*C$3,-2)</f>
        <v>11200</v>
      </c>
      <c r="U140">
        <v>0</v>
      </c>
      <c r="V140">
        <f>ROUND(IF(R140&gt;0,0,(S140+T140)*0.3),-2)</f>
        <v>33600</v>
      </c>
      <c r="W140">
        <f>ROUND(IF(R140&gt;0,0,(S140+T140)*0.5),-2)</f>
        <v>56100</v>
      </c>
      <c r="X140">
        <f>IF(R140&gt;0,SUM(S140:T140),SUM(S140:V140))</f>
        <v>145700</v>
      </c>
      <c r="Y140">
        <f>IF(R140&gt;0,SUM(S140:T140),SUM(S140:U140)+W140)</f>
        <v>168200</v>
      </c>
      <c r="Z140">
        <v>0</v>
      </c>
      <c r="AA140">
        <f>X140*0.038</f>
        <v>5536.599999999999</v>
      </c>
      <c r="AB140">
        <f>X140*0.02</f>
        <v>2914</v>
      </c>
      <c r="AC140">
        <f>Y140*0.1</f>
        <v>16820</v>
      </c>
      <c r="AD140">
        <f>X140-AA140-AB140</f>
        <v>137249.4</v>
      </c>
      <c r="AE140">
        <f>Y140-AC140</f>
        <v>151380</v>
      </c>
      <c r="AF140">
        <f>AD140*0.01</f>
        <v>1372.494</v>
      </c>
      <c r="AG140">
        <f>AD140-Q140-AF140-T140</f>
        <v>23776.905999999995</v>
      </c>
      <c r="AH140">
        <f>AE140-Q140-AF140-T140</f>
        <v>37907.506</v>
      </c>
      <c r="AI140">
        <f>AG140/X140</f>
        <v>0.16319084420041177</v>
      </c>
      <c r="AJ140">
        <f>AH140/Y140</f>
        <v>0.22537161712247325</v>
      </c>
      <c r="AW140">
        <v>4595215826</v>
      </c>
    </row>
    <row r="141">
      <c r="A141">
        <f>HYPERLINK("https://smartstore.naver.com/brickstore2019/products/4600357080",AW:AW)</f>
        <v>4600357080</v>
      </c>
      <c r="C141" t="str">
        <v>시티즌 남자 시계 BN0151-09L 프로마스터 다이버시계</v>
      </c>
      <c r="E141" t="str">
        <v>Citizen Watches Men's BN0151-09L Promaster Professional Diver</v>
      </c>
      <c r="G141" t="str">
        <f>HYPERLINK("https://www.amazon.com/Citizen-Eco-Drive-Promaster-Diver-BN0151-09L/dp/B00PXVU3GM?ref_=w_bl_sl_ap_wa_web_2587295011","A")</f>
        <v>A</v>
      </c>
      <c r="J141">
        <v>163</v>
      </c>
      <c r="K141">
        <v>1.4</v>
      </c>
      <c r="L141">
        <f>IF(K141&gt;0,K141*16,)</f>
        <v>22.4</v>
      </c>
      <c r="M141">
        <f>IF(K141&gt;0,K141*0.453592,IF(L141&gt;0,L141*0.02835,))</f>
        <v>0.6350288</v>
      </c>
      <c r="N141">
        <v>0</v>
      </c>
      <c r="O141">
        <v>0</v>
      </c>
      <c r="P141">
        <f>J141+O141+N141</f>
        <v>163</v>
      </c>
      <c r="Q141">
        <f>P141*C3</f>
        <v>203750</v>
      </c>
      <c r="R141">
        <v>0</v>
      </c>
      <c r="S141">
        <f>ROUND(SUM(Q141:R141), -2)</f>
        <v>203800</v>
      </c>
      <c r="T141">
        <f>ROUNDUP(HLOOKUP(ROUNDUP(K141,0),'배송비 조회'!A$10:U$22,7,0)*C$3,-2)</f>
        <v>11200</v>
      </c>
      <c r="U141">
        <v>0</v>
      </c>
      <c r="V141">
        <f>ROUND(IF(R141&gt;0,0,(S141+T141)*0.3),-2)</f>
        <v>64500</v>
      </c>
      <c r="W141">
        <f>ROUND(IF(R141&gt;0,0,(S141+T141)*0.5),-2)</f>
        <v>107500</v>
      </c>
      <c r="X141">
        <f>IF(R141&gt;0,SUM(S141:T141),SUM(S141:V141))</f>
        <v>279500</v>
      </c>
      <c r="Y141">
        <f>IF(R141&gt;0,SUM(S141:T141),SUM(S141:U141)+W141)</f>
        <v>322500</v>
      </c>
      <c r="Z141">
        <v>0</v>
      </c>
      <c r="AA141">
        <f>X141*0.038</f>
        <v>10621</v>
      </c>
      <c r="AB141">
        <f>X141*0.02</f>
        <v>5590</v>
      </c>
      <c r="AC141">
        <f>Y141*0.1</f>
        <v>32250</v>
      </c>
      <c r="AD141">
        <f>X141-AA141-AB141</f>
        <v>263289</v>
      </c>
      <c r="AE141">
        <f>Y141-AC141</f>
        <v>290250</v>
      </c>
      <c r="AF141">
        <f>AD141*0.01</f>
        <v>2632.89</v>
      </c>
      <c r="AG141">
        <f>AD141-Q141-AF141-T141</f>
        <v>45706.11</v>
      </c>
      <c r="AH141">
        <f>AE141-Q141-AF141-T141</f>
        <v>72667.11</v>
      </c>
      <c r="AI141">
        <f>AG141/X141</f>
        <v>0.16352812164579605</v>
      </c>
      <c r="AJ141">
        <f>AH141/Y141</f>
        <v>0.22532437209302325</v>
      </c>
      <c r="AW141">
        <v>4600357080</v>
      </c>
    </row>
    <row r="142">
      <c r="A142">
        <f>HYPERLINK("https://smartstore.naver.com/brickstore2019/products/4601835341",AW:AW)</f>
        <v>4601835341</v>
      </c>
      <c r="C142" t="str">
        <v>FLPSDE 듀얼 이중 운동 텀블러</v>
      </c>
      <c r="E142" t="str">
        <v>FLPSDE Dual Chamber Water Bottle | Drink+Snack | Vacuum Insulated Stainless Steel | Made for Adventure (Matte Black)</v>
      </c>
      <c r="F142" t="str">
        <v>Matt Black</v>
      </c>
      <c r="G142" t="str">
        <f>HYPERLINK("https://www.amazon.com/FLPSDE-Chamber-Insulated-Stainless-Adventure/dp/B07MVQLLDQ?th=1","A")</f>
        <v>A</v>
      </c>
      <c r="J142">
        <v>35</v>
      </c>
      <c r="K142">
        <v>1.05</v>
      </c>
      <c r="L142">
        <f>IF(K142&gt;0,K142*16,)</f>
        <v>16.8</v>
      </c>
      <c r="M142">
        <f>IF(K142&gt;0,K142*0.453592,IF(L142&gt;0,L142*0.02835,))</f>
        <v>0.4762716</v>
      </c>
      <c r="N142">
        <v>0</v>
      </c>
      <c r="O142">
        <v>0</v>
      </c>
      <c r="P142">
        <f>J142+O142+N142</f>
        <v>35</v>
      </c>
      <c r="Q142">
        <f>P142*C$3</f>
        <v>43750</v>
      </c>
      <c r="R142">
        <v>0</v>
      </c>
      <c r="S142">
        <f>ROUND(SUM(Q142:R142), -2)</f>
        <v>43800</v>
      </c>
      <c r="T142">
        <f>ROUNDUP(HLOOKUP(ROUNDUP(K142,0),'배송비 조회'!A$10:U$22,7,0)*C$3,-2)</f>
        <v>11200</v>
      </c>
      <c r="U142">
        <v>0</v>
      </c>
      <c r="V142">
        <f>ROUND(IF(R142&gt;0,0,(S142+T142)*0.4),-2)</f>
        <v>22000</v>
      </c>
      <c r="W142">
        <f>ROUND(IF(R142&gt;0,0,(S142+T142)*0.5),-2)</f>
        <v>27500</v>
      </c>
      <c r="X142">
        <f>IF(R142&gt;0,SUM(S142:T142),SUM(S142:V142))</f>
        <v>77000</v>
      </c>
      <c r="Y142">
        <f>IF(R142&gt;0,SUM(S142:T142),SUM(S142:U142)+W142)</f>
        <v>82500</v>
      </c>
      <c r="Z142">
        <v>0</v>
      </c>
      <c r="AA142">
        <f>X142*0.038</f>
        <v>2926</v>
      </c>
      <c r="AB142">
        <f>X142*0.02</f>
        <v>1540</v>
      </c>
      <c r="AC142">
        <f>Y142*0.1</f>
        <v>8250</v>
      </c>
      <c r="AD142">
        <f>X142-AA142-AB142</f>
        <v>72534</v>
      </c>
      <c r="AE142">
        <f>Y142-AC142</f>
        <v>74250</v>
      </c>
      <c r="AF142">
        <f>AD142*0.01</f>
        <v>725.34</v>
      </c>
      <c r="AG142">
        <f>AD142-Q142-AF142-T142</f>
        <v>16858.66</v>
      </c>
      <c r="AH142">
        <f>AE142-Q142-AF142-T142</f>
        <v>18574.66</v>
      </c>
      <c r="AI142">
        <f>AG142/X142</f>
        <v>0.21894363636363637</v>
      </c>
      <c r="AJ142">
        <f>AH142/Y142</f>
        <v>0.22514739393939392</v>
      </c>
      <c r="AW142">
        <v>4601835341</v>
      </c>
    </row>
    <row r="143">
      <c r="F143" t="str">
        <v>Ocean View</v>
      </c>
      <c r="G143" t="str">
        <f>HYPERLINK("https://www.amazon.com/FLPSDE-Chamber-Insulated-Stainless-Adventure/dp/B07MVQJ9JJ?th=1","A")</f>
        <v>A</v>
      </c>
      <c r="J143">
        <v>35</v>
      </c>
      <c r="K143">
        <v>1.05</v>
      </c>
      <c r="L143">
        <f>IF(K143&gt;0,K143*16,)</f>
        <v>16.8</v>
      </c>
      <c r="M143">
        <f>IF(K143&gt;0,K143*0.453592,IF(L143&gt;0,L143*0.02835,))</f>
        <v>0.4762716</v>
      </c>
      <c r="N143">
        <v>0</v>
      </c>
      <c r="O143">
        <v>0</v>
      </c>
      <c r="P143">
        <f>J143+O143+N143</f>
        <v>35</v>
      </c>
      <c r="Q143">
        <f>P143*C$3</f>
        <v>43750</v>
      </c>
      <c r="R143">
        <v>0</v>
      </c>
      <c r="S143">
        <f>ROUND(SUM(Q143:R143), -2)</f>
        <v>43800</v>
      </c>
      <c r="T143">
        <f>ROUNDUP(HLOOKUP(ROUNDUP(K143,0),'배송비 조회'!A$10:U$22,7,0)*C$3,-2)</f>
        <v>11200</v>
      </c>
      <c r="U143">
        <v>0</v>
      </c>
      <c r="V143">
        <f>ROUND(IF(R143&gt;0,0,(S143+T143)*0.4),-2)</f>
        <v>22000</v>
      </c>
      <c r="W143">
        <f>ROUND(IF(R143&gt;0,0,(S143+T143)*0.5),-2)</f>
        <v>27500</v>
      </c>
      <c r="X143">
        <f>IF(R143&gt;0,SUM(S143:T143),SUM(S143:V143))</f>
        <v>77000</v>
      </c>
      <c r="Y143">
        <f>IF(R143&gt;0,SUM(S143:T143),SUM(S143:U143)+W143)</f>
        <v>82500</v>
      </c>
      <c r="Z143">
        <v>0</v>
      </c>
      <c r="AA143">
        <f>X143*0.038</f>
        <v>2926</v>
      </c>
      <c r="AB143">
        <f>X143*0.02</f>
        <v>1540</v>
      </c>
      <c r="AC143">
        <f>Y143*0.1</f>
        <v>8250</v>
      </c>
      <c r="AD143">
        <f>X143-AA143-AB143</f>
        <v>72534</v>
      </c>
      <c r="AE143">
        <f>Y143-AC143</f>
        <v>74250</v>
      </c>
      <c r="AF143">
        <f>AD143*0.01</f>
        <v>725.34</v>
      </c>
      <c r="AG143">
        <f>AD143-Q143-AF143-T143</f>
        <v>16858.66</v>
      </c>
      <c r="AH143">
        <f>AE143-Q143-AF143-T143</f>
        <v>18574.66</v>
      </c>
      <c r="AI143">
        <f>AG143/X143</f>
        <v>0.21894363636363637</v>
      </c>
      <c r="AJ143">
        <f>AH143/Y143</f>
        <v>0.22514739393939392</v>
      </c>
    </row>
    <row r="144">
      <c r="F144" t="str">
        <v>Storm Trooper</v>
      </c>
      <c r="G144" t="str">
        <f>HYPERLINK("https://www.amazon.com/FLPSDE-Chamber-Insulated-Stainless-Adventure/dp/B07MVSPJQC?th=1","A")</f>
        <v>A</v>
      </c>
      <c r="J144">
        <v>35</v>
      </c>
      <c r="K144">
        <v>1.05</v>
      </c>
      <c r="L144">
        <f>IF(K144&gt;0,K144*16,)</f>
        <v>16.8</v>
      </c>
      <c r="M144">
        <f>IF(K144&gt;0,K144*0.453592,IF(L144&gt;0,L144*0.02835,))</f>
        <v>0.4762716</v>
      </c>
      <c r="N144">
        <v>0</v>
      </c>
      <c r="O144">
        <v>0</v>
      </c>
      <c r="P144">
        <f>J144+O144+N144</f>
        <v>35</v>
      </c>
      <c r="Q144">
        <f>P144*C$3</f>
        <v>43750</v>
      </c>
      <c r="R144">
        <v>0</v>
      </c>
      <c r="S144">
        <f>ROUND(SUM(Q144:R144), -2)</f>
        <v>43800</v>
      </c>
      <c r="T144">
        <f>ROUNDUP(HLOOKUP(ROUNDUP(K144,0),'배송비 조회'!A$10:U$22,7,0)*C$3,-2)</f>
        <v>11200</v>
      </c>
      <c r="U144">
        <v>0</v>
      </c>
      <c r="V144">
        <f>ROUND(IF(R144&gt;0,0,(S144+T144)*0.4),-2)</f>
        <v>22000</v>
      </c>
      <c r="W144">
        <f>ROUND(IF(R144&gt;0,0,(S144+T144)*0.5),-2)</f>
        <v>27500</v>
      </c>
      <c r="X144">
        <f>IF(R144&gt;0,SUM(S144:T144),SUM(S144:V144))</f>
        <v>77000</v>
      </c>
      <c r="Y144">
        <f>IF(R144&gt;0,SUM(S144:T144),SUM(S144:U144)+W144)</f>
        <v>82500</v>
      </c>
      <c r="Z144">
        <v>0</v>
      </c>
      <c r="AA144">
        <f>X144*0.038</f>
        <v>2926</v>
      </c>
      <c r="AB144">
        <f>X144*0.02</f>
        <v>1540</v>
      </c>
      <c r="AC144">
        <f>Y144*0.1</f>
        <v>8250</v>
      </c>
      <c r="AD144">
        <f>X144-AA144-AB144</f>
        <v>72534</v>
      </c>
      <c r="AE144">
        <f>Y144-AC144</f>
        <v>74250</v>
      </c>
      <c r="AF144">
        <f>AD144*0.01</f>
        <v>725.34</v>
      </c>
      <c r="AG144">
        <f>AD144-Q144-AF144-T144</f>
        <v>16858.66</v>
      </c>
      <c r="AH144">
        <f>AE144-Q144-AF144-T144</f>
        <v>18574.66</v>
      </c>
      <c r="AI144">
        <f>AG144/X144</f>
        <v>0.21894363636363637</v>
      </c>
      <c r="AJ144">
        <f>AH144/Y144</f>
        <v>0.22514739393939392</v>
      </c>
    </row>
    <row r="145">
      <c r="A145">
        <f>HYPERLINK("https://smartstore.naver.com/brickstore2019v/products/4607116252",AW:AW)</f>
        <v>4607116252</v>
      </c>
      <c r="C145" t="str">
        <v>시티즌 일본 쿼츠 여성 캐쥬얼 시계 Citizen EZ7000-50A</v>
      </c>
      <c r="E145" t="str">
        <v>Citizen Women's Japanese-Quartz Stainless-Steel Strap, Silver, 10 Casual Watch (Model: EZ7000-50A)</v>
      </c>
      <c r="G145" t="str">
        <f>HYPERLINK("https://www.amazon.com/Citizen-Womens-Japanese-Quartz-Stainless-Steel-Silver/dp/B07P3D6ZMG","A")</f>
        <v>A</v>
      </c>
      <c r="J145">
        <v>116.82</v>
      </c>
      <c r="K145">
        <f>IF(L145&gt;0,L145*0.0625,)</f>
        <v>0.5</v>
      </c>
      <c r="L145">
        <v>8</v>
      </c>
      <c r="M145">
        <f>IF(K145&gt;0,K145*0.453592,IF(L145&gt;0,L145*0.02835,))</f>
        <v>0.226796</v>
      </c>
      <c r="N145">
        <v>0</v>
      </c>
      <c r="O145">
        <v>0</v>
      </c>
      <c r="P145">
        <f>J145+O145+N145</f>
        <v>116.82</v>
      </c>
      <c r="Q145">
        <f>P145*C3</f>
        <v>146025</v>
      </c>
      <c r="R145">
        <v>0</v>
      </c>
      <c r="S145">
        <f>ROUND(SUM(Q145:R145), -2)</f>
        <v>146000</v>
      </c>
      <c r="T145">
        <f>ROUNDUP(HLOOKUP(ROUNDUP(K145,0),'배송비 조회'!A$10:U$22,7,0)*C$3,-2)</f>
        <v>9000</v>
      </c>
      <c r="U145">
        <v>0</v>
      </c>
      <c r="V145">
        <f>ROUND(IF(R145&gt;0,0,(S145+T145)*0.3),-2)</f>
        <v>46500</v>
      </c>
      <c r="W145">
        <f>ROUND(IF(R145&gt;0,0,(S145+T145)*0.5),-2)</f>
        <v>77500</v>
      </c>
      <c r="X145">
        <f>IF(R145&gt;0,SUM(S145:T145),SUM(S145:V145))</f>
        <v>201500</v>
      </c>
      <c r="Y145">
        <f>IF(R145&gt;0,SUM(S145:T145),SUM(S145:U145)+W145)</f>
        <v>232500</v>
      </c>
      <c r="Z145">
        <v>0</v>
      </c>
      <c r="AA145">
        <f>X145*0.038</f>
        <v>7657</v>
      </c>
      <c r="AB145">
        <f>X145*0.02</f>
        <v>4030</v>
      </c>
      <c r="AC145">
        <f>Y145*0.1</f>
        <v>23250</v>
      </c>
      <c r="AD145">
        <f>X145-AA145-AB145</f>
        <v>189813</v>
      </c>
      <c r="AE145">
        <f>Y145-AC145</f>
        <v>209250</v>
      </c>
      <c r="AF145">
        <f>AD145*0.01</f>
        <v>1898.13</v>
      </c>
      <c r="AG145">
        <f>AD145-Q145-AF145-T145</f>
        <v>32889.87</v>
      </c>
      <c r="AH145">
        <f>AE145-Q145-AF145-T145</f>
        <v>52326.87</v>
      </c>
      <c r="AI145">
        <f>AG145/X145</f>
        <v>0.1632251612903226</v>
      </c>
      <c r="AJ145">
        <f>AH145/Y145</f>
        <v>0.22506180645161292</v>
      </c>
      <c r="AW145">
        <v>4607116252</v>
      </c>
    </row>
    <row r="146">
      <c r="A146">
        <f>HYPERLINK("https://smartstore.naver.com/brickstore2019/products/4607127124",AW:AW)</f>
        <v>4607127124</v>
      </c>
      <c r="C146" t="str">
        <v>시티즌 에코드라이브 남자 캐주얼 시계 Citizen CA7027-08E</v>
      </c>
      <c r="E146" t="str">
        <v>Citizen Men's Eco-Drive Stainless Steel Japanese-Quartz Leather Calfskin Strap, Black, 21 Casual Watch (Model: CA7027-08E)</v>
      </c>
      <c r="G146" t="str">
        <f>HYPERLINK("https://www.amazon.com/Citizen-Eco-Drive-Stainless-Japanese-Quartz-Calfskin/dp/B07MK3YMVB/ref=sr_1_1?keywords=Citizen+CA7027-08E&amp;qid=1566897693&amp;s=gateway&amp;sr=8-1","A")</f>
        <v>A</v>
      </c>
      <c r="J146">
        <v>177</v>
      </c>
      <c r="K146">
        <f>IF(L146&gt;0,L146*0.0625,)</f>
        <v>0.5</v>
      </c>
      <c r="L146">
        <v>8</v>
      </c>
      <c r="M146">
        <f>IF(K146&gt;0,K146*0.453592,IF(L146&gt;0,L146*0.02835,))</f>
        <v>0.226796</v>
      </c>
      <c r="N146">
        <v>0</v>
      </c>
      <c r="O146">
        <v>0</v>
      </c>
      <c r="P146">
        <f>J146+O146+N146</f>
        <v>177</v>
      </c>
      <c r="Q146">
        <f>P146*C3</f>
        <v>221250</v>
      </c>
      <c r="R146">
        <v>0</v>
      </c>
      <c r="S146">
        <f>ROUND(SUM(Q146:R146), -2)</f>
        <v>221300</v>
      </c>
      <c r="T146">
        <f>ROUNDUP(HLOOKUP(ROUNDUP(K146,0),'배송비 조회'!A$10:U$22,7,0)*C$3,-2)</f>
        <v>9000</v>
      </c>
      <c r="U146">
        <v>0</v>
      </c>
      <c r="V146">
        <f>ROUND(IF(R146&gt;0,0,(S146+T146)*0.3),-2)</f>
        <v>69100</v>
      </c>
      <c r="W146">
        <f>ROUND(IF(R146&gt;0,0,(S146+T146)*0.5),-2)</f>
        <v>115200</v>
      </c>
      <c r="X146">
        <f>IF(R146&gt;0,SUM(S146:T146),SUM(S146:V146))</f>
        <v>299400</v>
      </c>
      <c r="Y146">
        <f>IF(R146&gt;0,SUM(S146:T146),SUM(S146:U146)+W146)</f>
        <v>345500</v>
      </c>
      <c r="Z146">
        <v>0</v>
      </c>
      <c r="AA146">
        <f>X146*0.038</f>
        <v>11377.199999999999</v>
      </c>
      <c r="AB146">
        <f>X146*0.02</f>
        <v>5988</v>
      </c>
      <c r="AC146">
        <f>Y146*0.1</f>
        <v>34550</v>
      </c>
      <c r="AD146">
        <f>X146-AA146-AB146</f>
        <v>282034.8</v>
      </c>
      <c r="AE146">
        <f>Y146-AC146</f>
        <v>310950</v>
      </c>
      <c r="AF146">
        <f>AD146*0.01</f>
        <v>2820.348</v>
      </c>
      <c r="AG146">
        <f>AD146-Q146-AF146-T146</f>
        <v>48964.45199999999</v>
      </c>
      <c r="AH146">
        <f>AE146-Q146-AF146-T146</f>
        <v>77879.652</v>
      </c>
      <c r="AI146">
        <f>AG146/X146</f>
        <v>0.16354192384769536</v>
      </c>
      <c r="AJ146">
        <f>AH146/Y146</f>
        <v>0.2254114384949349</v>
      </c>
      <c r="AW146">
        <v>4607127124</v>
      </c>
    </row>
    <row r="147">
      <c r="A147">
        <f>HYPERLINK("https://smartstore.naver.com/brickstore2019/products/4609828845",AW:AW)</f>
        <v>4609828845</v>
      </c>
      <c r="C147" t="str">
        <v>시티즌 메탈 손목 시계 Citizen Watches Unisex BL6000-55E Axiom</v>
      </c>
      <c r="E147" t="str">
        <v>Citizen Watches Unisex BL6000-55E Axiom</v>
      </c>
      <c r="G147" t="str">
        <f>HYPERLINK("https://www.amazon.com/Citizen-Eco-Drive-Japanese-Quartz-Stainless-Steel-Silver/dp/B07MQW83RN","A")</f>
        <v>A</v>
      </c>
      <c r="J147">
        <v>144.1</v>
      </c>
      <c r="K147">
        <f>IF(L147&gt;0,L147*0.0625,)</f>
        <v>0.6</v>
      </c>
      <c r="L147">
        <v>9.6</v>
      </c>
      <c r="M147">
        <f>IF(K147&gt;0,K147*0.453592,IF(L147&gt;0,L147*0.02835,))</f>
        <v>0.2721552</v>
      </c>
      <c r="N147">
        <v>0</v>
      </c>
      <c r="O147">
        <v>0</v>
      </c>
      <c r="P147">
        <f>J147+O147+N147</f>
        <v>144.1</v>
      </c>
      <c r="Q147">
        <f>P147*C3</f>
        <v>180125</v>
      </c>
      <c r="R147">
        <v>0</v>
      </c>
      <c r="S147">
        <f>ROUND(SUM(Q147:R147), -2)</f>
        <v>180100</v>
      </c>
      <c r="T147">
        <f>ROUNDUP(HLOOKUP(ROUNDUP(K147,0),'배송비 조회'!A$10:U$22,7,0)*C$3,-2)</f>
        <v>9000</v>
      </c>
      <c r="U147">
        <v>0</v>
      </c>
      <c r="V147">
        <f>ROUND(IF(R147&gt;0,0,(S147+T147)*0.3),-2)</f>
        <v>56700</v>
      </c>
      <c r="W147">
        <f>ROUND(IF(R147&gt;0,0,(S147+T147)*0.5),-2)</f>
        <v>94600</v>
      </c>
      <c r="X147">
        <f>IF(R147&gt;0,SUM(S147:T147),SUM(S147:V147))</f>
        <v>245800</v>
      </c>
      <c r="Y147">
        <f>IF(R147&gt;0,SUM(S147:T147),SUM(S147:U147)+W147)</f>
        <v>283700</v>
      </c>
      <c r="AA147">
        <f>X147*0.038</f>
        <v>9340.4</v>
      </c>
      <c r="AB147">
        <f>X147*0.02</f>
        <v>4916</v>
      </c>
      <c r="AC147">
        <f>Y147*0.1</f>
        <v>28370</v>
      </c>
      <c r="AD147">
        <f>X147-AA147-AB147</f>
        <v>231543.6</v>
      </c>
      <c r="AE147">
        <f>Y147-AC147</f>
        <v>255330</v>
      </c>
      <c r="AF147">
        <f>AD147*0.01</f>
        <v>2315.436</v>
      </c>
      <c r="AG147">
        <f>AD147-Q147-AF147-T147</f>
        <v>40103.164000000004</v>
      </c>
      <c r="AH147">
        <f>AE147-Q147-AF147-T147</f>
        <v>63889.564</v>
      </c>
      <c r="AI147">
        <f>AG147/X147</f>
        <v>0.16315363710333605</v>
      </c>
      <c r="AJ147">
        <f>AH147/Y147</f>
        <v>0.2252011420514628</v>
      </c>
      <c r="AW147">
        <v>4609828845</v>
      </c>
    </row>
    <row r="148">
      <c r="A148">
        <f>HYPERLINK("https://smartstore.naver.com/brickstore2019/products/4609851797",AW:AW)</f>
        <v>4609851797</v>
      </c>
      <c r="C148" t="str">
        <v>시티즌 에코드라이브 남자 시계 Citizen AW1490-50E (무료배송/관부가세포함)</v>
      </c>
      <c r="E148" t="str">
        <v>Citizen Men's Eco-Drive Titanium Watch with Date, AW1490-50E</v>
      </c>
      <c r="G148" t="str">
        <f>HYPERLINK("https://www.amazon.com/Citizen-Eco-Drive-Titanium-Watch-AW1490-50E/dp/B0183NSQOM?ref_=w_bl_sl_ap_wa_web_2587295011","A")</f>
        <v>A</v>
      </c>
      <c r="J148">
        <v>184.52</v>
      </c>
      <c r="K148">
        <f>IF(L148&gt;0,L148*0.0625,)</f>
        <v>0.75</v>
      </c>
      <c r="L148">
        <v>12</v>
      </c>
      <c r="M148">
        <f>IF(K148&gt;0,K148*0.453592,IF(L148&gt;0,L148*0.02835,))</f>
        <v>0.340194</v>
      </c>
      <c r="N148">
        <v>0</v>
      </c>
      <c r="O148">
        <v>0</v>
      </c>
      <c r="P148">
        <f>J148+O148+N148</f>
        <v>184.52</v>
      </c>
      <c r="Q148">
        <f>P148*C3</f>
        <v>230650</v>
      </c>
      <c r="R148">
        <v>0</v>
      </c>
      <c r="S148">
        <f>ROUND(SUM(Q148:R148), -2)</f>
        <v>230700</v>
      </c>
      <c r="T148">
        <f>ROUNDUP(HLOOKUP(ROUNDUP(K148,0),'배송비 조회'!A$10:U$22,7,0)*C$3,-2)</f>
        <v>9000</v>
      </c>
      <c r="U148">
        <v>0</v>
      </c>
      <c r="V148">
        <f>ROUND(IF(R148&gt;0,0,(S148+T148)*0.3),-2)</f>
        <v>71900</v>
      </c>
      <c r="W148">
        <f>ROUND(IF(R148&gt;0,0,(S148+T148)*0.5),-2)</f>
        <v>119900</v>
      </c>
      <c r="X148">
        <f>IF(R148&gt;0,SUM(S148:T148),SUM(S148:V148))</f>
        <v>311600</v>
      </c>
      <c r="Y148">
        <f>IF(R148&gt;0,SUM(S148:T148),SUM(S148:U148)+W148)</f>
        <v>359600</v>
      </c>
      <c r="Z148">
        <v>0</v>
      </c>
      <c r="AA148">
        <f>X148*0.038</f>
        <v>11840.8</v>
      </c>
      <c r="AB148">
        <f>X148*0.02</f>
        <v>6232</v>
      </c>
      <c r="AC148">
        <f>Y148*0.1</f>
        <v>35960</v>
      </c>
      <c r="AD148">
        <f>X148-AA148-AB148</f>
        <v>293527.2</v>
      </c>
      <c r="AE148">
        <f>Y148-AC148</f>
        <v>323640</v>
      </c>
      <c r="AF148">
        <f>AD148*0.01</f>
        <v>2935.2720000000004</v>
      </c>
      <c r="AG148">
        <f>AD148-Q148-AF148-T148</f>
        <v>50941.928000000014</v>
      </c>
      <c r="AH148">
        <f>AE148-Q148-AF148-T148</f>
        <v>81054.728</v>
      </c>
      <c r="AI148">
        <f>AG148/X148</f>
        <v>0.1634850064184853</v>
      </c>
      <c r="AJ148">
        <f>AH148/Y148</f>
        <v>0.22540246941045608</v>
      </c>
      <c r="AW148">
        <v>4609851797</v>
      </c>
    </row>
    <row r="149">
      <c r="A149">
        <f>HYPERLINK("https://smartstore.naver.com/brickstore2019/products/4611122824",AW:AW)</f>
        <v>4611122824</v>
      </c>
      <c r="C149" t="str">
        <v>보스 사운드스포츠 이어폰 애플 안드로이드 Bose SoundSport in-ear headphones</v>
      </c>
      <c r="E149" t="str">
        <v>Bose SoundSport in-ear headphones for Samsung and Android devices, Charcoal</v>
      </c>
      <c r="F149" t="str">
        <v>samsung</v>
      </c>
      <c r="G149" t="str">
        <f>HYPERLINK("https://www.amazon.com/Bose-SoundSport-headphones-Samsung-Charcoal/dp/B0117RFPCC/","A")</f>
        <v>A</v>
      </c>
      <c r="J149">
        <v>100</v>
      </c>
      <c r="K149">
        <f>IF(L149&gt;0,L149*0.0625,)</f>
        <v>0.5</v>
      </c>
      <c r="L149">
        <v>8</v>
      </c>
      <c r="M149">
        <f>IF(K149&gt;0,K149*0.453592,IF(L149&gt;0,L149*0.02835,))</f>
        <v>0.226796</v>
      </c>
      <c r="N149">
        <v>0</v>
      </c>
      <c r="O149">
        <v>0</v>
      </c>
      <c r="P149">
        <f>J149+O149+N149</f>
        <v>100</v>
      </c>
      <c r="Q149">
        <f>P149*C3</f>
        <v>125000</v>
      </c>
      <c r="R149">
        <v>0</v>
      </c>
      <c r="S149">
        <f>ROUND(SUM(Q149:R149), -2)</f>
        <v>125000</v>
      </c>
      <c r="T149">
        <f>ROUNDUP(HLOOKUP(ROUNDUP(K149,0),'배송비 조회'!A$10:U$22,7,0)*C$3,-2)</f>
        <v>9000</v>
      </c>
      <c r="U149">
        <v>0</v>
      </c>
      <c r="V149">
        <f>ROUND(IF(R149&gt;0,0,(S149+T149)*0.3),-2)</f>
        <v>40200</v>
      </c>
      <c r="W149">
        <f>ROUND(IF(R149&gt;0,0,(S149+T149)*0.5),-2)</f>
        <v>67000</v>
      </c>
      <c r="X149">
        <f>IF(R149&gt;0,SUM(S149:T149),SUM(S149:V149))</f>
        <v>174200</v>
      </c>
      <c r="Y149">
        <f>IF(R149&gt;0,SUM(S149:T149),SUM(S149:U149)+W149)</f>
        <v>201000</v>
      </c>
      <c r="Z149">
        <v>0</v>
      </c>
      <c r="AA149">
        <f>X149*0.038</f>
        <v>6619.599999999999</v>
      </c>
      <c r="AB149">
        <f>X149*0.02</f>
        <v>3484</v>
      </c>
      <c r="AC149">
        <f>Y149*0.1</f>
        <v>20100</v>
      </c>
      <c r="AD149">
        <f>X149-AA149-AB149</f>
        <v>164096.4</v>
      </c>
      <c r="AE149">
        <f>Y149-AC149</f>
        <v>180900</v>
      </c>
      <c r="AF149">
        <f>AD149*0.01</f>
        <v>1640.964</v>
      </c>
      <c r="AG149">
        <f>AD149-Q149-AF149-T149</f>
        <v>28455.435999999994</v>
      </c>
      <c r="AH149">
        <f>AE149-Q149-AF149-T149</f>
        <v>45259.036</v>
      </c>
      <c r="AI149">
        <f>AG149/X149</f>
        <v>0.16334923076923075</v>
      </c>
      <c r="AJ149">
        <f>AH149/Y149</f>
        <v>0.22516933333333333</v>
      </c>
      <c r="AW149">
        <v>4611122824</v>
      </c>
    </row>
    <row r="150">
      <c r="F150" t="str">
        <v>apple</v>
      </c>
      <c r="G150" t="str">
        <f>HYPERLINK("https://www.amazon.com/Bose-SoundSport-headphones-Samsung-Charcoal/dp/B0117RFOEG/?th=1","A")</f>
        <v>A</v>
      </c>
      <c r="J150">
        <v>100</v>
      </c>
      <c r="K150">
        <f>IF(L150&gt;0,L150*0.0625,)</f>
        <v>0.5</v>
      </c>
      <c r="L150">
        <v>8</v>
      </c>
      <c r="M150">
        <f>IF(K150&gt;0,K150*0.453592,IF(L150&gt;0,L150*0.02835,))</f>
        <v>0.226796</v>
      </c>
      <c r="N150">
        <v>0</v>
      </c>
      <c r="O150">
        <v>0</v>
      </c>
      <c r="P150">
        <f>J150+O150+N150</f>
        <v>100</v>
      </c>
      <c r="Q150">
        <f>P150*C3</f>
        <v>125000</v>
      </c>
      <c r="R150">
        <v>0</v>
      </c>
      <c r="S150">
        <f>ROUND(SUM(Q150:R150), -2)</f>
        <v>125000</v>
      </c>
      <c r="T150">
        <f>ROUNDUP(HLOOKUP(ROUNDUP(K150,0),'배송비 조회'!A$10:U$22,7,0)*C$3,-2)</f>
        <v>9000</v>
      </c>
      <c r="U150">
        <v>0</v>
      </c>
      <c r="V150">
        <f>ROUND(IF(R150&gt;0,0,(S150+T150)*0.3),-2)</f>
        <v>40200</v>
      </c>
      <c r="W150">
        <f>ROUND(IF(R150&gt;0,0,(S150+T150)*0.5),-2)</f>
        <v>67000</v>
      </c>
      <c r="X150">
        <f>IF(R150&gt;0,SUM(S150:T150),SUM(S150:V150))</f>
        <v>174200</v>
      </c>
      <c r="Y150">
        <f>IF(R150&gt;0,SUM(S150:T150),SUM(S150:U150)+W150)</f>
        <v>201000</v>
      </c>
      <c r="Z150">
        <v>0</v>
      </c>
      <c r="AA150">
        <f>X150*0.038</f>
        <v>6619.599999999999</v>
      </c>
      <c r="AB150">
        <f>X150*0.02</f>
        <v>3484</v>
      </c>
      <c r="AC150">
        <f>Y150*0.1</f>
        <v>20100</v>
      </c>
      <c r="AD150">
        <f>X150-AA150-AB150</f>
        <v>164096.4</v>
      </c>
      <c r="AE150">
        <f>Y150-AC150</f>
        <v>180900</v>
      </c>
      <c r="AF150">
        <f>AD150*0.01</f>
        <v>1640.964</v>
      </c>
      <c r="AG150">
        <f>AD150-Q150-AF150-T150</f>
        <v>28455.435999999994</v>
      </c>
      <c r="AH150">
        <f>AE150-Q150-AF150-T150</f>
        <v>45259.036</v>
      </c>
      <c r="AI150">
        <f>AG150/X150</f>
        <v>0.16334923076923075</v>
      </c>
      <c r="AJ150">
        <f>AH150/Y150</f>
        <v>0.22516933333333333</v>
      </c>
      <c r="AK150">
        <f>X150-X149</f>
        <v>0</v>
      </c>
    </row>
    <row r="151">
      <c r="A151">
        <f>HYPERLINK("https://smartstore.naver.com/brickstore2019/products/4611140630",AW:AW)</f>
        <v>4611140630</v>
      </c>
      <c r="C151" t="str">
        <v>타이틀리스트 남자 투어 골프 모자 Titleist Golf Visor</v>
      </c>
      <c r="E151" t="str">
        <v>Titleist Men's Tour Performance Golf Visor</v>
      </c>
      <c r="G151" t="str">
        <f>HYPERLINK("https://www.amazon.com/Titleist-Performance-Visor-Black-White/dp/B07Q23LWDZ/ref=sr_1_4?crid=28ENSLLUUOPRA&amp;keywords=titleist+hat&amp;qid=1564061491&amp;s=gateway&amp;sprefix=title%2Caps%2C384&amp;sr=8-4","A")</f>
        <v>A</v>
      </c>
      <c r="J151">
        <v>26.95</v>
      </c>
      <c r="K151">
        <f>IF(L151&gt;0,L151*0.0625,)</f>
        <v>0.2</v>
      </c>
      <c r="L151">
        <v>3.2</v>
      </c>
      <c r="M151">
        <f>IF(K151&gt;0,K151*0.453592,IF(L151&gt;0,L151*0.02835,))</f>
        <v>0.0907184</v>
      </c>
      <c r="N151">
        <v>0</v>
      </c>
      <c r="O151">
        <v>0</v>
      </c>
      <c r="P151">
        <f>J151+O151+N151</f>
        <v>26.95</v>
      </c>
      <c r="Q151">
        <f>P151*C3</f>
        <v>33687.5</v>
      </c>
      <c r="R151">
        <v>0</v>
      </c>
      <c r="S151">
        <f>ROUND(SUM(Q151:R151), -2)</f>
        <v>33700</v>
      </c>
      <c r="T151">
        <f>ROUNDUP(HLOOKUP(ROUNDUP(K151,0),'배송비 조회'!A$10:U$22,7,0)*C$3,-2)</f>
        <v>9000</v>
      </c>
      <c r="U151">
        <v>0</v>
      </c>
      <c r="V151">
        <f>ROUND(IF(R151&gt;0,0,(S151+T151)*0.4),-2)</f>
        <v>17100</v>
      </c>
      <c r="W151">
        <f>ROUND(IF(R151&gt;0,0,(S151+T151)*0.5),-2)</f>
        <v>21400</v>
      </c>
      <c r="X151">
        <f>IF(R151&gt;0,SUM(S151:T151),SUM(S151:V151))</f>
        <v>59800</v>
      </c>
      <c r="Y151">
        <f>IF(R151&gt;0,SUM(S151:T151),SUM(S151:U151)+W151)</f>
        <v>64100</v>
      </c>
      <c r="Z151">
        <v>0</v>
      </c>
      <c r="AA151">
        <f>X151*0.038</f>
        <v>2272.4</v>
      </c>
      <c r="AB151">
        <f>X151*0.02</f>
        <v>1196</v>
      </c>
      <c r="AC151">
        <f>Y151*0.1</f>
        <v>6410</v>
      </c>
      <c r="AD151">
        <f>X151-AA151-AB151</f>
        <v>56331.6</v>
      </c>
      <c r="AE151">
        <f>Y151-AC151</f>
        <v>57690</v>
      </c>
      <c r="AF151">
        <f>AD151*0.01</f>
        <v>563.316</v>
      </c>
      <c r="AG151">
        <f>AD151-Q151-AF151-T151</f>
        <v>13080.784</v>
      </c>
      <c r="AH151">
        <f>AE151-Q151-AF151-T151</f>
        <v>14439.184000000001</v>
      </c>
      <c r="AI151">
        <f>AG151/X151</f>
        <v>0.2187422073578595</v>
      </c>
      <c r="AJ151">
        <f>AH151/Y151</f>
        <v>0.22526028081123248</v>
      </c>
      <c r="AW151">
        <v>4611140630</v>
      </c>
    </row>
    <row r="152">
      <c r="A152">
        <f>HYPERLINK("https://smartstore.naver.com/brickstore2019/products/4613084762",AW:AW)</f>
        <v>4613084762</v>
      </c>
      <c r="C152" t="str">
        <v>타이틀리스트 남자 낸터킷 골프 모자 Titleist Men's Nantucket</v>
      </c>
      <c r="E152" t="str">
        <v>Titleist Men's Nantucket Golf Hat</v>
      </c>
      <c r="G152" t="str">
        <f>HYPERLINK("https://www.amazon.com/Titleist-Mens-Nantucket-Golf-Black/dp/B07Q24FSBH/ref=sr_1_6?crid=24BJ4HF6PD8TE&amp;keywords=titleist%2Bgolf%2Bhat&amp;qid=1564189685&amp;refinements=p_89%3ATitleist&amp;rnid=2528832011&amp;s=gateway&amp;sprefix=titl%2Caps%2C450&amp;sr=8-6&amp;th=1","A")</f>
        <v>A</v>
      </c>
      <c r="J152">
        <v>29.95</v>
      </c>
      <c r="K152">
        <f>IF(L152&gt;0,L152*0.0625,)</f>
        <v>0.25</v>
      </c>
      <c r="L152">
        <v>4</v>
      </c>
      <c r="M152">
        <f>IF(K152&gt;0,K152*0.453592,IF(L152&gt;0,L152*0.02835,))</f>
        <v>0.113398</v>
      </c>
      <c r="N152">
        <v>0</v>
      </c>
      <c r="O152">
        <v>0</v>
      </c>
      <c r="P152">
        <f>J152+O152+N152</f>
        <v>29.95</v>
      </c>
      <c r="Q152">
        <f>P152*C3</f>
        <v>37437.5</v>
      </c>
      <c r="R152">
        <v>0</v>
      </c>
      <c r="S152">
        <f>ROUND(SUM(Q152:R152), -2)</f>
        <v>37400</v>
      </c>
      <c r="T152">
        <f>ROUNDUP(HLOOKUP(ROUNDUP(K152,0),'배송비 조회'!A$10:U$22,7,0)*C$3,-2)</f>
        <v>9000</v>
      </c>
      <c r="U152">
        <v>0</v>
      </c>
      <c r="V152">
        <f>ROUND(IF(R152&gt;0,0,(S152+T152)*0.4),-2)</f>
        <v>18600</v>
      </c>
      <c r="W152">
        <f>ROUND(IF(R152&gt;0,0,(S152+T152)*0.5),-2)</f>
        <v>23200</v>
      </c>
      <c r="X152">
        <f>IF(R152&gt;0,SUM(S152:T152),SUM(S152:V152))</f>
        <v>65000</v>
      </c>
      <c r="Y152">
        <f>IF(R152&gt;0,SUM(S152:T152),SUM(S152:U152)+W152)</f>
        <v>69600</v>
      </c>
      <c r="Z152">
        <v>0</v>
      </c>
      <c r="AA152">
        <f>X152*0.038</f>
        <v>2470</v>
      </c>
      <c r="AB152">
        <f>X152*0.02</f>
        <v>1300</v>
      </c>
      <c r="AC152">
        <f>Y152*0.1</f>
        <v>6960</v>
      </c>
      <c r="AD152">
        <f>X152-AA152-AB152</f>
        <v>61230</v>
      </c>
      <c r="AE152">
        <f>Y152-AC152</f>
        <v>62640</v>
      </c>
      <c r="AF152">
        <f>AD152*0.01</f>
        <v>612.3000000000001</v>
      </c>
      <c r="AG152">
        <f>AD152-Q152-AF152-T152</f>
        <v>14180.2</v>
      </c>
      <c r="AH152">
        <f>AE152-Q152-AF152-T152</f>
        <v>15590.2</v>
      </c>
      <c r="AI152">
        <f>AG152/X152</f>
        <v>0.21815692307692308</v>
      </c>
      <c r="AJ152">
        <f>AH152/Y152</f>
        <v>0.22399712643678163</v>
      </c>
      <c r="AW152">
        <v>4613084762</v>
      </c>
    </row>
    <row r="153">
      <c r="A153">
        <f>HYPERLINK("https://smartstore.naver.com/brickstore2019/products/4619259975",AW:AW)</f>
        <v>4619259975</v>
      </c>
      <c r="C153" t="str">
        <v>아오키 맥북 노트북 PC USB 4 포트 USB허브</v>
      </c>
      <c r="E153" t="str">
        <v>AUKEY USB Hub 3.0 Portable Aluminum 4 Port USB 3.0 Data Hub with 1.6ft USB Cable for MacBook Air, Mac Mini, iMac, Laptop, PC, USB Flash Drives, HDD Hard Drive (Grey)</v>
      </c>
      <c r="F153" t="str">
        <v>Grey</v>
      </c>
      <c r="G153" t="str">
        <f>HYPERLINK("https://www.amazon.com/AUKEY-Portable-Aluminum-Transfer-MacBook/dp/B01IDIA0DW?th=1","A")</f>
        <v>A</v>
      </c>
      <c r="J153">
        <v>16.99</v>
      </c>
      <c r="K153">
        <f>IF(L153&gt;0,L153*0.0625,)</f>
        <v>0.5</v>
      </c>
      <c r="L153">
        <v>8</v>
      </c>
      <c r="M153">
        <f>IF(K153&gt;0,K153*0.453592,IF(L153&gt;0,L153*0.02835,))</f>
        <v>0.226796</v>
      </c>
      <c r="N153">
        <v>0</v>
      </c>
      <c r="O153">
        <v>0</v>
      </c>
      <c r="P153">
        <f>J153+O153+N153</f>
        <v>16.99</v>
      </c>
      <c r="Q153">
        <f>P153*C$3</f>
        <v>21237.499999999996</v>
      </c>
      <c r="R153">
        <v>0</v>
      </c>
      <c r="S153">
        <f>ROUND(SUM(Q153:R153), -2)</f>
        <v>21200</v>
      </c>
      <c r="T153">
        <f>ROUNDUP(HLOOKUP(ROUNDUP(K153,0),'배송비 조회'!A$10:U$22,7,0)*C$3,-2)</f>
        <v>9000</v>
      </c>
      <c r="U153">
        <v>0</v>
      </c>
      <c r="V153">
        <f>ROUND(IF(R153&gt;0,0,(S153+T153)*0.5),-2)</f>
        <v>15100</v>
      </c>
      <c r="W153">
        <f>ROUND(IF(R153&gt;0,0,(S153+T153)*0.5),-2)</f>
        <v>15100</v>
      </c>
      <c r="X153">
        <f>IF(R153&gt;0,SUM(S153:T153),SUM(S153:V153))</f>
        <v>45300</v>
      </c>
      <c r="Y153">
        <f>IF(R153&gt;0,SUM(S153:T153),SUM(S153:U153)+W153)</f>
        <v>45300</v>
      </c>
      <c r="Z153">
        <v>0</v>
      </c>
      <c r="AA153">
        <f>X153*0.038</f>
        <v>1721.3999999999999</v>
      </c>
      <c r="AB153">
        <f>X153*0.02</f>
        <v>906</v>
      </c>
      <c r="AC153">
        <f>Y153*0.1</f>
        <v>4530</v>
      </c>
      <c r="AD153">
        <f>X153-AA153-AB153</f>
        <v>42672.6</v>
      </c>
      <c r="AE153">
        <f>Y153-AC153</f>
        <v>40770</v>
      </c>
      <c r="AF153">
        <f>AD153*0.01</f>
        <v>426.726</v>
      </c>
      <c r="AG153">
        <f>AD153-Q153-AF153-T153</f>
        <v>12008.374000000003</v>
      </c>
      <c r="AH153">
        <f>AE153-Q153-AF153-T153</f>
        <v>10105.774000000005</v>
      </c>
      <c r="AI153">
        <f>AG153/X153</f>
        <v>0.265085518763797</v>
      </c>
      <c r="AJ153">
        <f>AH153/Y153</f>
        <v>0.223085518763797</v>
      </c>
      <c r="AW153">
        <v>4619259975</v>
      </c>
    </row>
    <row r="154">
      <c r="F154" t="str">
        <v>Silver</v>
      </c>
      <c r="G154" t="str">
        <f>HYPERLINK("https://www.amazon.com/AUKEY-Portable-Aluminum-Transfer-MacBook/dp/B00KOHQU58?th=1","A")</f>
        <v>A</v>
      </c>
      <c r="J154">
        <v>16.99</v>
      </c>
      <c r="K154">
        <f>IF(L154&gt;0,L154*0.0625,)</f>
        <v>0.5</v>
      </c>
      <c r="L154">
        <v>8</v>
      </c>
      <c r="M154">
        <f>IF(K154&gt;0,K154*0.453592,IF(L154&gt;0,L154*0.02835,))</f>
        <v>0.226796</v>
      </c>
      <c r="N154">
        <v>0</v>
      </c>
      <c r="O154">
        <v>0</v>
      </c>
      <c r="P154">
        <f>J154+O154+N154</f>
        <v>16.99</v>
      </c>
      <c r="Q154">
        <f>P154*C$3</f>
        <v>21237.499999999996</v>
      </c>
      <c r="R154">
        <v>0</v>
      </c>
      <c r="S154">
        <f>ROUND(SUM(Q154:R154), -2)</f>
        <v>21200</v>
      </c>
      <c r="T154">
        <f>ROUNDUP(HLOOKUP(ROUNDUP(K154,0),'배송비 조회'!A$10:U$22,7,0)*C$3,-2)</f>
        <v>9000</v>
      </c>
      <c r="U154">
        <v>0</v>
      </c>
      <c r="V154">
        <f>ROUND(IF(R154&gt;0,0,(S154+T154)*0.5),-2)</f>
        <v>15100</v>
      </c>
      <c r="W154">
        <f>ROUND(IF(R154&gt;0,0,(S154+T154)*0.5),-2)</f>
        <v>15100</v>
      </c>
      <c r="X154">
        <f>IF(R154&gt;0,SUM(S154:T154),SUM(S154:V154))</f>
        <v>45300</v>
      </c>
      <c r="Y154">
        <f>IF(R154&gt;0,SUM(S154:T154),SUM(S154:U154)+W154)</f>
        <v>45300</v>
      </c>
      <c r="Z154">
        <v>0</v>
      </c>
      <c r="AA154">
        <f>X154*0.038</f>
        <v>1721.3999999999999</v>
      </c>
      <c r="AB154">
        <f>X154*0.02</f>
        <v>906</v>
      </c>
      <c r="AC154">
        <f>Y154*0.1</f>
        <v>4530</v>
      </c>
      <c r="AD154">
        <f>X154-AA154-AB154</f>
        <v>42672.6</v>
      </c>
      <c r="AE154">
        <f>Y154-AC154</f>
        <v>40770</v>
      </c>
      <c r="AF154">
        <f>AD154*0.01</f>
        <v>426.726</v>
      </c>
      <c r="AG154">
        <f>AD154-Q154-AF154-T154</f>
        <v>12008.374000000003</v>
      </c>
      <c r="AH154">
        <f>AE154-Q154-AF154-T154</f>
        <v>10105.774000000005</v>
      </c>
      <c r="AI154">
        <f>AG154/X154</f>
        <v>0.265085518763797</v>
      </c>
      <c r="AJ154">
        <f>AH154/Y154</f>
        <v>0.223085518763797</v>
      </c>
    </row>
    <row r="155">
      <c r="A155" t="str">
        <f>HYPERLINK("https://smartstore.naver.com/brickstore2019/products/4619259975","4619259975")</f>
        <v>4619259975</v>
      </c>
      <c r="C155" t="str">
        <v>아오키 블루투스 스테레오 스피커 메탈 디자인 10시간 재생</v>
      </c>
      <c r="E155" t="str">
        <v>AUKEY Bluetooth Stereo Speaker 16W, Metal Wireless Speaker with Enhanced Bass, 10 Hours Playtime Compatible with Smartphones</v>
      </c>
      <c r="G155" t="str">
        <f>HYPERLINK("https://www.amazon.com/AUKEY-Bluetooth-Wireless-Compatible-Smartphones/dp/B06X1G9W88#customerReviews","A")</f>
        <v>A</v>
      </c>
      <c r="J155">
        <v>39.99</v>
      </c>
      <c r="K155">
        <v>1.8</v>
      </c>
      <c r="L155">
        <f>IF(K155&gt;0,K155*16,)</f>
        <v>28.8</v>
      </c>
      <c r="M155">
        <f>IF(K155&gt;0,K155*0.453592,IF(L155&gt;0,L155*0.02835,))</f>
        <v>0.8164656</v>
      </c>
      <c r="N155">
        <v>0</v>
      </c>
      <c r="O155">
        <v>0</v>
      </c>
      <c r="P155">
        <f>J155+O155+N155</f>
        <v>39.99</v>
      </c>
      <c r="Q155">
        <f>P155*C3</f>
        <v>49987.5</v>
      </c>
      <c r="R155">
        <v>0</v>
      </c>
      <c r="S155">
        <f>ROUND(SUM(Q155:R155), -2)</f>
        <v>50000</v>
      </c>
      <c r="T155">
        <f>ROUNDUP(HLOOKUP(ROUNDUP(K155,0),'배송비 조회'!A$10:U$22,7,0)*C$3,-2)</f>
        <v>11200</v>
      </c>
      <c r="U155">
        <v>0</v>
      </c>
      <c r="V155">
        <f>ROUND(IF(R155&gt;0,0,(S155+T155)*0.3),-2)</f>
        <v>18400</v>
      </c>
      <c r="W155">
        <f>ROUND(IF(R155&gt;0,0,(S155+T155)*0.5),-2)</f>
        <v>30600</v>
      </c>
      <c r="X155">
        <f>IF(R155&gt;0,SUM(S155:T155),SUM(S155:V155))</f>
        <v>79600</v>
      </c>
      <c r="Y155">
        <f>IF(R155&gt;0,SUM(S155:T155),SUM(S155:U155)+W155)</f>
        <v>91800</v>
      </c>
      <c r="Z155">
        <v>0</v>
      </c>
      <c r="AA155">
        <f>X155*0.038</f>
        <v>3024.7999999999997</v>
      </c>
      <c r="AB155">
        <f>X155*0.02</f>
        <v>1592</v>
      </c>
      <c r="AC155">
        <f>Y155*0.1</f>
        <v>9180</v>
      </c>
      <c r="AD155">
        <f>X155-AA155-AB155</f>
        <v>74983.2</v>
      </c>
      <c r="AE155">
        <f>Y155-AC155</f>
        <v>82620</v>
      </c>
      <c r="AF155">
        <f>AD155*0.01</f>
        <v>749.832</v>
      </c>
      <c r="AG155">
        <f>AD155-Q155-AF155-T155</f>
        <v>13045.867999999999</v>
      </c>
      <c r="AH155">
        <f>AE155-Q155-AF155-T155</f>
        <v>20682.668</v>
      </c>
      <c r="AI155">
        <f>AG155/X155</f>
        <v>0.16389281407035175</v>
      </c>
      <c r="AJ155">
        <f>AH155/Y155</f>
        <v>0.225301394335512</v>
      </c>
    </row>
    <row r="156">
      <c r="A156">
        <f>HYPERLINK("https://smartstore.naver.com/brickstore2019/products/4621775460",AW:AW)</f>
        <v>4621775460</v>
      </c>
      <c r="B156">
        <v>10275853267</v>
      </c>
      <c r="C156" t="str">
        <v>마이크로소프트 서피스고 케이스 킥스탠드 충격방지</v>
      </c>
      <c r="D156" t="str">
        <v>마이크로소프트 서피스고 케이스 킥스탠드 충격방지</v>
      </c>
      <c r="E156" t="str">
        <v>Youtec for Surface Go Case, Microsoft Surface Go Case, Shockproof Rugged Folio Stand Protective Covers with Kickstand Case + Pencil Holder Compatible with Microsoft Surface Go 10 inch 2018</v>
      </c>
      <c r="F156" t="str">
        <v>Black</v>
      </c>
      <c r="G156" t="str">
        <f>HYPERLINK("https://www.amazon.com/dp/B07KK941H8/ref=twister_B07SG1NB96?_encoding=UTF8&amp;th=1","A")</f>
        <v>A</v>
      </c>
      <c r="J156">
        <v>30</v>
      </c>
      <c r="K156">
        <f>IF(L156&gt;0,L156*0.0625,)</f>
        <v>0.8</v>
      </c>
      <c r="L156">
        <v>12.8</v>
      </c>
      <c r="M156">
        <f>IF(K156&gt;0,K156*0.453592,IF(L156&gt;0,L156*0.02835,))</f>
        <v>0.3628736</v>
      </c>
      <c r="N156">
        <v>0</v>
      </c>
      <c r="O156">
        <v>0</v>
      </c>
      <c r="P156">
        <f>J156+O156+N156</f>
        <v>30</v>
      </c>
      <c r="Q156">
        <f>P156*C$3</f>
        <v>37500</v>
      </c>
      <c r="R156">
        <v>0</v>
      </c>
      <c r="S156">
        <f>ROUND(SUM(Q156:R156), -2)</f>
        <v>37500</v>
      </c>
      <c r="T156">
        <f>ROUNDUP(HLOOKUP(ROUNDUP(K156,0),'배송비 조회'!A$10:U$22,7,0)*C$3,-2)</f>
        <v>9000</v>
      </c>
      <c r="U156">
        <v>0</v>
      </c>
      <c r="V156">
        <f>ROUND(IF(R156&gt;0,0,(S156+T156)*0.4),-2)</f>
        <v>18600</v>
      </c>
      <c r="W156">
        <f>ROUND(IF(R156&gt;0,0,(S156+T156)*0.5),-2)</f>
        <v>23300</v>
      </c>
      <c r="X156">
        <f>IF(R156&gt;0,SUM(S156:T156),SUM(S156:V156))</f>
        <v>65100</v>
      </c>
      <c r="Y156">
        <f>IF(R156&gt;0,SUM(S156:T156),SUM(S156:U156)+W156)</f>
        <v>69800</v>
      </c>
      <c r="Z156">
        <v>0</v>
      </c>
      <c r="AA156">
        <f>X156*0.038</f>
        <v>2473.7999999999997</v>
      </c>
      <c r="AB156">
        <f>X156*0.02</f>
        <v>1302</v>
      </c>
      <c r="AC156">
        <f>Y156*0.1</f>
        <v>6980</v>
      </c>
      <c r="AD156">
        <f>X156-AA156-AB156</f>
        <v>61324.2</v>
      </c>
      <c r="AE156">
        <f>Y156-AC156</f>
        <v>62820</v>
      </c>
      <c r="AF156">
        <f>AD156*0.01</f>
        <v>613.242</v>
      </c>
      <c r="AG156">
        <f>AD156-Q156-AF156-T156</f>
        <v>14210.957999999999</v>
      </c>
      <c r="AH156">
        <f>AE156-Q156-AF156-T156</f>
        <v>15706.758000000002</v>
      </c>
      <c r="AI156">
        <f>AG156/X156</f>
        <v>0.2182942857142857</v>
      </c>
      <c r="AJ156">
        <f>AH156/Y156</f>
        <v>0.22502518624641837</v>
      </c>
      <c r="AW156">
        <v>4621775460</v>
      </c>
    </row>
    <row r="157">
      <c r="F157" t="str">
        <v>Burgundy Red</v>
      </c>
      <c r="G157" t="str">
        <f>HYPERLINK("https://www.amazon.com/dp/B07KKBH4W6/ref=twister_B07SG1NB96?_encoding=UTF8&amp;th=1","A")</f>
        <v>A</v>
      </c>
      <c r="J157">
        <v>30</v>
      </c>
      <c r="K157">
        <f>IF(L157&gt;0,L157*0.0625,)</f>
        <v>0.8</v>
      </c>
      <c r="L157">
        <v>12.8</v>
      </c>
      <c r="M157">
        <f>IF(K157&gt;0,K157*0.453592,IF(L157&gt;0,L157*0.02835,))</f>
        <v>0.3628736</v>
      </c>
      <c r="N157">
        <v>0</v>
      </c>
      <c r="O157">
        <v>0</v>
      </c>
      <c r="P157">
        <f>J157+O157+N157</f>
        <v>30</v>
      </c>
      <c r="Q157">
        <f>P157*C$3</f>
        <v>37500</v>
      </c>
      <c r="R157">
        <v>0</v>
      </c>
      <c r="S157">
        <f>ROUND(SUM(Q157:R157), -2)</f>
        <v>37500</v>
      </c>
      <c r="T157">
        <f>ROUNDUP(HLOOKUP(ROUNDUP(K157,0),'배송비 조회'!A$10:U$22,7,0)*C$3,-2)</f>
        <v>9000</v>
      </c>
      <c r="U157">
        <v>0</v>
      </c>
      <c r="V157">
        <f>ROUND(IF(R157&gt;0,0,(S157+T157)*0.4),-2)</f>
        <v>18600</v>
      </c>
      <c r="W157">
        <f>ROUND(IF(R157&gt;0,0,(S157+T157)*0.5),-2)</f>
        <v>23300</v>
      </c>
      <c r="X157">
        <f>IF(R157&gt;0,SUM(S157:T157),SUM(S157:V157))</f>
        <v>65100</v>
      </c>
      <c r="Y157">
        <f>IF(R157&gt;0,SUM(S157:T157),SUM(S157:U157)+W157)</f>
        <v>69800</v>
      </c>
      <c r="Z157">
        <v>0</v>
      </c>
      <c r="AA157">
        <f>X157*0.038</f>
        <v>2473.7999999999997</v>
      </c>
      <c r="AB157">
        <f>X157*0.02</f>
        <v>1302</v>
      </c>
      <c r="AC157">
        <f>Y157*0.1</f>
        <v>6980</v>
      </c>
      <c r="AD157">
        <f>X157-AA157-AB157</f>
        <v>61324.2</v>
      </c>
      <c r="AE157">
        <f>Y157-AC157</f>
        <v>62820</v>
      </c>
      <c r="AF157">
        <f>AD157*0.01</f>
        <v>613.242</v>
      </c>
      <c r="AG157">
        <f>AD157-Q157-AF157-T157</f>
        <v>14210.957999999999</v>
      </c>
      <c r="AH157">
        <f>AE157-Q157-AF157-T157</f>
        <v>15706.758000000002</v>
      </c>
      <c r="AI157">
        <f>AG157/X157</f>
        <v>0.2182942857142857</v>
      </c>
      <c r="AJ157">
        <f>AH157/Y157</f>
        <v>0.22502518624641837</v>
      </c>
    </row>
    <row r="158">
      <c r="F158" t="str">
        <v>Cobalt Blue</v>
      </c>
      <c r="G158" t="str">
        <f>HYPERLINK("https://www.amazon.com/dp/B07KKBDNM1/ref=twister_B07SG1NB96?_encoding=UTF8&amp;th=1","A")</f>
        <v>A</v>
      </c>
      <c r="J158">
        <v>30</v>
      </c>
      <c r="K158">
        <f>IF(L158&gt;0,L158*0.0625,)</f>
        <v>0.8</v>
      </c>
      <c r="L158">
        <v>12.8</v>
      </c>
      <c r="M158">
        <f>IF(K158&gt;0,K158*0.453592,IF(L158&gt;0,L158*0.02835,))</f>
        <v>0.3628736</v>
      </c>
      <c r="N158">
        <v>0</v>
      </c>
      <c r="O158">
        <v>0</v>
      </c>
      <c r="P158">
        <f>J158+O158+N158</f>
        <v>30</v>
      </c>
      <c r="Q158">
        <f>P158*C$3</f>
        <v>37500</v>
      </c>
      <c r="R158">
        <v>0</v>
      </c>
      <c r="S158">
        <f>ROUND(SUM(Q158:R158), -2)</f>
        <v>37500</v>
      </c>
      <c r="T158">
        <f>ROUNDUP(HLOOKUP(ROUNDUP(K158,0),'배송비 조회'!A$10:U$22,7,0)*C$3,-2)</f>
        <v>9000</v>
      </c>
      <c r="U158">
        <v>0</v>
      </c>
      <c r="V158">
        <f>ROUND(IF(R158&gt;0,0,(S158+T158)*0.4),-2)</f>
        <v>18600</v>
      </c>
      <c r="W158">
        <f>ROUND(IF(R158&gt;0,0,(S158+T158)*0.5),-2)</f>
        <v>23300</v>
      </c>
      <c r="X158">
        <f>IF(R158&gt;0,SUM(S158:T158),SUM(S158:V158))</f>
        <v>65100</v>
      </c>
      <c r="Y158">
        <f>IF(R158&gt;0,SUM(S158:T158),SUM(S158:U158)+W158)</f>
        <v>69800</v>
      </c>
      <c r="Z158">
        <v>0</v>
      </c>
      <c r="AA158">
        <f>X158*0.038</f>
        <v>2473.7999999999997</v>
      </c>
      <c r="AB158">
        <f>X158*0.02</f>
        <v>1302</v>
      </c>
      <c r="AC158">
        <f>Y158*0.1</f>
        <v>6980</v>
      </c>
      <c r="AD158">
        <f>X158-AA158-AB158</f>
        <v>61324.2</v>
      </c>
      <c r="AE158">
        <f>Y158-AC158</f>
        <v>62820</v>
      </c>
      <c r="AF158">
        <f>AD158*0.01</f>
        <v>613.242</v>
      </c>
      <c r="AG158">
        <f>AD158-Q158-AF158-T158</f>
        <v>14210.957999999999</v>
      </c>
      <c r="AH158">
        <f>AE158-Q158-AF158-T158</f>
        <v>15706.758000000002</v>
      </c>
      <c r="AI158">
        <f>AG158/X158</f>
        <v>0.2182942857142857</v>
      </c>
      <c r="AJ158">
        <f>AH158/Y158</f>
        <v>0.22502518624641837</v>
      </c>
    </row>
    <row r="159">
      <c r="F159" t="str">
        <v>Grey</v>
      </c>
      <c r="G159" t="str">
        <f>HYPERLINK("https://www.amazon.com/dp/B07MTYTB3D/ref=twister_B07SG1NB96?_encoding=UTF8&amp;th=1","A")</f>
        <v>A</v>
      </c>
      <c r="J159">
        <v>30</v>
      </c>
      <c r="K159">
        <f>IF(L159&gt;0,L159*0.0625,)</f>
        <v>0.8</v>
      </c>
      <c r="L159">
        <v>12.8</v>
      </c>
      <c r="M159">
        <f>IF(K159&gt;0,K159*0.453592,IF(L159&gt;0,L159*0.02835,))</f>
        <v>0.3628736</v>
      </c>
      <c r="N159">
        <v>0</v>
      </c>
      <c r="O159">
        <v>0</v>
      </c>
      <c r="P159">
        <f>J159+O159+N159</f>
        <v>30</v>
      </c>
      <c r="Q159">
        <f>P159*C$3</f>
        <v>37500</v>
      </c>
      <c r="R159">
        <v>0</v>
      </c>
      <c r="S159">
        <f>ROUND(SUM(Q159:R159), -2)</f>
        <v>37500</v>
      </c>
      <c r="T159">
        <f>ROUNDUP(HLOOKUP(ROUNDUP(K159,0),'배송비 조회'!A$10:U$22,7,0)*C$3,-2)</f>
        <v>9000</v>
      </c>
      <c r="U159">
        <v>0</v>
      </c>
      <c r="V159">
        <f>ROUND(IF(R159&gt;0,0,(S159+T159)*0.4),-2)</f>
        <v>18600</v>
      </c>
      <c r="W159">
        <f>ROUND(IF(R159&gt;0,0,(S159+T159)*0.5),-2)</f>
        <v>23300</v>
      </c>
      <c r="X159">
        <f>IF(R159&gt;0,SUM(S159:T159),SUM(S159:V159))</f>
        <v>65100</v>
      </c>
      <c r="Y159">
        <f>IF(R159&gt;0,SUM(S159:T159),SUM(S159:U159)+W159)</f>
        <v>69800</v>
      </c>
      <c r="Z159">
        <v>0</v>
      </c>
      <c r="AA159">
        <f>X159*0.038</f>
        <v>2473.7999999999997</v>
      </c>
      <c r="AB159">
        <f>X159*0.02</f>
        <v>1302</v>
      </c>
      <c r="AC159">
        <f>Y159*0.1</f>
        <v>6980</v>
      </c>
      <c r="AD159">
        <f>X159-AA159-AB159</f>
        <v>61324.2</v>
      </c>
      <c r="AE159">
        <f>Y159-AC159</f>
        <v>62820</v>
      </c>
      <c r="AF159">
        <f>AD159*0.01</f>
        <v>613.242</v>
      </c>
      <c r="AG159">
        <f>AD159-Q159-AF159-T159</f>
        <v>14210.957999999999</v>
      </c>
      <c r="AH159">
        <f>AE159-Q159-AF159-T159</f>
        <v>15706.758000000002</v>
      </c>
      <c r="AI159">
        <f>AG159/X159</f>
        <v>0.2182942857142857</v>
      </c>
      <c r="AJ159">
        <f>AH159/Y159</f>
        <v>0.22502518624641837</v>
      </c>
    </row>
    <row r="160">
      <c r="A160">
        <f>HYPERLINK("https://smartstore.naver.com/brickstore2019/products/4621785662",AW:AW)</f>
        <v>4621785662</v>
      </c>
      <c r="C160" t="str">
        <v>Arteck 마이크로소프트 서피스고 타입커버 블루투스 무선 키보드</v>
      </c>
      <c r="E160" t="str">
        <v>Arteck Microsoft Surface Go Type Cover, Ultra-Slim Portable Bluetooth Wireless Keyboard with Touchpad Built-in Rechargeable Battery</v>
      </c>
      <c r="G160" t="str">
        <f>HYPERLINK("https://www.amazon.com/Arteck-Microsoft-Ultra-Slim-Bluetooth-Rechargeable/dp/B07P211Q4R/ref=sr_1_15?crid=GCI0JPS7JRLN&amp;keywords=surface+go+accessories&amp;qid=1564879648&amp;s=gateway&amp;sprefix=surface+go+%2Caps%2C1108&amp;sr=8-15","A")</f>
        <v>A</v>
      </c>
      <c r="J160">
        <v>35</v>
      </c>
      <c r="K160">
        <f>IF(L160&gt;0,L160*0.0625,)</f>
        <v>0.75</v>
      </c>
      <c r="L160">
        <v>12</v>
      </c>
      <c r="M160">
        <f>IF(K160&gt;0,K160*0.453592,IF(L160&gt;0,L160*0.02835,))</f>
        <v>0.340194</v>
      </c>
      <c r="N160">
        <v>0</v>
      </c>
      <c r="O160">
        <v>0</v>
      </c>
      <c r="P160">
        <f>J160+O160+N160</f>
        <v>35</v>
      </c>
      <c r="Q160">
        <f>P160*C3</f>
        <v>43750</v>
      </c>
      <c r="R160">
        <v>0</v>
      </c>
      <c r="S160">
        <f>ROUND(SUM(Q160:R160), -2)</f>
        <v>43800</v>
      </c>
      <c r="T160">
        <f>ROUNDUP(HLOOKUP(ROUNDUP(K160,0),'배송비 조회'!A$10:U$22,7,0)*C$3,-2)</f>
        <v>9000</v>
      </c>
      <c r="U160">
        <v>0</v>
      </c>
      <c r="V160">
        <f>ROUND(IF(R160&gt;0,0,(S160+T160)*0.4),-2)</f>
        <v>21100</v>
      </c>
      <c r="W160">
        <f>ROUND(IF(R160&gt;0,0,(S160+T160)*0.5),-2)</f>
        <v>26400</v>
      </c>
      <c r="X160">
        <f>IF(R160&gt;0,SUM(S160:T160),SUM(S160:V160))</f>
        <v>73900</v>
      </c>
      <c r="Y160">
        <f>IF(R160&gt;0,SUM(S160:T160),SUM(S160:U160)+W160)</f>
        <v>79200</v>
      </c>
      <c r="Z160">
        <v>0</v>
      </c>
      <c r="AA160">
        <f>X160*0.038</f>
        <v>2808.2</v>
      </c>
      <c r="AB160">
        <f>X160*0.02</f>
        <v>1478</v>
      </c>
      <c r="AC160">
        <f>Y160*0.1</f>
        <v>7920</v>
      </c>
      <c r="AD160">
        <f>X160-AA160-AB160</f>
        <v>69613.8</v>
      </c>
      <c r="AE160">
        <f>Y160-AC160</f>
        <v>71280</v>
      </c>
      <c r="AF160">
        <f>AD160*0.01</f>
        <v>696.138</v>
      </c>
      <c r="AG160">
        <f>AD160-Q160-AF160-T160</f>
        <v>16167.662000000004</v>
      </c>
      <c r="AH160">
        <f>AE160-Q160-AF160-T160</f>
        <v>17833.862</v>
      </c>
      <c r="AI160">
        <f>AG160/X160</f>
        <v>0.21877756427604877</v>
      </c>
      <c r="AJ160">
        <f>AH160/Y160</f>
        <v>0.22517502525252525</v>
      </c>
      <c r="AW160">
        <v>4621785662</v>
      </c>
    </row>
    <row r="161">
      <c r="A161">
        <f>HYPERLINK("https://smartstore.naver.com/brickstore2019/products/4621819959",AW:AW)</f>
        <v>4621819959</v>
      </c>
      <c r="C161" t="str">
        <v>서피스고 USB Type-C 허브 SD카드 어댑터</v>
      </c>
      <c r="E161" t="str">
        <v>Microsoft Surface Go USB Hub Type-C&amp; 3-Slot Card Reader Adapter, Eletrand 6 in 1 USB C Combo Dock with SD/Micro SD(TF) Card Writer, High-Speed USB 3.0 Up to 5Gbps for U Disk Surface Go Keyboard&amp;Mouse</v>
      </c>
      <c r="G161" t="str">
        <f>HYPERLINK("https://www.amazon.com/Microsoft-Surface-Eletrand-High-Speed-Keyboard/dp/B07L819M55/ref=sr_1_3?crid=32NNJY0JSF0X9&amp;keywords=surface%2Bgo%2Baccessories&amp;qid=1564885661&amp;s=gateway&amp;sprefix=surface%2Bgo%2Bac%2Caps%2C343&amp;sr=8-3&amp;th=1","A")</f>
        <v>A</v>
      </c>
      <c r="J161">
        <v>12.99</v>
      </c>
      <c r="K161">
        <v>0.8</v>
      </c>
      <c r="L161">
        <f>IF(K161&gt;0,K161*16,)</f>
        <v>12.8</v>
      </c>
      <c r="M161">
        <f>IF(K161&gt;0,K161*0.453592,IF(L161&gt;0,L161*0.02835,))</f>
        <v>0.3628736</v>
      </c>
      <c r="N161">
        <v>0</v>
      </c>
      <c r="O161">
        <v>0</v>
      </c>
      <c r="P161">
        <f>J161+O161+N161</f>
        <v>12.99</v>
      </c>
      <c r="Q161">
        <f>P161*C3</f>
        <v>16237.5</v>
      </c>
      <c r="R161">
        <v>0</v>
      </c>
      <c r="S161">
        <f>ROUND(SUM(Q161:R161), -2)</f>
        <v>16200</v>
      </c>
      <c r="T161">
        <f>ROUNDUP(HLOOKUP(ROUNDUP(K161,0),'배송비 조회'!A$10:U$22,7,0)*C$3,-2)</f>
        <v>9000</v>
      </c>
      <c r="U161">
        <v>0</v>
      </c>
      <c r="V161">
        <f>ROUND(IF(R161&gt;0,0,(S161+T161)*0.6),-2)</f>
        <v>15100</v>
      </c>
      <c r="W161">
        <f>ROUND(IF(R161&gt;0,0,(S161+T161)*0.5),-2)</f>
        <v>12600</v>
      </c>
      <c r="X161">
        <f>IF(R161&gt;0,SUM(S161:T161),SUM(S161:V161))</f>
        <v>40300</v>
      </c>
      <c r="Y161">
        <f>IF(R161&gt;0,SUM(S161:T161),SUM(S161:U161)+W161)</f>
        <v>37800</v>
      </c>
      <c r="Z161">
        <v>0</v>
      </c>
      <c r="AA161">
        <f>X161*0.038</f>
        <v>1531.3999999999999</v>
      </c>
      <c r="AB161">
        <f>X161*0.02</f>
        <v>806</v>
      </c>
      <c r="AC161">
        <f>Y161*0.1</f>
        <v>3780</v>
      </c>
      <c r="AD161">
        <f>X161-AA161-AB161</f>
        <v>37962.6</v>
      </c>
      <c r="AE161">
        <f>Y161-AC161</f>
        <v>34020</v>
      </c>
      <c r="AF161">
        <f>AD161*0.01</f>
        <v>379.626</v>
      </c>
      <c r="AG161">
        <f>AD161-Q161-AF161-T161</f>
        <v>12345.473999999998</v>
      </c>
      <c r="AH161">
        <f>AE161-Q161-AF161-T161</f>
        <v>8402.874</v>
      </c>
      <c r="AI161">
        <f>AG161/X161</f>
        <v>0.30633930521091807</v>
      </c>
      <c r="AJ161">
        <f>AH161/Y161</f>
        <v>0.22229825396825395</v>
      </c>
      <c r="AW161">
        <v>4621819959</v>
      </c>
    </row>
    <row r="162">
      <c r="A162">
        <f>HYPERLINK("https://smartstore.naver.com/brickstore2019/products/4621851752",AW:AW)</f>
        <v>4621851752</v>
      </c>
      <c r="B162" t="str">
        <f>HYPERLINK("https://www.coupang.com/vp/products/329824264?vendorItemId=5524584247&amp;isAddedCart=","329824264")</f>
        <v>329824264</v>
      </c>
      <c r="C162" t="str">
        <v>서피스고 USB HDMI SD 허브 어댑터 (무료배송)</v>
      </c>
      <c r="D162" t="str">
        <v>서피스킷 서피스고 어댑터 USB허브</v>
      </c>
      <c r="E162" t="str">
        <v>Surfacekit Surface Go USB C Hub HDMI Docking Station</v>
      </c>
      <c r="F162" t="str">
        <v>2 USB 3.0, 1 HDMI, 2 Type C, 1 Audio</v>
      </c>
      <c r="G162" t="str">
        <f>HYPERLINK("https://www.amazon.com/Surfacekit-Surface-Docking-Portable-Accessories/dp/B07PG8HQG1/ref=sr_1_1_sspa?crid=32NNJY0JSF0X9&amp;keywords=surface%2Bgo%2Baccessories&amp;qid=1564885661&amp;s=gateway&amp;sprefix=surface%2Bgo%2Bac%2Caps%2C343&amp;sr=8-1-spons&amp;th=1","A")</f>
        <v>A</v>
      </c>
      <c r="J162">
        <v>26</v>
      </c>
      <c r="K162">
        <v>0.8</v>
      </c>
      <c r="L162">
        <f>IF(K162&gt;0,K162*16,)</f>
        <v>12.8</v>
      </c>
      <c r="M162">
        <f>IF(K162&gt;0,K162*0.453592,IF(L162&gt;0,L162*0.02835,))</f>
        <v>0.3628736</v>
      </c>
      <c r="N162">
        <v>0</v>
      </c>
      <c r="O162">
        <v>0</v>
      </c>
      <c r="P162">
        <f>J162+O162+N162</f>
        <v>26</v>
      </c>
      <c r="Q162">
        <f>P162*C3</f>
        <v>32500</v>
      </c>
      <c r="R162">
        <v>0</v>
      </c>
      <c r="S162">
        <f>ROUND(SUM(Q162:R162), -2)</f>
        <v>32500</v>
      </c>
      <c r="T162">
        <f>ROUNDUP(HLOOKUP(ROUNDUP(K162,0),'배송비 조회'!A$10:U$22,7,0)*C$3,-2)</f>
        <v>9000</v>
      </c>
      <c r="U162">
        <v>0</v>
      </c>
      <c r="V162">
        <f>ROUND(IF(R162&gt;0,0,(S162+T162)*0.4),-2)</f>
        <v>16600</v>
      </c>
      <c r="W162">
        <f>V162+(S162+T162)*0.1</f>
        <v>20750</v>
      </c>
      <c r="X162">
        <f>IF(R162&gt;0,SUM(S162:T162),SUM(S162:V162))</f>
        <v>58100</v>
      </c>
      <c r="Y162">
        <f>IF(R162&gt;0,SUM(S162:T162),SUM(S162:U162)+W162)</f>
        <v>62250</v>
      </c>
      <c r="Z162">
        <v>0</v>
      </c>
      <c r="AA162">
        <f>X162*0.038</f>
        <v>2207.7999999999997</v>
      </c>
      <c r="AB162">
        <f>X162*0.02</f>
        <v>1162</v>
      </c>
      <c r="AC162">
        <f>Y162*0.1</f>
        <v>6225</v>
      </c>
      <c r="AD162">
        <f>X162-AA162-AB162</f>
        <v>54730.2</v>
      </c>
      <c r="AE162">
        <f>Y162-AC162</f>
        <v>56025</v>
      </c>
      <c r="AF162">
        <f>AD162*0.01</f>
        <v>547.302</v>
      </c>
      <c r="AG162">
        <f>AD162-Q162-AF162-T162</f>
        <v>12682.897999999997</v>
      </c>
      <c r="AH162">
        <f>AE162-Q162-AF162-T162</f>
        <v>13977.698</v>
      </c>
      <c r="AI162">
        <f>AG162/X162</f>
        <v>0.21829428571428566</v>
      </c>
      <c r="AJ162">
        <f>AH162/Y162</f>
        <v>0.22454133333333334</v>
      </c>
      <c r="AW162">
        <v>4621851752</v>
      </c>
    </row>
    <row r="163">
      <c r="F163" t="str">
        <v>HDMI,2xUSB 3.0 SD/micor SD</v>
      </c>
      <c r="G163" t="str">
        <f>HYPERLINK("https://www.amazon.com/Surfacekit-Surface-Docking-Portable-Accessories/dp/B07KRZQS39/ref=sr_1_1_sspa?crid=32NNJY0JSF0X9&amp;keywords=surface%2Bgo%2Baccessories&amp;qid=1564885661&amp;s=gateway&amp;sprefix=surface%2Bgo%2Bac%2Caps%2C343&amp;sr=8-1-spons&amp;th=1","A")</f>
        <v>A</v>
      </c>
      <c r="J163">
        <v>26</v>
      </c>
      <c r="K163">
        <v>0.8</v>
      </c>
      <c r="L163">
        <f>IF(K163&gt;0,K163*16,)</f>
        <v>12.8</v>
      </c>
      <c r="M163">
        <f>IF(K163&gt;0,K163*0.453592,IF(L163&gt;0,L163*0.02835,))</f>
        <v>0.3628736</v>
      </c>
      <c r="N163">
        <v>0</v>
      </c>
      <c r="O163">
        <v>0</v>
      </c>
      <c r="P163">
        <f>J163+O163+N163</f>
        <v>26</v>
      </c>
      <c r="Q163">
        <f>P163*C3</f>
        <v>32500</v>
      </c>
      <c r="R163">
        <v>0</v>
      </c>
      <c r="S163">
        <f>ROUND(SUM(Q163:R163), -2)</f>
        <v>32500</v>
      </c>
      <c r="T163">
        <f>ROUNDUP(HLOOKUP(ROUNDUP(K163,0),'배송비 조회'!A$10:U$22,7,0)*C$3,-2)</f>
        <v>9000</v>
      </c>
      <c r="U163">
        <v>0</v>
      </c>
      <c r="V163">
        <f>ROUND(IF(R163&gt;0,0,(S163+T163)*0.4),-2)</f>
        <v>16600</v>
      </c>
      <c r="W163">
        <f>V163+(S163+T163)*0.1</f>
        <v>20750</v>
      </c>
      <c r="X163">
        <f>IF(R163&gt;0,SUM(S163:T163),SUM(S163:V163))</f>
        <v>58100</v>
      </c>
      <c r="Y163">
        <f>IF(R163&gt;0,SUM(S163:T163),SUM(S163:U163)+W163)</f>
        <v>62250</v>
      </c>
      <c r="Z163">
        <v>0</v>
      </c>
      <c r="AA163">
        <f>X163*0.038</f>
        <v>2207.7999999999997</v>
      </c>
      <c r="AB163">
        <f>X163*0.02</f>
        <v>1162</v>
      </c>
      <c r="AC163">
        <f>Y163*0.1</f>
        <v>6225</v>
      </c>
      <c r="AD163">
        <f>X163-AA163-AB163</f>
        <v>54730.2</v>
      </c>
      <c r="AE163">
        <f>Y163-AC163</f>
        <v>56025</v>
      </c>
      <c r="AF163">
        <f>AD163*0.01</f>
        <v>547.302</v>
      </c>
      <c r="AG163">
        <f>AD163-Q163-AF163-T163</f>
        <v>12682.897999999997</v>
      </c>
      <c r="AH163">
        <f>AE163-Q163-AF163-T163</f>
        <v>13977.698</v>
      </c>
      <c r="AI163">
        <f>AG163/X163</f>
        <v>0.21829428571428566</v>
      </c>
      <c r="AJ163">
        <f>AH163/Y163</f>
        <v>0.22454133333333334</v>
      </c>
    </row>
    <row r="164">
      <c r="F164" t="str">
        <v>HDMI,Ethernet,2xUSB 3.0</v>
      </c>
      <c r="G164" t="str">
        <f>HYPERLINK("https://www.amazon.com/Surfacekit-Surface-Docking-Portable-Accessories/dp/B07M7GB4GB/ref=sr_1_1_sspa?crid=32NNJY0JSF0X9&amp;keywords=surface%2Bgo%2Baccessories&amp;qid=1564885661&amp;s=gateway&amp;sprefix=surface%2Bgo%2Bac%2Caps%2C343&amp;sr=8-1-spons&amp;th=1","A")</f>
        <v>A</v>
      </c>
      <c r="J164">
        <v>27</v>
      </c>
      <c r="K164">
        <v>0.8</v>
      </c>
      <c r="L164">
        <f>IF(K164&gt;0,K164*16,)</f>
        <v>12.8</v>
      </c>
      <c r="M164">
        <f>IF(K164&gt;0,K164*0.453592,IF(L164&gt;0,L164*0.02835,))</f>
        <v>0.3628736</v>
      </c>
      <c r="N164">
        <v>0</v>
      </c>
      <c r="O164">
        <v>0</v>
      </c>
      <c r="P164">
        <f>J164+O164+N164</f>
        <v>27</v>
      </c>
      <c r="Q164">
        <f>P164*C3</f>
        <v>33750</v>
      </c>
      <c r="R164">
        <v>0</v>
      </c>
      <c r="S164">
        <f>ROUND(SUM(Q164:R164), -2)</f>
        <v>33800</v>
      </c>
      <c r="T164">
        <f>ROUNDUP(HLOOKUP(ROUNDUP(K164,0),'배송비 조회'!A$10:U$22,7,0)*C$3,-2)</f>
        <v>9000</v>
      </c>
      <c r="U164">
        <v>0</v>
      </c>
      <c r="V164">
        <f>ROUND(IF(R164&gt;0,0,(S164+T164)*0.4),-2)</f>
        <v>17100</v>
      </c>
      <c r="W164">
        <f>V164+(S164+T164)*0.1</f>
        <v>21380</v>
      </c>
      <c r="X164">
        <f>IF(R164&gt;0,SUM(S164:T164),SUM(S164:V164))</f>
        <v>59900</v>
      </c>
      <c r="Y164">
        <f>IF(R164&gt;0,SUM(S164:T164),SUM(S164:U164)+W164)</f>
        <v>64180</v>
      </c>
      <c r="Z164">
        <v>0</v>
      </c>
      <c r="AA164">
        <f>X164*0.038</f>
        <v>2276.2</v>
      </c>
      <c r="AB164">
        <f>X164*0.02</f>
        <v>1198</v>
      </c>
      <c r="AC164">
        <f>Y164*0.1</f>
        <v>6418</v>
      </c>
      <c r="AD164">
        <f>X164-AA164-AB164</f>
        <v>56425.8</v>
      </c>
      <c r="AE164">
        <f>Y164-AC164</f>
        <v>57762</v>
      </c>
      <c r="AF164">
        <f>AD164*0.01</f>
        <v>564.258</v>
      </c>
      <c r="AG164">
        <f>AD164-Q164-AF164-T164</f>
        <v>13111.542000000001</v>
      </c>
      <c r="AH164">
        <f>AE164-Q164-AF164-T164</f>
        <v>14447.741999999998</v>
      </c>
      <c r="AI164">
        <f>AG164/X164</f>
        <v>0.21889051752921537</v>
      </c>
      <c r="AJ164">
        <f>AH164/Y164</f>
        <v>0.22511283889062011</v>
      </c>
    </row>
    <row r="165">
      <c r="A165">
        <f>HYPERLINK("https://smartstore.naver.com/brickstore2019/products/4622137745",AW:AW)</f>
        <v>4622137745</v>
      </c>
      <c r="C165" t="str">
        <v>에어익스펙트 휴대용 LED 메이크업 화장대 거울</v>
      </c>
      <c r="E165" t="str">
        <v>Makeup Mirror Vanity Mirror with Lights - 3 Color Lighting Modes 72 LED Trifold Mirror, Touch Control Design, 1x/2x/3x Magnification, Portable High Definition Cosmetic Lighted Up Mirror</v>
      </c>
      <c r="G165" t="str">
        <f>HYPERLINK("https://www.amazon.com/Makeup-Mirror-Vanity-Lights-Magnification/dp/B07HNS6Q5B/ref=sr_1_9?keywords=LED+Lighted+Makeup+Mirror&amp;qid=1564924137&amp;s=beauty&amp;sr=1-9","A")</f>
        <v>A</v>
      </c>
      <c r="J165">
        <v>39</v>
      </c>
      <c r="K165">
        <v>2.2</v>
      </c>
      <c r="L165">
        <f>IF(K165&gt;0,K165*16,)</f>
        <v>35.2</v>
      </c>
      <c r="M165">
        <f>IF(K165&gt;0,K165*0.453592,IF(L165&gt;0,L165*0.02835,))</f>
        <v>0.9979024000000001</v>
      </c>
      <c r="N165">
        <v>0</v>
      </c>
      <c r="O165">
        <v>0</v>
      </c>
      <c r="P165">
        <f>J165+O165+N165</f>
        <v>39</v>
      </c>
      <c r="Q165">
        <f>P165*C3</f>
        <v>48750</v>
      </c>
      <c r="R165">
        <v>0</v>
      </c>
      <c r="S165">
        <f>ROUND(SUM(Q165:R165), -2)</f>
        <v>48800</v>
      </c>
      <c r="T165">
        <f>ROUNDUP(HLOOKUP(ROUNDUP(K165,0),'배송비 조회'!A$10:U$22,7,0)*C$3,-2)</f>
        <v>13400</v>
      </c>
      <c r="U165">
        <v>0</v>
      </c>
      <c r="V165">
        <f>ROUND(IF(R165&gt;0,0,(S165+T165)*0.3),-2)</f>
        <v>18700</v>
      </c>
      <c r="W165">
        <f>ROUND(IF(R165&gt;0,0,(S165+T165)*0.5),-2)</f>
        <v>31100</v>
      </c>
      <c r="X165">
        <f>IF(R165&gt;0,SUM(S165:T165),SUM(S165:V165))</f>
        <v>80900</v>
      </c>
      <c r="Y165">
        <f>IF(R165&gt;0,SUM(S165:T165),SUM(S165:U165)+W165)</f>
        <v>93300</v>
      </c>
      <c r="Z165">
        <v>0</v>
      </c>
      <c r="AA165">
        <f>X165*0.038</f>
        <v>3074.2</v>
      </c>
      <c r="AB165">
        <f>X165*0.02</f>
        <v>1618</v>
      </c>
      <c r="AC165">
        <f>Y165*0.1</f>
        <v>9330</v>
      </c>
      <c r="AD165">
        <f>X165-AA165-AB165</f>
        <v>76207.8</v>
      </c>
      <c r="AE165">
        <f>Y165-AC165</f>
        <v>83970</v>
      </c>
      <c r="AF165">
        <f>AD165*0.01</f>
        <v>762.0780000000001</v>
      </c>
      <c r="AG165">
        <f>AD165-Q165-AF165-T165</f>
        <v>13295.722000000002</v>
      </c>
      <c r="AH165">
        <f>AE165-Q165-AF165-T165</f>
        <v>21057.922</v>
      </c>
      <c r="AI165">
        <f>AG165/X165</f>
        <v>0.16434761433868977</v>
      </c>
      <c r="AJ165">
        <f>AH165/Y165</f>
        <v>0.22570120042872452</v>
      </c>
      <c r="AW165">
        <v>4622137745</v>
      </c>
    </row>
    <row r="166">
      <c r="A166">
        <f>HYPERLINK("https://smartstore.naver.com/brickstore2019/products/4622117899",AW:AW)</f>
        <v>4622117899</v>
      </c>
      <c r="C166" t="str">
        <v>타이거너 노트북 백팩 여행용 회사원 직장인 백팩 Tigernu B07R191VDB</v>
      </c>
      <c r="E166" t="str">
        <v>Tigernu Laptop Backpack Travel Business Anti Theft Laptops Backpacks with USB Charging Port,Water Resistant Computer Bag Fits 15.6 Inch Laptop</v>
      </c>
      <c r="G166" t="str">
        <f>HYPERLINK("https://www.amazon.com/Backpack-Business-Backpacks-Charging-Resistant/dp/B07R191VDB/ref=sr_1_1?crid=1M8R3K5R6ENOI&amp;keywords=tigernu+backpack&amp;qid=1564925635&amp;refinements=p_89%3ATIGERNU&amp;rnid=2528832011&amp;s=gateway&amp;sprefix=tigernu+ba%2Caps%2C363&amp;sr=8-1","A")</f>
        <v>A</v>
      </c>
      <c r="J166">
        <v>34</v>
      </c>
      <c r="K166">
        <v>2.16</v>
      </c>
      <c r="L166">
        <f>IF(K166&gt;0,K166*16,)</f>
        <v>34.56</v>
      </c>
      <c r="M166">
        <f>IF(K166&gt;0,K166*0.453592,IF(L166&gt;0,L166*0.02835,))</f>
        <v>0.9797587200000001</v>
      </c>
      <c r="N166">
        <v>0</v>
      </c>
      <c r="O166">
        <v>0</v>
      </c>
      <c r="P166">
        <f>J166+O166+N166</f>
        <v>34</v>
      </c>
      <c r="Q166">
        <f>P166*C3</f>
        <v>42500</v>
      </c>
      <c r="R166">
        <v>0</v>
      </c>
      <c r="S166">
        <f>ROUND(SUM(Q166:R166), -2)</f>
        <v>42500</v>
      </c>
      <c r="T166">
        <f>ROUNDUP(HLOOKUP(ROUNDUP(K166,0),'배송비 조회'!A$10:U$22,7,0)*C$3,-2)</f>
        <v>13400</v>
      </c>
      <c r="U166">
        <v>0</v>
      </c>
      <c r="V166">
        <f>ROUND(IF(R166&gt;0,0,(S166+T166)*0.3),-2)</f>
        <v>16800</v>
      </c>
      <c r="W166">
        <f>ROUND(IF(R166&gt;0,0,(S166+T166)*0.5),-2)</f>
        <v>28000</v>
      </c>
      <c r="X166">
        <f>IF(R166&gt;0,SUM(S166:T166),SUM(S166:V166))</f>
        <v>72700</v>
      </c>
      <c r="Y166">
        <f>IF(R166&gt;0,SUM(S166:T166),SUM(S166:U166)+W166)</f>
        <v>83900</v>
      </c>
      <c r="Z166">
        <v>0</v>
      </c>
      <c r="AA166">
        <f>X166*0.038</f>
        <v>2762.6</v>
      </c>
      <c r="AB166">
        <f>X166*0.02</f>
        <v>1454</v>
      </c>
      <c r="AC166">
        <f>Y166*0.1</f>
        <v>8390</v>
      </c>
      <c r="AD166">
        <f>X166-AA166-AB166</f>
        <v>68483.4</v>
      </c>
      <c r="AE166">
        <f>Y166-AC166</f>
        <v>75510</v>
      </c>
      <c r="AF166">
        <f>AD166*0.01</f>
        <v>684.834</v>
      </c>
      <c r="AG166">
        <f>AD166-Q166-AF166-T166</f>
        <v>11898.565999999995</v>
      </c>
      <c r="AH166">
        <f>AE166-Q166-AF166-T166</f>
        <v>18925.166</v>
      </c>
      <c r="AI166">
        <f>AG166/X166</f>
        <v>0.16366665749656115</v>
      </c>
      <c r="AJ166">
        <f>AH166/Y166</f>
        <v>0.22556812872467225</v>
      </c>
      <c r="AW166">
        <v>4622117899</v>
      </c>
    </row>
    <row r="167">
      <c r="A167">
        <f>HYPERLINK("https://smartstore.naver.com/brickstore2019/products/4623560286",AW:AW)</f>
        <v>4623560286</v>
      </c>
      <c r="C167" t="str">
        <v>타이거너 노트북 백팩 여행용 회사원 직장인 백팩 Tigernu B07R3H75R7</v>
      </c>
      <c r="E167" t="str">
        <v>Tigernu Travel Laptop Backpack Business Anti Theft Slim Backpacks with USB Charging Port Water Resistant Bookbag for Women &amp; Men Fits 15.6 Inch Laptop - Black</v>
      </c>
      <c r="G167" t="str">
        <f>HYPERLINK("https://www.amazon.com/Backpack-Business-Backpacks-Charging-Resistant/dp/B07R3H75R7/ref=sr_1_2?keywords=tigernu+backpack&amp;qid=1565012059&amp;refinements=p_89%3ATIGERNU&amp;rnid=2528832011&amp;s=gateway&amp;sr=8-2","A")</f>
        <v>A</v>
      </c>
      <c r="J167">
        <v>31.42</v>
      </c>
      <c r="K167">
        <v>2.3</v>
      </c>
      <c r="L167">
        <f>IF(K167&gt;0,K167*16,)</f>
        <v>36.8</v>
      </c>
      <c r="M167">
        <f>IF(K167&gt;0,K167*0.453592,IF(L167&gt;0,L167*0.02835,))</f>
        <v>1.0432616</v>
      </c>
      <c r="N167">
        <v>0</v>
      </c>
      <c r="O167">
        <v>0</v>
      </c>
      <c r="P167">
        <f>J167+O167+N167</f>
        <v>31.42</v>
      </c>
      <c r="Q167">
        <f>P167*C3</f>
        <v>39275</v>
      </c>
      <c r="R167">
        <v>0</v>
      </c>
      <c r="S167">
        <f>ROUND(SUM(Q167:R167), -2)</f>
        <v>39300</v>
      </c>
      <c r="T167">
        <f>ROUNDUP(HLOOKUP(ROUNDUP(K167,0),'배송비 조회'!A$10:U$22,7,0)*C$3,-2)</f>
        <v>13400</v>
      </c>
      <c r="U167">
        <v>0</v>
      </c>
      <c r="V167">
        <f>ROUND(IF(R167&gt;0,0,(S167+T167)*0.3),-2)</f>
        <v>15800</v>
      </c>
      <c r="W167">
        <f>ROUND(IF(R167&gt;0,0,(S167+T167)*0.5),-2)</f>
        <v>26400</v>
      </c>
      <c r="X167">
        <f>IF(R167&gt;0,SUM(S167:T167),SUM(S167:V167))</f>
        <v>68500</v>
      </c>
      <c r="Y167">
        <f>IF(R167&gt;0,SUM(S167:T167),SUM(S167:U167)+W167)</f>
        <v>79100</v>
      </c>
      <c r="Z167">
        <v>0</v>
      </c>
      <c r="AA167">
        <f>X167*0.038</f>
        <v>2603</v>
      </c>
      <c r="AB167">
        <f>X167*0.02</f>
        <v>1370</v>
      </c>
      <c r="AC167">
        <f>Y167*0.1</f>
        <v>7910</v>
      </c>
      <c r="AD167">
        <f>X167-AA167-AB167</f>
        <v>64527</v>
      </c>
      <c r="AE167">
        <f>Y167-AC167</f>
        <v>71190</v>
      </c>
      <c r="AF167">
        <f>AD167*0.01</f>
        <v>645.27</v>
      </c>
      <c r="AG167">
        <f>AD167-Q167-AF167-T167</f>
        <v>11206.73</v>
      </c>
      <c r="AH167">
        <f>AE167-Q167-AF167-T167</f>
        <v>17869.73</v>
      </c>
      <c r="AI167">
        <f>AG167/X167</f>
        <v>0.16360189781021897</v>
      </c>
      <c r="AJ167">
        <f>AH167/Y167</f>
        <v>0.22591314791403286</v>
      </c>
      <c r="AW167">
        <v>4623560286</v>
      </c>
    </row>
    <row r="168">
      <c r="A168">
        <f>HYPERLINK("https://smartstore.naver.com/brickstore2019/products/4623599110",AW:AW)</f>
        <v>4623599110</v>
      </c>
      <c r="C168" t="str">
        <v>타이거너 노트북 백팩 여행용 회사원 직장인 백팩 Tigernu T-B3221-B-123</v>
      </c>
      <c r="E168" t="str">
        <v>Tigernu Travel Laptop Backpack with USB Charging Port Business Computer Backpack with Laptop Compartment Anti-Theft Waterproof Work Backpack for Men Women Fit 15.6 inch Laptop/MacBook</v>
      </c>
      <c r="G168" t="str">
        <v>A</v>
      </c>
      <c r="J168">
        <v>31</v>
      </c>
      <c r="K168">
        <v>2.3</v>
      </c>
      <c r="L168">
        <f>IF(K168&gt;0,K168*16,)</f>
        <v>36.8</v>
      </c>
      <c r="M168">
        <f>IF(K168&gt;0,K168*0.453592,IF(L168&gt;0,L168*0.02835,))</f>
        <v>1.0432616</v>
      </c>
      <c r="N168">
        <v>0</v>
      </c>
      <c r="O168">
        <v>0</v>
      </c>
      <c r="P168">
        <f>J168+O168+N168</f>
        <v>31</v>
      </c>
      <c r="Q168">
        <f>P168*C3</f>
        <v>38750</v>
      </c>
      <c r="R168">
        <v>0</v>
      </c>
      <c r="S168">
        <f>ROUND(SUM(Q168:R168), -2)</f>
        <v>38800</v>
      </c>
      <c r="T168">
        <f>ROUNDUP(HLOOKUP(ROUNDUP(K168,0),'배송비 조회'!A$10:U$22,7,0)*C$3,-2)</f>
        <v>13400</v>
      </c>
      <c r="U168">
        <v>0</v>
      </c>
      <c r="V168">
        <f>ROUND(IF(R168&gt;0,0,(S168+T168)*0.3),-2)</f>
        <v>15700</v>
      </c>
      <c r="W168">
        <f>ROUND(IF(R168&gt;0,0,(S168+T168)*0.5),-2)</f>
        <v>26100</v>
      </c>
      <c r="X168">
        <f>IF(R168&gt;0,SUM(S168:T168),SUM(S168:V168))</f>
        <v>67900</v>
      </c>
      <c r="Y168">
        <f>IF(R168&gt;0,SUM(S168:T168),SUM(S168:U168)+W168)</f>
        <v>78300</v>
      </c>
      <c r="Z168">
        <v>0</v>
      </c>
      <c r="AA168">
        <f>X168*0.038</f>
        <v>2580.2</v>
      </c>
      <c r="AB168">
        <f>X168*0.02</f>
        <v>1358</v>
      </c>
      <c r="AC168">
        <f>Y168*0.1</f>
        <v>7830</v>
      </c>
      <c r="AD168">
        <f>X168-AA168-AB168</f>
        <v>63961.8</v>
      </c>
      <c r="AE168">
        <f>Y168-AC168</f>
        <v>70470</v>
      </c>
      <c r="AF168">
        <f>AD168*0.01</f>
        <v>639.618</v>
      </c>
      <c r="AG168">
        <f>AD168-Q168-AF168-T168</f>
        <v>11172.182000000004</v>
      </c>
      <c r="AH168">
        <f>AE168-Q168-AF168-T168</f>
        <v>17680.382</v>
      </c>
      <c r="AI168">
        <f>AG168/X168</f>
        <v>0.164538762886598</v>
      </c>
      <c r="AJ168">
        <f>AH168/Y168</f>
        <v>0.2258030906768838</v>
      </c>
      <c r="AW168">
        <v>4623599110</v>
      </c>
    </row>
    <row r="169">
      <c r="A169">
        <f>HYPERLINK("https://smartstore.naver.com/brickstore2019/products/4625150730",AW:AW)</f>
        <v>4625150730</v>
      </c>
      <c r="C169" t="str">
        <v xml:space="preserve">위카포 캠핑클럽 풍선식 에어소파 해먹 </v>
      </c>
      <c r="E169" t="str">
        <v>WEKAPO Inflatable Lounger Air Sofa Hammock-Portable,Water Proof&amp; Anti-Air Leaking Design-Ideal Couch for Backyard Lakeside Beach Traveling Camping Picnics &amp; Music Festivals</v>
      </c>
      <c r="F169" t="str">
        <v xml:space="preserve">black </v>
      </c>
      <c r="G169" t="str">
        <f>HYPERLINK("https://www.amazon.com/WEKAPO-Inflatable-Hammock-Portable-Design-Ideal-Traveling/dp/B075CGZHPJ/ref=sr_1_21_sspa?keywords=air%2Bsofa&amp;qid=1565095522&amp;s=gateway&amp;sr=8-21-spons&amp;th=1","A")</f>
        <v>A</v>
      </c>
      <c r="J169">
        <v>36</v>
      </c>
      <c r="K169">
        <v>2.7</v>
      </c>
      <c r="L169">
        <f>IF(K169&gt;0,K169*16,)</f>
        <v>43.2</v>
      </c>
      <c r="M169">
        <f>IF(K169&gt;0,K169*0.453592,IF(L169&gt;0,L169*0.02835,))</f>
        <v>1.2246984</v>
      </c>
      <c r="N169">
        <v>0</v>
      </c>
      <c r="O169">
        <v>0</v>
      </c>
      <c r="P169">
        <f>J169+O169+N169</f>
        <v>36</v>
      </c>
      <c r="Q169">
        <f>P169*C3</f>
        <v>45000</v>
      </c>
      <c r="R169">
        <v>0</v>
      </c>
      <c r="S169">
        <f>ROUND(SUM(Q169:R169), -2)</f>
        <v>45000</v>
      </c>
      <c r="T169">
        <f>ROUNDUP(HLOOKUP(ROUNDUP(K169,0),'배송비 조회'!A$10:U$22,7,0)*C$3,-2)</f>
        <v>13400</v>
      </c>
      <c r="U169">
        <v>0</v>
      </c>
      <c r="V169">
        <f>ROUND(IF(R169&gt;0,0,(S169+T169)*0.3),-2)</f>
        <v>17500</v>
      </c>
      <c r="W169">
        <f>ROUND(IF(R169&gt;0,0,(S169+T169)*0.5),-2)</f>
        <v>29200</v>
      </c>
      <c r="X169">
        <f>IF(R169&gt;0,SUM(S169:T169),SUM(S169:V169))</f>
        <v>75900</v>
      </c>
      <c r="Y169">
        <f>IF(R169&gt;0,SUM(S169:T169),SUM(S169:U169)+W169)</f>
        <v>87600</v>
      </c>
      <c r="Z169">
        <v>0</v>
      </c>
      <c r="AA169">
        <f>X169*0.038</f>
        <v>2884.2</v>
      </c>
      <c r="AB169">
        <f>X169*0.02</f>
        <v>1518</v>
      </c>
      <c r="AC169">
        <f>Y169*0.1</f>
        <v>8760</v>
      </c>
      <c r="AD169">
        <f>X169-AA169-AB169</f>
        <v>71497.8</v>
      </c>
      <c r="AE169">
        <f>Y169-AC169</f>
        <v>78840</v>
      </c>
      <c r="AF169">
        <f>AD169*0.01</f>
        <v>714.9780000000001</v>
      </c>
      <c r="AG169">
        <f>AD169-Q169-AF169-T169</f>
        <v>12382.822000000004</v>
      </c>
      <c r="AH169">
        <f>AE169-Q169-AF169-T169</f>
        <v>19725.021999999997</v>
      </c>
      <c r="AI169">
        <f>AG169/X169</f>
        <v>0.16314653491436104</v>
      </c>
      <c r="AJ169">
        <f>AH169/Y169</f>
        <v>0.2251714840182648</v>
      </c>
      <c r="AW169">
        <v>4625150730</v>
      </c>
    </row>
    <row r="170">
      <c r="F170" t="str">
        <v>green</v>
      </c>
      <c r="G170" t="str">
        <f>HYPERLINK("https://www.amazon.com/WEKAPO-Inflatable-Hammock-Portable-Design-Ideal-Traveling/dp/B075C98V8K/ref=sr_1_21_sspa?keywords=air%2Bsofa&amp;qid=1565095522&amp;s=gateway&amp;sr=8-21-spons&amp;th=1","A")</f>
        <v>A</v>
      </c>
      <c r="J170">
        <v>40</v>
      </c>
      <c r="K170">
        <v>2.7</v>
      </c>
      <c r="L170">
        <f>IF(K170&gt;0,K170*16,)</f>
        <v>43.2</v>
      </c>
      <c r="M170">
        <f>IF(K170&gt;0,K170*0.453592,IF(L170&gt;0,L170*0.02835,))</f>
        <v>1.2246984</v>
      </c>
      <c r="N170">
        <v>0</v>
      </c>
      <c r="O170">
        <v>0</v>
      </c>
      <c r="P170">
        <f>J170+O170+N170</f>
        <v>40</v>
      </c>
      <c r="Q170">
        <f>P170*C3</f>
        <v>50000</v>
      </c>
      <c r="R170">
        <v>0</v>
      </c>
      <c r="S170">
        <f>ROUND(SUM(Q170:R170), -2)</f>
        <v>50000</v>
      </c>
      <c r="T170">
        <f>ROUNDUP(HLOOKUP(ROUNDUP(K170,0),'배송비 조회'!A$10:U$22,7,0)*C$3,-2)</f>
        <v>13400</v>
      </c>
      <c r="U170">
        <v>0</v>
      </c>
      <c r="V170">
        <f>ROUND(IF(R170&gt;0,0,(S170+T170)*0.3),-2)</f>
        <v>19000</v>
      </c>
      <c r="W170">
        <f>ROUND(IF(R170&gt;0,0,(S170+T170)*0.5),-2)</f>
        <v>31700</v>
      </c>
      <c r="X170">
        <f>IF(R170&gt;0,SUM(S170:T170),SUM(S170:V170))</f>
        <v>82400</v>
      </c>
      <c r="Y170">
        <f>IF(R170&gt;0,SUM(S170:T170),SUM(S170:U170)+W170)</f>
        <v>95100</v>
      </c>
      <c r="Z170">
        <v>0</v>
      </c>
      <c r="AA170">
        <f>X170*0.038</f>
        <v>3131.2</v>
      </c>
      <c r="AB170">
        <f>X170*0.02</f>
        <v>1648</v>
      </c>
      <c r="AC170">
        <f>Y170*0.1</f>
        <v>9510</v>
      </c>
      <c r="AD170">
        <f>X170-AA170-AB170</f>
        <v>77620.8</v>
      </c>
      <c r="AE170">
        <f>Y170-AC170</f>
        <v>85590</v>
      </c>
      <c r="AF170">
        <f>AD170*0.01</f>
        <v>776.2080000000001</v>
      </c>
      <c r="AG170">
        <f>AD170-Q170-AF170-T170</f>
        <v>13444.592000000004</v>
      </c>
      <c r="AH170">
        <f>AE170-Q170-AF170-T170</f>
        <v>21413.792</v>
      </c>
      <c r="AI170">
        <f>AG170/X170</f>
        <v>0.16316252427184472</v>
      </c>
      <c r="AJ170">
        <f>AH170/Y170</f>
        <v>0.22517131440588856</v>
      </c>
    </row>
    <row r="171">
      <c r="F171" t="str">
        <v>orange</v>
      </c>
      <c r="G171" t="str">
        <f>HYPERLINK("https://www.amazon.com/WEKAPO-Inflatable-Hammock-Portable-Design-Ideal-Traveling/dp/B073PWF537/ref=sr_1_21_sspa?keywords=air%2Bsofa&amp;qid=1565095522&amp;s=gateway&amp;sr=8-21-spons&amp;th=1","A")</f>
        <v>A</v>
      </c>
      <c r="J171">
        <v>40</v>
      </c>
      <c r="K171">
        <v>2.7</v>
      </c>
      <c r="L171">
        <f>IF(K171&gt;0,K171*16,)</f>
        <v>43.2</v>
      </c>
      <c r="M171">
        <f>IF(K171&gt;0,K171*0.453592,IF(L171&gt;0,L171*0.02835,))</f>
        <v>1.2246984</v>
      </c>
      <c r="N171">
        <v>0</v>
      </c>
      <c r="O171">
        <v>0</v>
      </c>
      <c r="P171">
        <f>J171+O171+N171</f>
        <v>40</v>
      </c>
      <c r="Q171">
        <f>P171*C3</f>
        <v>50000</v>
      </c>
      <c r="R171">
        <v>0</v>
      </c>
      <c r="S171">
        <f>ROUND(SUM(Q171:R171), -2)</f>
        <v>50000</v>
      </c>
      <c r="T171">
        <f>ROUNDUP(HLOOKUP(ROUNDUP(K171,0),'배송비 조회'!A$10:U$22,7,0)*C$3,-2)</f>
        <v>13400</v>
      </c>
      <c r="U171">
        <v>0</v>
      </c>
      <c r="V171">
        <f>ROUND(IF(R171&gt;0,0,(S171+T171)*0.3),-2)</f>
        <v>19000</v>
      </c>
      <c r="W171">
        <f>ROUND(IF(R171&gt;0,0,(S171+T171)*0.5),-2)</f>
        <v>31700</v>
      </c>
      <c r="X171">
        <f>IF(R171&gt;0,SUM(S171:T171),SUM(S171:V171))</f>
        <v>82400</v>
      </c>
      <c r="Y171">
        <f>IF(R171&gt;0,SUM(S171:T171),SUM(S171:U171)+W171)</f>
        <v>95100</v>
      </c>
      <c r="Z171">
        <v>0</v>
      </c>
      <c r="AA171">
        <f>X171*0.038</f>
        <v>3131.2</v>
      </c>
      <c r="AB171">
        <f>X171*0.02</f>
        <v>1648</v>
      </c>
      <c r="AC171">
        <f>Y171*0.1</f>
        <v>9510</v>
      </c>
      <c r="AD171">
        <f>X171-AA171-AB171</f>
        <v>77620.8</v>
      </c>
      <c r="AE171">
        <f>Y171-AC171</f>
        <v>85590</v>
      </c>
      <c r="AF171">
        <f>AD171*0.01</f>
        <v>776.2080000000001</v>
      </c>
      <c r="AG171">
        <f>AD171-Q171-AF171-T171</f>
        <v>13444.592000000004</v>
      </c>
      <c r="AH171">
        <f>AE171-Q171-AF171-T171</f>
        <v>21413.792</v>
      </c>
      <c r="AI171">
        <f>AG171/X171</f>
        <v>0.16316252427184472</v>
      </c>
      <c r="AJ171">
        <f>AH171/Y171</f>
        <v>0.22517131440588856</v>
      </c>
    </row>
    <row r="172">
      <c r="F172" t="str">
        <v>pink</v>
      </c>
      <c r="G172" t="str">
        <f>HYPERLINK("https://www.amazon.com/WEKAPO-Inflatable-Hammock-Portable-Design-Ideal-Traveling/dp/B075CFXHSZ/ref=sr_1_21_sspa?keywords=air%2Bsofa&amp;qid=1565095522&amp;s=gateway&amp;sr=8-21-spons&amp;th=1","A")</f>
        <v>A</v>
      </c>
      <c r="J172">
        <v>40</v>
      </c>
      <c r="K172">
        <v>2.7</v>
      </c>
      <c r="L172">
        <f>IF(K172&gt;0,K172*16,)</f>
        <v>43.2</v>
      </c>
      <c r="M172">
        <f>IF(K172&gt;0,K172*0.453592,IF(L172&gt;0,L172*0.02835,))</f>
        <v>1.2246984</v>
      </c>
      <c r="N172">
        <v>0</v>
      </c>
      <c r="O172">
        <v>0</v>
      </c>
      <c r="P172">
        <f>J172+O172+N172</f>
        <v>40</v>
      </c>
      <c r="Q172">
        <f>P172*C3</f>
        <v>50000</v>
      </c>
      <c r="R172">
        <v>0</v>
      </c>
      <c r="S172">
        <f>ROUND(SUM(Q172:R172), -2)</f>
        <v>50000</v>
      </c>
      <c r="T172">
        <f>ROUNDUP(HLOOKUP(ROUNDUP(K172,0),'배송비 조회'!A$10:U$22,7,0)*C$3,-2)</f>
        <v>13400</v>
      </c>
      <c r="U172">
        <v>0</v>
      </c>
      <c r="V172">
        <f>ROUND(IF(R172&gt;0,0,(S172+T172)*0.3),-2)</f>
        <v>19000</v>
      </c>
      <c r="W172">
        <f>ROUND(IF(R172&gt;0,0,(S172+T172)*0.5),-2)</f>
        <v>31700</v>
      </c>
      <c r="X172">
        <f>IF(R172&gt;0,SUM(S172:T172),SUM(S172:V172))</f>
        <v>82400</v>
      </c>
      <c r="Y172">
        <f>IF(R172&gt;0,SUM(S172:T172),SUM(S172:U172)+W172)</f>
        <v>95100</v>
      </c>
      <c r="Z172">
        <v>0</v>
      </c>
      <c r="AA172">
        <f>X172*0.038</f>
        <v>3131.2</v>
      </c>
      <c r="AB172">
        <f>X172*0.02</f>
        <v>1648</v>
      </c>
      <c r="AC172">
        <f>Y172*0.1</f>
        <v>9510</v>
      </c>
      <c r="AD172">
        <f>X172-AA172-AB172</f>
        <v>77620.8</v>
      </c>
      <c r="AE172">
        <f>Y172-AC172</f>
        <v>85590</v>
      </c>
      <c r="AF172">
        <f>AD172*0.01</f>
        <v>776.2080000000001</v>
      </c>
      <c r="AG172">
        <f>AD172-Q172-AF172-T172</f>
        <v>13444.592000000004</v>
      </c>
      <c r="AH172">
        <f>AE172-Q172-AF172-T172</f>
        <v>21413.792</v>
      </c>
      <c r="AI172">
        <f>AG172/X172</f>
        <v>0.16316252427184472</v>
      </c>
      <c r="AJ172">
        <f>AH172/Y172</f>
        <v>0.22517131440588856</v>
      </c>
    </row>
    <row r="173">
      <c r="F173" t="str">
        <v>purple</v>
      </c>
      <c r="G173" t="str">
        <f>HYPERLINK("https://www.amazon.com/WEKAPO-Inflatable-Hammock-Portable-Design-Ideal-Traveling/dp/B073PVXSZS/ref=sr_1_21_sspa?keywords=air%2Bsofa&amp;qid=1565095522&amp;s=gateway&amp;sr=8-21-spons&amp;th=1","A")</f>
        <v>A</v>
      </c>
      <c r="J173">
        <v>40</v>
      </c>
      <c r="K173">
        <v>2.7</v>
      </c>
      <c r="L173">
        <f>IF(K173&gt;0,K173*16,)</f>
        <v>43.2</v>
      </c>
      <c r="M173">
        <f>IF(K173&gt;0,K173*0.453592,IF(L173&gt;0,L173*0.02835,))</f>
        <v>1.2246984</v>
      </c>
      <c r="N173">
        <v>0</v>
      </c>
      <c r="O173">
        <v>0</v>
      </c>
      <c r="P173">
        <f>J173+O173+N173</f>
        <v>40</v>
      </c>
      <c r="Q173">
        <f>P173*C3</f>
        <v>50000</v>
      </c>
      <c r="R173">
        <v>0</v>
      </c>
      <c r="S173">
        <f>ROUND(SUM(Q173:R173), -2)</f>
        <v>50000</v>
      </c>
      <c r="T173">
        <f>ROUNDUP(HLOOKUP(ROUNDUP(K173,0),'배송비 조회'!A$10:U$22,7,0)*C$3,-2)</f>
        <v>13400</v>
      </c>
      <c r="U173">
        <v>0</v>
      </c>
      <c r="V173">
        <f>ROUND(IF(R173&gt;0,0,(S173+T173)*0.3),-2)</f>
        <v>19000</v>
      </c>
      <c r="W173">
        <f>ROUND(IF(R173&gt;0,0,(S173+T173)*0.5),-2)</f>
        <v>31700</v>
      </c>
      <c r="X173">
        <f>IF(R173&gt;0,SUM(S173:T173),SUM(S173:V173))</f>
        <v>82400</v>
      </c>
      <c r="Y173">
        <f>IF(R173&gt;0,SUM(S173:T173),SUM(S173:U173)+W173)</f>
        <v>95100</v>
      </c>
      <c r="Z173">
        <v>0</v>
      </c>
      <c r="AA173">
        <f>X173*0.038</f>
        <v>3131.2</v>
      </c>
      <c r="AB173">
        <f>X173*0.02</f>
        <v>1648</v>
      </c>
      <c r="AC173">
        <f>Y173*0.1</f>
        <v>9510</v>
      </c>
      <c r="AD173">
        <f>X173-AA173-AB173</f>
        <v>77620.8</v>
      </c>
      <c r="AE173">
        <f>Y173-AC173</f>
        <v>85590</v>
      </c>
      <c r="AF173">
        <f>AD173*0.01</f>
        <v>776.2080000000001</v>
      </c>
      <c r="AG173">
        <f>AD173-Q173-AF173-T173</f>
        <v>13444.592000000004</v>
      </c>
      <c r="AH173">
        <f>AE173-Q173-AF173-T173</f>
        <v>21413.792</v>
      </c>
      <c r="AI173">
        <f>AG173/X173</f>
        <v>0.16316252427184472</v>
      </c>
      <c r="AJ173">
        <f>AH173/Y173</f>
        <v>0.22517131440588856</v>
      </c>
    </row>
    <row r="174">
      <c r="F174" t="str">
        <v>blue</v>
      </c>
      <c r="G174" t="str">
        <f>HYPERLINK("https://www.amazon.com/WEKAPO-Inflatable-Hammock-Portable-Design-Ideal-Traveling/dp/B073PVYF7C/ref=sr_1_21_sspa?keywords=air%2Bsofa&amp;qid=1565095522&amp;s=gateway&amp;sr=8-21-spons&amp;th=1","A")</f>
        <v>A</v>
      </c>
      <c r="J174">
        <v>40</v>
      </c>
      <c r="K174">
        <v>2.7</v>
      </c>
      <c r="L174">
        <f>IF(K174&gt;0,K174*16,)</f>
        <v>43.2</v>
      </c>
      <c r="M174">
        <f>IF(K174&gt;0,K174*0.453592,IF(L174&gt;0,L174*0.02835,))</f>
        <v>1.2246984</v>
      </c>
      <c r="N174">
        <v>0</v>
      </c>
      <c r="O174">
        <v>0</v>
      </c>
      <c r="P174">
        <f>J174+O174+N174</f>
        <v>40</v>
      </c>
      <c r="Q174">
        <f>P174*C3</f>
        <v>50000</v>
      </c>
      <c r="R174">
        <v>0</v>
      </c>
      <c r="S174">
        <f>ROUND(SUM(Q174:R174), -2)</f>
        <v>50000</v>
      </c>
      <c r="T174">
        <f>ROUNDUP(HLOOKUP(ROUNDUP(K174,0),'배송비 조회'!A$10:U$22,7,0)*C$3,-2)</f>
        <v>13400</v>
      </c>
      <c r="U174">
        <v>0</v>
      </c>
      <c r="V174">
        <f>ROUND(IF(R174&gt;0,0,(S174+T174)*0.3),-2)</f>
        <v>19000</v>
      </c>
      <c r="W174">
        <f>ROUND(IF(R174&gt;0,0,(S174+T174)*0.5),-2)</f>
        <v>31700</v>
      </c>
      <c r="X174">
        <f>IF(R174&gt;0,SUM(S174:T174),SUM(S174:V174))</f>
        <v>82400</v>
      </c>
      <c r="Y174">
        <f>IF(R174&gt;0,SUM(S174:T174),SUM(S174:U174)+W174)</f>
        <v>95100</v>
      </c>
      <c r="Z174">
        <v>0</v>
      </c>
      <c r="AA174">
        <f>X174*0.038</f>
        <v>3131.2</v>
      </c>
      <c r="AB174">
        <f>X174*0.02</f>
        <v>1648</v>
      </c>
      <c r="AC174">
        <f>Y174*0.1</f>
        <v>9510</v>
      </c>
      <c r="AD174">
        <f>X174-AA174-AB174</f>
        <v>77620.8</v>
      </c>
      <c r="AE174">
        <f>Y174-AC174</f>
        <v>85590</v>
      </c>
      <c r="AF174">
        <f>AD174*0.01</f>
        <v>776.2080000000001</v>
      </c>
      <c r="AG174">
        <f>AD174-Q174-AF174-T174</f>
        <v>13444.592000000004</v>
      </c>
      <c r="AH174">
        <f>AE174-Q174-AF174-T174</f>
        <v>21413.792</v>
      </c>
      <c r="AI174">
        <f>AG174/X174</f>
        <v>0.16316252427184472</v>
      </c>
      <c r="AJ174">
        <f>AH174/Y174</f>
        <v>0.22517131440588856</v>
      </c>
    </row>
    <row r="175">
      <c r="A175">
        <f>HYPERLINK("https://smartstore.naver.com/brickstore2019/products/4625128891",AW:AW)</f>
        <v>4625128891</v>
      </c>
      <c r="C175" t="str">
        <v>서피스고 USB C 타입 허브 어댑터 동글 4k hdmi 오디오잭 Purgo</v>
      </c>
      <c r="E175" t="str">
        <v>Purgo USB Type C Hub Adapter Dongle for Surface Go, with 4K HDMI, USB 3.0, USB-C and 3.5mm Audio Jack.</v>
      </c>
      <c r="G175" t="str">
        <f>HYPERLINK("https://www.amazon.com/Purgo-Adapter-Dongle-Surface-USB-C/dp/B07QDPFLJ1/ref=sr_1_1_sspa?crid=2WRTPTOKFYHFT&amp;keywords=surface+go+accessories&amp;qid=1565099369&amp;s=gateway&amp;sprefix=surfacego+ac%2Caps%2C-1&amp;sr=8-1-spons&amp;psc=1#customerReviews","A")</f>
        <v>A</v>
      </c>
      <c r="J175">
        <v>40</v>
      </c>
      <c r="K175">
        <f>IF(L175&gt;0,L175*0.0625,)</f>
        <v>0.1</v>
      </c>
      <c r="L175">
        <v>1.6</v>
      </c>
      <c r="M175">
        <f>IF(K175&gt;0,K175*0.453592,IF(L175&gt;0,L175*0.02835,))</f>
        <v>0.0453592</v>
      </c>
      <c r="N175">
        <v>0</v>
      </c>
      <c r="O175">
        <v>0</v>
      </c>
      <c r="P175">
        <f>J175+O175+N175</f>
        <v>40</v>
      </c>
      <c r="Q175">
        <f>P175*C3</f>
        <v>50000</v>
      </c>
      <c r="R175">
        <v>0</v>
      </c>
      <c r="S175">
        <f>ROUND(SUM(Q175:R175), -2)</f>
        <v>50000</v>
      </c>
      <c r="T175">
        <f>ROUNDUP(HLOOKUP(ROUNDUP(K175,0),'배송비 조회'!A$10:U$22,7,0)*C$3,-2)</f>
        <v>9000</v>
      </c>
      <c r="U175">
        <v>0</v>
      </c>
      <c r="V175">
        <f>ROUND(IF(R175&gt;0,0,(S175+T175)*0.3),-2)</f>
        <v>17700</v>
      </c>
      <c r="W175">
        <f>ROUND(IF(R175&gt;0,0,(S175+T175)*0.5),-2)</f>
        <v>29500</v>
      </c>
      <c r="X175">
        <f>IF(R175&gt;0,SUM(S175:T175),SUM(S175:V175))</f>
        <v>76700</v>
      </c>
      <c r="Y175">
        <f>IF(R175&gt;0,SUM(S175:T175),SUM(S175:U175)+W175)</f>
        <v>88500</v>
      </c>
      <c r="Z175">
        <v>0</v>
      </c>
      <c r="AA175">
        <f>X175*0.038</f>
        <v>2914.6</v>
      </c>
      <c r="AB175">
        <f>X175*0.02</f>
        <v>1534</v>
      </c>
      <c r="AC175">
        <f>Y175*0.1</f>
        <v>8850</v>
      </c>
      <c r="AD175">
        <f>X175-AA175-AB175</f>
        <v>72251.4</v>
      </c>
      <c r="AE175">
        <f>Y175-AC175</f>
        <v>79650</v>
      </c>
      <c r="AF175">
        <f>AD175*0.01</f>
        <v>722.514</v>
      </c>
      <c r="AG175">
        <f>AD175-Q175-AF175-T175</f>
        <v>12528.885999999995</v>
      </c>
      <c r="AH175">
        <f>AE175-Q175-AF175-T175</f>
        <v>19927.486</v>
      </c>
      <c r="AI175">
        <f>AG175/X175</f>
        <v>0.1633492307692307</v>
      </c>
      <c r="AJ175">
        <f>AH175/Y175</f>
        <v>0.22516933333333333</v>
      </c>
      <c r="AW175">
        <v>4625128891</v>
      </c>
    </row>
    <row r="176">
      <c r="A176">
        <f>HYPERLINK("https://smartstore.naver.com/brickstore2019/products/4625145100",AW:AW)</f>
        <v>4625145100</v>
      </c>
      <c r="C176" t="str">
        <v>서피스프로4 전용 USB 3.0 허브 sd 카드 리더 HDMI 어댑터</v>
      </c>
      <c r="E176" t="str">
        <v>Surface Pro 4 USB 3.0 Hub and Card Reader Combo with Build-in Mini DP to HDMI Adapter, Dual USB 3.0 Port and SD &amp; 2 TF/Micro SD Memory Card Reader for Microsoft Surface Pro 4</v>
      </c>
      <c r="G176" t="str">
        <f>HYPERLINK("https://www.amazon.com/Surface-Reader-Build-Adapter-Microsoft/dp/B07CYMPV5H/ref=sr_1_4?keywords=Opluz+surface+pro&amp;qid=1565100964&amp;s=gateway&amp;sr=8-4","A")</f>
        <v>A</v>
      </c>
      <c r="J176">
        <v>25</v>
      </c>
      <c r="K176">
        <f>IF(L176&gt;0,L176*0.0625,)</f>
        <v>0.1</v>
      </c>
      <c r="L176">
        <v>1.6</v>
      </c>
      <c r="M176">
        <f>IF(K176&gt;0,K176*0.453592,IF(L176&gt;0,L176*0.02835,))</f>
        <v>0.0453592</v>
      </c>
      <c r="N176">
        <v>0</v>
      </c>
      <c r="O176">
        <v>0</v>
      </c>
      <c r="P176">
        <f>J176+O176+N176</f>
        <v>25</v>
      </c>
      <c r="Q176">
        <f>P176*C3</f>
        <v>31250</v>
      </c>
      <c r="R176">
        <v>0</v>
      </c>
      <c r="S176">
        <f>ROUND(SUM(Q176:R176), -2)</f>
        <v>31300</v>
      </c>
      <c r="T176">
        <f>ROUNDUP(HLOOKUP(ROUNDUP(K176,0),'배송비 조회'!A$10:U$22,7,0)*C$3,-2)</f>
        <v>9000</v>
      </c>
      <c r="U176">
        <v>0</v>
      </c>
      <c r="V176">
        <f>ROUND(IF(R176&gt;0,0,(S176+T176)*0.4),-2)</f>
        <v>16100</v>
      </c>
      <c r="W176">
        <f>ROUND(IF(R176&gt;0,0,(S176+T176)*0.5),-2)</f>
        <v>20200</v>
      </c>
      <c r="X176">
        <f>IF(R176&gt;0,SUM(S176:T176),SUM(S176:V176))</f>
        <v>56400</v>
      </c>
      <c r="Y176">
        <f>IF(R176&gt;0,SUM(S176:T176),SUM(S176:U176)+W176)</f>
        <v>60500</v>
      </c>
      <c r="Z176">
        <v>0</v>
      </c>
      <c r="AA176">
        <f>X176*0.038</f>
        <v>2143.2</v>
      </c>
      <c r="AB176">
        <f>X176*0.02</f>
        <v>1128</v>
      </c>
      <c r="AC176">
        <f>Y176*0.1</f>
        <v>6050</v>
      </c>
      <c r="AD176">
        <f>X176-AA176-AB176</f>
        <v>53128.8</v>
      </c>
      <c r="AE176">
        <f>Y176-AC176</f>
        <v>54450</v>
      </c>
      <c r="AF176">
        <f>AD176*0.01</f>
        <v>531.288</v>
      </c>
      <c r="AG176">
        <f>AD176-Q176-AF176-T176</f>
        <v>12347.512000000002</v>
      </c>
      <c r="AH176">
        <f>AE176-Q176-AF176-T176</f>
        <v>13668.712</v>
      </c>
      <c r="AI176">
        <f>AG176/X176</f>
        <v>0.21892751773049648</v>
      </c>
      <c r="AJ176">
        <f>AH176/Y176</f>
        <v>0.22592912396694215</v>
      </c>
      <c r="AW176">
        <v>4625145100</v>
      </c>
    </row>
    <row r="177">
      <c r="A177">
        <f>HYPERLINK("https://smartstore.naver.com/brickstore2019/products/4626658498",AW:AW)</f>
        <v>4626658498</v>
      </c>
      <c r="C177" t="str">
        <v>카메라 흡착 마운트 자동차 석션 마운트 Delkin Fat Gecko Triple</v>
      </c>
      <c r="E177" t="str">
        <v>Delkin DDMNT-TRIPLE Fat Gecko Three-Arm Suction Mount (Black)</v>
      </c>
      <c r="G177" t="str">
        <f>HYPERLINK("https://www.amazon.com/Delkin-DDMNT-TRIPLE-Gecko-Three-Arm-Suction/dp/B00A86MMY8/ref=sr_1_3?keywords=%5BDelkin%5DDelkin+DDMNT-TRIPLE+Fat+Gecko+Three-Arm+Suction+Mount+%28Black%29&amp;qid=1565188010&amp;s=gateway&amp;sr=8-3","A")</f>
        <v>A</v>
      </c>
      <c r="J177">
        <v>69.34</v>
      </c>
      <c r="K177">
        <v>1.8</v>
      </c>
      <c r="L177">
        <f>IF(K177&gt;0,K177*16,)</f>
        <v>28.8</v>
      </c>
      <c r="M177">
        <f>IF(K177&gt;0,K177*0.453592,IF(L177&gt;0,L177*0.02835,))</f>
        <v>0.8164656</v>
      </c>
      <c r="N177">
        <v>0</v>
      </c>
      <c r="O177">
        <v>0</v>
      </c>
      <c r="P177">
        <f>J177+O177+N177</f>
        <v>69.34</v>
      </c>
      <c r="Q177">
        <f>P177*C3</f>
        <v>86675</v>
      </c>
      <c r="R177">
        <v>0</v>
      </c>
      <c r="S177">
        <f>ROUND(SUM(Q177:R177), -2)</f>
        <v>86700</v>
      </c>
      <c r="T177">
        <f>ROUNDUP(HLOOKUP(ROUNDUP(K177,0),'배송비 조회'!A$10:U$22,7,0)*C$3,-2)</f>
        <v>11200</v>
      </c>
      <c r="U177">
        <v>0</v>
      </c>
      <c r="V177">
        <f>ROUND(IF(R177&gt;0,0,(S177+T177)*0.3),-2)</f>
        <v>29400</v>
      </c>
      <c r="W177">
        <f>ROUND(IF(R177&gt;0,0,(S177+T177)*0.5),-2)</f>
        <v>49000</v>
      </c>
      <c r="X177">
        <f>IF(R177&gt;0,SUM(S177:T177),SUM(S177:V177))</f>
        <v>127300</v>
      </c>
      <c r="Y177">
        <f>IF(R177&gt;0,SUM(S177:T177),SUM(S177:U177)+W177)</f>
        <v>146900</v>
      </c>
      <c r="Z177">
        <v>0</v>
      </c>
      <c r="AA177">
        <f>X177*0.038</f>
        <v>4837.4</v>
      </c>
      <c r="AB177">
        <f>X177*0.02</f>
        <v>2546</v>
      </c>
      <c r="AC177">
        <f>Y177*0.1</f>
        <v>14690</v>
      </c>
      <c r="AD177">
        <f>X177-AA177-AB177</f>
        <v>119916.6</v>
      </c>
      <c r="AE177">
        <f>Y177-AC177</f>
        <v>132210</v>
      </c>
      <c r="AF177">
        <f>AD177*0.01</f>
        <v>1199.1660000000002</v>
      </c>
      <c r="AG177">
        <f>AD177-Q177-AF177-T177</f>
        <v>20842.434000000005</v>
      </c>
      <c r="AH177">
        <f>AE177-Q177-AF177-T177</f>
        <v>33135.834</v>
      </c>
      <c r="AI177">
        <f>AG177/X177</f>
        <v>0.16372689709348</v>
      </c>
      <c r="AJ177">
        <f>AH177/Y177</f>
        <v>0.22556728386657593</v>
      </c>
      <c r="AW177">
        <v>4626658498</v>
      </c>
    </row>
    <row r="178">
      <c r="A178">
        <f>HYPERLINK("https://smartstore.naver.com/brickstore2019/products/4627871862",AW:AW)</f>
        <v>4627871862</v>
      </c>
      <c r="C178" t="str">
        <v>마이크로소프트 서피스고 케이스 핸드 스트랩 케이스</v>
      </c>
      <c r="E178" t="str">
        <v>MoKo Case for Microsoft Surface Go 10, All-in-One Protective Rugged Cover Case with Pen Holder, Hand Strap, Compatible with Type Cover Keyboard for Surface Go 10 Inch 2018 Release Tablet - Black</v>
      </c>
      <c r="G178" t="str">
        <f>HYPERLINK("https://www.amazon.com/MoKo-Microsoft-Protective-Compatible-Keyboard/dp/B07JR8NMQ4/ref=sr_1_3?keywords=surface+go+case&amp;qid=1565273645&amp;s=gateway&amp;sr=8-3","A")</f>
        <v>A</v>
      </c>
      <c r="J178">
        <v>26</v>
      </c>
      <c r="K178">
        <f>IF(L178&gt;0,L178*0.0625,)</f>
        <v>0.45</v>
      </c>
      <c r="L178">
        <v>7.2</v>
      </c>
      <c r="M178">
        <f>IF(K178&gt;0,K178*0.453592,IF(L178&gt;0,L178*0.02835,))</f>
        <v>0.2041164</v>
      </c>
      <c r="N178">
        <v>0</v>
      </c>
      <c r="O178">
        <v>0</v>
      </c>
      <c r="P178">
        <f>J178+O178+N178</f>
        <v>26</v>
      </c>
      <c r="Q178">
        <f>P178*C3</f>
        <v>32500</v>
      </c>
      <c r="R178">
        <v>0</v>
      </c>
      <c r="S178">
        <f>ROUND(SUM(Q178:R178), -2)</f>
        <v>32500</v>
      </c>
      <c r="T178">
        <f>ROUNDUP(HLOOKUP(ROUNDUP(K178,0),'배송비 조회'!A$10:U$22,7,0)*C$3,-2)</f>
        <v>9000</v>
      </c>
      <c r="U178">
        <v>0</v>
      </c>
      <c r="V178">
        <f>ROUND(IF(R178&gt;0,0,(S178+T178)*0.4),-2)</f>
        <v>16600</v>
      </c>
      <c r="W178">
        <f>ROUND(IF(R178&gt;0,0,(S178+T178)*0.5),-2)</f>
        <v>20800</v>
      </c>
      <c r="X178">
        <f>IF(R178&gt;0,SUM(S178:T178),SUM(S178:V178))</f>
        <v>58100</v>
      </c>
      <c r="Y178">
        <f>IF(R178&gt;0,SUM(S178:T178),SUM(S178:U178)+W178)</f>
        <v>62300</v>
      </c>
      <c r="AA178">
        <f>X178*0.038</f>
        <v>2207.7999999999997</v>
      </c>
      <c r="AB178">
        <f>X178*0.02</f>
        <v>1162</v>
      </c>
      <c r="AC178">
        <f>Y178*0.1</f>
        <v>6230</v>
      </c>
      <c r="AD178">
        <f>X178-AA178-AB178</f>
        <v>54730.2</v>
      </c>
      <c r="AE178">
        <f>Y178-AC178</f>
        <v>56070</v>
      </c>
      <c r="AF178">
        <f>AD178*0.01</f>
        <v>547.302</v>
      </c>
      <c r="AG178">
        <f>AD178-Q178-AF178-T178</f>
        <v>12682.897999999997</v>
      </c>
      <c r="AH178">
        <f>AE178-Q178-AF178-T178</f>
        <v>14022.698</v>
      </c>
      <c r="AI178">
        <f>AG178/X178</f>
        <v>0.21829428571428566</v>
      </c>
      <c r="AJ178">
        <f>AH178/Y178</f>
        <v>0.22508343499197433</v>
      </c>
      <c r="AW178">
        <v>4627871862</v>
      </c>
    </row>
    <row r="179">
      <c r="A179">
        <f>HYPERLINK("https://smartstore.naver.com/brickstore2019/products/4629745633",AW:AW)</f>
        <v>4629745633</v>
      </c>
      <c r="C179" t="str">
        <v>마이크로소프트 서피스고 보호 범퍼 케이스 펜 홀더 포함</v>
      </c>
      <c r="E179" t="str">
        <v>Microsoft Surface Go Case, i-Blason [Cosmo] Slim Glitter Protective Bumper Case Cover with Pen Holder Compatible with Type Cover Keyboard for Surface Go Tablet 10 Inch (2018 Release) (Marble)</v>
      </c>
      <c r="G179" t="str">
        <f>HYPERLINK("https://www.amazon.com/Microsoft-i-Blason-Protective-Compatible-Keyboard/dp/B07L3MFZ2Q/ref=sr_1_11?keywords=surface+go+case&amp;qid=1565415024&amp;s=gateway&amp;sr=8-11#customerReviews","A")</f>
        <v>A</v>
      </c>
      <c r="J179">
        <v>19.99</v>
      </c>
      <c r="K179">
        <f>IF(L179&gt;0,L179*0.0625,)</f>
        <v>0.5125</v>
      </c>
      <c r="L179">
        <v>8.2</v>
      </c>
      <c r="M179">
        <f>IF(K179&gt;0,K179*0.453592,IF(L179&gt;0,L179*0.02835,))</f>
        <v>0.23246589999999998</v>
      </c>
      <c r="N179">
        <v>0</v>
      </c>
      <c r="O179">
        <v>0</v>
      </c>
      <c r="P179">
        <f>J179+O179+N179</f>
        <v>19.99</v>
      </c>
      <c r="Q179">
        <f>P179*C3</f>
        <v>24987.499999999996</v>
      </c>
      <c r="R179">
        <v>0</v>
      </c>
      <c r="S179">
        <f>ROUND(SUM(Q179:R179), -2)</f>
        <v>25000</v>
      </c>
      <c r="T179">
        <f>ROUNDUP(HLOOKUP(ROUNDUP(K179,0),'배송비 조회'!A$10:U$22,7,0)*C$3,-2)</f>
        <v>9000</v>
      </c>
      <c r="U179">
        <v>0</v>
      </c>
      <c r="V179">
        <f>ROUND(IF(R179&gt;0,0,(S179+T179)*0.5),-2)</f>
        <v>17000</v>
      </c>
      <c r="W179">
        <f>ROUND(IF(R179&gt;0,0,(S179+T179)*0.5),-2)</f>
        <v>17000</v>
      </c>
      <c r="X179">
        <f>IF(R179&gt;0,SUM(S179:T179),SUM(S179:V179))</f>
        <v>51000</v>
      </c>
      <c r="Y179">
        <f>IF(R179&gt;0,SUM(S179:T179),SUM(S179:U179)+W179)</f>
        <v>51000</v>
      </c>
      <c r="Z179">
        <v>0</v>
      </c>
      <c r="AA179">
        <f>X179*0.038</f>
        <v>1938</v>
      </c>
      <c r="AB179">
        <f>X179*0.02</f>
        <v>1020</v>
      </c>
      <c r="AC179">
        <f>Y179*0.1</f>
        <v>5100</v>
      </c>
      <c r="AD179">
        <f>X179-AA179-AB179</f>
        <v>48042</v>
      </c>
      <c r="AE179">
        <f>Y179-AC179</f>
        <v>45900</v>
      </c>
      <c r="AF179">
        <f>AD179*0.01</f>
        <v>480.42</v>
      </c>
      <c r="AG179">
        <f>AD179-Q179-AF179-T179</f>
        <v>13574.080000000005</v>
      </c>
      <c r="AH179">
        <f>AE179-Q179-AF179-T179</f>
        <v>11432.080000000005</v>
      </c>
      <c r="AI179">
        <f>AG179/X179</f>
        <v>0.26615843137254913</v>
      </c>
      <c r="AJ179">
        <f>AH179/Y179</f>
        <v>0.22415843137254912</v>
      </c>
      <c r="AW179">
        <v>4629745633</v>
      </c>
    </row>
    <row r="180">
      <c r="A180">
        <f>HYPERLINK("https://smartstore.naver.com/brickstore2019/products/4629769298",AW:AW)</f>
        <v>4629769298</v>
      </c>
      <c r="C180" t="str">
        <v>마이크로소프트 서피스고 전용 보호 케이스 블랙 그레이 네이비</v>
      </c>
      <c r="E180" t="str">
        <v>ProCase Protective Case for Surface Go, Slim Light Smart Cover Stand Hard Shell for Microsoft Surface Go 2018 with Built-in Surface Pen Holder, Compatible with Surface Type Cover -Navy</v>
      </c>
      <c r="F180" t="str">
        <v>Navy</v>
      </c>
      <c r="G180" t="str">
        <f>HYPERLINK("https://www.amazon.com/ProCase-Protective-Surface-Microsoft-Compatible/dp/B07GZCZ7LZ/ref=sr_1_12?keywords=surface%2Bgo%2Bcase&amp;qid=1565415024&amp;s=gateway&amp;sr=8-12&amp;th=1","A")</f>
        <v>A</v>
      </c>
      <c r="J180">
        <v>13</v>
      </c>
      <c r="K180">
        <f>IF(L180&gt;0,L180*0.0625,)</f>
        <v>0.58125</v>
      </c>
      <c r="L180">
        <v>9.3</v>
      </c>
      <c r="M180">
        <f>IF(K180&gt;0,K180*0.453592,IF(L180&gt;0,L180*0.02835,))</f>
        <v>0.26365035000000003</v>
      </c>
      <c r="N180">
        <v>0</v>
      </c>
      <c r="O180">
        <v>0</v>
      </c>
      <c r="P180">
        <f>J180+O180+N180</f>
        <v>13</v>
      </c>
      <c r="Q180">
        <f>P180*C$3</f>
        <v>16250</v>
      </c>
      <c r="R180">
        <v>0</v>
      </c>
      <c r="S180">
        <f>ROUND(SUM(Q180:R180), -2)</f>
        <v>16300</v>
      </c>
      <c r="T180">
        <f>ROUNDUP(HLOOKUP(ROUNDUP(K180,0),'배송비 조회'!A$10:U$22,7,0)*C$3,-2)</f>
        <v>9000</v>
      </c>
      <c r="U180">
        <v>0</v>
      </c>
      <c r="V180">
        <f>ROUND(IF(R180&gt;0,0,(S180+T180)*0.6),-2)</f>
        <v>15200</v>
      </c>
      <c r="W180">
        <f>ROUND(IF(R180&gt;0,0,(S180+T180)*0.5),-2)</f>
        <v>12700</v>
      </c>
      <c r="X180">
        <f>IF(R180&gt;0,SUM(S180:T180),SUM(S180:V180))</f>
        <v>40500</v>
      </c>
      <c r="Y180">
        <f>IF(R180&gt;0,SUM(S180:T180),SUM(S180:U180)+W180)</f>
        <v>38000</v>
      </c>
      <c r="Z180">
        <v>0</v>
      </c>
      <c r="AA180">
        <f>X180*0.038</f>
        <v>1539</v>
      </c>
      <c r="AB180">
        <f>X180*0.02</f>
        <v>810</v>
      </c>
      <c r="AC180">
        <f>Y180*0.1</f>
        <v>3800</v>
      </c>
      <c r="AD180">
        <f>X180-AA180-AB180</f>
        <v>38151</v>
      </c>
      <c r="AE180">
        <f>Y180-AC180</f>
        <v>34200</v>
      </c>
      <c r="AF180">
        <f>AD180*0.01</f>
        <v>381.51</v>
      </c>
      <c r="AG180">
        <f>AD180-Q180-AF180-T180</f>
        <v>12519.490000000002</v>
      </c>
      <c r="AH180">
        <f>AE180-Q180-AF180-T180</f>
        <v>8568.490000000002</v>
      </c>
      <c r="AI180">
        <f>AG180/X180</f>
        <v>0.30912320987654324</v>
      </c>
      <c r="AJ180">
        <f>AH180/Y180</f>
        <v>0.22548657894736845</v>
      </c>
      <c r="AW180">
        <v>4629769298</v>
      </c>
    </row>
    <row r="181">
      <c r="F181" t="str">
        <v>Black</v>
      </c>
      <c r="G181" t="str">
        <f>HYPERLINK("https://www.amazon.com/ProCase-Protective-Surface-Microsoft-Compatible/dp/B07GZCZ7LZ/ref=sr_1_12?keywords=surface%2Bgo%2Bcase&amp;qid=1565415024&amp;s=gateway&amp;sr=8-12&amp;th=1","A")</f>
        <v>A</v>
      </c>
      <c r="J181">
        <v>13</v>
      </c>
      <c r="K181">
        <f>IF(L181&gt;0,L181*0.0625,)</f>
        <v>0.58125</v>
      </c>
      <c r="L181">
        <v>9.3</v>
      </c>
      <c r="M181">
        <f>IF(K181&gt;0,K181*0.453592,IF(L181&gt;0,L181*0.02835,))</f>
        <v>0.26365035000000003</v>
      </c>
      <c r="N181">
        <v>0</v>
      </c>
      <c r="O181">
        <v>0</v>
      </c>
      <c r="P181">
        <f>J181+O181+N181</f>
        <v>13</v>
      </c>
      <c r="Q181">
        <f>P181*C$3</f>
        <v>16250</v>
      </c>
      <c r="R181">
        <v>0</v>
      </c>
      <c r="S181">
        <f>ROUND(SUM(Q181:R181), -2)</f>
        <v>16300</v>
      </c>
      <c r="T181">
        <f>ROUNDUP(HLOOKUP(ROUNDUP(K181,0),'배송비 조회'!A$10:U$22,7,0)*C$3,-2)</f>
        <v>9000</v>
      </c>
      <c r="U181">
        <v>0</v>
      </c>
      <c r="V181">
        <f>ROUND(IF(R181&gt;0,0,(S181+T181)*0.6),-2)</f>
        <v>15200</v>
      </c>
      <c r="W181">
        <f>ROUND(IF(R181&gt;0,0,(S181+T181)*0.5),-2)</f>
        <v>12700</v>
      </c>
      <c r="X181">
        <f>IF(R181&gt;0,SUM(S181:T181),SUM(S181:V181))</f>
        <v>40500</v>
      </c>
      <c r="Y181">
        <f>IF(R181&gt;0,SUM(S181:T181),SUM(S181:U181)+W181)</f>
        <v>38000</v>
      </c>
      <c r="Z181">
        <v>0</v>
      </c>
      <c r="AA181">
        <f>X181*0.038</f>
        <v>1539</v>
      </c>
      <c r="AB181">
        <f>X181*0.02</f>
        <v>810</v>
      </c>
      <c r="AC181">
        <f>Y181*0.1</f>
        <v>3800</v>
      </c>
      <c r="AD181">
        <f>X181-AA181-AB181</f>
        <v>38151</v>
      </c>
      <c r="AE181">
        <f>Y181-AC181</f>
        <v>34200</v>
      </c>
      <c r="AF181">
        <f>AD181*0.01</f>
        <v>381.51</v>
      </c>
      <c r="AG181">
        <f>AD181-Q181-AF181-T181</f>
        <v>12519.490000000002</v>
      </c>
      <c r="AH181">
        <f>AE181-Q181-AF181-T181</f>
        <v>8568.490000000002</v>
      </c>
      <c r="AI181">
        <f>AG181/X181</f>
        <v>0.30912320987654324</v>
      </c>
      <c r="AJ181">
        <f>AH181/Y181</f>
        <v>0.22548657894736845</v>
      </c>
    </row>
    <row r="182">
      <c r="F182" t="str">
        <v>Light Grey</v>
      </c>
      <c r="G182" t="str">
        <f>HYPERLINK("https://www.amazon.com/ProCase-Protective-Surface-Microsoft-Compatible/dp/B07K984JSY/ref=sr_1_12?keywords=surface%2Bgo%2Bcase&amp;qid=1565415024&amp;s=gateway&amp;sr=8-12&amp;th=1","A")</f>
        <v>A</v>
      </c>
      <c r="J182">
        <v>14</v>
      </c>
      <c r="K182">
        <f>IF(L182&gt;0,L182*0.0625,)</f>
        <v>0.58125</v>
      </c>
      <c r="L182">
        <v>9.3</v>
      </c>
      <c r="M182">
        <f>IF(K182&gt;0,K182*0.453592,IF(L182&gt;0,L182*0.02835,))</f>
        <v>0.26365035000000003</v>
      </c>
      <c r="N182">
        <v>0</v>
      </c>
      <c r="O182">
        <v>0</v>
      </c>
      <c r="P182">
        <f>J182+O182+N182</f>
        <v>14</v>
      </c>
      <c r="Q182">
        <f>P182*C$3</f>
        <v>17500</v>
      </c>
      <c r="R182">
        <v>0</v>
      </c>
      <c r="S182">
        <f>ROUND(SUM(Q182:R182), -2)</f>
        <v>17500</v>
      </c>
      <c r="T182">
        <f>ROUNDUP(HLOOKUP(ROUNDUP(K182,0),'배송비 조회'!A$10:U$22,7,0)*C$3,-2)</f>
        <v>9000</v>
      </c>
      <c r="U182">
        <v>0</v>
      </c>
      <c r="V182">
        <f>ROUND(IF(R182&gt;0,0,(S182+T182)*0.6),-2)</f>
        <v>15900</v>
      </c>
      <c r="W182">
        <f>ROUND(IF(R182&gt;0,0,(S182+T182)*0.5),-2)</f>
        <v>13300</v>
      </c>
      <c r="X182">
        <f>IF(R182&gt;0,SUM(S182:T182),SUM(S182:V182))</f>
        <v>42400</v>
      </c>
      <c r="Y182">
        <f>IF(R182&gt;0,SUM(S182:T182),SUM(S182:U182)+W182)</f>
        <v>39800</v>
      </c>
      <c r="Z182">
        <v>0</v>
      </c>
      <c r="AA182">
        <f>X182*0.038</f>
        <v>1611.2</v>
      </c>
      <c r="AB182">
        <f>X182*0.02</f>
        <v>848</v>
      </c>
      <c r="AC182">
        <f>Y182*0.1</f>
        <v>3980</v>
      </c>
      <c r="AD182">
        <f>X182-AA182-AB182</f>
        <v>39940.8</v>
      </c>
      <c r="AE182">
        <f>Y182-AC182</f>
        <v>35820</v>
      </c>
      <c r="AF182">
        <f>AD182*0.01</f>
        <v>399.408</v>
      </c>
      <c r="AG182">
        <f>AD182-Q182-AF182-T182</f>
        <v>13041.392000000003</v>
      </c>
      <c r="AH182">
        <f>AE182-Q182-AF182-T182</f>
        <v>8920.592</v>
      </c>
      <c r="AI182">
        <f>AG182/X182</f>
        <v>0.3075800000000001</v>
      </c>
      <c r="AJ182">
        <f>AH182/Y182</f>
        <v>0.22413547738693468</v>
      </c>
    </row>
    <row r="183">
      <c r="A183">
        <f>HYPERLINK("https://smartstore.naver.com/brickstore2019/products/4630096836",AW:AW)</f>
        <v>4630096836</v>
      </c>
      <c r="C183" t="str">
        <v>Camelbak 카멜백 슈트 맥 버큠 보온 보냉 캠핑물통 텀블러 1L</v>
      </c>
      <c r="E183" t="str">
        <v>CamelBak Chute Mag Water Bottle, Insulated Stainless Steel</v>
      </c>
      <c r="F183" t="str">
        <v>Cobalt</v>
      </c>
      <c r="G183" t="str">
        <f>HYPERLINK("https://www.amazon.com/dp/B0767KSNX4/ref=twister_B07JM31HJH?_encoding=UTF8&amp;psc=1","A")</f>
        <v>A</v>
      </c>
      <c r="J183">
        <v>27</v>
      </c>
      <c r="K183">
        <v>2</v>
      </c>
      <c r="L183">
        <v>15.8</v>
      </c>
      <c r="M183">
        <f>IF(K183&gt;0,K183*0.453592,IF(L183&gt;0,L183*0.02835,))</f>
        <v>0.907184</v>
      </c>
      <c r="N183">
        <v>0</v>
      </c>
      <c r="O183">
        <v>0</v>
      </c>
      <c r="P183">
        <f>J183+O183+N183</f>
        <v>27</v>
      </c>
      <c r="Q183">
        <f>P183*C3</f>
        <v>33750</v>
      </c>
      <c r="R183">
        <v>0</v>
      </c>
      <c r="S183">
        <f>ROUND(SUM(Q183:R183), -2)</f>
        <v>33800</v>
      </c>
      <c r="T183">
        <f>ROUNDUP(HLOOKUP(ROUNDUP(K183,0),'배송비 조회'!A$10:U$22,7,0)*C$3,-2)</f>
        <v>11200</v>
      </c>
      <c r="U183">
        <v>0</v>
      </c>
      <c r="V183">
        <f>ROUND(IF(R183&gt;0,0,(S183+T183)*0.3),-2)</f>
        <v>13500</v>
      </c>
      <c r="W183">
        <f>ROUND(IF(R183&gt;0,0,(S183+T183)*0.5),-2)</f>
        <v>22500</v>
      </c>
      <c r="X183">
        <f>IF(R183&gt;0,SUM(S183:T183),SUM(S183:V183))</f>
        <v>58500</v>
      </c>
      <c r="Y183">
        <f>IF(R183&gt;0,SUM(S183:T183),SUM(S183:U183)+W183)</f>
        <v>67500</v>
      </c>
      <c r="Z183">
        <v>0</v>
      </c>
      <c r="AA183">
        <f>X183*0.038</f>
        <v>2223</v>
      </c>
      <c r="AB183">
        <f>X183*0.02</f>
        <v>1170</v>
      </c>
      <c r="AC183">
        <f>Y183*0.1</f>
        <v>6750</v>
      </c>
      <c r="AD183">
        <f>X183-AA183-AB183</f>
        <v>55107</v>
      </c>
      <c r="AE183">
        <f>Y183-AC183</f>
        <v>60750</v>
      </c>
      <c r="AF183">
        <f>AD183*0.01</f>
        <v>551.07</v>
      </c>
      <c r="AG183">
        <f>AD183-Q183-AF183-T183</f>
        <v>9605.93</v>
      </c>
      <c r="AH183">
        <f>AE183-Q183-AF183-T183</f>
        <v>15248.93</v>
      </c>
      <c r="AI183">
        <f>AG183/X183</f>
        <v>0.16420393162393163</v>
      </c>
      <c r="AJ183">
        <f>AH183/Y183</f>
        <v>0.22591007407407407</v>
      </c>
      <c r="AW183">
        <v>4630096836</v>
      </c>
    </row>
    <row r="184">
      <c r="F184" t="str">
        <v>Coral</v>
      </c>
      <c r="G184" t="str">
        <f>HYPERLINK("https://www.amazon.com/dp/B076ZXYC5V/ref=twister_B07JM31HJH?_encoding=UTF8&amp;th=1","A")</f>
        <v>A</v>
      </c>
      <c r="J184">
        <v>27</v>
      </c>
      <c r="K184">
        <v>2</v>
      </c>
      <c r="L184">
        <v>15.8</v>
      </c>
      <c r="M184">
        <f>IF(K184&gt;0,K184*0.453592,IF(L184&gt;0,L184*0.02835,))</f>
        <v>0.907184</v>
      </c>
      <c r="N184">
        <v>0</v>
      </c>
      <c r="O184">
        <v>0</v>
      </c>
      <c r="P184">
        <f>J184+O184+N184</f>
        <v>27</v>
      </c>
      <c r="Q184">
        <f>P184*C3</f>
        <v>33750</v>
      </c>
      <c r="R184">
        <v>0</v>
      </c>
      <c r="S184">
        <f>ROUND(SUM(Q184:R184), -2)</f>
        <v>33800</v>
      </c>
      <c r="T184">
        <f>ROUNDUP(HLOOKUP(ROUNDUP(K184,0),'배송비 조회'!A$10:U$22,7,0)*C$3,-2)</f>
        <v>11200</v>
      </c>
      <c r="U184">
        <v>0</v>
      </c>
      <c r="V184">
        <f>ROUND(IF(R184&gt;0,0,(S184+T184)*0.3),-2)</f>
        <v>13500</v>
      </c>
      <c r="W184">
        <f>ROUND(IF(R184&gt;0,0,(S184+T184)*0.5),-2)</f>
        <v>22500</v>
      </c>
      <c r="X184">
        <f>IF(R184&gt;0,SUM(S184:T184),SUM(S184:V184))</f>
        <v>58500</v>
      </c>
      <c r="Y184">
        <f>IF(R184&gt;0,SUM(S184:T184),SUM(S184:U184)+W184)</f>
        <v>67500</v>
      </c>
      <c r="Z184">
        <v>0</v>
      </c>
      <c r="AA184">
        <f>X184*0.038</f>
        <v>2223</v>
      </c>
      <c r="AB184">
        <f>X184*0.02</f>
        <v>1170</v>
      </c>
      <c r="AC184">
        <f>Y184*0.1</f>
        <v>6750</v>
      </c>
      <c r="AD184">
        <f>X184-AA184-AB184</f>
        <v>55107</v>
      </c>
      <c r="AE184">
        <f>Y184-AC184</f>
        <v>60750</v>
      </c>
      <c r="AF184">
        <f>AD184*0.01</f>
        <v>551.07</v>
      </c>
      <c r="AG184">
        <f>AD184-Q184-AF184-T184</f>
        <v>9605.93</v>
      </c>
      <c r="AH184">
        <f>AE184-Q184-AF184-T184</f>
        <v>15248.93</v>
      </c>
      <c r="AI184">
        <f>AG184/X184</f>
        <v>0.16420393162393163</v>
      </c>
      <c r="AJ184">
        <f>AH184/Y184</f>
        <v>0.22591007407407407</v>
      </c>
    </row>
    <row r="185">
      <c r="F185" t="str">
        <v>Iris</v>
      </c>
      <c r="G185" t="str">
        <f>HYPERLINK("https://www.amazon.com/CamelBak-Chute-Vacuum-Insulated-White/dp/B076ZX74V5?th=1","A")</f>
        <v>A</v>
      </c>
      <c r="J185">
        <v>27</v>
      </c>
      <c r="K185">
        <v>2</v>
      </c>
      <c r="L185">
        <v>15.8</v>
      </c>
      <c r="M185">
        <f>IF(K185&gt;0,K185*0.453592,IF(L185&gt;0,L185*0.02835,))</f>
        <v>0.907184</v>
      </c>
      <c r="N185">
        <v>0</v>
      </c>
      <c r="O185">
        <v>0</v>
      </c>
      <c r="P185">
        <f>J185+O185+N185</f>
        <v>27</v>
      </c>
      <c r="Q185">
        <f>P185*C$3</f>
        <v>33750</v>
      </c>
      <c r="R185">
        <v>0</v>
      </c>
      <c r="S185">
        <f>ROUND(SUM(Q185:R185), -2)</f>
        <v>33800</v>
      </c>
      <c r="T185">
        <f>ROUNDUP(HLOOKUP(ROUNDUP(K185,0),'배송비 조회'!A$10:U$22,7,0)*C$3,-2)</f>
        <v>11200</v>
      </c>
      <c r="U185">
        <v>0</v>
      </c>
      <c r="V185">
        <f>ROUND(IF(R185&gt;0,0,(S185+T185)*0.3),-2)</f>
        <v>13500</v>
      </c>
      <c r="W185">
        <f>ROUND(IF(R185&gt;0,0,(S185+T185)*0.5),-2)</f>
        <v>22500</v>
      </c>
      <c r="X185">
        <f>IF(R185&gt;0,SUM(S185:T185),SUM(S185:V185))</f>
        <v>58500</v>
      </c>
      <c r="Y185">
        <f>IF(R185&gt;0,SUM(S185:T185),SUM(S185:U185)+W185)</f>
        <v>67500</v>
      </c>
      <c r="Z185">
        <v>0</v>
      </c>
      <c r="AA185">
        <f>X185*0.038</f>
        <v>2223</v>
      </c>
      <c r="AB185">
        <f>X185*0.02</f>
        <v>1170</v>
      </c>
      <c r="AC185">
        <f>Y185*0.1</f>
        <v>6750</v>
      </c>
      <c r="AD185">
        <f>X185-AA185-AB185</f>
        <v>55107</v>
      </c>
      <c r="AE185">
        <f>Y185-AC185</f>
        <v>60750</v>
      </c>
      <c r="AF185">
        <f>AD185*0.01</f>
        <v>551.07</v>
      </c>
      <c r="AG185">
        <f>AD185-Q185-AF185-T185</f>
        <v>9605.93</v>
      </c>
      <c r="AH185">
        <f>AE185-Q185-AF185-T185</f>
        <v>15248.93</v>
      </c>
      <c r="AI185">
        <f>AG185/X185</f>
        <v>0.16420393162393163</v>
      </c>
      <c r="AJ185">
        <f>AH185/Y185</f>
        <v>0.22591007407407407</v>
      </c>
    </row>
    <row r="186">
      <c r="F186" t="str">
        <v>Jet</v>
      </c>
      <c r="G186" t="str">
        <f>HYPERLINK("https://www.amazon.com/CamelBak-Chute-Vacuum-Insulated-White/dp/B076ZX74V5?th=1","A")</f>
        <v>A</v>
      </c>
      <c r="J186">
        <v>27</v>
      </c>
      <c r="K186">
        <v>2</v>
      </c>
      <c r="L186">
        <v>15.8</v>
      </c>
      <c r="M186">
        <f>IF(K186&gt;0,K186*0.453592,IF(L186&gt;0,L186*0.02835,))</f>
        <v>0.907184</v>
      </c>
      <c r="N186">
        <v>0</v>
      </c>
      <c r="O186">
        <v>0</v>
      </c>
      <c r="P186">
        <f>J186+O186+N186</f>
        <v>27</v>
      </c>
      <c r="Q186">
        <f>P186*C$3</f>
        <v>33750</v>
      </c>
      <c r="R186">
        <v>0</v>
      </c>
      <c r="S186">
        <f>ROUND(SUM(Q186:R186), -2)</f>
        <v>33800</v>
      </c>
      <c r="T186">
        <f>ROUNDUP(HLOOKUP(ROUNDUP(K186,0),'배송비 조회'!A$10:U$22,7,0)*C$3,-2)</f>
        <v>11200</v>
      </c>
      <c r="U186">
        <v>0</v>
      </c>
      <c r="V186">
        <f>ROUND(IF(R186&gt;0,0,(S186+T186)*0.3),-2)</f>
        <v>13500</v>
      </c>
      <c r="W186">
        <f>ROUND(IF(R186&gt;0,0,(S186+T186)*0.5),-2)</f>
        <v>22500</v>
      </c>
      <c r="X186">
        <f>IF(R186&gt;0,SUM(S186:T186),SUM(S186:V186))</f>
        <v>58500</v>
      </c>
      <c r="Y186">
        <f>IF(R186&gt;0,SUM(S186:T186),SUM(S186:U186)+W186)</f>
        <v>67500</v>
      </c>
      <c r="Z186">
        <v>0</v>
      </c>
      <c r="AA186">
        <f>X186*0.038</f>
        <v>2223</v>
      </c>
      <c r="AB186">
        <f>X186*0.02</f>
        <v>1170</v>
      </c>
      <c r="AC186">
        <f>Y186*0.1</f>
        <v>6750</v>
      </c>
      <c r="AD186">
        <f>X186-AA186-AB186</f>
        <v>55107</v>
      </c>
      <c r="AE186">
        <f>Y186-AC186</f>
        <v>60750</v>
      </c>
      <c r="AF186">
        <f>AD186*0.01</f>
        <v>551.07</v>
      </c>
      <c r="AG186">
        <f>AD186-Q186-AF186-T186</f>
        <v>9605.93</v>
      </c>
      <c r="AH186">
        <f>AE186-Q186-AF186-T186</f>
        <v>15248.93</v>
      </c>
      <c r="AI186">
        <f>AG186/X186</f>
        <v>0.16420393162393163</v>
      </c>
      <c r="AJ186">
        <f>AH186/Y186</f>
        <v>0.22591007407407407</v>
      </c>
    </row>
    <row r="187">
      <c r="F187" t="str">
        <v>Lime</v>
      </c>
      <c r="G187" t="str">
        <f>HYPERLINK("https://www.amazon.com/CamelBak-Chute-Vacuum-Insulated-White/dp/B076ZZDPGM?th=1","A")</f>
        <v>A</v>
      </c>
      <c r="J187">
        <v>27</v>
      </c>
      <c r="K187">
        <v>2</v>
      </c>
      <c r="L187">
        <v>15.8</v>
      </c>
      <c r="M187">
        <f>IF(K187&gt;0,K187*0.453592,IF(L187&gt;0,L187*0.02835,))</f>
        <v>0.907184</v>
      </c>
      <c r="N187">
        <v>0</v>
      </c>
      <c r="O187">
        <v>0</v>
      </c>
      <c r="P187">
        <f>J187+O187+N187</f>
        <v>27</v>
      </c>
      <c r="Q187">
        <f>P187*C3</f>
        <v>33750</v>
      </c>
      <c r="R187">
        <v>0</v>
      </c>
      <c r="S187">
        <f>ROUND(SUM(Q187:R187), -2)</f>
        <v>33800</v>
      </c>
      <c r="T187">
        <f>ROUNDUP(HLOOKUP(ROUNDUP(K187,0),'배송비 조회'!A$10:U$22,7,0)*C$3,-2)</f>
        <v>11200</v>
      </c>
      <c r="U187">
        <v>0</v>
      </c>
      <c r="V187">
        <f>ROUND(IF(R187&gt;0,0,(S187+T187)*0.3),-2)</f>
        <v>13500</v>
      </c>
      <c r="W187">
        <f>ROUND(IF(R187&gt;0,0,(S187+T187)*0.5),-2)</f>
        <v>22500</v>
      </c>
      <c r="X187">
        <f>IF(R187&gt;0,SUM(S187:T187),SUM(S187:V187))</f>
        <v>58500</v>
      </c>
      <c r="Y187">
        <f>IF(R187&gt;0,SUM(S187:T187),SUM(S187:U187)+W187)</f>
        <v>67500</v>
      </c>
      <c r="Z187">
        <v>0</v>
      </c>
      <c r="AA187">
        <f>X187*0.038</f>
        <v>2223</v>
      </c>
      <c r="AB187">
        <f>X187*0.02</f>
        <v>1170</v>
      </c>
      <c r="AC187">
        <f>Y187*0.1</f>
        <v>6750</v>
      </c>
      <c r="AD187">
        <f>X187-AA187-AB187</f>
        <v>55107</v>
      </c>
      <c r="AE187">
        <f>Y187-AC187</f>
        <v>60750</v>
      </c>
      <c r="AF187">
        <f>AD187*0.01</f>
        <v>551.07</v>
      </c>
      <c r="AG187">
        <f>AD187-Q187-AF187-T187</f>
        <v>9605.93</v>
      </c>
      <c r="AH187">
        <f>AE187-Q187-AF187-T187</f>
        <v>15248.93</v>
      </c>
      <c r="AI187">
        <f>AG187/X187</f>
        <v>0.16420393162393163</v>
      </c>
      <c r="AJ187">
        <f>AH187/Y187</f>
        <v>0.22591007407407407</v>
      </c>
    </row>
    <row r="188">
      <c r="F188" t="str">
        <v>Cardinal</v>
      </c>
      <c r="G188" t="str">
        <f>HYPERLINK("https://www.amazon.com/CamelBak-Chute-Vacuum-Insulated-White/dp/B0767KGR5K?th=1","A")</f>
        <v>A</v>
      </c>
      <c r="J188">
        <v>27</v>
      </c>
      <c r="K188">
        <v>2</v>
      </c>
      <c r="L188">
        <v>15.8</v>
      </c>
      <c r="M188">
        <f>IF(K188&gt;0,K188*0.453592,IF(L188&gt;0,L188*0.02835,))</f>
        <v>0.907184</v>
      </c>
      <c r="N188">
        <v>0</v>
      </c>
      <c r="O188">
        <v>0</v>
      </c>
      <c r="P188">
        <f>J188+O188+N188</f>
        <v>27</v>
      </c>
      <c r="Q188">
        <f>P188*C3</f>
        <v>33750</v>
      </c>
      <c r="R188">
        <v>0</v>
      </c>
      <c r="S188">
        <f>ROUND(SUM(Q188:R188), -2)</f>
        <v>33800</v>
      </c>
      <c r="T188">
        <f>ROUNDUP(HLOOKUP(ROUNDUP(K188,0),'배송비 조회'!A$10:U$22,7,0)*C$3,-2)</f>
        <v>11200</v>
      </c>
      <c r="U188">
        <v>0</v>
      </c>
      <c r="V188">
        <f>ROUND(IF(R188&gt;0,0,(S188+T188)*0.3),-2)</f>
        <v>13500</v>
      </c>
      <c r="W188">
        <f>ROUND(IF(R188&gt;0,0,(S188+T188)*0.5),-2)</f>
        <v>22500</v>
      </c>
      <c r="X188">
        <f>IF(R188&gt;0,SUM(S188:T188),SUM(S188:V188))</f>
        <v>58500</v>
      </c>
      <c r="Y188">
        <f>IF(R188&gt;0,SUM(S188:T188),SUM(S188:U188)+W188)</f>
        <v>67500</v>
      </c>
      <c r="Z188">
        <v>0</v>
      </c>
      <c r="AA188">
        <f>X188*0.038</f>
        <v>2223</v>
      </c>
      <c r="AB188">
        <f>X188*0.02</f>
        <v>1170</v>
      </c>
      <c r="AC188">
        <f>Y188*0.1</f>
        <v>6750</v>
      </c>
      <c r="AD188">
        <f>X188-AA188-AB188</f>
        <v>55107</v>
      </c>
      <c r="AE188">
        <f>Y188-AC188</f>
        <v>60750</v>
      </c>
      <c r="AF188">
        <f>AD188*0.01</f>
        <v>551.07</v>
      </c>
      <c r="AG188">
        <f>AD188-Q188-AF188-T188</f>
        <v>9605.93</v>
      </c>
      <c r="AH188">
        <f>AE188-Q188-AF188-T188</f>
        <v>15248.93</v>
      </c>
      <c r="AI188">
        <f>AG188/X188</f>
        <v>0.16420393162393163</v>
      </c>
      <c r="AJ188">
        <f>AH188/Y188</f>
        <v>0.22591007407407407</v>
      </c>
    </row>
    <row r="189">
      <c r="F189" t="str">
        <v>Olive</v>
      </c>
      <c r="G189" t="str">
        <f>HYPERLINK("https://www.amazon.com/CamelBak-Chute-Vacuum-Insulated-White/dp/B076ZXB5SM?th=1","A")</f>
        <v>A</v>
      </c>
      <c r="J189">
        <v>27</v>
      </c>
      <c r="K189">
        <v>2</v>
      </c>
      <c r="L189">
        <v>15.8</v>
      </c>
      <c r="M189">
        <f>IF(K189&gt;0,K189*0.453592,IF(L189&gt;0,L189*0.02835,))</f>
        <v>0.907184</v>
      </c>
      <c r="N189">
        <v>0</v>
      </c>
      <c r="O189">
        <v>0</v>
      </c>
      <c r="P189">
        <f>J189+O189+N189</f>
        <v>27</v>
      </c>
      <c r="Q189">
        <f>P189*C3</f>
        <v>33750</v>
      </c>
      <c r="R189">
        <v>0</v>
      </c>
      <c r="S189">
        <f>ROUND(SUM(Q189:R189), -2)</f>
        <v>33800</v>
      </c>
      <c r="T189">
        <f>ROUNDUP(HLOOKUP(ROUNDUP(K189,0),'배송비 조회'!A$10:U$22,7,0)*C$3,-2)</f>
        <v>11200</v>
      </c>
      <c r="U189">
        <v>0</v>
      </c>
      <c r="V189">
        <f>ROUND(IF(R189&gt;0,0,(S189+T189)*0.3),-2)</f>
        <v>13500</v>
      </c>
      <c r="W189">
        <f>ROUND(IF(R189&gt;0,0,(S189+T189)*0.5),-2)</f>
        <v>22500</v>
      </c>
      <c r="X189">
        <f>IF(R189&gt;0,SUM(S189:T189),SUM(S189:V189))</f>
        <v>58500</v>
      </c>
      <c r="Y189">
        <f>IF(R189&gt;0,SUM(S189:T189),SUM(S189:U189)+W189)</f>
        <v>67500</v>
      </c>
      <c r="Z189">
        <v>0</v>
      </c>
      <c r="AA189">
        <f>X189*0.038</f>
        <v>2223</v>
      </c>
      <c r="AB189">
        <f>X189*0.02</f>
        <v>1170</v>
      </c>
      <c r="AC189">
        <f>Y189*0.1</f>
        <v>6750</v>
      </c>
      <c r="AD189">
        <f>X189-AA189-AB189</f>
        <v>55107</v>
      </c>
      <c r="AE189">
        <f>Y189-AC189</f>
        <v>60750</v>
      </c>
      <c r="AF189">
        <f>AD189*0.01</f>
        <v>551.07</v>
      </c>
      <c r="AG189">
        <f>AD189-Q189-AF189-T189</f>
        <v>9605.93</v>
      </c>
      <c r="AH189">
        <f>AE189-Q189-AF189-T189</f>
        <v>15248.93</v>
      </c>
      <c r="AI189">
        <f>AG189/X189</f>
        <v>0.16420393162393163</v>
      </c>
      <c r="AJ189">
        <f>AH189/Y189</f>
        <v>0.22591007407407407</v>
      </c>
    </row>
    <row r="190">
      <c r="F190" t="str">
        <v>White</v>
      </c>
      <c r="G190" t="str">
        <f>HYPERLINK("https://www.amazon.com/CamelBak-Chute-Vacuum-Insulated-White/dp/B076ZWTHXF?th=1","A")</f>
        <v>A</v>
      </c>
      <c r="J190">
        <v>27</v>
      </c>
      <c r="K190">
        <v>2</v>
      </c>
      <c r="L190">
        <v>15.8</v>
      </c>
      <c r="M190">
        <f>IF(K190&gt;0,K190*0.453592,IF(L190&gt;0,L190*0.02835,))</f>
        <v>0.907184</v>
      </c>
      <c r="N190">
        <v>0</v>
      </c>
      <c r="O190">
        <v>0</v>
      </c>
      <c r="P190">
        <f>J190+O190+N190</f>
        <v>27</v>
      </c>
      <c r="Q190">
        <f>P190*C3</f>
        <v>33750</v>
      </c>
      <c r="R190">
        <v>0</v>
      </c>
      <c r="S190">
        <f>ROUND(SUM(Q190:R190), -2)</f>
        <v>33800</v>
      </c>
      <c r="T190">
        <f>ROUNDUP(HLOOKUP(ROUNDUP(K190,0),'배송비 조회'!A$10:U$22,7,0)*C$3,-2)</f>
        <v>11200</v>
      </c>
      <c r="U190">
        <v>0</v>
      </c>
      <c r="V190">
        <f>ROUND(IF(R190&gt;0,0,(S190+T190)*0.3),-2)</f>
        <v>13500</v>
      </c>
      <c r="W190">
        <f>ROUND(IF(R190&gt;0,0,(S190+T190)*0.5),-2)</f>
        <v>22500</v>
      </c>
      <c r="X190">
        <f>IF(R190&gt;0,SUM(S190:T190),SUM(S190:V190))</f>
        <v>58500</v>
      </c>
      <c r="Y190">
        <f>IF(R190&gt;0,SUM(S190:T190),SUM(S190:U190)+W190)</f>
        <v>67500</v>
      </c>
      <c r="Z190">
        <v>0</v>
      </c>
      <c r="AA190">
        <f>X190*0.038</f>
        <v>2223</v>
      </c>
      <c r="AB190">
        <f>X190*0.02</f>
        <v>1170</v>
      </c>
      <c r="AC190">
        <f>Y190*0.1</f>
        <v>6750</v>
      </c>
      <c r="AD190">
        <f>X190-AA190-AB190</f>
        <v>55107</v>
      </c>
      <c r="AE190">
        <f>Y190-AC190</f>
        <v>60750</v>
      </c>
      <c r="AF190">
        <f>AD190*0.01</f>
        <v>551.07</v>
      </c>
      <c r="AG190">
        <f>AD190-Q190-AF190-T190</f>
        <v>9605.93</v>
      </c>
      <c r="AH190">
        <f>AE190-Q190-AF190-T190</f>
        <v>15248.93</v>
      </c>
      <c r="AI190">
        <f>AG190/X190</f>
        <v>0.16420393162393163</v>
      </c>
      <c r="AJ190">
        <f>AH190/Y190</f>
        <v>0.22591007407407407</v>
      </c>
    </row>
    <row r="191">
      <c r="F191" t="str">
        <v>Mossy Oak</v>
      </c>
      <c r="G191" t="str">
        <f>HYPERLINK("https://www.amazon.com/CamelBak-Chute-Vacuum-Insulated-White/dp/B0793M6X7T?th=1","A")</f>
        <v>A</v>
      </c>
      <c r="J191">
        <v>40</v>
      </c>
      <c r="K191">
        <v>2</v>
      </c>
      <c r="L191">
        <v>15.8</v>
      </c>
      <c r="M191">
        <f>IF(K191&gt;0,K191*0.453592,IF(L191&gt;0,L191*0.02835,))</f>
        <v>0.907184</v>
      </c>
      <c r="N191">
        <v>0</v>
      </c>
      <c r="O191">
        <v>0</v>
      </c>
      <c r="P191">
        <f>J191+O191+N191</f>
        <v>40</v>
      </c>
      <c r="Q191">
        <f>P191*C3</f>
        <v>50000</v>
      </c>
      <c r="R191">
        <v>0</v>
      </c>
      <c r="S191">
        <f>ROUND(SUM(Q191:R191), -2)</f>
        <v>50000</v>
      </c>
      <c r="T191">
        <f>ROUNDUP(HLOOKUP(ROUNDUP(K191,0),'배송비 조회'!A$10:U$22,7,0)*C$3,-2)</f>
        <v>11200</v>
      </c>
      <c r="U191">
        <v>0</v>
      </c>
      <c r="V191">
        <f>ROUND(IF(R191&gt;0,0,(S191+T191)*0.3),-2)</f>
        <v>18400</v>
      </c>
      <c r="W191">
        <f>ROUND(IF(R191&gt;0,0,(S191+T191)*0.5),-2)</f>
        <v>30600</v>
      </c>
      <c r="X191">
        <f>IF(R191&gt;0,SUM(S191:T191),SUM(S191:V191))</f>
        <v>79600</v>
      </c>
      <c r="Y191">
        <f>IF(R191&gt;0,SUM(S191:T191),SUM(S191:U191)+W191)</f>
        <v>91800</v>
      </c>
      <c r="Z191">
        <v>0</v>
      </c>
      <c r="AA191">
        <f>X191*0.038</f>
        <v>3024.7999999999997</v>
      </c>
      <c r="AB191">
        <f>X191*0.02</f>
        <v>1592</v>
      </c>
      <c r="AC191">
        <f>Y191*0.1</f>
        <v>9180</v>
      </c>
      <c r="AD191">
        <f>X191-AA191-AB191</f>
        <v>74983.2</v>
      </c>
      <c r="AE191">
        <f>Y191-AC191</f>
        <v>82620</v>
      </c>
      <c r="AF191">
        <f>AD191*0.01</f>
        <v>749.832</v>
      </c>
      <c r="AG191">
        <f>AD191-Q191-AF191-T191</f>
        <v>13033.367999999999</v>
      </c>
      <c r="AH191">
        <f>AE191-Q191-AF191-T191</f>
        <v>20670.168</v>
      </c>
      <c r="AI191">
        <f>AG191/X191</f>
        <v>0.16373577889447236</v>
      </c>
      <c r="AJ191">
        <f>AH191/Y191</f>
        <v>0.22516522875816994</v>
      </c>
    </row>
    <row r="192">
      <c r="F192" t="str">
        <v>Real Tree Edge</v>
      </c>
      <c r="G192" t="str">
        <f>HYPERLINK("https://www.amazon.com/CamelBak-Chute-Vacuum-Insulated-White/dp/B076ZWTHXF?th=1","A")</f>
        <v>A</v>
      </c>
      <c r="J192">
        <v>40</v>
      </c>
      <c r="K192">
        <v>2</v>
      </c>
      <c r="L192">
        <v>15.8</v>
      </c>
      <c r="M192">
        <f>IF(K192&gt;0,K192*0.453592,IF(L192&gt;0,L192*0.02835,))</f>
        <v>0.907184</v>
      </c>
      <c r="N192">
        <v>0</v>
      </c>
      <c r="O192">
        <v>0</v>
      </c>
      <c r="P192">
        <f>J192+O192+N192</f>
        <v>40</v>
      </c>
      <c r="Q192">
        <f>P192*C3</f>
        <v>50000</v>
      </c>
      <c r="R192">
        <v>0</v>
      </c>
      <c r="S192">
        <f>ROUND(SUM(Q192:R192), -2)</f>
        <v>50000</v>
      </c>
      <c r="T192">
        <f>ROUNDUP(HLOOKUP(ROUNDUP(K192,0),'배송비 조회'!A$10:U$22,7,0)*C$3,-2)</f>
        <v>11200</v>
      </c>
      <c r="U192">
        <v>0</v>
      </c>
      <c r="V192">
        <f>ROUND(IF(R192&gt;0,0,(S192+T192)*0.3),-2)</f>
        <v>18400</v>
      </c>
      <c r="W192">
        <f>ROUND(IF(R192&gt;0,0,(S192+T192)*0.5),-2)</f>
        <v>30600</v>
      </c>
      <c r="X192">
        <f>IF(R192&gt;0,SUM(S192:T192),SUM(S192:V192))</f>
        <v>79600</v>
      </c>
      <c r="Y192">
        <f>IF(R192&gt;0,SUM(S192:T192),SUM(S192:U192)+W192)</f>
        <v>91800</v>
      </c>
      <c r="Z192">
        <v>0</v>
      </c>
      <c r="AA192">
        <f>X192*0.038</f>
        <v>3024.7999999999997</v>
      </c>
      <c r="AB192">
        <f>X192*0.02</f>
        <v>1592</v>
      </c>
      <c r="AC192">
        <f>Y192*0.1</f>
        <v>9180</v>
      </c>
      <c r="AD192">
        <f>X192-AA192-AB192</f>
        <v>74983.2</v>
      </c>
      <c r="AE192">
        <f>Y192-AC192</f>
        <v>82620</v>
      </c>
      <c r="AF192">
        <f>AD192*0.01</f>
        <v>749.832</v>
      </c>
      <c r="AG192">
        <f>AD192-Q192-AF192-T192</f>
        <v>13033.367999999999</v>
      </c>
      <c r="AH192">
        <f>AE192-Q192-AF192-T192</f>
        <v>20670.168</v>
      </c>
      <c r="AI192">
        <f>AG192/X192</f>
        <v>0.16373577889447236</v>
      </c>
      <c r="AJ192">
        <f>AH192/Y192</f>
        <v>0.22516522875816994</v>
      </c>
    </row>
    <row r="193">
      <c r="A193">
        <f>HYPERLINK("https://smartstore.naver.com/brickstore2019/products/4630084431",AW:AW)</f>
        <v>4630084431</v>
      </c>
      <c r="C193" t="str">
        <v>카멜백 에디 플러스 보냉 캠핑물통 CamelBak Eddy+ 0.6-Liter Insulated Water Bottle</v>
      </c>
      <c r="E193" t="str">
        <v>CamelBak Eddy+ 0.6-Liter Insulated Water Bottle - 25 Percent More Water Flow - Leak-Proof Water Bottle - Easy-To-Carry Insulated Bottle - BPA-Free Materials - 20 Ounces</v>
      </c>
      <c r="F193" t="str">
        <v>Amethyst</v>
      </c>
      <c r="G193" t="str">
        <f>HYPERLINK("https://www.amazon.com/dp/B07NBS1C5J/ref=emc_b_5_i","A")</f>
        <v>A</v>
      </c>
      <c r="J193">
        <v>12</v>
      </c>
      <c r="K193">
        <v>2</v>
      </c>
      <c r="L193">
        <v>8</v>
      </c>
      <c r="M193">
        <f>IF(K193&gt;0,K193*0.453592,IF(L193&gt;0,L193*0.02835,))</f>
        <v>0.907184</v>
      </c>
      <c r="N193">
        <v>0</v>
      </c>
      <c r="O193">
        <v>0</v>
      </c>
      <c r="P193">
        <f>J193+O193+N193</f>
        <v>12</v>
      </c>
      <c r="Q193">
        <f>P193*C3</f>
        <v>15000</v>
      </c>
      <c r="R193">
        <v>0</v>
      </c>
      <c r="S193">
        <f>ROUND(SUM(Q193:R193), -2)</f>
        <v>15000</v>
      </c>
      <c r="T193">
        <f>ROUNDUP(HLOOKUP(ROUNDUP(K193,0),'배송비 조회'!A$10:U$22,7,0)*C$3,-2)</f>
        <v>11200</v>
      </c>
      <c r="U193">
        <v>0</v>
      </c>
      <c r="V193">
        <f>ROUND(IF(R193&gt;0,0,(S193+T193)*0.5),-2)</f>
        <v>13100</v>
      </c>
      <c r="W193">
        <f>ROUND(IF(R193&gt;0,0,(S193+T193)*0.5),-2)</f>
        <v>13100</v>
      </c>
      <c r="X193">
        <f>IF(R193&gt;0,SUM(S193:T193),SUM(S193:V193))</f>
        <v>39300</v>
      </c>
      <c r="Y193">
        <f>IF(R193&gt;0,SUM(S193:T193),SUM(S193:U193)+W193)</f>
        <v>39300</v>
      </c>
      <c r="Z193">
        <v>0</v>
      </c>
      <c r="AA193">
        <f>X193*0.038</f>
        <v>1493.3999999999999</v>
      </c>
      <c r="AB193">
        <f>X193*0.02</f>
        <v>786</v>
      </c>
      <c r="AC193">
        <f>Y193*0.1</f>
        <v>3930</v>
      </c>
      <c r="AD193">
        <f>X193-AA193-AB193</f>
        <v>37020.6</v>
      </c>
      <c r="AE193">
        <f>Y193-AC193</f>
        <v>35370</v>
      </c>
      <c r="AF193">
        <f>AD193*0.01</f>
        <v>370.206</v>
      </c>
      <c r="AG193">
        <f>AD193-Q193-AF193-T193</f>
        <v>10450.394</v>
      </c>
      <c r="AH193">
        <f>AE193-Q193-AF193-T193</f>
        <v>8799.794000000002</v>
      </c>
      <c r="AI193">
        <f>AG193/X193</f>
        <v>0.26591333333333333</v>
      </c>
      <c r="AJ193">
        <f>AH193/Y193</f>
        <v>0.22391333333333338</v>
      </c>
      <c r="AW193">
        <v>4630084431</v>
      </c>
    </row>
    <row r="194">
      <c r="F194" t="str">
        <v>Ocean</v>
      </c>
      <c r="G194" t="str">
        <f>HYPERLINK("https://www.amazon.com/dp/B07HGSDBMD/ref=emc_b_5_i?th=1","A")</f>
        <v>A</v>
      </c>
      <c r="J194">
        <v>16</v>
      </c>
      <c r="K194">
        <v>2</v>
      </c>
      <c r="L194">
        <v>8</v>
      </c>
      <c r="M194">
        <f>IF(K194&gt;0,K194*0.453592,IF(L194&gt;0,L194*0.02835,))</f>
        <v>0.907184</v>
      </c>
      <c r="N194">
        <v>0</v>
      </c>
      <c r="O194">
        <v>0</v>
      </c>
      <c r="P194">
        <f>J194+O194+N194</f>
        <v>16</v>
      </c>
      <c r="Q194">
        <f>P194*C3</f>
        <v>20000</v>
      </c>
      <c r="R194">
        <v>0</v>
      </c>
      <c r="S194">
        <f>ROUND(SUM(Q194:R194), -2)</f>
        <v>20000</v>
      </c>
      <c r="T194">
        <f>ROUNDUP(HLOOKUP(ROUNDUP(K194,0),'배송비 조회'!A$10:U$22,7,0)*C$3,-2)</f>
        <v>11200</v>
      </c>
      <c r="U194">
        <v>0</v>
      </c>
      <c r="V194">
        <f>ROUND(IF(R194&gt;0,0,(S194+T194)*0.5),-2)</f>
        <v>15600</v>
      </c>
      <c r="W194">
        <f>ROUND(IF(R194&gt;0,0,(S194+T194)*0.5),-2)</f>
        <v>15600</v>
      </c>
      <c r="X194">
        <f>IF(R194&gt;0,SUM(S194:T194),SUM(S194:V194))</f>
        <v>46800</v>
      </c>
      <c r="Y194">
        <f>IF(R194&gt;0,SUM(S194:T194),SUM(S194:U194)+W194)</f>
        <v>46800</v>
      </c>
      <c r="Z194">
        <v>0</v>
      </c>
      <c r="AA194">
        <f>X194*0.038</f>
        <v>1778.3999999999999</v>
      </c>
      <c r="AB194">
        <f>X194*0.02</f>
        <v>936</v>
      </c>
      <c r="AC194">
        <f>Y194*0.1</f>
        <v>4680</v>
      </c>
      <c r="AD194">
        <f>X194-AA194-AB194</f>
        <v>44085.6</v>
      </c>
      <c r="AE194">
        <f>Y194-AC194</f>
        <v>42120</v>
      </c>
      <c r="AF194">
        <f>AD194*0.01</f>
        <v>440.856</v>
      </c>
      <c r="AG194">
        <f>AD194-Q194-AF194-T194</f>
        <v>12444.743999999999</v>
      </c>
      <c r="AH194">
        <f>AE194-Q194-AF194-T194</f>
        <v>10479.144</v>
      </c>
      <c r="AI194">
        <f>AG194/X194</f>
        <v>0.26591333333333333</v>
      </c>
      <c r="AJ194">
        <f>AH194/Y194</f>
        <v>0.22391333333333333</v>
      </c>
    </row>
    <row r="195">
      <c r="F195" t="str">
        <v>Starburst</v>
      </c>
      <c r="G195" t="str">
        <f>HYPERLINK("https://www.amazon.com/dp/B07HGQDWV1/ref=emc_b_5_i?th=1","A")</f>
        <v>A</v>
      </c>
      <c r="J195">
        <v>14</v>
      </c>
      <c r="K195">
        <v>2</v>
      </c>
      <c r="L195">
        <v>8</v>
      </c>
      <c r="M195">
        <f>IF(K195&gt;0,K195*0.453592,IF(L195&gt;0,L195*0.02835,))</f>
        <v>0.907184</v>
      </c>
      <c r="N195">
        <v>0</v>
      </c>
      <c r="O195">
        <v>0</v>
      </c>
      <c r="P195">
        <f>J195+O195+N195</f>
        <v>14</v>
      </c>
      <c r="Q195">
        <f>P195*C3</f>
        <v>17500</v>
      </c>
      <c r="R195">
        <v>0</v>
      </c>
      <c r="S195">
        <f>ROUND(SUM(Q195:R195), -2)</f>
        <v>17500</v>
      </c>
      <c r="T195">
        <f>ROUNDUP(HLOOKUP(ROUNDUP(K195,0),'배송비 조회'!A$10:U$22,7,0)*C$3,-2)</f>
        <v>11200</v>
      </c>
      <c r="U195">
        <v>0</v>
      </c>
      <c r="V195">
        <f>ROUND(IF(R195&gt;0,0,(S195+T195)*0.5),-2)</f>
        <v>14400</v>
      </c>
      <c r="W195">
        <f>ROUND(IF(R195&gt;0,0,(S195+T195)*0.5),-2)</f>
        <v>14400</v>
      </c>
      <c r="X195">
        <f>IF(R195&gt;0,SUM(S195:T195),SUM(S195:V195))</f>
        <v>43100</v>
      </c>
      <c r="Y195">
        <f>IF(R195&gt;0,SUM(S195:T195),SUM(S195:U195)+W195)</f>
        <v>43100</v>
      </c>
      <c r="Z195">
        <v>0</v>
      </c>
      <c r="AA195">
        <f>X195*0.038</f>
        <v>1637.8</v>
      </c>
      <c r="AB195">
        <f>X195*0.02</f>
        <v>862</v>
      </c>
      <c r="AC195">
        <f>Y195*0.1</f>
        <v>4310</v>
      </c>
      <c r="AD195">
        <f>X195-AA195-AB195</f>
        <v>40600.2</v>
      </c>
      <c r="AE195">
        <f>Y195-AC195</f>
        <v>38790</v>
      </c>
      <c r="AF195">
        <f>AD195*0.01</f>
        <v>406.00199999999995</v>
      </c>
      <c r="AG195">
        <f>AD195-Q195-AF195-T195</f>
        <v>11494.197999999997</v>
      </c>
      <c r="AH195">
        <f>AE195-Q195-AF195-T195</f>
        <v>9683.998</v>
      </c>
      <c r="AI195">
        <f>AG195/X195</f>
        <v>0.266686728538283</v>
      </c>
      <c r="AJ195">
        <f>AH195/Y195</f>
        <v>0.22468672853828306</v>
      </c>
    </row>
    <row r="196">
      <c r="A196">
        <f>HYPERLINK("https://smartstore.naver.com/brickstore2019/products/4630050577",AW:AW)</f>
        <v>4630050577</v>
      </c>
      <c r="C196" t="str">
        <v>아이맥 부착 usb 허브 어댑터 SD 카드 리더기 2017 iMac and iMac Pro</v>
      </c>
      <c r="E196" t="str">
        <v>Rocketek iMac Hub Aluminum 3-Port USB 3.0 Hub Adapter with SD &amp; Micro SD Card Reader Combo - Compatible with 2017 iMac and iMac Pro (Silver)</v>
      </c>
      <c r="G196" t="str">
        <f>HYPERLINK("https://www.amazon.com/Rocketek-Aluminum-3-Port-Adapter-Reader/dp/B07KFWDKSR/ref=sr_1_7?crid=PU8M9FV6BOLI&amp;keywords=imac%2Baccessories&amp;qid=1565442693&amp;s=gateway&amp;sprefix=imac%2Bac%2Caps%2C370&amp;sr=8-7&amp;th=1","A")</f>
        <v>A</v>
      </c>
      <c r="J196">
        <v>29</v>
      </c>
      <c r="K196">
        <f>IF(L196&gt;0,L196*0.0625,)</f>
        <v>0.1</v>
      </c>
      <c r="L196">
        <v>1.6</v>
      </c>
      <c r="M196">
        <f>IF(K196&gt;0,K196*0.453592,IF(L196&gt;0,L196*0.02835,))</f>
        <v>0.0453592</v>
      </c>
      <c r="N196">
        <v>0</v>
      </c>
      <c r="O196">
        <v>0</v>
      </c>
      <c r="P196">
        <f>J196+O196+N196</f>
        <v>29</v>
      </c>
      <c r="Q196">
        <f>P196*C3</f>
        <v>36250</v>
      </c>
      <c r="R196">
        <v>0</v>
      </c>
      <c r="S196">
        <f>ROUND(SUM(Q196:R196), -2)</f>
        <v>36300</v>
      </c>
      <c r="T196">
        <f>ROUNDUP(HLOOKUP(ROUNDUP(K196,0),'배송비 조회'!A$10:U$22,7,0)*C$3,-2)</f>
        <v>9000</v>
      </c>
      <c r="U196">
        <v>0</v>
      </c>
      <c r="V196">
        <f>ROUND(IF(R196&gt;0,0,(S196+T196)*0.4),-2)</f>
        <v>18100</v>
      </c>
      <c r="W196">
        <f>ROUND(IF(R196&gt;0,0,(S196+T196)*0.5),-2)</f>
        <v>22700</v>
      </c>
      <c r="X196">
        <f>IF(R196&gt;0,SUM(S196:T196),SUM(S196:V196))</f>
        <v>63400</v>
      </c>
      <c r="Y196">
        <f>IF(R196&gt;0,SUM(S196:T196),SUM(S196:U196)+W196)</f>
        <v>68000</v>
      </c>
      <c r="Z196">
        <v>0</v>
      </c>
      <c r="AA196">
        <f>X196*0.038</f>
        <v>2409.2</v>
      </c>
      <c r="AB196">
        <f>X196*0.02</f>
        <v>1268</v>
      </c>
      <c r="AC196">
        <f>Y196*0.1</f>
        <v>6800</v>
      </c>
      <c r="AD196">
        <f>X196-AA196-AB196</f>
        <v>59722.8</v>
      </c>
      <c r="AE196">
        <f>Y196-AC196</f>
        <v>61200</v>
      </c>
      <c r="AF196">
        <f>AD196*0.01</f>
        <v>597.2280000000001</v>
      </c>
      <c r="AG196">
        <f>AD196-Q196-AF196-T196</f>
        <v>13875.572000000004</v>
      </c>
      <c r="AH196">
        <f>AE196-Q196-AF196-T196</f>
        <v>15352.772</v>
      </c>
      <c r="AI196">
        <f>AG196/X196</f>
        <v>0.21885760252365938</v>
      </c>
      <c r="AJ196">
        <f>AH196/Y196</f>
        <v>0.2257760588235294</v>
      </c>
      <c r="AW196">
        <v>4630050577</v>
      </c>
    </row>
    <row r="197">
      <c r="A197">
        <f>HYPERLINK("https://smartstore.naver.com/brickstore2019/products/4630063847",AW:AW)</f>
        <v>4630063847</v>
      </c>
      <c r="C197" t="str">
        <v>사테치 아이맥 부착 알루미늄 usb c타입 허브 어댑터 SD 카드 리더기</v>
      </c>
      <c r="E197" t="str">
        <v>Satechi Aluminum Type-C Clamp Hub Pro with USB-C Data Port, 3 USB 3.0, Micro/SD Card Reader - Compatible with 2017 iMac and iMac Pro</v>
      </c>
      <c r="F197" t="str">
        <v>Silver</v>
      </c>
      <c r="G197" t="str">
        <f>HYPERLINK("https://www.amazon.com/dp/B078859974/ref=twister_B07886N5CC?_encoding=UTF8&amp;psc=1","A")</f>
        <v>A</v>
      </c>
      <c r="J197">
        <v>37.49</v>
      </c>
      <c r="K197">
        <f>IF(L197&gt;0,L197*0.0625,)</f>
        <v>0.22</v>
      </c>
      <c r="L197">
        <v>3.52</v>
      </c>
      <c r="M197">
        <f>IF(K197&gt;0,K197*0.453592,IF(L197&gt;0,L197*0.02835,))</f>
        <v>0.09979024</v>
      </c>
      <c r="N197">
        <v>0</v>
      </c>
      <c r="O197">
        <v>0</v>
      </c>
      <c r="P197">
        <f>J197+O197+N197</f>
        <v>37.49</v>
      </c>
      <c r="Q197">
        <f>P197*C3</f>
        <v>46862.5</v>
      </c>
      <c r="R197">
        <v>0</v>
      </c>
      <c r="S197">
        <f>ROUND(SUM(Q197:R197), -2)</f>
        <v>46900</v>
      </c>
      <c r="T197">
        <f>ROUNDUP(HLOOKUP(ROUNDUP(K197,0),'배송비 조회'!A$10:U$22,7,0)*C$3,-2)</f>
        <v>9000</v>
      </c>
      <c r="U197">
        <v>0</v>
      </c>
      <c r="V197">
        <f>ROUND(IF(R197&gt;0,0,(S197+T197)*0.3),-2)</f>
        <v>16800</v>
      </c>
      <c r="W197">
        <f>ROUND(IF(R197&gt;0,0,(S197+T197)*0.5),-2)</f>
        <v>28000</v>
      </c>
      <c r="X197">
        <f>IF(R197&gt;0,SUM(S197:T197),SUM(S197:V197))</f>
        <v>72700</v>
      </c>
      <c r="Y197">
        <f>IF(R197&gt;0,SUM(S197:T197),SUM(S197:U197)+W197)</f>
        <v>83900</v>
      </c>
      <c r="Z197">
        <v>0</v>
      </c>
      <c r="AA197">
        <f>X197*0.038</f>
        <v>2762.6</v>
      </c>
      <c r="AB197">
        <f>X197*0.02</f>
        <v>1454</v>
      </c>
      <c r="AC197">
        <f>Y197*0.1</f>
        <v>8390</v>
      </c>
      <c r="AD197">
        <f>X197-AA197-AB197</f>
        <v>68483.4</v>
      </c>
      <c r="AE197">
        <f>Y197-AC197</f>
        <v>75510</v>
      </c>
      <c r="AF197">
        <f>AD197*0.01</f>
        <v>684.834</v>
      </c>
      <c r="AG197">
        <f>AD197-Q197-AF197-T197</f>
        <v>11936.065999999995</v>
      </c>
      <c r="AH197">
        <f>AE197-Q197-AF197-T197</f>
        <v>18962.666</v>
      </c>
      <c r="AI197">
        <f>AG197/X197</f>
        <v>0.1641824759284731</v>
      </c>
      <c r="AJ197">
        <f>AH197/Y197</f>
        <v>0.2260150893921335</v>
      </c>
      <c r="AW197">
        <v>4630063847</v>
      </c>
    </row>
    <row r="198">
      <c r="F198" t="str">
        <v>Space Gray</v>
      </c>
      <c r="G198" t="str">
        <f>HYPERLINK("https://www.amazon.com/Satechi-Aluminum-Type-C-Clamp-Reader/dp/B078853NCS/ref=sr_1_3?crid=PU8M9FV6BOLI&amp;keywords=imac%2Baccessories&amp;qid=1565442693&amp;s=gateway&amp;sprefix=imac%2Bac%2Caps%2C370&amp;sr=8-3&amp;th=1","A")</f>
        <v>A</v>
      </c>
      <c r="J198">
        <v>37.49</v>
      </c>
      <c r="K198">
        <f>IF(L198&gt;0,L198*0.0625,)</f>
        <v>0.22</v>
      </c>
      <c r="L198">
        <v>3.52</v>
      </c>
      <c r="M198">
        <f>IF(K198&gt;0,K198*0.453592,IF(L198&gt;0,L198*0.02835,))</f>
        <v>0.09979024</v>
      </c>
      <c r="N198">
        <v>0</v>
      </c>
      <c r="O198">
        <v>0</v>
      </c>
      <c r="P198">
        <f>J198+O198+N198</f>
        <v>37.49</v>
      </c>
      <c r="Q198">
        <f>P198*C$3</f>
        <v>46862.5</v>
      </c>
      <c r="R198">
        <v>0</v>
      </c>
      <c r="S198">
        <f>ROUND(SUM(Q198:R198), -2)</f>
        <v>46900</v>
      </c>
      <c r="T198">
        <f>ROUNDUP(HLOOKUP(ROUNDUP(K198,0),'배송비 조회'!A$10:U$22,7,0)*C$3,-2)</f>
        <v>9000</v>
      </c>
      <c r="U198">
        <v>0</v>
      </c>
      <c r="V198">
        <f>ROUND(IF(R198&gt;0,0,(S198+T198)*0.3),-2)</f>
        <v>16800</v>
      </c>
      <c r="W198">
        <f>ROUND(IF(R198&gt;0,0,(S198+T198)*0.5),-2)</f>
        <v>28000</v>
      </c>
      <c r="X198">
        <f>IF(R198&gt;0,SUM(S198:T198),SUM(S198:V198))</f>
        <v>72700</v>
      </c>
      <c r="Y198">
        <f>IF(R198&gt;0,SUM(S198:T198),SUM(S198:U198)+W198)</f>
        <v>83900</v>
      </c>
      <c r="Z198">
        <v>0</v>
      </c>
      <c r="AA198">
        <f>X198*0.038</f>
        <v>2762.6</v>
      </c>
      <c r="AB198">
        <f>X198*0.02</f>
        <v>1454</v>
      </c>
      <c r="AC198">
        <f>Y198*0.1</f>
        <v>8390</v>
      </c>
      <c r="AD198">
        <f>X198-AA198-AB198</f>
        <v>68483.4</v>
      </c>
      <c r="AE198">
        <f>Y198-AC198</f>
        <v>75510</v>
      </c>
      <c r="AF198">
        <f>AD198*0.01</f>
        <v>684.834</v>
      </c>
      <c r="AG198">
        <f>AD198-Q198-AF198-T198</f>
        <v>11936.065999999995</v>
      </c>
      <c r="AH198">
        <f>AE198-Q198-AF198-T198</f>
        <v>18962.666</v>
      </c>
      <c r="AI198">
        <f>AG198/X198</f>
        <v>0.1641824759284731</v>
      </c>
      <c r="AJ198">
        <f>AH198/Y198</f>
        <v>0.2260150893921335</v>
      </c>
    </row>
    <row r="199">
      <c r="A199">
        <f>HYPERLINK("https://smartstore.naver.com/brickstore2019/products/4630067993",AW:AW)</f>
        <v>4630067993</v>
      </c>
      <c r="C199" t="str">
        <v>맥북 서피스프로 4 5 6 충전기 케이블 수납 여행용 케이스</v>
      </c>
      <c r="E199" t="str">
        <v>IUNION Electronic Accessory Organizer Panel for Cable Hard Drive USB Hub Power Bank, Management Sleeve for 13” 2018 New MacBook Air &amp; Pro | Surface Pro 6/5/4 | 9.7”-11” iPad</v>
      </c>
      <c r="G199" t="str">
        <v>A</v>
      </c>
      <c r="J199">
        <v>8</v>
      </c>
      <c r="K199">
        <f>IF(L199&gt;0,L199*0.0625,)</f>
        <v>0.75</v>
      </c>
      <c r="L199">
        <v>12</v>
      </c>
      <c r="M199">
        <f>IF(K199&gt;0,K199*0.453592,IF(L199&gt;0,L199*0.02835,))</f>
        <v>0.340194</v>
      </c>
      <c r="N199">
        <v>0</v>
      </c>
      <c r="O199">
        <v>0</v>
      </c>
      <c r="P199">
        <f>J199+O199+N199</f>
        <v>8</v>
      </c>
      <c r="Q199">
        <f>P199*C3</f>
        <v>10000</v>
      </c>
      <c r="R199">
        <v>0</v>
      </c>
      <c r="S199">
        <f>ROUND(SUM(Q199:R199), -2)</f>
        <v>10000</v>
      </c>
      <c r="T199">
        <f>ROUNDUP(HLOOKUP(ROUNDUP(K199,0),'배송비 조회'!A$10:U$22,7,0)*C$3,-2)</f>
        <v>9000</v>
      </c>
      <c r="U199">
        <v>0</v>
      </c>
      <c r="V199">
        <f>ROUND(IF(R199&gt;0,0,(S199+T199)*0.6),-2)</f>
        <v>11400</v>
      </c>
      <c r="W199">
        <f>ROUND(IF(R199&gt;0,0,(S199+T199)*0.5),-2)</f>
        <v>9500</v>
      </c>
      <c r="X199">
        <f>IF(R199&gt;0,SUM(S199:T199),SUM(S199:V199))</f>
        <v>30400</v>
      </c>
      <c r="Y199">
        <f>IF(R199&gt;0,SUM(S199:T199),SUM(S199:U199)+W199)</f>
        <v>28500</v>
      </c>
      <c r="Z199">
        <v>0</v>
      </c>
      <c r="AA199">
        <f>X199*0.038</f>
        <v>1155.2</v>
      </c>
      <c r="AB199">
        <f>X199*0.02</f>
        <v>608</v>
      </c>
      <c r="AC199">
        <f>Y199*0.1</f>
        <v>2850</v>
      </c>
      <c r="AD199">
        <f>X199-AA199-AB199</f>
        <v>28636.8</v>
      </c>
      <c r="AE199">
        <f>Y199-AC199</f>
        <v>25650</v>
      </c>
      <c r="AF199">
        <f>AD199*0.01</f>
        <v>286.368</v>
      </c>
      <c r="AG199">
        <f>AD199-Q199-AF199-T199</f>
        <v>9350.432</v>
      </c>
      <c r="AH199">
        <f>AE199-Q199-AF199-T199</f>
        <v>6363.632</v>
      </c>
      <c r="AI199">
        <f>AG199/X199</f>
        <v>0.30758</v>
      </c>
      <c r="AJ199">
        <f>AH199/Y199</f>
        <v>0.2232853333333333</v>
      </c>
      <c r="AW199">
        <v>4630067993</v>
      </c>
    </row>
    <row r="200">
      <c r="A200">
        <f>HYPERLINK("https://smartstore.naver.com/brickstore2019/products/4630096142",AW:AW)</f>
        <v>4630096142</v>
      </c>
      <c r="C200" t="str">
        <v>카멜백 에디 플러스 스텐레스 보냉 캠핑물통 1L</v>
      </c>
      <c r="E200" t="str">
        <v>CamelBak Eddy+ Insulated Water Bottle with Straw - Water Bottle – 25 Percent More Water Flow - Leak-Proof Water Bottle - Easy To Carry Reusable Water Bottles - BPA-Free Materials</v>
      </c>
      <c r="F200" t="str">
        <v>Jet</v>
      </c>
      <c r="G200" t="str">
        <f>HYPERLINK("https://www.amazon.com/dp/B07HGSZWSG/ref=emc_b_5_i?th=1","A")</f>
        <v>A</v>
      </c>
      <c r="J200">
        <v>27</v>
      </c>
      <c r="K200">
        <f>IF(L200&gt;0,L200*0.0625,)</f>
        <v>0.7625</v>
      </c>
      <c r="L200">
        <v>12.2</v>
      </c>
      <c r="M200">
        <f>IF(K200&gt;0,K200*0.453592,IF(L200&gt;0,L200*0.02835,))</f>
        <v>0.3458639</v>
      </c>
      <c r="N200">
        <v>0</v>
      </c>
      <c r="O200">
        <v>0</v>
      </c>
      <c r="P200">
        <f>J200+O200+N200</f>
        <v>27</v>
      </c>
      <c r="Q200">
        <f>P200*C3</f>
        <v>33750</v>
      </c>
      <c r="R200">
        <v>0</v>
      </c>
      <c r="S200">
        <f>ROUND(SUM(Q200:R200), -2)</f>
        <v>33800</v>
      </c>
      <c r="T200">
        <f>ROUNDUP(HLOOKUP(ROUNDUP(K200,0),'배송비 조회'!A$10:U$22,7,0)*C$3,-2)</f>
        <v>9000</v>
      </c>
      <c r="U200">
        <v>0</v>
      </c>
      <c r="V200">
        <f>ROUND(IF(R200&gt;0,0,(S200+T200)*0.4),-2)</f>
        <v>17100</v>
      </c>
      <c r="W200">
        <f>ROUND(IF(R200&gt;0,0,(S200+T200)*0.5),-2)</f>
        <v>21400</v>
      </c>
      <c r="X200">
        <f>IF(R200&gt;0,SUM(S200:T200),SUM(S200:V200))</f>
        <v>59900</v>
      </c>
      <c r="Y200">
        <f>IF(R200&gt;0,SUM(S200:T200),SUM(S200:U200)+W200)</f>
        <v>64200</v>
      </c>
      <c r="Z200">
        <v>0</v>
      </c>
      <c r="AA200">
        <f>X200*0.038</f>
        <v>2276.2</v>
      </c>
      <c r="AB200">
        <f>X200*0.02</f>
        <v>1198</v>
      </c>
      <c r="AC200">
        <f>Y200*0.1</f>
        <v>6420</v>
      </c>
      <c r="AD200">
        <f>X200-AA200-AB200</f>
        <v>56425.8</v>
      </c>
      <c r="AE200">
        <f>Y200-AC200</f>
        <v>57780</v>
      </c>
      <c r="AF200">
        <f>AD200*0.01</f>
        <v>564.258</v>
      </c>
      <c r="AG200">
        <f>AD200-Q200-AF200-T200</f>
        <v>13111.542000000001</v>
      </c>
      <c r="AH200">
        <f>AE200-Q200-AF200-T200</f>
        <v>14465.741999999998</v>
      </c>
      <c r="AI200">
        <f>AG200/X200</f>
        <v>0.21889051752921537</v>
      </c>
      <c r="AJ200">
        <f>AH200/Y200</f>
        <v>0.22532308411214952</v>
      </c>
      <c r="AW200">
        <v>4630096142</v>
      </c>
    </row>
    <row r="201">
      <c r="F201" t="str">
        <v>Navy</v>
      </c>
      <c r="G201" t="str">
        <f>HYPERLINK("https://www.amazon.com/dp/B07HGQDWVF/ref=twister_B07ND6DXM3?_encoding=UTF8&amp;psc=1","A")</f>
        <v>A</v>
      </c>
      <c r="J201">
        <v>27</v>
      </c>
      <c r="K201">
        <f>IF(L201&gt;0,L201*0.0625,)</f>
        <v>0.7625</v>
      </c>
      <c r="L201">
        <v>12.2</v>
      </c>
      <c r="M201">
        <f>IF(K201&gt;0,K201*0.453592,IF(L201&gt;0,L201*0.02835,))</f>
        <v>0.3458639</v>
      </c>
      <c r="N201">
        <v>0</v>
      </c>
      <c r="O201">
        <v>0</v>
      </c>
      <c r="P201">
        <f>J201+O201+N201</f>
        <v>27</v>
      </c>
      <c r="Q201">
        <f>P201*C3</f>
        <v>33750</v>
      </c>
      <c r="R201">
        <v>0</v>
      </c>
      <c r="S201">
        <f>ROUND(SUM(Q201:R201), -2)</f>
        <v>33800</v>
      </c>
      <c r="T201">
        <f>ROUNDUP(HLOOKUP(ROUNDUP(K201,0),'배송비 조회'!A$10:U$22,7,0)*C$3,-2)</f>
        <v>9000</v>
      </c>
      <c r="U201">
        <v>0</v>
      </c>
      <c r="V201">
        <f>ROUND(IF(R201&gt;0,0,(S201+T201)*0.4),-2)</f>
        <v>17100</v>
      </c>
      <c r="W201">
        <f>ROUND(IF(R201&gt;0,0,(S201+T201)*0.5),-2)</f>
        <v>21400</v>
      </c>
      <c r="X201">
        <f>IF(R201&gt;0,SUM(S201:T201),SUM(S201:V201))</f>
        <v>59900</v>
      </c>
      <c r="Y201">
        <f>IF(R201&gt;0,SUM(S201:T201),SUM(S201:U201)+W201)</f>
        <v>64200</v>
      </c>
      <c r="Z201">
        <v>0</v>
      </c>
      <c r="AA201">
        <f>X201*0.038</f>
        <v>2276.2</v>
      </c>
      <c r="AB201">
        <f>X201*0.02</f>
        <v>1198</v>
      </c>
      <c r="AC201">
        <f>Y201*0.1</f>
        <v>6420</v>
      </c>
      <c r="AD201">
        <f>X201-AA201-AB201</f>
        <v>56425.8</v>
      </c>
      <c r="AE201">
        <f>Y201-AC201</f>
        <v>57780</v>
      </c>
      <c r="AF201">
        <f>AD201*0.01</f>
        <v>564.258</v>
      </c>
      <c r="AG201">
        <f>AD201-Q201-AF201-T201</f>
        <v>13111.542000000001</v>
      </c>
      <c r="AH201">
        <f>AE201-Q201-AF201-T201</f>
        <v>14465.741999999998</v>
      </c>
      <c r="AI201">
        <f>AG201/X201</f>
        <v>0.21889051752921537</v>
      </c>
      <c r="AJ201">
        <f>AH201/Y201</f>
        <v>0.22532308411214952</v>
      </c>
    </row>
    <row r="202">
      <c r="F202" t="str">
        <v>White</v>
      </c>
      <c r="G202" t="str">
        <f>HYPERLINK("https://www.amazon.com/dp/B07HGR3S57/ref=twister_B07ND6DXM3?_encoding=UTF8&amp;psc=1","A")</f>
        <v>A</v>
      </c>
      <c r="J202">
        <v>27</v>
      </c>
      <c r="K202">
        <f>IF(L202&gt;0,L202*0.0625,)</f>
        <v>0.7625</v>
      </c>
      <c r="L202">
        <v>12.2</v>
      </c>
      <c r="M202">
        <f>IF(K202&gt;0,K202*0.453592,IF(L202&gt;0,L202*0.02835,))</f>
        <v>0.3458639</v>
      </c>
      <c r="N202">
        <v>0</v>
      </c>
      <c r="O202">
        <v>0</v>
      </c>
      <c r="P202">
        <f>J202+O202+N202</f>
        <v>27</v>
      </c>
      <c r="Q202">
        <f>P202*C3</f>
        <v>33750</v>
      </c>
      <c r="R202">
        <v>0</v>
      </c>
      <c r="S202">
        <f>ROUND(SUM(Q202:R202), -2)</f>
        <v>33800</v>
      </c>
      <c r="T202">
        <f>ROUNDUP(HLOOKUP(ROUNDUP(K202,0),'배송비 조회'!A$10:U$22,7,0)*C$3,-2)</f>
        <v>9000</v>
      </c>
      <c r="U202">
        <v>0</v>
      </c>
      <c r="V202">
        <f>ROUND(IF(R202&gt;0,0,(S202+T202)*0.4),-2)</f>
        <v>17100</v>
      </c>
      <c r="W202">
        <f>ROUND(IF(R202&gt;0,0,(S202+T202)*0.5),-2)</f>
        <v>21400</v>
      </c>
      <c r="X202">
        <f>IF(R202&gt;0,SUM(S202:T202),SUM(S202:V202))</f>
        <v>59900</v>
      </c>
      <c r="Y202">
        <f>IF(R202&gt;0,SUM(S202:T202),SUM(S202:U202)+W202)</f>
        <v>64200</v>
      </c>
      <c r="Z202">
        <v>0</v>
      </c>
      <c r="AA202">
        <f>X202*0.038</f>
        <v>2276.2</v>
      </c>
      <c r="AB202">
        <f>X202*0.02</f>
        <v>1198</v>
      </c>
      <c r="AC202">
        <f>Y202*0.1</f>
        <v>6420</v>
      </c>
      <c r="AD202">
        <f>X202-AA202-AB202</f>
        <v>56425.8</v>
      </c>
      <c r="AE202">
        <f>Y202-AC202</f>
        <v>57780</v>
      </c>
      <c r="AF202">
        <f>AD202*0.01</f>
        <v>564.258</v>
      </c>
      <c r="AG202">
        <f>AD202-Q202-AF202-T202</f>
        <v>13111.542000000001</v>
      </c>
      <c r="AH202">
        <f>AE202-Q202-AF202-T202</f>
        <v>14465.741999999998</v>
      </c>
      <c r="AI202">
        <f>AG202/X202</f>
        <v>0.21889051752921537</v>
      </c>
      <c r="AJ202">
        <f>AH202/Y202</f>
        <v>0.22532308411214952</v>
      </c>
    </row>
    <row r="203">
      <c r="F203" t="str">
        <v>Yellow</v>
      </c>
      <c r="G203" t="str">
        <f>HYPERLINK("https://www.amazon.com/dp/B07HGR8L83/ref=twister_B07ND6DXM3?_encoding=UTF8&amp;th=1","A")</f>
        <v>A</v>
      </c>
      <c r="J203">
        <v>27</v>
      </c>
      <c r="K203">
        <f>IF(L203&gt;0,L203*0.0625,)</f>
        <v>0.7625</v>
      </c>
      <c r="L203">
        <v>12.2</v>
      </c>
      <c r="M203">
        <f>IF(K203&gt;0,K203*0.453592,IF(L203&gt;0,L203*0.02835,))</f>
        <v>0.3458639</v>
      </c>
      <c r="N203">
        <v>0</v>
      </c>
      <c r="O203">
        <v>0</v>
      </c>
      <c r="P203">
        <f>J203+O203+N203</f>
        <v>27</v>
      </c>
      <c r="Q203">
        <f>P203*C3</f>
        <v>33750</v>
      </c>
      <c r="R203">
        <v>0</v>
      </c>
      <c r="S203">
        <f>ROUND(SUM(Q203:R203), -2)</f>
        <v>33800</v>
      </c>
      <c r="T203">
        <f>ROUNDUP(HLOOKUP(ROUNDUP(K203,0),'배송비 조회'!A$10:U$22,7,0)*C$3,-2)</f>
        <v>9000</v>
      </c>
      <c r="U203">
        <v>0</v>
      </c>
      <c r="V203">
        <f>ROUND(IF(R203&gt;0,0,(S203+T203)*0.4),-2)</f>
        <v>17100</v>
      </c>
      <c r="W203">
        <f>ROUND(IF(R203&gt;0,0,(S203+T203)*0.5),-2)</f>
        <v>21400</v>
      </c>
      <c r="X203">
        <f>IF(R203&gt;0,SUM(S203:T203),SUM(S203:V203))</f>
        <v>59900</v>
      </c>
      <c r="Y203">
        <f>IF(R203&gt;0,SUM(S203:T203),SUM(S203:U203)+W203)</f>
        <v>64200</v>
      </c>
      <c r="Z203">
        <v>0</v>
      </c>
      <c r="AA203">
        <f>X203*0.038</f>
        <v>2276.2</v>
      </c>
      <c r="AB203">
        <f>X203*0.02</f>
        <v>1198</v>
      </c>
      <c r="AC203">
        <f>Y203*0.1</f>
        <v>6420</v>
      </c>
      <c r="AD203">
        <f>X203-AA203-AB203</f>
        <v>56425.8</v>
      </c>
      <c r="AE203">
        <f>Y203-AC203</f>
        <v>57780</v>
      </c>
      <c r="AF203">
        <f>AD203*0.01</f>
        <v>564.258</v>
      </c>
      <c r="AG203">
        <f>AD203-Q203-AF203-T203</f>
        <v>13111.542000000001</v>
      </c>
      <c r="AH203">
        <f>AE203-Q203-AF203-T203</f>
        <v>14465.741999999998</v>
      </c>
      <c r="AI203">
        <f>AG203/X203</f>
        <v>0.21889051752921537</v>
      </c>
      <c r="AJ203">
        <f>AH203/Y203</f>
        <v>0.22532308411214952</v>
      </c>
    </row>
    <row r="204">
      <c r="A204">
        <f>HYPERLINK("https://smartstore.naver.com/brickstore2019/products/4630812281",AW:AW)</f>
        <v>4630812281</v>
      </c>
      <c r="C204" t="str">
        <v>콜맨 썬돔 4인용 텐트</v>
      </c>
      <c r="E204" t="str">
        <v>Coleman Sundome Tent</v>
      </c>
      <c r="F204" t="str">
        <v>Navy/Grey</v>
      </c>
      <c r="G204" t="str">
        <f>HYPERLINK("https://www.amazon.com/Coleman-Sundome-6-Person-Dome-Tent/dp/B019N9W93O/ref=sr_1_5?keywords=Coleman+Sundome+4-Person+Tent&amp;qid=1567609482&amp;s=sporting-goods&amp;sr=1-5","A")</f>
        <v>A</v>
      </c>
      <c r="J204">
        <v>64</v>
      </c>
      <c r="K204">
        <f>IF(L204&gt;0,L204*0.0625,)</f>
        <v>0.65625</v>
      </c>
      <c r="L204">
        <v>10.5</v>
      </c>
      <c r="M204">
        <f>IF(K204&gt;0,K204*0.453592,IF(L204&gt;0,L204*0.02835,))</f>
        <v>0.29766975</v>
      </c>
      <c r="N204">
        <v>0</v>
      </c>
      <c r="O204">
        <v>0</v>
      </c>
      <c r="P204">
        <f>J204+O204+N204</f>
        <v>64</v>
      </c>
      <c r="Q204">
        <f>P204*C3</f>
        <v>80000</v>
      </c>
      <c r="R204">
        <v>0</v>
      </c>
      <c r="S204">
        <f>ROUND(SUM(Q204:R204), -2)</f>
        <v>80000</v>
      </c>
      <c r="T204">
        <f>ROUNDUP(HLOOKUP(ROUNDUP(K204,0),'배송비 조회'!A$10:U$22,7,0)*C$3,-2)</f>
        <v>9000</v>
      </c>
      <c r="U204">
        <v>0</v>
      </c>
      <c r="V204">
        <f>ROUND(IF(R204&gt;0,0,(S204+T204)*0.4),-2)</f>
        <v>35600</v>
      </c>
      <c r="W204">
        <f>ROUND(IF(R204&gt;0,0,(S204+T204)*0.5),-2)</f>
        <v>44500</v>
      </c>
      <c r="X204">
        <f>IF(R204&gt;0,SUM(S204:T204),SUM(S204:V204))</f>
        <v>124600</v>
      </c>
      <c r="Y204">
        <f>IF(R204&gt;0,SUM(S204:T204),SUM(S204:U204)+W204)</f>
        <v>133500</v>
      </c>
      <c r="Z204">
        <v>0</v>
      </c>
      <c r="AA204">
        <f>X204*0.038</f>
        <v>4734.8</v>
      </c>
      <c r="AB204">
        <f>X204*0.02</f>
        <v>2492</v>
      </c>
      <c r="AC204">
        <f>Y204*0.1</f>
        <v>13350</v>
      </c>
      <c r="AD204">
        <f>X204-AA204-AB204</f>
        <v>117373.2</v>
      </c>
      <c r="AE204">
        <f>Y204-AC204</f>
        <v>120150</v>
      </c>
      <c r="AF204">
        <f>AD204*0.01</f>
        <v>1173.732</v>
      </c>
      <c r="AG204">
        <f>AD204-Q204-AF204-T204</f>
        <v>27199.467999999993</v>
      </c>
      <c r="AH204">
        <f>AE204-Q204-AF204-T204</f>
        <v>29976.267999999996</v>
      </c>
      <c r="AI204">
        <f>AG204/X204</f>
        <v>0.21829428571428566</v>
      </c>
      <c r="AJ204">
        <f>AH204/Y204</f>
        <v>0.22454133333333332</v>
      </c>
      <c r="AK204">
        <f>X204-X205</f>
        <v>17000</v>
      </c>
      <c r="AW204">
        <v>4630812281</v>
      </c>
    </row>
    <row r="205">
      <c r="F205" t="str">
        <v>Green</v>
      </c>
      <c r="G205" t="str">
        <f>HYPERLINK("https://www.amazon.com/Coleman-4-Person-Camping-Sundome-Setup/dp/B004J2GUOU?ref_=s9_acss_bw_cg_ORHarOut_1b1_w&amp;th=1&amp;psc=1","A")</f>
        <v>A</v>
      </c>
      <c r="J205">
        <v>59</v>
      </c>
      <c r="K205">
        <f>IF(L205&gt;0,L205*0.0625,)</f>
        <v>0.65625</v>
      </c>
      <c r="L205">
        <v>10.5</v>
      </c>
      <c r="M205">
        <f>IF(K205&gt;0,K205*0.453592,IF(L205&gt;0,L205*0.02835,))</f>
        <v>0.29766975</v>
      </c>
      <c r="N205">
        <v>0</v>
      </c>
      <c r="O205">
        <v>0</v>
      </c>
      <c r="P205">
        <f>J205+O205+N205</f>
        <v>59</v>
      </c>
      <c r="Q205">
        <f>P205*C3</f>
        <v>73750</v>
      </c>
      <c r="R205">
        <v>0</v>
      </c>
      <c r="S205">
        <f>ROUND(SUM(Q205:R205), -2)</f>
        <v>73800</v>
      </c>
      <c r="T205">
        <f>ROUNDUP(HLOOKUP(ROUNDUP(K205,0),'배송비 조회'!A$10:U$22,7,0)*C$3,-2)</f>
        <v>9000</v>
      </c>
      <c r="U205">
        <v>0</v>
      </c>
      <c r="V205">
        <f>ROUND(IF(R205&gt;0,0,(S205+T205)*0.3),-2)</f>
        <v>24800</v>
      </c>
      <c r="W205">
        <f>ROUND(IF(R205&gt;0,0,(S205+T205)*0.5),-2)</f>
        <v>41400</v>
      </c>
      <c r="X205">
        <f>IF(R205&gt;0,SUM(S205:T205),SUM(S205:V205))</f>
        <v>107600</v>
      </c>
      <c r="Y205">
        <f>IF(R205&gt;0,SUM(S205:T205),SUM(S205:U205)+W205)</f>
        <v>124200</v>
      </c>
      <c r="Z205">
        <v>0</v>
      </c>
      <c r="AA205">
        <f>X205*0.038</f>
        <v>4088.7999999999997</v>
      </c>
      <c r="AB205">
        <f>X205*0.02</f>
        <v>2152</v>
      </c>
      <c r="AC205">
        <f>Y205*0.1</f>
        <v>12420</v>
      </c>
      <c r="AD205">
        <f>X205-AA205-AB205</f>
        <v>101359.2</v>
      </c>
      <c r="AE205">
        <f>Y205-AC205</f>
        <v>111780</v>
      </c>
      <c r="AF205">
        <f>AD205*0.01</f>
        <v>1013.592</v>
      </c>
      <c r="AG205">
        <f>AD205-Q205-AF205-T205</f>
        <v>17595.607999999997</v>
      </c>
      <c r="AH205">
        <f>AE205-Q205-AF205-T205</f>
        <v>28016.408000000003</v>
      </c>
      <c r="AI205">
        <f>AG205/X205</f>
        <v>0.16352795539033455</v>
      </c>
      <c r="AJ205">
        <f>AH205/Y205</f>
        <v>0.22557494363929148</v>
      </c>
      <c r="AK205">
        <f>X204-X205</f>
        <v>17000</v>
      </c>
    </row>
    <row r="206">
      <c r="A206">
        <f>HYPERLINK("https://smartstore.naver.com/brickstore2019/products/4632369847",AW:AW)</f>
        <v>4632369847</v>
      </c>
      <c r="C206" t="str">
        <v>맥북에어 맥북프로 서피스프로 6 5 4 파우치 케이스 12-13.5인치 호환</v>
      </c>
      <c r="E206" t="str">
        <v>Audirex Water Drop Proof Laptop Tablet Sleeve Handbag for 12 - 13.3 Inch MacBook Air | MacBook Pro Retina 2012 - 2019 | 12.9 Inch iPad Pro | Surface Pro 6 5 4 | New Surface Pro (Grey)</v>
      </c>
      <c r="G206" t="str">
        <f>HYPERLINK("https://www.amazon.com/Audirex-Laptop-Tablet-Sleeve-Handbag/dp/B074DMYX81/ref=sr_1_73?crid=AJ0640OO374T&amp;keywords=surface%2Bpro%2B6&amp;qid=1565445563&amp;refinements=p_72%3A1248879011&amp;rnid=1248877011&amp;s=pc&amp;sprefix=surface%2Caps%2C378&amp;sr=1-73&amp;th=1","A")</f>
        <v>A</v>
      </c>
      <c r="J206">
        <v>18</v>
      </c>
      <c r="K206">
        <f>IF(L206&gt;0,L206*0.0625,)</f>
        <v>0.6</v>
      </c>
      <c r="L206">
        <v>9.6</v>
      </c>
      <c r="M206">
        <f>IF(K206&gt;0,K206*0.453592,IF(L206&gt;0,L206*0.02835,))</f>
        <v>0.2721552</v>
      </c>
      <c r="N206">
        <v>0</v>
      </c>
      <c r="O206">
        <v>0</v>
      </c>
      <c r="P206">
        <f>J206+O206+N206</f>
        <v>18</v>
      </c>
      <c r="Q206">
        <f>P206*C3</f>
        <v>22500</v>
      </c>
      <c r="R206">
        <v>0</v>
      </c>
      <c r="S206">
        <f>ROUND(SUM(Q206:R206), -2)</f>
        <v>22500</v>
      </c>
      <c r="T206">
        <f>ROUNDUP(HLOOKUP(ROUNDUP(K206,0),'배송비 조회'!A$10:U$22,7,0)*C$3,-2)</f>
        <v>9000</v>
      </c>
      <c r="U206">
        <v>0</v>
      </c>
      <c r="V206">
        <f>ROUND(IF(R206&gt;0,0,(S206+T206)*0.5),-2)</f>
        <v>15800</v>
      </c>
      <c r="W206">
        <f>ROUND(IF(R206&gt;0,0,(S206+T206)*0.5),-2)</f>
        <v>15800</v>
      </c>
      <c r="X206">
        <f>IF(R206&gt;0,SUM(S206:T206),SUM(S206:V206))</f>
        <v>47300</v>
      </c>
      <c r="Y206">
        <f>IF(R206&gt;0,SUM(S206:T206),SUM(S206:U206)+W206)</f>
        <v>47300</v>
      </c>
      <c r="Z206">
        <v>0</v>
      </c>
      <c r="AA206">
        <f>X206*0.038</f>
        <v>1797.3999999999999</v>
      </c>
      <c r="AB206">
        <f>X206*0.02</f>
        <v>946</v>
      </c>
      <c r="AC206">
        <f>Y206*0.1</f>
        <v>4730</v>
      </c>
      <c r="AD206">
        <f>X206-AA206-AB206</f>
        <v>44556.6</v>
      </c>
      <c r="AE206">
        <f>Y206-AC206</f>
        <v>42570</v>
      </c>
      <c r="AF206">
        <f>AD206*0.01</f>
        <v>445.566</v>
      </c>
      <c r="AG206">
        <f>AD206-Q206-AF206-T206</f>
        <v>12611.034</v>
      </c>
      <c r="AH206">
        <f>AE206-Q206-AF206-T206</f>
        <v>10624.434000000001</v>
      </c>
      <c r="AI206">
        <f>AG206/X206</f>
        <v>0.2666180549682875</v>
      </c>
      <c r="AJ206">
        <f>AH206/Y206</f>
        <v>0.22461805496828754</v>
      </c>
      <c r="AW206">
        <v>4632369847</v>
      </c>
    </row>
    <row r="207">
      <c r="A207">
        <f>HYPERLINK("https://smartstore.naver.com/brickstore2019/products/4632386352",AW:AW)</f>
        <v>4632386352</v>
      </c>
      <c r="C207" t="str">
        <v>13인치 맥북 에어 맥북 프로 서피스프로 6 5 4 커버 케이스 파우치 세트</v>
      </c>
      <c r="E207" t="str">
        <v>HYZUO 13 Inch Laptop Sleeve Case Compatible with 2018 MacBook Air 13 A1932/ MacBook Pro 13 Retina 2016 2017 2018/ Surface Pro 6 5 4/ Dell XPS/Huawei MateBook 13 Pro with Small Bag, Faux Suede Leather</v>
      </c>
      <c r="F207" t="str">
        <v>Dark Grey</v>
      </c>
      <c r="G207" t="str">
        <v>A</v>
      </c>
      <c r="J207">
        <v>19</v>
      </c>
      <c r="K207">
        <f>IF(L207&gt;0,L207*0.0625,)</f>
        <v>0.56875</v>
      </c>
      <c r="L207">
        <v>9.1</v>
      </c>
      <c r="M207">
        <f>IF(K207&gt;0,K207*0.453592,IF(L207&gt;0,L207*0.02835,))</f>
        <v>0.25798045</v>
      </c>
      <c r="N207">
        <v>0</v>
      </c>
      <c r="O207">
        <v>0</v>
      </c>
      <c r="P207">
        <f>J207+O207+N207</f>
        <v>19</v>
      </c>
      <c r="Q207">
        <f>P207*C3</f>
        <v>23750</v>
      </c>
      <c r="R207">
        <v>0</v>
      </c>
      <c r="S207">
        <f>ROUND(SUM(Q207:R207), -2)</f>
        <v>23800</v>
      </c>
      <c r="T207">
        <f>ROUNDUP(HLOOKUP(ROUNDUP(K207,0),'배송비 조회'!A$10:U$22,7,0)*C$3,-2)</f>
        <v>9000</v>
      </c>
      <c r="U207">
        <v>0</v>
      </c>
      <c r="V207">
        <f>ROUND(IF(R207&gt;0,0,(S207+T207)*0.5),-2)</f>
        <v>16400</v>
      </c>
      <c r="W207">
        <f>ROUND(IF(R207&gt;0,0,(S207+T207)*0.5),-2)</f>
        <v>16400</v>
      </c>
      <c r="X207">
        <f>IF(R207&gt;0,SUM(S207:T207),SUM(S207:V207))</f>
        <v>49200</v>
      </c>
      <c r="Y207">
        <f>IF(R207&gt;0,SUM(S207:T207),SUM(S207:U207)+W207)</f>
        <v>49200</v>
      </c>
      <c r="Z207">
        <v>0</v>
      </c>
      <c r="AA207">
        <f>X207*0.038</f>
        <v>1869.6</v>
      </c>
      <c r="AB207">
        <f>X207*0.02</f>
        <v>984</v>
      </c>
      <c r="AC207">
        <f>Y207*0.1</f>
        <v>4920</v>
      </c>
      <c r="AD207">
        <f>X207-AA207-AB207</f>
        <v>46346.4</v>
      </c>
      <c r="AE207">
        <f>Y207-AC207</f>
        <v>44280</v>
      </c>
      <c r="AF207">
        <f>AD207*0.01</f>
        <v>463.464</v>
      </c>
      <c r="AG207">
        <f>AD207-Q207-AF207-T207</f>
        <v>13132.936000000002</v>
      </c>
      <c r="AH207">
        <f>AE207-Q207-AF207-T207</f>
        <v>11066.536</v>
      </c>
      <c r="AI207">
        <f>AG207/X207</f>
        <v>0.266929593495935</v>
      </c>
      <c r="AJ207">
        <f>AH207/Y207</f>
        <v>0.22492959349593497</v>
      </c>
      <c r="AW207">
        <v>4632386352</v>
      </c>
    </row>
    <row r="208">
      <c r="F208" t="str">
        <v>Navy Blue</v>
      </c>
      <c r="G208" t="str">
        <v>A</v>
      </c>
      <c r="J208">
        <v>19</v>
      </c>
      <c r="K208">
        <f>IF(L208&gt;0,L208*0.0625,)</f>
        <v>0.56875</v>
      </c>
      <c r="L208">
        <v>9.1</v>
      </c>
      <c r="M208">
        <f>IF(K208&gt;0,K208*0.453592,IF(L208&gt;0,L208*0.02835,))</f>
        <v>0.25798045</v>
      </c>
      <c r="N208">
        <v>0</v>
      </c>
      <c r="O208">
        <v>0</v>
      </c>
      <c r="P208">
        <f>J208+O208+N208</f>
        <v>19</v>
      </c>
      <c r="Q208">
        <f>P208*C3</f>
        <v>23750</v>
      </c>
      <c r="R208">
        <v>0</v>
      </c>
      <c r="S208">
        <f>ROUND(SUM(Q208:R208), -2)</f>
        <v>23800</v>
      </c>
      <c r="T208">
        <f>ROUNDUP(HLOOKUP(ROUNDUP(K208,0),'배송비 조회'!A$10:U$22,7,0)*C$3,-2)</f>
        <v>9000</v>
      </c>
      <c r="U208">
        <v>0</v>
      </c>
      <c r="V208">
        <f>ROUND(IF(R208&gt;0,0,(S208+T208)*0.5),-2)</f>
        <v>16400</v>
      </c>
      <c r="W208">
        <f>ROUND(IF(R208&gt;0,0,(S208+T208)*0.5),-2)</f>
        <v>16400</v>
      </c>
      <c r="X208">
        <f>IF(R208&gt;0,SUM(S208:T208),SUM(S208:V208))</f>
        <v>49200</v>
      </c>
      <c r="Y208">
        <f>IF(R208&gt;0,SUM(S208:T208),SUM(S208:U208)+W208)</f>
        <v>49200</v>
      </c>
      <c r="Z208">
        <v>0</v>
      </c>
      <c r="AA208">
        <f>X208*0.038</f>
        <v>1869.6</v>
      </c>
      <c r="AB208">
        <f>X208*0.02</f>
        <v>984</v>
      </c>
      <c r="AC208">
        <f>Y208*0.1</f>
        <v>4920</v>
      </c>
      <c r="AD208">
        <f>X208-AA208-AB208</f>
        <v>46346.4</v>
      </c>
      <c r="AE208">
        <f>Y208-AC208</f>
        <v>44280</v>
      </c>
      <c r="AF208">
        <f>AD208*0.01</f>
        <v>463.464</v>
      </c>
      <c r="AG208">
        <f>AD208-Q208-AF208-T208</f>
        <v>13132.936000000002</v>
      </c>
      <c r="AH208">
        <f>AE208-Q208-AF208-T208</f>
        <v>11066.536</v>
      </c>
      <c r="AI208">
        <f>AG208/X208</f>
        <v>0.266929593495935</v>
      </c>
      <c r="AJ208">
        <f>AH208/Y208</f>
        <v>0.22492959349593497</v>
      </c>
    </row>
    <row r="209">
      <c r="A209">
        <f>HYPERLINK("https://smartstore.naver.com/brickstore2019/products/4632402769",AW:AW)</f>
        <v>4632402769</v>
      </c>
      <c r="C209" t="str">
        <v>휴대용 접이식 노트북 거치대 받침대 Steklo X-Stand</v>
      </c>
      <c r="E209" t="str">
        <v>Steklo MacBook Pro Stand - X-Stand Aluminum Laptop Stand for 12 13 15 17 inch - Adjustable Laptop Stand for Desk Portable Foldable Compact Universal Computer Cooling MacBook Stand (New Version 2019)</v>
      </c>
      <c r="G209" t="str">
        <f>HYPERLINK("https://www.amazon.com/Steklo-MacBook-Pro-Stand-Adjustable/dp/B00VIZ60QY/ref=sr_1_9?keywords=macbook+case+stand&amp;qid=1565616355&amp;s=gateway&amp;sr=8-9","A")</f>
        <v>A</v>
      </c>
      <c r="J209">
        <v>25</v>
      </c>
      <c r="K209">
        <f>IF(L209&gt;0,L209*0.0625,)</f>
        <v>0.45</v>
      </c>
      <c r="L209">
        <v>7.2</v>
      </c>
      <c r="M209">
        <f>IF(K209&gt;0,K209*0.453592,IF(L209&gt;0,L209*0.02835,))</f>
        <v>0.2041164</v>
      </c>
      <c r="N209">
        <v>0</v>
      </c>
      <c r="O209">
        <v>0</v>
      </c>
      <c r="P209">
        <f>J209+O209+N209</f>
        <v>25</v>
      </c>
      <c r="Q209">
        <f>P209*C3</f>
        <v>31250</v>
      </c>
      <c r="R209">
        <v>0</v>
      </c>
      <c r="S209">
        <f>ROUND(SUM(Q209:R209), -2)</f>
        <v>31300</v>
      </c>
      <c r="T209">
        <f>ROUNDUP(HLOOKUP(ROUNDUP(K209,0),'배송비 조회'!A$10:U$22,7,0)*C$3,-2)</f>
        <v>9000</v>
      </c>
      <c r="U209">
        <v>0</v>
      </c>
      <c r="V209">
        <f>ROUND(IF(R209&gt;0,0,(S209+T209)*0.4),-2)</f>
        <v>16100</v>
      </c>
      <c r="W209">
        <f>ROUND(IF(R209&gt;0,0,(S209+T209)*0.5),-2)</f>
        <v>20200</v>
      </c>
      <c r="X209">
        <f>IF(R209&gt;0,SUM(S209:T209),SUM(S209:V209))</f>
        <v>56400</v>
      </c>
      <c r="Y209">
        <f>IF(R209&gt;0,SUM(S209:T209),SUM(S209:U209)+W209)</f>
        <v>60500</v>
      </c>
      <c r="Z209">
        <v>0</v>
      </c>
      <c r="AA209">
        <f>X209*0.038</f>
        <v>2143.2</v>
      </c>
      <c r="AB209">
        <f>X209*0.02</f>
        <v>1128</v>
      </c>
      <c r="AC209">
        <f>Y209*0.1</f>
        <v>6050</v>
      </c>
      <c r="AD209">
        <f>X209-AA209-AB209</f>
        <v>53128.8</v>
      </c>
      <c r="AE209">
        <f>Y209-AC209</f>
        <v>54450</v>
      </c>
      <c r="AF209">
        <f>AD209*0.01</f>
        <v>531.288</v>
      </c>
      <c r="AG209">
        <f>AD209-Q209-AF209-T209</f>
        <v>12347.512000000002</v>
      </c>
      <c r="AH209">
        <f>AE209-Q209-AF209-T209</f>
        <v>13668.712</v>
      </c>
      <c r="AI209">
        <f>AG209/X209</f>
        <v>0.21892751773049648</v>
      </c>
      <c r="AJ209">
        <f>AH209/Y209</f>
        <v>0.22592912396694215</v>
      </c>
      <c r="AW209">
        <v>4632402769</v>
      </c>
    </row>
    <row r="210">
      <c r="A210">
        <f>HYPERLINK("https://smartstore.naver.com/brickstore2019/products/4635240441",AW:AW)</f>
        <v>4635240441</v>
      </c>
      <c r="C210" t="str">
        <v>마이크로소프트 서피스프로 5 6 케이스 충격방지 보호 스탠드 펜 홀더</v>
      </c>
      <c r="E210" t="str">
        <v>MAXCases Extreme Shell for Microsoft Surface Pro 5 2017 / Surface Pro 6 2018 Rugged Protective Case (Black) Military Drop Tested - Protective Stand, Stylus Pen Holder, Laptop Case</v>
      </c>
      <c r="G210" t="str">
        <v>A</v>
      </c>
      <c r="J210">
        <v>45</v>
      </c>
      <c r="K210">
        <f>IF(L210&gt;0,L210*0.0625,)</f>
        <v>0.6625</v>
      </c>
      <c r="L210">
        <v>10.6</v>
      </c>
      <c r="M210">
        <f>IF(K210&gt;0,K210*0.453592,IF(L210&gt;0,L210*0.02835,))</f>
        <v>0.3005047</v>
      </c>
      <c r="N210">
        <v>0</v>
      </c>
      <c r="O210">
        <v>0</v>
      </c>
      <c r="P210">
        <f>J210+O210+N210</f>
        <v>45</v>
      </c>
      <c r="Q210">
        <f>P210*C3</f>
        <v>56250</v>
      </c>
      <c r="R210">
        <v>0</v>
      </c>
      <c r="S210">
        <f>ROUND(SUM(Q210:R210), -2)</f>
        <v>56300</v>
      </c>
      <c r="T210">
        <f>ROUNDUP(HLOOKUP(ROUNDUP(K210,0),'배송비 조회'!A$10:U$22,7,0)*C$3,-2)</f>
        <v>9000</v>
      </c>
      <c r="U210">
        <v>0</v>
      </c>
      <c r="V210">
        <f>ROUND(IF(R210&gt;0,0,(S210+T210)*0.3),-2)</f>
        <v>19600</v>
      </c>
      <c r="W210">
        <f>ROUND(IF(R210&gt;0,0,(S210+T210)*0.5),-2)</f>
        <v>32700</v>
      </c>
      <c r="X210">
        <f>IF(R210&gt;0,SUM(S210:T210),SUM(S210:V210))</f>
        <v>84900</v>
      </c>
      <c r="Y210">
        <f>IF(R210&gt;0,SUM(S210:T210),SUM(S210:U210)+W210)</f>
        <v>98000</v>
      </c>
      <c r="Z210">
        <v>0</v>
      </c>
      <c r="AA210">
        <f>X210*0.038</f>
        <v>3226.2</v>
      </c>
      <c r="AB210">
        <f>X210*0.02</f>
        <v>1698</v>
      </c>
      <c r="AC210">
        <f>Y210*0.1</f>
        <v>9800</v>
      </c>
      <c r="AD210">
        <f>X210-AA210-AB210</f>
        <v>79975.8</v>
      </c>
      <c r="AE210">
        <f>Y210-AC210</f>
        <v>88200</v>
      </c>
      <c r="AF210">
        <f>AD210*0.01</f>
        <v>799.758</v>
      </c>
      <c r="AG210">
        <f>AD210-Q210-AF210-T210</f>
        <v>13926.042000000001</v>
      </c>
      <c r="AH210">
        <f>AE210-Q210-AF210-T210</f>
        <v>22150.242</v>
      </c>
      <c r="AI210">
        <f>AG210/X210</f>
        <v>0.16402876325088342</v>
      </c>
      <c r="AJ210">
        <f>AH210/Y210</f>
        <v>0.22602287755102038</v>
      </c>
      <c r="AW210">
        <v>4635240441</v>
      </c>
    </row>
    <row r="211">
      <c r="A211">
        <f>HYPERLINK("https://smartstore.naver.com/brickstore2019/products/4635261825",AW:AW)</f>
        <v>4635261825</v>
      </c>
      <c r="C211" t="str">
        <v>마이크로소프트 서피스프로 4 5 6 케이스 킥스탠드 충격방지</v>
      </c>
      <c r="E211" t="str">
        <v>Youtec for Surface Pro 6 Case, Surface Pro 5 Case, Surface Pro 4 Case, Shockproof Rugged Folio Stand Protective Cover with Kickstand Case+Pencil Holder Compatible Microsoft Surface Pro 6/5/4(Platinum)</v>
      </c>
      <c r="F211" t="str">
        <v>Black</v>
      </c>
      <c r="G211" t="str">
        <v>A</v>
      </c>
      <c r="J211">
        <v>32</v>
      </c>
      <c r="K211">
        <f>IF(L211&gt;0,L211*0.0625,)</f>
        <v>0.6</v>
      </c>
      <c r="L211">
        <v>9.6</v>
      </c>
      <c r="M211">
        <f>IF(K211&gt;0,K211*0.453592,IF(L211&gt;0,L211*0.02835,))</f>
        <v>0.2721552</v>
      </c>
      <c r="N211">
        <v>0</v>
      </c>
      <c r="O211">
        <v>0</v>
      </c>
      <c r="P211">
        <f>J211+O211+N211</f>
        <v>32</v>
      </c>
      <c r="Q211">
        <f>P211*C3</f>
        <v>40000</v>
      </c>
      <c r="R211">
        <v>0</v>
      </c>
      <c r="S211">
        <f>ROUND(SUM(Q211:R211), -2)</f>
        <v>40000</v>
      </c>
      <c r="T211">
        <f>ROUNDUP(HLOOKUP(ROUNDUP(K211,0),'배송비 조회'!A$10:U$22,7,0)*C$3,-2)</f>
        <v>9000</v>
      </c>
      <c r="U211">
        <v>0</v>
      </c>
      <c r="V211">
        <f>ROUND(IF(R211&gt;0,0,(S211+T211)*0.3),-2)</f>
        <v>14700</v>
      </c>
      <c r="W211">
        <f>ROUND(IF(R211&gt;0,0,(S211+T211)*0.5),-2)</f>
        <v>24500</v>
      </c>
      <c r="X211">
        <f>IF(R211&gt;0,SUM(S211:T211),SUM(S211:V211))</f>
        <v>63700</v>
      </c>
      <c r="Y211">
        <f>IF(R211&gt;0,SUM(S211:T211),SUM(S211:U211)+W211)</f>
        <v>73500</v>
      </c>
      <c r="Z211">
        <v>0</v>
      </c>
      <c r="AA211">
        <f>X211*0.038</f>
        <v>2420.6</v>
      </c>
      <c r="AB211">
        <f>X211*0.02</f>
        <v>1274</v>
      </c>
      <c r="AC211">
        <f>Y211*0.1</f>
        <v>7350</v>
      </c>
      <c r="AD211">
        <f>X211-AA211-AB211</f>
        <v>60005.4</v>
      </c>
      <c r="AE211">
        <f>Y211-AC211</f>
        <v>66150</v>
      </c>
      <c r="AF211">
        <f>AD211*0.01</f>
        <v>600.054</v>
      </c>
      <c r="AG211">
        <f>AD211-Q211-AF211-T211</f>
        <v>10405.346000000001</v>
      </c>
      <c r="AH211">
        <f>AE211-Q211-AF211-T211</f>
        <v>16549.946</v>
      </c>
      <c r="AI211">
        <f>AG211/X211</f>
        <v>0.1633492307692308</v>
      </c>
      <c r="AJ211">
        <f>AH211/Y211</f>
        <v>0.22516933333333333</v>
      </c>
      <c r="AW211">
        <v>4635261825</v>
      </c>
    </row>
    <row r="212">
      <c r="F212" t="str">
        <v>Burgundy Red</v>
      </c>
      <c r="G212" t="str">
        <v>A</v>
      </c>
      <c r="J212">
        <v>35</v>
      </c>
      <c r="K212">
        <f>IF(L212&gt;0,L212*0.0625,)</f>
        <v>0.6</v>
      </c>
      <c r="L212">
        <v>9.6</v>
      </c>
      <c r="M212">
        <f>IF(K212&gt;0,K212*0.453592,IF(L212&gt;0,L212*0.02835,))</f>
        <v>0.2721552</v>
      </c>
      <c r="N212">
        <v>0</v>
      </c>
      <c r="O212">
        <v>0</v>
      </c>
      <c r="P212">
        <f>J212+O212+N212</f>
        <v>35</v>
      </c>
      <c r="Q212">
        <f>P212*C3</f>
        <v>43750</v>
      </c>
      <c r="R212">
        <v>0</v>
      </c>
      <c r="S212">
        <f>ROUND(SUM(Q212:R212), -2)</f>
        <v>43800</v>
      </c>
      <c r="T212">
        <f>ROUNDUP(HLOOKUP(ROUNDUP(K212,0),'배송비 조회'!A$10:U$22,7,0)*C$3,-2)</f>
        <v>9000</v>
      </c>
      <c r="U212">
        <v>0</v>
      </c>
      <c r="V212">
        <f>ROUND(IF(R212&gt;0,0,(S212+T212)*0.3),-2)</f>
        <v>15800</v>
      </c>
      <c r="W212">
        <f>ROUND(IF(R212&gt;0,0,(S212+T212)*0.5),-2)</f>
        <v>26400</v>
      </c>
      <c r="X212">
        <f>IF(R212&gt;0,SUM(S212:T212),SUM(S212:V212))</f>
        <v>68600</v>
      </c>
      <c r="Y212">
        <f>IF(R212&gt;0,SUM(S212:T212),SUM(S212:U212)+W212)</f>
        <v>79200</v>
      </c>
      <c r="Z212">
        <v>0</v>
      </c>
      <c r="AA212">
        <f>X212*0.038</f>
        <v>2606.7999999999997</v>
      </c>
      <c r="AB212">
        <f>X212*0.02</f>
        <v>1372</v>
      </c>
      <c r="AC212">
        <f>Y212*0.1</f>
        <v>7920</v>
      </c>
      <c r="AD212">
        <f>X212-AA212-AB212</f>
        <v>64621.2</v>
      </c>
      <c r="AE212">
        <f>Y212-AC212</f>
        <v>71280</v>
      </c>
      <c r="AF212">
        <f>AD212*0.01</f>
        <v>646.212</v>
      </c>
      <c r="AG212">
        <f>AD212-Q212-AF212-T212</f>
        <v>11224.987999999998</v>
      </c>
      <c r="AH212">
        <f>AE212-Q212-AF212-T212</f>
        <v>17883.788</v>
      </c>
      <c r="AI212">
        <f>AG212/X212</f>
        <v>0.1636295626822157</v>
      </c>
      <c r="AJ212">
        <f>AH212/Y212</f>
        <v>0.22580540404040406</v>
      </c>
    </row>
    <row r="213">
      <c r="F213" t="str">
        <v>Cobalt Blue</v>
      </c>
      <c r="G213" t="str">
        <v>A</v>
      </c>
      <c r="J213">
        <v>35</v>
      </c>
      <c r="K213">
        <f>IF(L213&gt;0,L213*0.0625,)</f>
        <v>0.6</v>
      </c>
      <c r="L213">
        <v>9.6</v>
      </c>
      <c r="M213">
        <f>IF(K213&gt;0,K213*0.453592,IF(L213&gt;0,L213*0.02835,))</f>
        <v>0.2721552</v>
      </c>
      <c r="N213">
        <v>0</v>
      </c>
      <c r="O213">
        <v>0</v>
      </c>
      <c r="P213">
        <f>J213+O213+N213</f>
        <v>35</v>
      </c>
      <c r="Q213">
        <f>P213*C3</f>
        <v>43750</v>
      </c>
      <c r="R213">
        <v>0</v>
      </c>
      <c r="S213">
        <f>ROUND(SUM(Q213:R213), -2)</f>
        <v>43800</v>
      </c>
      <c r="T213">
        <f>ROUNDUP(HLOOKUP(ROUNDUP(K213,0),'배송비 조회'!A$10:U$22,7,0)*C$3,-2)</f>
        <v>9000</v>
      </c>
      <c r="U213">
        <v>0</v>
      </c>
      <c r="V213">
        <f>ROUND(IF(R213&gt;0,0,(S213+T213)*0.3),-2)</f>
        <v>15800</v>
      </c>
      <c r="W213">
        <f>ROUND(IF(R213&gt;0,0,(S213+T213)*0.5),-2)</f>
        <v>26400</v>
      </c>
      <c r="X213">
        <f>IF(R213&gt;0,SUM(S213:T213),SUM(S213:V213))</f>
        <v>68600</v>
      </c>
      <c r="Y213">
        <f>IF(R213&gt;0,SUM(S213:T213),SUM(S213:U213)+W213)</f>
        <v>79200</v>
      </c>
      <c r="Z213">
        <v>0</v>
      </c>
      <c r="AA213">
        <f>X213*0.038</f>
        <v>2606.7999999999997</v>
      </c>
      <c r="AB213">
        <f>X213*0.02</f>
        <v>1372</v>
      </c>
      <c r="AC213">
        <f>Y213*0.1</f>
        <v>7920</v>
      </c>
      <c r="AD213">
        <f>X213-AA213-AB213</f>
        <v>64621.2</v>
      </c>
      <c r="AE213">
        <f>Y213-AC213</f>
        <v>71280</v>
      </c>
      <c r="AF213">
        <f>AD213*0.01</f>
        <v>646.212</v>
      </c>
      <c r="AG213">
        <f>AD213-Q213-AF213-T213</f>
        <v>11224.987999999998</v>
      </c>
      <c r="AH213">
        <f>AE213-Q213-AF213-T213</f>
        <v>17883.788</v>
      </c>
      <c r="AI213">
        <f>AG213/X213</f>
        <v>0.1636295626822157</v>
      </c>
      <c r="AJ213">
        <f>AH213/Y213</f>
        <v>0.22580540404040406</v>
      </c>
    </row>
    <row r="214">
      <c r="F214" t="str">
        <v>Platinum Grey</v>
      </c>
      <c r="G214" t="str">
        <v>A</v>
      </c>
      <c r="J214">
        <v>35</v>
      </c>
      <c r="K214">
        <f>IF(L214&gt;0,L214*0.0625,)</f>
        <v>0.6</v>
      </c>
      <c r="L214">
        <v>9.6</v>
      </c>
      <c r="M214">
        <f>IF(K214&gt;0,K214*0.453592,IF(L214&gt;0,L214*0.02835,))</f>
        <v>0.2721552</v>
      </c>
      <c r="N214">
        <v>0</v>
      </c>
      <c r="O214">
        <v>0</v>
      </c>
      <c r="P214">
        <f>J214+O214+N214</f>
        <v>35</v>
      </c>
      <c r="Q214">
        <f>P214*C3</f>
        <v>43750</v>
      </c>
      <c r="R214">
        <v>0</v>
      </c>
      <c r="S214">
        <f>ROUND(SUM(Q214:R214), -2)</f>
        <v>43800</v>
      </c>
      <c r="T214">
        <f>ROUNDUP(HLOOKUP(ROUNDUP(K214,0),'배송비 조회'!A$10:U$22,7,0)*C$3,-2)</f>
        <v>9000</v>
      </c>
      <c r="U214">
        <v>0</v>
      </c>
      <c r="V214">
        <f>ROUND(IF(R214&gt;0,0,(S214+T214)*0.3),-2)</f>
        <v>15800</v>
      </c>
      <c r="W214">
        <f>ROUND(IF(R214&gt;0,0,(S214+T214)*0.5),-2)</f>
        <v>26400</v>
      </c>
      <c r="X214">
        <f>IF(R214&gt;0,SUM(S214:T214),SUM(S214:V214))</f>
        <v>68600</v>
      </c>
      <c r="Y214">
        <f>IF(R214&gt;0,SUM(S214:T214),SUM(S214:U214)+W214)</f>
        <v>79200</v>
      </c>
      <c r="Z214">
        <v>0</v>
      </c>
      <c r="AA214">
        <f>X214*0.038</f>
        <v>2606.7999999999997</v>
      </c>
      <c r="AB214">
        <f>X214*0.02</f>
        <v>1372</v>
      </c>
      <c r="AC214">
        <f>Y214*0.1</f>
        <v>7920</v>
      </c>
      <c r="AD214">
        <f>X214-AA214-AB214</f>
        <v>64621.2</v>
      </c>
      <c r="AE214">
        <f>Y214-AC214</f>
        <v>71280</v>
      </c>
      <c r="AF214">
        <f>AD214*0.01</f>
        <v>646.212</v>
      </c>
      <c r="AG214">
        <f>AD214-Q214-AF214-T214</f>
        <v>11224.987999999998</v>
      </c>
      <c r="AH214">
        <f>AE214-Q214-AF214-T214</f>
        <v>17883.788</v>
      </c>
      <c r="AI214">
        <f>AG214/X214</f>
        <v>0.1636295626822157</v>
      </c>
      <c r="AJ214">
        <f>AH214/Y214</f>
        <v>0.22580540404040406</v>
      </c>
    </row>
    <row r="215">
      <c r="A215">
        <f>HYPERLINK("https://smartstore.naver.com/brickstore2019/products/4635377458",AW:AW)</f>
        <v>4635377458</v>
      </c>
      <c r="C215" t="str">
        <v>Trekology 접이식 휴대용 캠핑 테이블 피크닉</v>
      </c>
      <c r="E215" t="str">
        <v>Trekology Foldable Camping Picnic Tables - Portable Compact Lightweight Folding Roll-up Table in a Bag - Small, Light Easy to Carry Camp, Beach, Outdoor</v>
      </c>
      <c r="F215" t="str">
        <v>Black</v>
      </c>
      <c r="G215" t="str">
        <v>A</v>
      </c>
      <c r="J215">
        <v>30</v>
      </c>
      <c r="K215">
        <v>3</v>
      </c>
      <c r="L215">
        <f>IF(K215&gt;0,K215*16,)</f>
        <v>48</v>
      </c>
      <c r="M215">
        <f>IF(K215&gt;0,K215*0.453592,IF(L215&gt;0,L215*0.02835,))</f>
        <v>1.360776</v>
      </c>
      <c r="N215">
        <v>0</v>
      </c>
      <c r="O215">
        <v>0</v>
      </c>
      <c r="P215">
        <f>J215+O215+N215</f>
        <v>30</v>
      </c>
      <c r="Q215">
        <f>P215*C3</f>
        <v>37500</v>
      </c>
      <c r="R215">
        <v>0</v>
      </c>
      <c r="S215">
        <f>ROUND(SUM(Q215:R215), -2)</f>
        <v>37500</v>
      </c>
      <c r="T215">
        <f>ROUNDUP(HLOOKUP(ROUNDUP(K215,0),'배송비 조회'!A$10:U$22,7,0)*C$3,-2)</f>
        <v>13400</v>
      </c>
      <c r="U215">
        <v>0</v>
      </c>
      <c r="V215">
        <f>ROUND(IF(R215&gt;0,0,(S215+T215)*0.4),-2)</f>
        <v>20400</v>
      </c>
      <c r="W215">
        <f>ROUND(IF(R215&gt;0,0,(S215+T215)*0.5),-2)</f>
        <v>25500</v>
      </c>
      <c r="X215">
        <f>IF(R215&gt;0,SUM(S215:T215),SUM(S215:V215))</f>
        <v>71300</v>
      </c>
      <c r="Y215">
        <f>IF(R215&gt;0,SUM(S215:T215),SUM(S215:U215)+W215)</f>
        <v>76400</v>
      </c>
      <c r="AA215">
        <f>X215*0.038</f>
        <v>2709.4</v>
      </c>
      <c r="AB215">
        <f>X215*0.02</f>
        <v>1426</v>
      </c>
      <c r="AC215">
        <f>Y215*0.1</f>
        <v>7640</v>
      </c>
      <c r="AD215">
        <f>X215-AA215-AB215</f>
        <v>67164.6</v>
      </c>
      <c r="AE215">
        <f>Y215-AC215</f>
        <v>68760</v>
      </c>
      <c r="AF215">
        <f>AD215*0.01</f>
        <v>671.6460000000001</v>
      </c>
      <c r="AG215">
        <f>AD215-Q215-AF215-T215</f>
        <v>15592.954000000005</v>
      </c>
      <c r="AH215">
        <f>AE215-Q215-AF215-T215</f>
        <v>17188.354</v>
      </c>
      <c r="AI215">
        <f>AG215/X215</f>
        <v>0.2186950070126228</v>
      </c>
      <c r="AJ215">
        <f>AH215/Y215</f>
        <v>0.22497845549738218</v>
      </c>
      <c r="AW215">
        <v>4635377458</v>
      </c>
    </row>
    <row r="216">
      <c r="F216" t="str">
        <v>Blue</v>
      </c>
      <c r="G216" t="str">
        <v>A</v>
      </c>
      <c r="J216">
        <v>30</v>
      </c>
      <c r="K216">
        <v>3</v>
      </c>
      <c r="L216">
        <f>IF(K216&gt;0,K216*16,)</f>
        <v>48</v>
      </c>
      <c r="M216">
        <f>IF(K216&gt;0,K216*0.453592,IF(L216&gt;0,L216*0.02835,))</f>
        <v>1.360776</v>
      </c>
      <c r="N216">
        <v>0</v>
      </c>
      <c r="O216">
        <v>0</v>
      </c>
      <c r="P216">
        <f>J216+O216+N216</f>
        <v>30</v>
      </c>
      <c r="Q216">
        <f>P216*C3</f>
        <v>37500</v>
      </c>
      <c r="R216">
        <v>0</v>
      </c>
      <c r="S216">
        <f>ROUND(SUM(Q216:R216), -2)</f>
        <v>37500</v>
      </c>
      <c r="T216">
        <f>ROUNDUP(HLOOKUP(ROUNDUP(K216,0),'배송비 조회'!A$10:U$22,7,0)*C$3,-2)</f>
        <v>13400</v>
      </c>
      <c r="U216">
        <v>0</v>
      </c>
      <c r="V216">
        <f>ROUND(IF(R216&gt;0,0,(S216+T216)*0.4),-2)</f>
        <v>20400</v>
      </c>
      <c r="W216">
        <f>ROUND(IF(R216&gt;0,0,(S216+T216)*0.5),-2)</f>
        <v>25500</v>
      </c>
      <c r="X216">
        <f>IF(R216&gt;0,SUM(S216:T216),SUM(S216:V216))</f>
        <v>71300</v>
      </c>
      <c r="Y216">
        <f>IF(R216&gt;0,SUM(S216:T216),SUM(S216:U216)+W216)</f>
        <v>76400</v>
      </c>
      <c r="Z216">
        <v>0</v>
      </c>
      <c r="AA216">
        <f>X216*0.038</f>
        <v>2709.4</v>
      </c>
      <c r="AB216">
        <f>X216*0.02</f>
        <v>1426</v>
      </c>
      <c r="AC216">
        <f>Y216*0.1</f>
        <v>7640</v>
      </c>
      <c r="AD216">
        <f>X216-AA216-AB216</f>
        <v>67164.6</v>
      </c>
      <c r="AE216">
        <f>Y216-AC216</f>
        <v>68760</v>
      </c>
      <c r="AF216">
        <f>AD216*0.01</f>
        <v>671.6460000000001</v>
      </c>
      <c r="AG216">
        <f>AD216-Q216-AF216-T216</f>
        <v>15592.954000000005</v>
      </c>
      <c r="AH216">
        <f>AE216-Q216-AF216-T216</f>
        <v>17188.354</v>
      </c>
      <c r="AI216">
        <f>AG216/X216</f>
        <v>0.2186950070126228</v>
      </c>
      <c r="AJ216">
        <f>AH216/Y216</f>
        <v>0.22497845549738218</v>
      </c>
    </row>
    <row r="217">
      <c r="A217">
        <f>HYPERLINK("https://smartstore.naver.com/brickstore2019/products/4636265042",AW:AW)</f>
        <v>4636265042</v>
      </c>
      <c r="C217" t="str">
        <v xml:space="preserve">가죽 노트북 슬리브 13인치 맥북 에어 프로 레티나 </v>
      </c>
      <c r="E217" t="str">
        <v>13 Inch PU Leather Laptop Sleeve Bag with Stand Function,GOLP Compatible with 13.3 2018 2017 2016 for MacBook Air/Pro/Retina/Touch Bar,Black</v>
      </c>
      <c r="F217" t="str">
        <v>Black</v>
      </c>
      <c r="G217" t="str">
        <f>HYPERLINK("https://www.amazon.com/Leather-Function-GOLP-Compatible-MacBook/dp/B07SLPM57M/ref=sr_1_8?keywords=Laptop%2BSleeve%2Bwith%2BStand&amp;qid=1565841065&amp;s=electronics&amp;sr=1-8&amp;th=1","A")</f>
        <v>A</v>
      </c>
      <c r="J217">
        <v>17</v>
      </c>
      <c r="K217">
        <v>1.05</v>
      </c>
      <c r="L217">
        <f>IF(K217&gt;0,K217*16,)</f>
        <v>16.8</v>
      </c>
      <c r="M217">
        <f>IF(K217&gt;0,K217*0.453592,IF(L217&gt;0,L217*0.02835,))</f>
        <v>0.4762716</v>
      </c>
      <c r="N217">
        <v>0</v>
      </c>
      <c r="O217">
        <v>0</v>
      </c>
      <c r="P217">
        <f>J217+O217+N217</f>
        <v>17</v>
      </c>
      <c r="Q217">
        <f>P217*C3</f>
        <v>21250</v>
      </c>
      <c r="R217">
        <v>0</v>
      </c>
      <c r="S217">
        <f>ROUND(SUM(Q217:R217), -2)</f>
        <v>21300</v>
      </c>
      <c r="T217">
        <f>ROUNDUP(HLOOKUP(ROUNDUP(K217,0),'배송비 조회'!A$10:U$22,7,0)*C$3,-2)</f>
        <v>11200</v>
      </c>
      <c r="U217">
        <v>0</v>
      </c>
      <c r="V217">
        <f>ROUND(IF(R217&gt;0,0,(S217+T217)*0.5),-2)</f>
        <v>16300</v>
      </c>
      <c r="W217">
        <f>ROUND(IF(R217&gt;0,0,(S217+T217)*0.5),-2)</f>
        <v>16300</v>
      </c>
      <c r="X217">
        <f>IF(R217&gt;0,SUM(S217:T217),SUM(S217:V217))</f>
        <v>48800</v>
      </c>
      <c r="Y217">
        <f>IF(R217&gt;0,SUM(S217:T217),SUM(S217:U217)+W217)</f>
        <v>48800</v>
      </c>
      <c r="Z217">
        <v>0</v>
      </c>
      <c r="AA217">
        <f>X217*0.038</f>
        <v>1854.3999999999999</v>
      </c>
      <c r="AB217">
        <f>X217*0.02</f>
        <v>976</v>
      </c>
      <c r="AC217">
        <f>Y217*0.1</f>
        <v>4880</v>
      </c>
      <c r="AD217">
        <f>X217-AA217-AB217</f>
        <v>45969.6</v>
      </c>
      <c r="AE217">
        <f>Y217-AC217</f>
        <v>43920</v>
      </c>
      <c r="AF217">
        <f>AD217*0.01</f>
        <v>459.69599999999997</v>
      </c>
      <c r="AG217">
        <f>AD217-Q217-AF217-T217</f>
        <v>13059.903999999999</v>
      </c>
      <c r="AH217">
        <f>AE217-Q217-AF217-T217</f>
        <v>11010.304</v>
      </c>
      <c r="AI217">
        <f>AG217/X217</f>
        <v>0.26762098360655734</v>
      </c>
      <c r="AJ217">
        <f>AH217/Y217</f>
        <v>0.22562098360655738</v>
      </c>
      <c r="AW217">
        <v>4636265042</v>
      </c>
    </row>
    <row r="218">
      <c r="F218" t="str">
        <v>Brown</v>
      </c>
      <c r="G218" t="str">
        <f>HYPERLINK("https://www.amazon.com/Leather-Function-GOLP-Compatible-MacBook/dp/B07SMQ3MQ8/ref=sr_1_8?keywords=Laptop%2BSleeve%2Bwith%2BStand&amp;qid=1565841065&amp;s=electronics&amp;sr=1-8&amp;th=1","A")</f>
        <v>A</v>
      </c>
      <c r="J218">
        <v>17</v>
      </c>
      <c r="K218">
        <v>1.05</v>
      </c>
      <c r="L218">
        <f>IF(K218&gt;0,K218*16,)</f>
        <v>16.8</v>
      </c>
      <c r="M218">
        <f>IF(K218&gt;0,K218*0.453592,IF(L218&gt;0,L218*0.02835,))</f>
        <v>0.4762716</v>
      </c>
      <c r="N218">
        <v>0</v>
      </c>
      <c r="O218">
        <v>0</v>
      </c>
      <c r="P218">
        <f>J218+O218+N218</f>
        <v>17</v>
      </c>
      <c r="Q218">
        <f>P218*C3</f>
        <v>21250</v>
      </c>
      <c r="R218">
        <v>0</v>
      </c>
      <c r="S218">
        <f>ROUND(SUM(Q218:R218), -2)</f>
        <v>21300</v>
      </c>
      <c r="T218">
        <f>ROUNDUP(HLOOKUP(ROUNDUP(K218,0),'배송비 조회'!A$10:U$22,7,0)*C$3,-2)</f>
        <v>11200</v>
      </c>
      <c r="U218">
        <v>0</v>
      </c>
      <c r="V218">
        <f>ROUND(IF(R218&gt;0,0,(S218+T218)*0.5),-2)</f>
        <v>16300</v>
      </c>
      <c r="W218">
        <f>ROUND(IF(R218&gt;0,0,(S218+T218)*0.5),-2)</f>
        <v>16300</v>
      </c>
      <c r="X218">
        <f>IF(R218&gt;0,SUM(S218:T218),SUM(S218:V218))</f>
        <v>48800</v>
      </c>
      <c r="Y218">
        <f>IF(R218&gt;0,SUM(S218:T218),SUM(S218:U218)+W218)</f>
        <v>48800</v>
      </c>
      <c r="Z218">
        <v>0</v>
      </c>
      <c r="AA218">
        <f>X218*0.038</f>
        <v>1854.3999999999999</v>
      </c>
      <c r="AB218">
        <f>X218*0.02</f>
        <v>976</v>
      </c>
      <c r="AC218">
        <f>Y218*0.1</f>
        <v>4880</v>
      </c>
      <c r="AD218">
        <f>X218-AA218-AB218</f>
        <v>45969.6</v>
      </c>
      <c r="AE218">
        <f>Y218-AC218</f>
        <v>43920</v>
      </c>
      <c r="AF218">
        <f>AD218*0.01</f>
        <v>459.69599999999997</v>
      </c>
      <c r="AG218">
        <f>AD218-Q218-AF218-T218</f>
        <v>13059.903999999999</v>
      </c>
      <c r="AH218">
        <f>AE218-Q218-AF218-T218</f>
        <v>11010.304</v>
      </c>
      <c r="AI218">
        <f>AG218/X218</f>
        <v>0.26762098360655734</v>
      </c>
      <c r="AJ218">
        <f>AH218/Y218</f>
        <v>0.22562098360655738</v>
      </c>
    </row>
    <row r="219">
      <c r="A219">
        <f>HYPERLINK("https://smartstore.naver.com/brickstore2019/products/4636286849",AW:AW)</f>
        <v>4636286849</v>
      </c>
      <c r="C219" t="str">
        <v>구글 타임타이머 공부 집중력 향상 타이머 5/20/60/120분</v>
      </c>
      <c r="E219" t="str">
        <v>Time Timer PLUS 5 Minute Visual Analog Timer Optional Alert (VolumeControl Dial) No Loud Ticking; Time Management Tool</v>
      </c>
      <c r="F219" t="str">
        <v>5분 화이트</v>
      </c>
      <c r="G219" t="str">
        <f>HYPERLINK("https://www.amazon.com/Time-Timer-Charcoal-Operation-Management/dp/B07BR4CHPG?ref_=w_bl_hsx_s_ki_web_2602342011&amp;th=1","A")</f>
        <v>A</v>
      </c>
      <c r="J219">
        <v>36.49</v>
      </c>
      <c r="K219">
        <f>IF(L219&gt;0,L219*0.0625,)</f>
        <v>0.95</v>
      </c>
      <c r="L219">
        <v>15.2</v>
      </c>
      <c r="M219">
        <f>IF(K219&gt;0,K219*0.453592,IF(L219&gt;0,L219*0.02835,))</f>
        <v>0.4309124</v>
      </c>
      <c r="N219">
        <v>0</v>
      </c>
      <c r="O219">
        <v>0</v>
      </c>
      <c r="P219">
        <f>J219+O219+N219</f>
        <v>36.49</v>
      </c>
      <c r="Q219">
        <f>P219*C3</f>
        <v>45612.5</v>
      </c>
      <c r="R219">
        <v>0</v>
      </c>
      <c r="S219">
        <f>ROUND(SUM(Q219:R219), -2)</f>
        <v>45600</v>
      </c>
      <c r="T219">
        <f>ROUNDUP(HLOOKUP(ROUNDUP(K219,0),'배송비 조회'!A$10:U$22,7,0)*C$3,-2)</f>
        <v>9000</v>
      </c>
      <c r="U219">
        <v>0</v>
      </c>
      <c r="V219">
        <f>ROUND(IF(R219&gt;0,0,(S219+T219)*0.3),-2)</f>
        <v>16400</v>
      </c>
      <c r="W219">
        <f>ROUND(IF(R219&gt;0,0,(S219+T219)*0.5),-2)</f>
        <v>27300</v>
      </c>
      <c r="X219">
        <f>IF(R219&gt;0,SUM(S219:T219),SUM(S219:V219))</f>
        <v>71000</v>
      </c>
      <c r="Y219">
        <f>IF(R219&gt;0,SUM(S219:T219),SUM(S219:U219)+W219)</f>
        <v>81900</v>
      </c>
      <c r="Z219">
        <v>0</v>
      </c>
      <c r="AA219">
        <f>X219*0.038</f>
        <v>2698</v>
      </c>
      <c r="AB219">
        <f>X219*0.02</f>
        <v>1420</v>
      </c>
      <c r="AC219">
        <f>Y219*0.1</f>
        <v>8190</v>
      </c>
      <c r="AD219">
        <f>X219-AA219-AB219</f>
        <v>66882</v>
      </c>
      <c r="AE219">
        <f>Y219-AC219</f>
        <v>73710</v>
      </c>
      <c r="AF219">
        <f>AD219*0.01</f>
        <v>668.82</v>
      </c>
      <c r="AG219">
        <f>AD219-Q219-AF219-T219</f>
        <v>11600.68</v>
      </c>
      <c r="AH219">
        <f>AE219-Q219-AF219-T219</f>
        <v>18428.68</v>
      </c>
      <c r="AI219">
        <f>AG219/X219</f>
        <v>0.1633898591549296</v>
      </c>
      <c r="AJ219">
        <f>AH219/Y219</f>
        <v>0.22501440781440782</v>
      </c>
      <c r="AW219">
        <v>4636286849</v>
      </c>
    </row>
    <row r="220">
      <c r="F220" t="str">
        <v>20분 화이트</v>
      </c>
      <c r="G220" t="str">
        <f>HYPERLINK("https://www.amazon.com/Time-Timer-Charcoal-Operation-Management/dp/B071HHWZKF?ref_=w_bl_hsx_s_ki_web_2602342011&amp;th=1","A")</f>
        <v>A</v>
      </c>
      <c r="J220">
        <v>31</v>
      </c>
      <c r="K220">
        <f>IF(L220&gt;0,L220*0.0625,)</f>
        <v>0.9</v>
      </c>
      <c r="L220">
        <v>14.4</v>
      </c>
      <c r="M220">
        <f>IF(K220&gt;0,K220*0.453592,IF(L220&gt;0,L220*0.02835,))</f>
        <v>0.4082328</v>
      </c>
      <c r="N220">
        <v>0</v>
      </c>
      <c r="O220">
        <v>0</v>
      </c>
      <c r="P220">
        <f>J220+O220+N220</f>
        <v>31</v>
      </c>
      <c r="Q220">
        <f>P220*C3</f>
        <v>38750</v>
      </c>
      <c r="R220">
        <v>0</v>
      </c>
      <c r="S220">
        <f>ROUND(SUM(Q220:R220), -2)</f>
        <v>38800</v>
      </c>
      <c r="T220">
        <f>ROUNDUP(HLOOKUP(ROUNDUP(K220,0),'배송비 조회'!A$10:U$22,7,0)*C$3,-2)</f>
        <v>9000</v>
      </c>
      <c r="U220">
        <v>0</v>
      </c>
      <c r="V220">
        <f>ROUND(IF(R220&gt;0,0,(S220+T220)*0.4),-2)</f>
        <v>19100</v>
      </c>
      <c r="W220">
        <f>ROUND(IF(R220&gt;0,0,(S220+T220)*0.5),-2)</f>
        <v>23900</v>
      </c>
      <c r="X220">
        <f>IF(R220&gt;0,SUM(S220:T220),SUM(S220:V220))</f>
        <v>66900</v>
      </c>
      <c r="Y220">
        <f>IF(R220&gt;0,SUM(S220:T220),SUM(S220:U220)+W220)</f>
        <v>71700</v>
      </c>
      <c r="Z220">
        <v>0</v>
      </c>
      <c r="AA220">
        <f>X220*0.038</f>
        <v>2542.2</v>
      </c>
      <c r="AB220">
        <f>X220*0.02</f>
        <v>1338</v>
      </c>
      <c r="AC220">
        <f>Y220*0.1</f>
        <v>7170</v>
      </c>
      <c r="AD220">
        <f>X220-AA220-AB220</f>
        <v>63019.8</v>
      </c>
      <c r="AE220">
        <f>Y220-AC220</f>
        <v>64530</v>
      </c>
      <c r="AF220">
        <f>AD220*0.01</f>
        <v>630.1980000000001</v>
      </c>
      <c r="AG220">
        <f>AD220-Q220-AF220-T220</f>
        <v>14639.602000000003</v>
      </c>
      <c r="AH220">
        <f>AE220-Q220-AF220-T220</f>
        <v>16149.802</v>
      </c>
      <c r="AI220">
        <f>AG220/X220</f>
        <v>0.2188281315396114</v>
      </c>
      <c r="AJ220">
        <f>AH220/Y220</f>
        <v>0.2252413110181311</v>
      </c>
    </row>
    <row r="221">
      <c r="F221" t="str">
        <v>60분 화이트</v>
      </c>
      <c r="G221" t="str">
        <f>HYPERLINK("https://www.amazon.com/Time-Timer-Charcoal-Operation-Management/dp/B06XKC3KPD?ref_=w_bl_hsx_s_ki_web_2602342011&amp;th=1","A")</f>
        <v>A</v>
      </c>
      <c r="J221">
        <v>29</v>
      </c>
      <c r="K221">
        <v>1</v>
      </c>
      <c r="L221">
        <f>IF(K221&gt;0,K221*16,)</f>
        <v>16</v>
      </c>
      <c r="M221">
        <f>IF(K221&gt;0,K221*0.453592,IF(L221&gt;0,L221*0.02835,))</f>
        <v>0.453592</v>
      </c>
      <c r="N221">
        <v>0</v>
      </c>
      <c r="O221">
        <v>0</v>
      </c>
      <c r="P221">
        <f>J221+O221+N221</f>
        <v>29</v>
      </c>
      <c r="Q221">
        <f>P221*C3</f>
        <v>36250</v>
      </c>
      <c r="R221">
        <v>0</v>
      </c>
      <c r="S221">
        <f>ROUND(SUM(Q221:R221), -2)</f>
        <v>36300</v>
      </c>
      <c r="T221">
        <f>ROUNDUP(HLOOKUP(ROUNDUP(K221,0),'배송비 조회'!A$10:U$22,7,0)*C$3,-2)</f>
        <v>9000</v>
      </c>
      <c r="U221">
        <v>0</v>
      </c>
      <c r="V221">
        <f>ROUND(IF(R221&gt;0,0,(S221+T221)*0.4),-2)</f>
        <v>18100</v>
      </c>
      <c r="W221">
        <f>ROUND(IF(R221&gt;0,0,(S221+T221)*0.5),-2)</f>
        <v>22700</v>
      </c>
      <c r="X221">
        <f>IF(R221&gt;0,SUM(S221:T221),SUM(S221:V221))</f>
        <v>63400</v>
      </c>
      <c r="Y221">
        <f>IF(R221&gt;0,SUM(S221:T221),SUM(S221:U221)+W221)</f>
        <v>68000</v>
      </c>
      <c r="Z221">
        <v>0</v>
      </c>
      <c r="AA221">
        <f>X221*0.038</f>
        <v>2409.2</v>
      </c>
      <c r="AB221">
        <f>X221*0.02</f>
        <v>1268</v>
      </c>
      <c r="AC221">
        <f>Y221*0.1</f>
        <v>6800</v>
      </c>
      <c r="AD221">
        <f>X221-AA221-AB221</f>
        <v>59722.8</v>
      </c>
      <c r="AE221">
        <f>Y221-AC221</f>
        <v>61200</v>
      </c>
      <c r="AF221">
        <f>AD221*0.01</f>
        <v>597.2280000000001</v>
      </c>
      <c r="AG221">
        <f>AD221-Q221-AF221-T221</f>
        <v>13875.572000000004</v>
      </c>
      <c r="AH221">
        <f>AE221-Q221-AF221-T221</f>
        <v>15352.772</v>
      </c>
      <c r="AI221">
        <f>AG221/X221</f>
        <v>0.21885760252365938</v>
      </c>
      <c r="AJ221">
        <f>AH221/Y221</f>
        <v>0.2257760588235294</v>
      </c>
    </row>
    <row r="222">
      <c r="F222" t="str">
        <v>120분 화이트</v>
      </c>
      <c r="G222" t="str">
        <f>HYPERLINK("https://www.amazon.com/Time-Timer-Charcoal-Operation-Management/dp/B0711F3L28?ref_=w_bl_hsx_s_ki_web_2602342011&amp;th=1","A")</f>
        <v>A</v>
      </c>
      <c r="J222">
        <v>29</v>
      </c>
      <c r="K222">
        <f>IF(L222&gt;0,L222*0.0625,)</f>
        <v>0.85</v>
      </c>
      <c r="L222">
        <v>13.6</v>
      </c>
      <c r="M222">
        <f>IF(K222&gt;0,K222*0.453592,IF(L222&gt;0,L222*0.02835,))</f>
        <v>0.3855532</v>
      </c>
      <c r="N222">
        <v>0</v>
      </c>
      <c r="O222">
        <v>0</v>
      </c>
      <c r="P222">
        <f>J222+O222+N222</f>
        <v>29</v>
      </c>
      <c r="Q222">
        <f>P222*C3</f>
        <v>36250</v>
      </c>
      <c r="R222">
        <v>0</v>
      </c>
      <c r="S222">
        <f>ROUND(SUM(Q222:R222), -2)</f>
        <v>36300</v>
      </c>
      <c r="T222">
        <f>ROUNDUP(HLOOKUP(ROUNDUP(K222,0),'배송비 조회'!A$10:U$22,7,0)*C$3,-2)</f>
        <v>9000</v>
      </c>
      <c r="U222">
        <v>0</v>
      </c>
      <c r="V222">
        <f>ROUND(IF(R222&gt;0,0,(S222+T222)*0.4),-2)</f>
        <v>18100</v>
      </c>
      <c r="W222">
        <f>ROUND(IF(R222&gt;0,0,(S222+T222)*0.5),-2)</f>
        <v>22700</v>
      </c>
      <c r="X222">
        <f>IF(R222&gt;0,SUM(S222:T222),SUM(S222:V222))</f>
        <v>63400</v>
      </c>
      <c r="Y222">
        <f>IF(R222&gt;0,SUM(S222:T222),SUM(S222:U222)+W222)</f>
        <v>68000</v>
      </c>
      <c r="Z222">
        <v>0</v>
      </c>
      <c r="AA222">
        <f>X222*0.038</f>
        <v>2409.2</v>
      </c>
      <c r="AB222">
        <f>X222*0.02</f>
        <v>1268</v>
      </c>
      <c r="AC222">
        <f>Y222*0.1</f>
        <v>6800</v>
      </c>
      <c r="AD222">
        <f>X222-AA222-AB222</f>
        <v>59722.8</v>
      </c>
      <c r="AE222">
        <f>Y222-AC222</f>
        <v>61200</v>
      </c>
      <c r="AF222">
        <f>AD222*0.01</f>
        <v>597.2280000000001</v>
      </c>
      <c r="AG222">
        <f>AD222-Q222-AF222-T222</f>
        <v>13875.572000000004</v>
      </c>
      <c r="AH222">
        <f>AE222-Q222-AF222-T222</f>
        <v>15352.772</v>
      </c>
      <c r="AI222">
        <f>AG222/X222</f>
        <v>0.21885760252365938</v>
      </c>
      <c r="AJ222">
        <f>AH222/Y222</f>
        <v>0.2257760588235294</v>
      </c>
    </row>
    <row r="223">
      <c r="F223" t="str">
        <v>60분 차콜그레이</v>
      </c>
      <c r="G223" t="str">
        <f>HYPERLINK("https://www.amazon.com/Time-Timer-Charcoal-Operation-Management/dp/B06XKZTCS2?ref_=w_bl_hsx_s_ki_web_2602342011&amp;th=1","A")</f>
        <v>A</v>
      </c>
      <c r="J223">
        <v>29</v>
      </c>
      <c r="K223">
        <f>IF(L223&gt;0,L223*0.0625,)</f>
        <v>0.9</v>
      </c>
      <c r="L223">
        <v>14.4</v>
      </c>
      <c r="M223">
        <f>IF(K223&gt;0,K223*0.453592,IF(L223&gt;0,L223*0.02835,))</f>
        <v>0.4082328</v>
      </c>
      <c r="N223">
        <v>0</v>
      </c>
      <c r="O223">
        <v>0</v>
      </c>
      <c r="P223">
        <f>J223+O223+N223</f>
        <v>29</v>
      </c>
      <c r="Q223">
        <f>P223*C3</f>
        <v>36250</v>
      </c>
      <c r="R223">
        <v>0</v>
      </c>
      <c r="S223">
        <f>ROUND(SUM(Q223:R223), -2)</f>
        <v>36300</v>
      </c>
      <c r="T223">
        <f>ROUNDUP(HLOOKUP(ROUNDUP(K223,0),'배송비 조회'!A$10:U$22,7,0)*C$3,-2)</f>
        <v>9000</v>
      </c>
      <c r="U223">
        <v>0</v>
      </c>
      <c r="V223">
        <f>ROUND(IF(R223&gt;0,0,(S223+T223)*0.4),-2)</f>
        <v>18100</v>
      </c>
      <c r="W223">
        <f>ROUND(IF(R223&gt;0,0,(S223+T223)*0.5),-2)</f>
        <v>22700</v>
      </c>
      <c r="X223">
        <f>IF(R223&gt;0,SUM(S223:T223),SUM(S223:V223))</f>
        <v>63400</v>
      </c>
      <c r="Y223">
        <f>IF(R223&gt;0,SUM(S223:T223),SUM(S223:U223)+W223)</f>
        <v>68000</v>
      </c>
      <c r="Z223">
        <v>0</v>
      </c>
      <c r="AA223">
        <f>X223*0.038</f>
        <v>2409.2</v>
      </c>
      <c r="AB223">
        <f>X223*0.02</f>
        <v>1268</v>
      </c>
      <c r="AC223">
        <f>Y223*0.1</f>
        <v>6800</v>
      </c>
      <c r="AD223">
        <f>X223-AA223-AB223</f>
        <v>59722.8</v>
      </c>
      <c r="AE223">
        <f>Y223-AC223</f>
        <v>61200</v>
      </c>
      <c r="AF223">
        <f>AD223*0.01</f>
        <v>597.2280000000001</v>
      </c>
      <c r="AG223">
        <f>AD223-Q223-AF223-T223</f>
        <v>13875.572000000004</v>
      </c>
      <c r="AH223">
        <f>AE223-Q223-AF223-T223</f>
        <v>15352.772</v>
      </c>
      <c r="AI223">
        <f>AG223/X223</f>
        <v>0.21885760252365938</v>
      </c>
      <c r="AJ223">
        <f>AH223/Y223</f>
        <v>0.2257760588235294</v>
      </c>
    </row>
    <row r="224">
      <c r="A224">
        <f>HYPERLINK("https://smartstore.naver.com/brickstore2019/products/4638692728",AW:AW)</f>
        <v>4638692728</v>
      </c>
      <c r="C224" t="str">
        <v>시티즌 프로마스터 다이버 시계 Citizen Promaster BJ8050-08E</v>
      </c>
      <c r="E224" t="str">
        <v>Citizen Men's Eco-Drive Promaster Diver Watch with Date, BJ8050-08E</v>
      </c>
      <c r="G224" t="str">
        <f>HYPERLINK("https://www.amazon.com/Citizen-Eco-Drive-Promaster-Diver-BJ8050-08E/dp/B000EQU15O/ref=sr_1_1?keywords=BJ8050&amp;qid=1566021012&amp;s=gateway&amp;sr=8-1","A")</f>
        <v>A</v>
      </c>
      <c r="J224">
        <v>239.99</v>
      </c>
      <c r="K224">
        <v>1.3</v>
      </c>
      <c r="L224">
        <f>IF(K224&gt;0,K224*16,)</f>
        <v>20.8</v>
      </c>
      <c r="M224">
        <f>IF(K224&gt;0,K224*0.453592,IF(L224&gt;0,L224*0.02835,))</f>
        <v>0.5896696</v>
      </c>
      <c r="N224">
        <v>0</v>
      </c>
      <c r="O224">
        <v>0</v>
      </c>
      <c r="P224">
        <f>J224+O224+N224</f>
        <v>239.99</v>
      </c>
      <c r="Q224">
        <f>P224*C3</f>
        <v>299987.5</v>
      </c>
      <c r="R224">
        <f>ROUND(Q224*0.3,-2)</f>
        <v>90000</v>
      </c>
      <c r="S224">
        <f>ROUND(SUM(Q224:R224), -2)</f>
        <v>390000</v>
      </c>
      <c r="T224">
        <f>ROUNDUP(HLOOKUP(ROUNDUP(K224,0),'배송비 조회'!A$10:U$22,7,0)*C$3,-2)</f>
        <v>11200</v>
      </c>
      <c r="V224">
        <f>ROUND(IF(R224&gt;0,0,(S224+T224)*0.4),-2)</f>
        <v>0</v>
      </c>
      <c r="W224">
        <f>ROUND(IF(R224&gt;0,0,(S224+T224)*0.5),-2)</f>
        <v>0</v>
      </c>
      <c r="X224">
        <f>SUM(S224:T224)</f>
        <v>401200</v>
      </c>
      <c r="Y224">
        <f>IF(R224&gt;0,SUM(S224:T224),SUM(S224:U224)+W224)</f>
        <v>401200</v>
      </c>
      <c r="AA224">
        <f>X224*0.038</f>
        <v>15245.6</v>
      </c>
      <c r="AB224">
        <f>X224*0.02</f>
        <v>8024</v>
      </c>
      <c r="AC224">
        <f>Y224*0.1</f>
        <v>40120</v>
      </c>
      <c r="AD224">
        <f>X224-AA224-AB224</f>
        <v>377930.4</v>
      </c>
      <c r="AE224">
        <f>Y224-AC224</f>
        <v>361080</v>
      </c>
      <c r="AF224">
        <f>AD224*0.01</f>
        <v>3779.304</v>
      </c>
      <c r="AG224">
        <f>AD224-Q224-AF224-T224</f>
        <v>62963.59600000002</v>
      </c>
      <c r="AH224">
        <f>AE224-Q224-AF224-T224</f>
        <v>46113.195999999996</v>
      </c>
      <c r="AI224">
        <f>AG224/X224</f>
        <v>0.1569381754735793</v>
      </c>
      <c r="AJ224">
        <f>AH224/Y224</f>
        <v>0.11493817547357925</v>
      </c>
      <c r="AW224">
        <v>4638692728</v>
      </c>
    </row>
    <row r="225">
      <c r="A225">
        <f>HYPERLINK("https://smartstore.naver.com/brickstore2019/products/4638701054",AW:AW)</f>
        <v>4638701054</v>
      </c>
      <c r="C225" t="str">
        <v>시티즌 에코드라이브 남자 시계 Citizen BM7251-53L</v>
      </c>
      <c r="E225" t="str">
        <v>Citizen Eco-Drive Men's Stainless Steel Corso Watch</v>
      </c>
      <c r="G225" t="str">
        <f>HYPERLINK("https://www.amazon.com/Citizen-Eco-Drive-Stainless-Steel-BM7251-53L/dp/B00PXVTU5C/ref=sr_1_1?keywords=BM7251-53L&amp;qid=1566020304&amp;s=gateway&amp;sr=8-1","A")</f>
        <v>A</v>
      </c>
      <c r="J225">
        <v>150</v>
      </c>
      <c r="K225">
        <f>IF(L225&gt;0,L225*0.0625,)</f>
        <v>0.75</v>
      </c>
      <c r="L225">
        <v>12</v>
      </c>
      <c r="M225">
        <f>IF(K225&gt;0,K225*0.453592,IF(L225&gt;0,L225*0.02835,))</f>
        <v>0.340194</v>
      </c>
      <c r="N225">
        <v>0</v>
      </c>
      <c r="O225">
        <v>0</v>
      </c>
      <c r="P225">
        <f>J225+O225+N225</f>
        <v>150</v>
      </c>
      <c r="Q225">
        <f>P225*C3</f>
        <v>187500</v>
      </c>
      <c r="R225">
        <v>0</v>
      </c>
      <c r="S225">
        <f>ROUND(SUM(Q225:R225), -2)</f>
        <v>187500</v>
      </c>
      <c r="T225">
        <f>ROUNDUP(HLOOKUP(ROUNDUP(K225,0),'배송비 조회'!A$10:U$22,7,0)*C$3,-2)</f>
        <v>9000</v>
      </c>
      <c r="U225">
        <v>0</v>
      </c>
      <c r="V225">
        <f>ROUND(IF(R225&gt;0,0,(S225+T225)*0.3),-2)</f>
        <v>59000</v>
      </c>
      <c r="W225">
        <f>ROUND(IF(R225&gt;0,0,(S225+T225)*0.5),-2)</f>
        <v>98300</v>
      </c>
      <c r="X225">
        <f>IF(R225&gt;0,SUM(S225:T225),SUM(S225:V225))</f>
        <v>255500</v>
      </c>
      <c r="Y225">
        <f>IF(R225&gt;0,SUM(S225:T225),SUM(S225:U225)+W225)</f>
        <v>294800</v>
      </c>
      <c r="Z225">
        <v>0</v>
      </c>
      <c r="AA225">
        <f>X225*0.038</f>
        <v>9709</v>
      </c>
      <c r="AB225">
        <f>X225*0.02</f>
        <v>5110</v>
      </c>
      <c r="AC225">
        <f>Y225*0.1</f>
        <v>29480</v>
      </c>
      <c r="AD225">
        <f>X225-AA225-AB225</f>
        <v>240681</v>
      </c>
      <c r="AE225">
        <f>Y225-AC225</f>
        <v>265320</v>
      </c>
      <c r="AF225">
        <f>AD225*0.01</f>
        <v>2406.81</v>
      </c>
      <c r="AG225">
        <f>AD225-Q225-AF225-T225</f>
        <v>41774.19</v>
      </c>
      <c r="AH225">
        <f>AE225-Q225-AF225-T225</f>
        <v>66413.19</v>
      </c>
      <c r="AI225">
        <f>AG225/X225</f>
        <v>0.16349976516634052</v>
      </c>
      <c r="AJ225">
        <f>AH225/Y225</f>
        <v>0.22528219131614655</v>
      </c>
      <c r="AW225">
        <v>4638701054</v>
      </c>
    </row>
    <row r="226">
      <c r="A226">
        <f>HYPERLINK("https://smartstore.naver.com/brickstore2019/products/4638729681",AW:AW)</f>
        <v>4638729681</v>
      </c>
      <c r="C226" t="str">
        <v>타이맥스 남자 정장 시계 Timex TW2T58900JT</v>
      </c>
      <c r="E226" t="str">
        <v>Timex Men's Dress Analog 44mm Stainless Steel Multifunction Bracelet Watch</v>
      </c>
      <c r="G226" t="str">
        <f>HYPERLINK("https://www.amazon.com/Timex-Analog-Stainless-Multifunction-Bracelet/dp/B07PTDM6QN","A")</f>
        <v>A</v>
      </c>
      <c r="J226">
        <v>74</v>
      </c>
      <c r="K226">
        <f>IF(L226&gt;0,L226*0.0625,)</f>
        <v>0.6</v>
      </c>
      <c r="L226">
        <v>9.6</v>
      </c>
      <c r="M226">
        <f>IF(K226&gt;0,K226*0.453592,IF(L226&gt;0,L226*0.02835,))</f>
        <v>0.2721552</v>
      </c>
      <c r="N226">
        <v>0</v>
      </c>
      <c r="O226">
        <v>0</v>
      </c>
      <c r="P226">
        <f>J226+O226+N226</f>
        <v>74</v>
      </c>
      <c r="Q226">
        <f>P226*C3</f>
        <v>92500</v>
      </c>
      <c r="R226">
        <v>0</v>
      </c>
      <c r="S226">
        <f>ROUND(SUM(Q226:R226), -2)</f>
        <v>92500</v>
      </c>
      <c r="T226">
        <f>ROUNDUP(HLOOKUP(ROUNDUP(K226,0),'배송비 조회'!A$10:U$22,7,0)*C$3,-2)</f>
        <v>9000</v>
      </c>
      <c r="U226">
        <v>0</v>
      </c>
      <c r="V226">
        <f>ROUND(IF(R226&gt;0,0,(S226+T226)*0.3),-2)</f>
        <v>30500</v>
      </c>
      <c r="W226">
        <f>ROUND(IF(R226&gt;0,0,(S226+T226)*0.5),-2)</f>
        <v>50800</v>
      </c>
      <c r="X226">
        <f>IF(R226&gt;0,SUM(S226:T226),SUM(S226:V226))</f>
        <v>132000</v>
      </c>
      <c r="Y226">
        <f>IF(R226&gt;0,SUM(S226:T226),SUM(S226:U226)+W226)</f>
        <v>152300</v>
      </c>
      <c r="Z226">
        <v>0</v>
      </c>
      <c r="AA226">
        <f>X226*0.038</f>
        <v>5016</v>
      </c>
      <c r="AB226">
        <f>X226*0.02</f>
        <v>2640</v>
      </c>
      <c r="AC226">
        <f>Y226*0.1</f>
        <v>15230</v>
      </c>
      <c r="AD226">
        <f>X226-AA226-AB226</f>
        <v>124344</v>
      </c>
      <c r="AE226">
        <f>Y226-AC226</f>
        <v>137070</v>
      </c>
      <c r="AF226">
        <f>AD226*0.01</f>
        <v>1243.44</v>
      </c>
      <c r="AG226">
        <f>AD226-Q226-AF226-T226</f>
        <v>21600.56</v>
      </c>
      <c r="AH226">
        <f>AE226-Q226-AF226-T226</f>
        <v>34326.56</v>
      </c>
      <c r="AI226">
        <f>AG226/X226</f>
        <v>0.16364060606060607</v>
      </c>
      <c r="AJ226">
        <f>AH226/Y226</f>
        <v>0.2253877872619829</v>
      </c>
      <c r="AW226">
        <v>4638729681</v>
      </c>
    </row>
    <row r="227">
      <c r="A227">
        <f>HYPERLINK("https://smartstore.naver.com/brickstore2019/products/4638746089",AW:AW)</f>
        <v>4638746089</v>
      </c>
      <c r="C227" t="str">
        <v>시티즌 에코드라이브 남자 시계 Citizen AW7030-06E</v>
      </c>
      <c r="E227" t="str">
        <v>Citizen Watches Men's AW7030-06E Eco-Drive</v>
      </c>
      <c r="G227" t="str">
        <f>HYPERLINK("https://www.amazon.com/Citizen-Eco-Drive-Quartz-Stainless-Casual/dp/B01KVVW5DM/ref=sr_1_1?keywords=AW7030-06E&amp;qid=1566030311&amp;s=gateway&amp;sr=8-1","A")</f>
        <v>A</v>
      </c>
      <c r="J227">
        <v>124</v>
      </c>
      <c r="K227">
        <f>IF(L227&gt;0,L227*0.0625,)</f>
        <v>0.65</v>
      </c>
      <c r="L227">
        <v>10.4</v>
      </c>
      <c r="M227">
        <f>IF(K227&gt;0,K227*0.453592,IF(L227&gt;0,L227*0.02835,))</f>
        <v>0.2948348</v>
      </c>
      <c r="N227">
        <v>0</v>
      </c>
      <c r="O227">
        <v>0</v>
      </c>
      <c r="P227">
        <f>J227+O227+N227</f>
        <v>124</v>
      </c>
      <c r="Q227">
        <f>P227*C3</f>
        <v>155000</v>
      </c>
      <c r="R227">
        <v>0</v>
      </c>
      <c r="S227">
        <f>ROUND(SUM(Q227:R227), -2)</f>
        <v>155000</v>
      </c>
      <c r="T227">
        <f>ROUNDUP(HLOOKUP(ROUNDUP(K227,0),'배송비 조회'!A$10:U$22,7,0)*C$3,-2)</f>
        <v>9000</v>
      </c>
      <c r="U227">
        <v>0</v>
      </c>
      <c r="V227">
        <f>ROUND(IF(R227&gt;0,0,(S227+T227)*0.3),-2)</f>
        <v>49200</v>
      </c>
      <c r="W227">
        <f>ROUND(IF(R227&gt;0,0,(S227+T227)*0.5),-2)</f>
        <v>82000</v>
      </c>
      <c r="X227">
        <f>IF(R227&gt;0,SUM(S227:T227),SUM(S227:V227))</f>
        <v>213200</v>
      </c>
      <c r="Y227">
        <f>IF(R227&gt;0,SUM(S227:T227),SUM(S227:U227)+W227)</f>
        <v>246000</v>
      </c>
      <c r="Z227">
        <v>0</v>
      </c>
      <c r="AA227">
        <f>X227*0.038</f>
        <v>8101.599999999999</v>
      </c>
      <c r="AB227">
        <f>X227*0.02</f>
        <v>4264</v>
      </c>
      <c r="AC227">
        <f>Y227*0.1</f>
        <v>24600</v>
      </c>
      <c r="AD227">
        <f>X227-AA227-AB227</f>
        <v>200834.4</v>
      </c>
      <c r="AE227">
        <f>Y227-AC227</f>
        <v>221400</v>
      </c>
      <c r="AF227">
        <f>AD227*0.01</f>
        <v>2008.344</v>
      </c>
      <c r="AG227">
        <f>AD227-Q227-AF227-T227</f>
        <v>34826.056</v>
      </c>
      <c r="AH227">
        <f>AE227-Q227-AF227-T227</f>
        <v>55391.656</v>
      </c>
      <c r="AI227">
        <f>AG227/X227</f>
        <v>0.16334923076923075</v>
      </c>
      <c r="AJ227">
        <f>AH227/Y227</f>
        <v>0.22516933333333333</v>
      </c>
      <c r="AW227">
        <v>4638746089</v>
      </c>
    </row>
    <row r="228">
      <c r="A228">
        <f>HYPERLINK("https://smartstore.naver.com/brickstore2019/products/4638774128",AW:AW)</f>
        <v>4638774128</v>
      </c>
      <c r="C228" t="str">
        <v>인빅타 프로 다이버 남자 시계 블랙 Invicta 8932OB</v>
      </c>
      <c r="E228" t="str">
        <v>Invicta Men's 8932OB Pro Diver Analog Quartz Silver; Dial color - Black Stainless Steel Watch</v>
      </c>
      <c r="G228" t="str">
        <f>HYPERLINK("https://www.amazon.com/Invicta-8932OB-Analog-Quartz-Silver/dp/B014MN9RCM/ref=sr_1_1?keywords=8932OB&amp;qid=1566032349&amp;s=gateway&amp;sr=8-1","A")</f>
        <v>A</v>
      </c>
      <c r="J228">
        <v>51.64</v>
      </c>
      <c r="K228">
        <f>IF(L228&gt;0,L228*0.0625,)</f>
        <v>0.75</v>
      </c>
      <c r="L228">
        <v>12</v>
      </c>
      <c r="M228">
        <f>IF(K228&gt;0,K228*0.453592,IF(L228&gt;0,L228*0.02835,))</f>
        <v>0.340194</v>
      </c>
      <c r="N228">
        <v>0</v>
      </c>
      <c r="O228">
        <v>0</v>
      </c>
      <c r="P228">
        <f>J228+O228+N228</f>
        <v>51.64</v>
      </c>
      <c r="Q228">
        <f>P228*C3</f>
        <v>64550</v>
      </c>
      <c r="R228">
        <v>0</v>
      </c>
      <c r="S228">
        <f>ROUND(SUM(Q228:R228), -2)</f>
        <v>64600</v>
      </c>
      <c r="T228">
        <f>ROUNDUP(HLOOKUP(ROUNDUP(K228,0),'배송비 조회'!A$10:U$22,7,0)*C$3,-2)</f>
        <v>9000</v>
      </c>
      <c r="U228">
        <v>0</v>
      </c>
      <c r="V228">
        <f>ROUND(IF(R228&gt;0,0,(S228+T228)*0.3),-2)</f>
        <v>22100</v>
      </c>
      <c r="W228">
        <f>ROUND(IF(R228&gt;0,0,(S228+T228)*0.5),-2)</f>
        <v>36800</v>
      </c>
      <c r="X228">
        <f>IF(R228&gt;0,SUM(S228:T228),SUM(S228:V228))</f>
        <v>95700</v>
      </c>
      <c r="Y228">
        <f>IF(R228&gt;0,SUM(S228:T228),SUM(S228:U228)+W228)</f>
        <v>110400</v>
      </c>
      <c r="Z228">
        <v>0</v>
      </c>
      <c r="AA228">
        <f>X228*0.038</f>
        <v>3636.6</v>
      </c>
      <c r="AB228">
        <f>X228*0.02</f>
        <v>1914</v>
      </c>
      <c r="AC228">
        <f>Y228*0.1</f>
        <v>11040</v>
      </c>
      <c r="AD228">
        <f>X228-AA228-AB228</f>
        <v>90149.4</v>
      </c>
      <c r="AE228">
        <f>Y228-AC228</f>
        <v>99360</v>
      </c>
      <c r="AF228">
        <f>AD228*0.01</f>
        <v>901.4939999999999</v>
      </c>
      <c r="AG228">
        <f>AD228-Q228-AF228-T228</f>
        <v>15697.905999999995</v>
      </c>
      <c r="AH228">
        <f>AE228-Q228-AF228-T228</f>
        <v>24908.506</v>
      </c>
      <c r="AI228">
        <f>AG228/X228</f>
        <v>0.16403245559038657</v>
      </c>
      <c r="AJ228">
        <f>AH228/Y228</f>
        <v>0.22562052536231886</v>
      </c>
      <c r="AW228">
        <v>4638774128</v>
      </c>
    </row>
    <row r="229">
      <c r="A229">
        <f>HYPERLINK("https://smartstore.naver.com/brickstore2019/products/4641037723",AW:AW)</f>
        <v>4641037723</v>
      </c>
      <c r="C229" t="str">
        <v>파슬 남자 시계 그랜트 스포츠 크로노그래프 쿼츠 시계 FS5237</v>
      </c>
      <c r="E229" t="str">
        <v>Fossil Men's Grant Sport Stainless Steel and Leather Chronograph Quartz Watch</v>
      </c>
      <c r="F229" t="str">
        <v>rose gold</v>
      </c>
      <c r="G229" t="str">
        <f>HYPERLINK("https://www.amazon.com/Fossil-Quartz-Stainless-Leather-Chronograph/dp/B01KNMEVDG/ref=sr_1_1?keywords=fossile+FS5237&amp;qid=1566049056&amp;s=gateway&amp;sr=8-1","A")</f>
        <v>A</v>
      </c>
      <c r="J229">
        <v>88</v>
      </c>
      <c r="K229">
        <f>IF(L229&gt;0,L229*0.0625,)</f>
        <v>0.5125</v>
      </c>
      <c r="L229">
        <v>8.2</v>
      </c>
      <c r="M229">
        <f>IF(K229&gt;0,K229*0.453592,IF(L229&gt;0,L229*0.02835,))</f>
        <v>0.23246589999999998</v>
      </c>
      <c r="N229">
        <v>0</v>
      </c>
      <c r="O229">
        <v>0</v>
      </c>
      <c r="P229">
        <f>J229+O229+N229</f>
        <v>88</v>
      </c>
      <c r="Q229">
        <f>P229*C3</f>
        <v>110000</v>
      </c>
      <c r="R229">
        <v>0</v>
      </c>
      <c r="S229">
        <f>ROUND(SUM(Q229:R229), -2)</f>
        <v>110000</v>
      </c>
      <c r="T229">
        <f>ROUNDUP(HLOOKUP(ROUNDUP(K229,0),'배송비 조회'!A$10:U$22,7,0)*C$3,-2)</f>
        <v>9000</v>
      </c>
      <c r="U229">
        <v>0</v>
      </c>
      <c r="V229">
        <f>ROUND(IF(R229&gt;0,0,(S229+T229)*0.3),-2)</f>
        <v>35700</v>
      </c>
      <c r="W229">
        <f>ROUND(IF(R229&gt;0,0,(S229+T229)*0.5),-2)</f>
        <v>59500</v>
      </c>
      <c r="X229">
        <f>IF(R229&gt;0,SUM(S229:T229),SUM(S229:V229))</f>
        <v>154700</v>
      </c>
      <c r="Y229">
        <f>IF(R229&gt;0,SUM(S229:T229),SUM(S229:U229)+W229)</f>
        <v>178500</v>
      </c>
      <c r="Z229">
        <v>0</v>
      </c>
      <c r="AA229">
        <f>X229*0.038</f>
        <v>5878.599999999999</v>
      </c>
      <c r="AB229">
        <f>X229*0.02</f>
        <v>3094</v>
      </c>
      <c r="AC229">
        <f>Y229*0.1</f>
        <v>17850</v>
      </c>
      <c r="AD229">
        <f>X229-AA229-AB229</f>
        <v>145727.4</v>
      </c>
      <c r="AE229">
        <f>Y229-AC229</f>
        <v>160650</v>
      </c>
      <c r="AF229">
        <f>AD229*0.01</f>
        <v>1457.274</v>
      </c>
      <c r="AG229">
        <f>AD229-Q229-AF229-T229</f>
        <v>25270.125999999997</v>
      </c>
      <c r="AH229">
        <f>AE229-Q229-AF229-T229</f>
        <v>40192.726</v>
      </c>
      <c r="AI229">
        <f>AG229/X229</f>
        <v>0.16334923076923075</v>
      </c>
      <c r="AJ229">
        <f>AH229/Y229</f>
        <v>0.22516933333333336</v>
      </c>
      <c r="AK229">
        <f>X229-X230</f>
        <v>6500</v>
      </c>
      <c r="AW229">
        <v>4641037723</v>
      </c>
    </row>
    <row r="230">
      <c r="F230" t="str">
        <v>gold</v>
      </c>
      <c r="G230" t="str">
        <f>HYPERLINK("https://www.amazon.com/dp/B01MFDH145/ref=twister_B07QFJVZBL?_encoding=UTF8&amp;psc=1","A")</f>
        <v>A</v>
      </c>
      <c r="J230">
        <v>84</v>
      </c>
      <c r="K230">
        <f>IF(L230&gt;0,L230*0.0625,)</f>
        <v>0.4</v>
      </c>
      <c r="L230">
        <v>6.4</v>
      </c>
      <c r="M230">
        <f>IF(K230&gt;0,K230*0.453592,IF(L230&gt;0,L230*0.02835,))</f>
        <v>0.1814368</v>
      </c>
      <c r="N230">
        <v>0</v>
      </c>
      <c r="O230">
        <v>0</v>
      </c>
      <c r="P230">
        <f>J230+O230+N230</f>
        <v>84</v>
      </c>
      <c r="Q230">
        <f>P230*C3</f>
        <v>105000</v>
      </c>
      <c r="R230">
        <v>0</v>
      </c>
      <c r="S230">
        <f>ROUND(SUM(Q230:R230), -2)</f>
        <v>105000</v>
      </c>
      <c r="T230">
        <f>ROUNDUP(HLOOKUP(ROUNDUP(K230,0),'배송비 조회'!A$10:U$22,7,0)*C$3,-2)</f>
        <v>9000</v>
      </c>
      <c r="U230">
        <v>0</v>
      </c>
      <c r="V230">
        <f>ROUND(IF(R230&gt;0,0,(S230+T230)*0.3),-2)</f>
        <v>34200</v>
      </c>
      <c r="W230">
        <f>ROUND(IF(R230&gt;0,0,(S230+T230)*0.5),-2)</f>
        <v>57000</v>
      </c>
      <c r="X230">
        <f>IF(R230&gt;0,SUM(S230:T230),SUM(S230:V230))</f>
        <v>148200</v>
      </c>
      <c r="Y230">
        <f>IF(R230&gt;0,SUM(S230:T230),SUM(S230:U230)+W230)</f>
        <v>171000</v>
      </c>
      <c r="Z230">
        <v>0</v>
      </c>
      <c r="AA230">
        <f>X230*0.038</f>
        <v>5631.599999999999</v>
      </c>
      <c r="AB230">
        <f>X230*0.02</f>
        <v>2964</v>
      </c>
      <c r="AC230">
        <f>Y230*0.1</f>
        <v>17100</v>
      </c>
      <c r="AD230">
        <f>X230-AA230-AB230</f>
        <v>139604.4</v>
      </c>
      <c r="AE230">
        <f>Y230-AC230</f>
        <v>153900</v>
      </c>
      <c r="AF230">
        <f>AD230*0.01</f>
        <v>1396.0439999999999</v>
      </c>
      <c r="AG230">
        <f>AD230-Q230-AF230-T230</f>
        <v>24208.355999999992</v>
      </c>
      <c r="AH230">
        <f>AE230-Q230-AF230-T230</f>
        <v>38503.956</v>
      </c>
      <c r="AI230">
        <f>AG230/X230</f>
        <v>0.16334923076923072</v>
      </c>
      <c r="AJ230">
        <f>AH230/Y230</f>
        <v>0.22516933333333333</v>
      </c>
    </row>
    <row r="231">
      <c r="A231">
        <f>HYPERLINK("https://smartstore.naver.com/brickstore2019/products/4641048178",AW:AW)</f>
        <v>4641048178</v>
      </c>
      <c r="C231" t="str">
        <v>파슬 여성 손목시계 테일러 쿼츠 시계 로즈 골드 ES3713 B00M7NEPDG</v>
      </c>
      <c r="E231" t="str">
        <v>Fossil Women's Tailor Quartz Stainless Steel Dress Watch, Color: Rose Gold-Tone (Model: ES3713)</v>
      </c>
      <c r="G231" t="str">
        <f>HYPERLINK("https://www.amazon.com/Fossil-Womens-Tailor-Quartz-Stainless/dp/B00M7NEPDG/ref=sr_1_1?keywords=Fossil+ES3713&amp;qid=1566050224&amp;s=gateway&amp;sr=8-1","A")</f>
        <v>A</v>
      </c>
      <c r="J231">
        <v>120</v>
      </c>
      <c r="K231">
        <f>IF(L231&gt;0,L231*0.0625,)</f>
        <v>0.41875</v>
      </c>
      <c r="L231">
        <v>6.7</v>
      </c>
      <c r="M231">
        <f>IF(K231&gt;0,K231*0.453592,IF(L231&gt;0,L231*0.02835,))</f>
        <v>0.18994165</v>
      </c>
      <c r="N231">
        <v>0</v>
      </c>
      <c r="O231">
        <v>0</v>
      </c>
      <c r="P231">
        <f>J231+O231+N231</f>
        <v>120</v>
      </c>
      <c r="Q231">
        <f>P231*C3</f>
        <v>150000</v>
      </c>
      <c r="R231">
        <v>0</v>
      </c>
      <c r="S231">
        <f>ROUND(SUM(Q231:R231), -2)</f>
        <v>150000</v>
      </c>
      <c r="T231">
        <f>ROUNDUP(HLOOKUP(ROUNDUP(K231,0),'배송비 조회'!A$10:U$22,7,0)*C$3,-2)</f>
        <v>9000</v>
      </c>
      <c r="U231">
        <v>0</v>
      </c>
      <c r="V231">
        <f>ROUND(IF(R231&gt;0,0,(S231+T231)*0.3),-2)</f>
        <v>47700</v>
      </c>
      <c r="W231">
        <f>ROUND(IF(R231&gt;0,0,(S231+T231)*0.5),-2)</f>
        <v>79500</v>
      </c>
      <c r="X231">
        <f>IF(R231&gt;0,SUM(S231:T231),SUM(S231:V231))</f>
        <v>206700</v>
      </c>
      <c r="Y231">
        <f>IF(R231&gt;0,SUM(S231:T231),SUM(S231:U231)+W231)</f>
        <v>238500</v>
      </c>
      <c r="Z231">
        <v>0</v>
      </c>
      <c r="AA231">
        <f>X231*0.038</f>
        <v>7854.599999999999</v>
      </c>
      <c r="AB231">
        <f>X231*0.02</f>
        <v>4134</v>
      </c>
      <c r="AC231">
        <f>Y231*0.1</f>
        <v>23850</v>
      </c>
      <c r="AD231">
        <f>X231-AA231-AB231</f>
        <v>194711.4</v>
      </c>
      <c r="AE231">
        <f>Y231-AC231</f>
        <v>214650</v>
      </c>
      <c r="AF231">
        <f>AD231*0.01</f>
        <v>1947.114</v>
      </c>
      <c r="AG231">
        <f>AD231-Q231-AF231-T231</f>
        <v>33764.28599999999</v>
      </c>
      <c r="AH231">
        <f>AE231-Q231-AF231-T231</f>
        <v>53702.886</v>
      </c>
      <c r="AI231">
        <f>AG231/X231</f>
        <v>0.16334923076923075</v>
      </c>
      <c r="AJ231">
        <f>AH231/Y231</f>
        <v>0.22516933333333333</v>
      </c>
      <c r="AW231">
        <v>4641048178</v>
      </c>
    </row>
    <row r="232">
      <c r="A232">
        <f>HYPERLINK("https://smartstore.naver.com/brickstore2019/products/4641068084",AW:AW)</f>
        <v>4641068084</v>
      </c>
      <c r="C232" t="str">
        <v>다니엘웰링턴 여자 시계 클래식 가죽 시계 화이트 DW00500481</v>
      </c>
      <c r="E232" t="str">
        <v>Daniel Wellington Women's Classic Petite Stainless Steel Japanese Quartz Watch with Leather Strap, White, 12 (Model: DW00500481)</v>
      </c>
      <c r="F232" t="str">
        <v>28mm</v>
      </c>
      <c r="G232" t="str">
        <f>HYPERLINK("https://www.amazon.com/Daniel-Wellington-Classic-Stainless-Japanese/dp/B07SVQ4H7D/ref=sr_1_30?crid=3G8B687TIQ3QJ&amp;keywords=watch&amp;qid=1566226365&amp;refinements=p_72%3A2661618011&amp;rnid=2661617011&amp;s=gateway&amp;sprefix=watch%2Caps%2C580&amp;sr=8-30","A")</f>
        <v>A</v>
      </c>
      <c r="J232">
        <v>160</v>
      </c>
      <c r="K232">
        <f>IF(L232&gt;0,L232*0.0625,)</f>
        <v>0.5</v>
      </c>
      <c r="L232">
        <v>8</v>
      </c>
      <c r="M232">
        <f>IF(K232&gt;0,K232*0.453592,IF(L232&gt;0,L232*0.02835,))</f>
        <v>0.226796</v>
      </c>
      <c r="N232">
        <v>0</v>
      </c>
      <c r="O232">
        <v>0</v>
      </c>
      <c r="P232">
        <f>J232+O232+N232</f>
        <v>160</v>
      </c>
      <c r="Q232">
        <f>P232*C3</f>
        <v>200000</v>
      </c>
      <c r="R232">
        <v>0</v>
      </c>
      <c r="S232">
        <f>ROUND(SUM(Q232:R232), -2)</f>
        <v>200000</v>
      </c>
      <c r="T232">
        <f>ROUNDUP(HLOOKUP(ROUNDUP(K232,0),'배송비 조회'!A$10:U$22,7,0)*C$3,-2)</f>
        <v>9000</v>
      </c>
      <c r="U232">
        <v>0</v>
      </c>
      <c r="V232">
        <f>ROUND(IF(R232&gt;0,0,(S232+T232)*0.3),-2)</f>
        <v>62700</v>
      </c>
      <c r="W232">
        <f>ROUND(IF(R232&gt;0,0,(S232+T232)*0.5),-2)</f>
        <v>104500</v>
      </c>
      <c r="X232">
        <f>IF(R232&gt;0,SUM(S232:T232),SUM(S232:V232))</f>
        <v>271700</v>
      </c>
      <c r="Y232">
        <f>IF(R232&gt;0,SUM(S232:T232),SUM(S232:U232)+W232)</f>
        <v>313500</v>
      </c>
      <c r="Z232">
        <v>0</v>
      </c>
      <c r="AA232">
        <f>X232*0.038</f>
        <v>10324.6</v>
      </c>
      <c r="AB232">
        <f>X232*0.02</f>
        <v>5434</v>
      </c>
      <c r="AC232">
        <f>Y232*0.1</f>
        <v>31350</v>
      </c>
      <c r="AD232">
        <f>X232-AA232-AB232</f>
        <v>255941.4</v>
      </c>
      <c r="AE232">
        <f>Y232-AC232</f>
        <v>282150</v>
      </c>
      <c r="AF232">
        <f>AD232*0.01</f>
        <v>2559.414</v>
      </c>
      <c r="AG232">
        <f>AD232-Q232-AF232-T232</f>
        <v>44381.986</v>
      </c>
      <c r="AH232">
        <f>AE232-Q232-AF232-T232</f>
        <v>70590.586</v>
      </c>
      <c r="AI232">
        <f>AG232/X232</f>
        <v>0.16334923076923075</v>
      </c>
      <c r="AJ232">
        <f>AH232/Y232</f>
        <v>0.22516933333333333</v>
      </c>
      <c r="AW232">
        <v>4641068084</v>
      </c>
    </row>
    <row r="233">
      <c r="F233" t="str">
        <v>32mm</v>
      </c>
      <c r="G233" t="str">
        <f>HYPERLINK("https://www.amazon.com/Daniel-Wellington-Classic-Stainless-Japanese/dp/B07SRKJR6X/ref=sr_1_30?crid=3G8B687TIQ3QJ&amp;keywords=watch&amp;qid=1566226365&amp;refinements=p_72%3A2661618011&amp;rnid=2661617011&amp;s=gateway&amp;sprefix=watch%2Caps%2C580&amp;sr=8-30&amp;th=1","A")</f>
        <v>A</v>
      </c>
      <c r="J233">
        <v>180</v>
      </c>
      <c r="K233">
        <f>IF(L233&gt;0,L233*0.0625,)</f>
        <v>0.5</v>
      </c>
      <c r="L233">
        <v>8</v>
      </c>
      <c r="M233">
        <f>IF(K233&gt;0,K233*0.453592,IF(L233&gt;0,L233*0.02835,))</f>
        <v>0.226796</v>
      </c>
      <c r="N233">
        <v>0</v>
      </c>
      <c r="O233">
        <v>0</v>
      </c>
      <c r="P233">
        <f>J233+O233+N233</f>
        <v>180</v>
      </c>
      <c r="Q233">
        <f>P233*C3</f>
        <v>225000</v>
      </c>
      <c r="R233">
        <v>0</v>
      </c>
      <c r="S233">
        <f>ROUND(SUM(Q233:R233), -2)</f>
        <v>225000</v>
      </c>
      <c r="T233">
        <f>ROUNDUP(HLOOKUP(ROUNDUP(K233,0),'배송비 조회'!A$10:U$22,7,0)*C$3,-2)</f>
        <v>9000</v>
      </c>
      <c r="U233">
        <v>0</v>
      </c>
      <c r="V233">
        <f>ROUND(IF(R233&gt;0,0,(S233+T233)*0.3),-2)</f>
        <v>70200</v>
      </c>
      <c r="W233">
        <f>ROUND(IF(R233&gt;0,0,(S233+T233)*0.5),-2)</f>
        <v>117000</v>
      </c>
      <c r="X233">
        <f>IF(R233&gt;0,SUM(S233:T233),SUM(S233:V233))</f>
        <v>304200</v>
      </c>
      <c r="Y233">
        <f>IF(R233&gt;0,SUM(S233:T233),SUM(S233:U233)+W233)</f>
        <v>351000</v>
      </c>
      <c r="Z233">
        <v>0</v>
      </c>
      <c r="AA233">
        <f>X233*0.038</f>
        <v>11559.6</v>
      </c>
      <c r="AB233">
        <f>X233*0.02</f>
        <v>6084</v>
      </c>
      <c r="AC233">
        <f>Y233*0.1</f>
        <v>35100</v>
      </c>
      <c r="AD233">
        <f>X233-AA233-AB233</f>
        <v>286556.4</v>
      </c>
      <c r="AE233">
        <f>Y233-AC233</f>
        <v>315900</v>
      </c>
      <c r="AF233">
        <f>AD233*0.01</f>
        <v>2865.5640000000003</v>
      </c>
      <c r="AG233">
        <f>AD233-Q233-AF233-T233</f>
        <v>49690.836000000025</v>
      </c>
      <c r="AH233">
        <f>AE233-Q233-AF233-T233</f>
        <v>79034.436</v>
      </c>
      <c r="AI233">
        <f>AG233/X233</f>
        <v>0.16334923076923086</v>
      </c>
      <c r="AJ233">
        <f>AH233/Y233</f>
        <v>0.22516933333333333</v>
      </c>
    </row>
    <row r="234">
      <c r="A234">
        <f>HYPERLINK("https://smartstore.naver.com/brickstore2019/products/4642524912",AW:AW)</f>
        <v>4642524912</v>
      </c>
      <c r="C234" t="str">
        <v>마이크로소프트 서피스고 케이스 충격방지 초경량 슬림 케이스</v>
      </c>
      <c r="E234" t="str">
        <v>Compatible with Microsoft Surface Go Tablet, Ultra Lightweight Protective Slim Smart Protective Cover Case for New Microsoft Surface Go Accessories 2018 Released Tablet</v>
      </c>
      <c r="F234" t="str">
        <v>black</v>
      </c>
      <c r="G234" t="str">
        <f>HYPERLINK("https://www.amazon.com/Compatible-Lightweight-Protective-Accessories-Tablet%EF%BC%88Black%EF%BC%89/dp/B07GPFHWXD/ref=sr_1_40?crid=5JX2IAGBIL21&amp;keywords=surface%2Bgo%2Baccessories&amp;qid=1566308363&amp;s=gateway&amp;sprefix=surface%2Bgo%2Ba%2Caps%2C365&amp;sr=8-40&amp;th=1","A")</f>
        <v>A</v>
      </c>
      <c r="J234">
        <v>8</v>
      </c>
      <c r="K234">
        <f>IF(L234&gt;0,L234*0.0625,)</f>
        <v>0.5</v>
      </c>
      <c r="L234">
        <v>8</v>
      </c>
      <c r="M234">
        <f>IF(K234&gt;0,K234*0.453592,IF(L234&gt;0,L234*0.02835,))</f>
        <v>0.226796</v>
      </c>
      <c r="N234">
        <v>0</v>
      </c>
      <c r="O234">
        <v>0</v>
      </c>
      <c r="P234">
        <f>J234+O234+N234</f>
        <v>8</v>
      </c>
      <c r="Q234">
        <f>P234*C3</f>
        <v>10000</v>
      </c>
      <c r="R234">
        <v>0</v>
      </c>
      <c r="S234">
        <f>ROUND(SUM(Q234:R234), -2)</f>
        <v>10000</v>
      </c>
      <c r="T234">
        <f>ROUNDUP(HLOOKUP(ROUNDUP(K234,0),'배송비 조회'!A$10:U$22,7,0)*C$3,-2)</f>
        <v>9000</v>
      </c>
      <c r="U234">
        <v>0</v>
      </c>
      <c r="V234">
        <f>ROUND(IF(R234&gt;0,0,(S234+T234)*0.7),-2)</f>
        <v>13300</v>
      </c>
      <c r="W234">
        <f>ROUND(IF(R234&gt;0,0,(S234+T234)*0.5),-2)</f>
        <v>9500</v>
      </c>
      <c r="X234">
        <f>IF(R234&gt;0,SUM(S234:T234),SUM(S234:V234))</f>
        <v>32300</v>
      </c>
      <c r="Y234">
        <f>IF(R234&gt;0,SUM(S234:T234),SUM(S234:U234)+W234)</f>
        <v>28500</v>
      </c>
      <c r="Z234">
        <v>0</v>
      </c>
      <c r="AA234">
        <f>X234*0.038</f>
        <v>1227.3999999999999</v>
      </c>
      <c r="AB234">
        <f>X234*0.02</f>
        <v>646</v>
      </c>
      <c r="AC234">
        <f>Y234*0.1</f>
        <v>2850</v>
      </c>
      <c r="AD234">
        <f>X234-AA234-AB234</f>
        <v>30426.6</v>
      </c>
      <c r="AE234">
        <f>Y234-AC234</f>
        <v>25650</v>
      </c>
      <c r="AF234">
        <f>AD234*0.01</f>
        <v>304.266</v>
      </c>
      <c r="AG234">
        <f>AD234-Q234-AF234-T234</f>
        <v>11122.333999999999</v>
      </c>
      <c r="AH234">
        <f>AE234-Q234-AF234-T234</f>
        <v>6345.734</v>
      </c>
      <c r="AI234">
        <f>AG234/X234</f>
        <v>0.3443447058823529</v>
      </c>
      <c r="AJ234">
        <f>AH234/Y234</f>
        <v>0.22265733333333335</v>
      </c>
      <c r="AW234">
        <v>4642524912</v>
      </c>
    </row>
    <row r="235">
      <c r="F235" t="str">
        <v>purple</v>
      </c>
      <c r="G235" t="str">
        <f>HYPERLINK("https://www.amazon.com/Compatible-Lightweight-Protective-Accessories-Tablet%EF%BC%88Black%EF%BC%89/dp/B07GPK8S3D/ref=sr_1_40?crid=5JX2IAGBIL21&amp;keywords=surface%2Bgo%2Baccessories&amp;qid=1566308363&amp;s=gateway&amp;sprefix=surface%2Bgo%2Ba%2Caps%2C365&amp;sr=8-40&amp;th=1","A")</f>
        <v>A</v>
      </c>
      <c r="J235">
        <v>8</v>
      </c>
      <c r="K235">
        <f>IF(L235&gt;0,L235*0.0625,)</f>
        <v>0.5</v>
      </c>
      <c r="L235">
        <v>8</v>
      </c>
      <c r="M235">
        <f>IF(K235&gt;0,K235*0.453592,IF(L235&gt;0,L235*0.02835,))</f>
        <v>0.226796</v>
      </c>
      <c r="N235">
        <v>0</v>
      </c>
      <c r="O235">
        <v>0</v>
      </c>
      <c r="P235">
        <f>J235+O235+N235</f>
        <v>8</v>
      </c>
      <c r="Q235">
        <f>P235*C3</f>
        <v>10000</v>
      </c>
      <c r="R235">
        <v>0</v>
      </c>
      <c r="S235">
        <f>ROUND(SUM(Q235:R235), -2)</f>
        <v>10000</v>
      </c>
      <c r="T235">
        <f>ROUNDUP(HLOOKUP(ROUNDUP(K235,0),'배송비 조회'!A$10:U$22,7,0)*C$3,-2)</f>
        <v>9000</v>
      </c>
      <c r="U235">
        <v>0</v>
      </c>
      <c r="V235">
        <f>ROUND(IF(R235&gt;0,0,(S235+T235)*0.7),-2)</f>
        <v>13300</v>
      </c>
      <c r="W235">
        <f>ROUND(IF(R235&gt;0,0,(S235+T235)*0.5),-2)</f>
        <v>9500</v>
      </c>
      <c r="X235">
        <f>IF(R235&gt;0,SUM(S235:T235),SUM(S235:V235))</f>
        <v>32300</v>
      </c>
      <c r="Y235">
        <f>IF(R235&gt;0,SUM(S235:T235),SUM(S235:U235)+W235)</f>
        <v>28500</v>
      </c>
      <c r="Z235">
        <v>0</v>
      </c>
      <c r="AA235">
        <f>X235*0.038</f>
        <v>1227.3999999999999</v>
      </c>
      <c r="AB235">
        <f>X235*0.02</f>
        <v>646</v>
      </c>
      <c r="AC235">
        <f>Y235*0.1</f>
        <v>2850</v>
      </c>
      <c r="AD235">
        <f>X235-AA235-AB235</f>
        <v>30426.6</v>
      </c>
      <c r="AE235">
        <f>Y235-AC235</f>
        <v>25650</v>
      </c>
      <c r="AF235">
        <f>AD235*0.01</f>
        <v>304.266</v>
      </c>
      <c r="AG235">
        <f>AD235-Q235-AF235-T235</f>
        <v>11122.333999999999</v>
      </c>
      <c r="AH235">
        <f>AE235-Q235-AF235-T235</f>
        <v>6345.734</v>
      </c>
      <c r="AI235">
        <f>AG235/X235</f>
        <v>0.3443447058823529</v>
      </c>
      <c r="AJ235">
        <f>AH235/Y235</f>
        <v>0.22265733333333335</v>
      </c>
    </row>
    <row r="236">
      <c r="A236">
        <f>HYPERLINK("https://smartstore.naver.com/brickstore2019/products/4642645429",AW:AW)</f>
        <v>4642645429</v>
      </c>
      <c r="C236" t="str">
        <v xml:space="preserve">마이크로소프트 서피스고 충격방지 휴대용 케이스 슬리브 </v>
      </c>
      <c r="E236" t="str">
        <v>USA Gear Sleeve Carrying Case Compatible with Microsoft Surface Go - XNEO XXL Padded Neoprene Protective Tablet Cover with Shock Protection, Small Accessory Zipper Pocket (Black)</v>
      </c>
      <c r="G236" t="str">
        <f>HYPERLINK("https://www.amazon.com/USA-Gear-Surface-Sleeve-Carrying/dp/B07GK17CQG/ref=sr_1_41?crid=5JX2IAGBIL21&amp;keywords=surface+go+accessories&amp;qid=1566308363&amp;s=gateway&amp;sprefix=surface+go+a%2Caps%2C365&amp;sr=8-41#customerReviews","A")</f>
        <v>A</v>
      </c>
      <c r="J236">
        <v>6</v>
      </c>
      <c r="K236">
        <f>IF(L236&gt;0,L236*0.0625,)</f>
        <v>0.3125</v>
      </c>
      <c r="L236">
        <v>5</v>
      </c>
      <c r="M236">
        <f>IF(K236&gt;0,K236*0.453592,IF(L236&gt;0,L236*0.02835,))</f>
        <v>0.1417475</v>
      </c>
      <c r="N236">
        <v>0</v>
      </c>
      <c r="O236">
        <v>0</v>
      </c>
      <c r="P236">
        <f>J236+O236+N236</f>
        <v>6</v>
      </c>
      <c r="Q236">
        <f>P236*C3</f>
        <v>7500</v>
      </c>
      <c r="R236">
        <v>0</v>
      </c>
      <c r="S236">
        <f>ROUND(SUM(Q236:R236), -2)</f>
        <v>7500</v>
      </c>
      <c r="T236">
        <f>ROUNDUP(HLOOKUP(ROUNDUP(K236,0),'배송비 조회'!A$10:U$22,7,0)*C$3,-2)</f>
        <v>9000</v>
      </c>
      <c r="U236">
        <v>0</v>
      </c>
      <c r="V236">
        <f>ROUND(IF(R236&gt;0,0,(S236+T236)*0.8),-2)</f>
        <v>13200</v>
      </c>
      <c r="W236">
        <f>ROUND(IF(R236&gt;0,0,(S236+T236)*0.5),-2)</f>
        <v>8300</v>
      </c>
      <c r="X236">
        <f>IF(R236&gt;0,SUM(S236:T236),SUM(S236:V236))</f>
        <v>29700</v>
      </c>
      <c r="Y236">
        <f>IF(R236&gt;0,SUM(S236:T236),SUM(S236:U236)+W236)</f>
        <v>24800</v>
      </c>
      <c r="Z236">
        <v>0</v>
      </c>
      <c r="AA236">
        <f>X236*0.038</f>
        <v>1128.6</v>
      </c>
      <c r="AB236">
        <f>X236*0.02</f>
        <v>594</v>
      </c>
      <c r="AC236">
        <f>Y236*0.1</f>
        <v>2480</v>
      </c>
      <c r="AD236">
        <f>X236-AA236-AB236</f>
        <v>27977.4</v>
      </c>
      <c r="AE236">
        <f>Y236-AC236</f>
        <v>22320</v>
      </c>
      <c r="AF236">
        <f>AD236*0.01</f>
        <v>279.774</v>
      </c>
      <c r="AG236">
        <f>AD236-Q236-AF236-T236</f>
        <v>11197.626</v>
      </c>
      <c r="AH236">
        <f>AE236-Q236-AF236-T236</f>
        <v>5540.226000000001</v>
      </c>
      <c r="AI236">
        <f>AG236/X236</f>
        <v>0.37702444444444444</v>
      </c>
      <c r="AJ236">
        <f>AH236/Y236</f>
        <v>0.22339620967741938</v>
      </c>
      <c r="AW236">
        <v>4642645429</v>
      </c>
    </row>
    <row r="237">
      <c r="A237">
        <f>HYPERLINK("https://smartstore.naver.com/brickstore2019/products/4644443410",AW:AW)</f>
        <v>4644443410</v>
      </c>
      <c r="C237" t="str">
        <v>쌤소나이트 30대 회사원 노트북 백팩 8541573494 (무료배송)</v>
      </c>
      <c r="E237" t="str">
        <v>Samsonite Novex Perfect Fit Laptop Backpack Black</v>
      </c>
      <c r="F237" t="str">
        <v>Black</v>
      </c>
      <c r="G237" t="str">
        <f>HYPERLINK("https://www.amazon.com/Samsonite-Novex-Perfect-Laptop-Backpack/dp/B00TSTISUI/ref=sr_1_7?keywords=samsonite+77696+1050+Durchl+auml+ufer+Rucksack&amp;qid=1566362159&amp;s=gateway&amp;sr=8-7","A")</f>
        <v>A</v>
      </c>
      <c r="J237">
        <v>70</v>
      </c>
      <c r="K237">
        <v>3.95</v>
      </c>
      <c r="L237">
        <f>IF(K237&gt;0,K237*16,)</f>
        <v>63.2</v>
      </c>
      <c r="M237">
        <f>IF(K237&gt;0,K237*0.453592,IF(L237&gt;0,L237*0.02835,))</f>
        <v>1.7916884</v>
      </c>
      <c r="N237">
        <v>0</v>
      </c>
      <c r="O237">
        <v>0</v>
      </c>
      <c r="P237">
        <f>J237+O237+N237</f>
        <v>70</v>
      </c>
      <c r="Q237">
        <f>P237*C3</f>
        <v>87500</v>
      </c>
      <c r="R237">
        <v>0</v>
      </c>
      <c r="S237">
        <f>ROUND(SUM(Q237:R237), -2)</f>
        <v>87500</v>
      </c>
      <c r="T237">
        <f>ROUNDUP(HLOOKUP(ROUNDUP(K237,0),'배송비 조회'!A$10:U$22,7,0)*C$3,-2)</f>
        <v>15600</v>
      </c>
      <c r="U237">
        <v>0</v>
      </c>
      <c r="V237">
        <f>ROUND(IF(R237&gt;0,0,(S237+T237)*0.3),-2)</f>
        <v>30900</v>
      </c>
      <c r="W237">
        <f>ROUND(IF(R237&gt;0,0,(S237+T237)*0.5),-2)</f>
        <v>51600</v>
      </c>
      <c r="X237">
        <f>IF(R237&gt;0,SUM(S237:T237),SUM(S237:V237))</f>
        <v>134000</v>
      </c>
      <c r="Y237">
        <f>IF(R237&gt;0,SUM(S237:T237),SUM(S237:U237)+W237)</f>
        <v>154700</v>
      </c>
      <c r="Z237">
        <v>0</v>
      </c>
      <c r="AA237">
        <f>X237*0.038</f>
        <v>5092</v>
      </c>
      <c r="AB237">
        <f>X237*0.02</f>
        <v>2680</v>
      </c>
      <c r="AC237">
        <f>Y237*0.1</f>
        <v>15470</v>
      </c>
      <c r="AD237">
        <f>X237-AA237-AB237</f>
        <v>126228</v>
      </c>
      <c r="AE237">
        <f>Y237-AC237</f>
        <v>139230</v>
      </c>
      <c r="AF237">
        <f>AD237*0.01</f>
        <v>1262.28</v>
      </c>
      <c r="AG237">
        <f>AD237-Q237-AF237-T237</f>
        <v>21865.72</v>
      </c>
      <c r="AH237">
        <f>AE237-Q237-AF237-T237</f>
        <v>34867.72</v>
      </c>
      <c r="AI237">
        <f>AG237/X237</f>
        <v>0.16317701492537315</v>
      </c>
      <c r="AJ237">
        <f>AH237/Y237</f>
        <v>0.22538926955397545</v>
      </c>
      <c r="AW237">
        <v>4644443410</v>
      </c>
    </row>
    <row r="238">
      <c r="A238">
        <f>HYPERLINK("https://smartstore.naver.com/brickstore2019/products/4644469486",AW:AW)</f>
        <v>4644469486</v>
      </c>
      <c r="C238" t="str">
        <v xml:space="preserve">쌤소나이트 접이식 여행용 보조 더플백 </v>
      </c>
      <c r="E238" t="str">
        <v>Samsonite Foldaway Duffle Extra Large Duffel Bag, Black, One Size</v>
      </c>
      <c r="F238" t="str">
        <v>Black</v>
      </c>
      <c r="G238" t="str">
        <f>HYPERLINK("https://www.amazon.com/Samsonite-Foldaway-Duffle-Extra-Duffel/dp/B07DBGLPZ7/ref=sr_1_7?keywords=samsonite+duffle&amp;qid=1566395696&amp;s=gateway&amp;sr=8-7","A")</f>
        <v>A</v>
      </c>
      <c r="J238">
        <v>35</v>
      </c>
      <c r="K238">
        <v>2</v>
      </c>
      <c r="L238">
        <v>14.4</v>
      </c>
      <c r="M238">
        <f>IF(K238&gt;0,K238*0.453592,IF(L238&gt;0,L238*0.02835,))</f>
        <v>0.907184</v>
      </c>
      <c r="N238">
        <v>0</v>
      </c>
      <c r="O238">
        <v>0</v>
      </c>
      <c r="P238">
        <f>J238+O238+N238</f>
        <v>35</v>
      </c>
      <c r="Q238">
        <f>P238*C$3</f>
        <v>43750</v>
      </c>
      <c r="R238">
        <v>0</v>
      </c>
      <c r="S238">
        <f>ROUND(SUM(Q238:R238), -2)</f>
        <v>43800</v>
      </c>
      <c r="T238">
        <f>ROUNDUP(HLOOKUP(ROUNDUP(K238,0),'배송비 조회'!A$10:U$22,7,0)*C$3,-2)</f>
        <v>11200</v>
      </c>
      <c r="U238">
        <v>0</v>
      </c>
      <c r="V238">
        <f>ROUND(IF(R238&gt;0,0,(S238+T238)*0.3),-2)</f>
        <v>16500</v>
      </c>
      <c r="W238">
        <f>ROUND(IF(R238&gt;0,0,(S238+T238)*0.5),-2)</f>
        <v>27500</v>
      </c>
      <c r="X238">
        <f>IF(R238&gt;0,SUM(S238:T238),SUM(S238:V238))</f>
        <v>71500</v>
      </c>
      <c r="Y238">
        <f>IF(R238&gt;0,SUM(S238:T238),SUM(S238:U238)+W238)</f>
        <v>82500</v>
      </c>
      <c r="Z238">
        <v>0</v>
      </c>
      <c r="AA238">
        <f>X238*0.038</f>
        <v>2717</v>
      </c>
      <c r="AB238">
        <f>X238*0.02</f>
        <v>1430</v>
      </c>
      <c r="AC238">
        <f>Y238*0.1</f>
        <v>8250</v>
      </c>
      <c r="AD238">
        <f>X238-AA238-AB238</f>
        <v>67353</v>
      </c>
      <c r="AE238">
        <f>Y238-AC238</f>
        <v>74250</v>
      </c>
      <c r="AF238">
        <f>AD238*0.01</f>
        <v>673.53</v>
      </c>
      <c r="AG238">
        <f>AD238-Q238-AF238-T238</f>
        <v>11729.470000000001</v>
      </c>
      <c r="AH238">
        <f>AE238-Q238-AF238-T238</f>
        <v>18626.47</v>
      </c>
      <c r="AI238">
        <f>AG238/X238</f>
        <v>0.1640485314685315</v>
      </c>
      <c r="AJ238">
        <f>AH238/Y238</f>
        <v>0.22577539393939394</v>
      </c>
      <c r="AW238">
        <v>4644469486</v>
      </c>
    </row>
    <row r="239">
      <c r="A239">
        <f>HYPERLINK("https://smartstore.naver.com/brickstore2019/products/4644470643",AW:AW)</f>
        <v>4644470643</v>
      </c>
      <c r="C239" t="str">
        <v>타이거너 30대 회사원 비즈니스 백팩 15인치 노트북 가방 B07V3Q1NYL (무료배송)</v>
      </c>
      <c r="E239" t="str">
        <v>Tigernu Series Business Laptop Backpack Slim Anti Theft Travel Computer Backpacks Environmentally Waterproof Laptops Bag for Men/Women 15.6 Inch (Black)</v>
      </c>
      <c r="F239" t="str">
        <v>Black</v>
      </c>
      <c r="G239" t="str">
        <f>HYPERLINK("https://www.amazon.com/Business-Backpack-Backpacks-Environmentally-Waterproof/dp/B07V2L3SVG/ref=sr_1_1?keywords=tigernu%2Bbackpack&amp;qid=1566398113&amp;refinements=p_89%3ATIGERNU&amp;rnid=2528832011&amp;s=gateway&amp;sr=8-1&amp;th=1","A")</f>
        <v>A</v>
      </c>
      <c r="J239">
        <v>30</v>
      </c>
      <c r="K239">
        <v>2.46</v>
      </c>
      <c r="L239">
        <f>IF(K239&gt;0,K239*16,)</f>
        <v>39.36</v>
      </c>
      <c r="M239">
        <f>IF(K239&gt;0,K239*0.453592,IF(L239&gt;0,L239*0.02835,))</f>
        <v>1.1158363199999999</v>
      </c>
      <c r="N239">
        <v>0</v>
      </c>
      <c r="O239">
        <v>0</v>
      </c>
      <c r="P239">
        <f>J239+O239+N239</f>
        <v>30</v>
      </c>
      <c r="Q239">
        <f>P239*C3</f>
        <v>37500</v>
      </c>
      <c r="R239">
        <v>0</v>
      </c>
      <c r="S239">
        <f>ROUND(SUM(Q239:R239), -2)</f>
        <v>37500</v>
      </c>
      <c r="T239">
        <f>ROUNDUP(HLOOKUP(ROUNDUP(K239,0),'배송비 조회'!A$10:U$22,7,0)*C$3,-2)</f>
        <v>13400</v>
      </c>
      <c r="U239">
        <v>0</v>
      </c>
      <c r="V239">
        <f>ROUND(IF(R239&gt;0,0,(S239+T239)*0.3),-2)</f>
        <v>15300</v>
      </c>
      <c r="W239">
        <f>ROUND(IF(R239&gt;0,0,(S239+T239)*0.5),-2)</f>
        <v>25500</v>
      </c>
      <c r="X239">
        <f>IF(R239&gt;0,SUM(S239:T239),SUM(S239:V239))</f>
        <v>66200</v>
      </c>
      <c r="Y239">
        <f>IF(R239&gt;0,SUM(S239:T239),SUM(S239:U239)+W239)</f>
        <v>76400</v>
      </c>
      <c r="Z239">
        <v>0</v>
      </c>
      <c r="AA239">
        <f>X239*0.038</f>
        <v>2515.6</v>
      </c>
      <c r="AB239">
        <f>X239*0.02</f>
        <v>1324</v>
      </c>
      <c r="AC239">
        <f>Y239*0.1</f>
        <v>7640</v>
      </c>
      <c r="AD239">
        <f>X239-AA239-AB239</f>
        <v>62360.4</v>
      </c>
      <c r="AE239">
        <f>Y239-AC239</f>
        <v>68760</v>
      </c>
      <c r="AF239">
        <f>AD239*0.01</f>
        <v>623.604</v>
      </c>
      <c r="AG239">
        <f>AD239-Q239-AF239-T239</f>
        <v>10836.796000000002</v>
      </c>
      <c r="AH239">
        <f>AE239-Q239-AF239-T239</f>
        <v>17236.396</v>
      </c>
      <c r="AI239">
        <f>AG239/X239</f>
        <v>0.16369782477341394</v>
      </c>
      <c r="AJ239">
        <f>AH239/Y239</f>
        <v>0.225607277486911</v>
      </c>
      <c r="AW239">
        <v>4644470643</v>
      </c>
    </row>
    <row r="240">
      <c r="F240" t="str">
        <v>Silver Grey</v>
      </c>
      <c r="G240" t="str">
        <f>HYPERLINK("https://www.amazon.com/Business-Backpack-Backpacks-Environmentally-Waterproof/dp/B07V3Q1NYL/ref=sr_1_1?keywords=tigernu%2Bbackpack&amp;qid=1566398113&amp;refinements=p_89%3ATIGERNU&amp;rnid=2528832011&amp;s=gateway&amp;sr=8-1&amp;th=1","A")</f>
        <v>A</v>
      </c>
      <c r="J240">
        <v>30</v>
      </c>
      <c r="K240">
        <v>2.46</v>
      </c>
      <c r="L240">
        <f>IF(K240&gt;0,K240*16,)</f>
        <v>39.36</v>
      </c>
      <c r="M240">
        <f>IF(K240&gt;0,K240*0.453592,IF(L240&gt;0,L240*0.02835,))</f>
        <v>1.1158363199999999</v>
      </c>
      <c r="N240">
        <v>0</v>
      </c>
      <c r="O240">
        <v>0</v>
      </c>
      <c r="P240">
        <f>J240+O240+N240</f>
        <v>30</v>
      </c>
      <c r="Q240">
        <f>P240*C$3</f>
        <v>37500</v>
      </c>
      <c r="R240">
        <v>0</v>
      </c>
      <c r="S240">
        <f>ROUND(SUM(Q240:R240), -2)</f>
        <v>37500</v>
      </c>
      <c r="T240">
        <f>ROUNDUP(HLOOKUP(ROUNDUP(K240,0),'배송비 조회'!A$10:U$22,7,0)*C$3,-2)</f>
        <v>13400</v>
      </c>
      <c r="U240">
        <v>0</v>
      </c>
      <c r="V240">
        <f>ROUND(IF(R240&gt;0,0,(S240+T240)*0.3),-2)</f>
        <v>15300</v>
      </c>
      <c r="W240">
        <f>ROUND(IF(R240&gt;0,0,(S240+T240)*0.5),-2)</f>
        <v>25500</v>
      </c>
      <c r="X240">
        <f>IF(R240&gt;0,SUM(S240:T240),SUM(S240:V240))</f>
        <v>66200</v>
      </c>
      <c r="Y240">
        <f>IF(R240&gt;0,SUM(S240:T240),SUM(S240:U240)+W240)</f>
        <v>76400</v>
      </c>
      <c r="Z240">
        <v>0</v>
      </c>
      <c r="AA240">
        <f>X240*0.038</f>
        <v>2515.6</v>
      </c>
      <c r="AB240">
        <f>X240*0.02</f>
        <v>1324</v>
      </c>
      <c r="AC240">
        <f>Y240*0.1</f>
        <v>7640</v>
      </c>
      <c r="AD240">
        <f>X240-AA240-AB240</f>
        <v>62360.4</v>
      </c>
      <c r="AE240">
        <f>Y240-AC240</f>
        <v>68760</v>
      </c>
      <c r="AF240">
        <f>AD240*0.01</f>
        <v>623.604</v>
      </c>
      <c r="AG240">
        <f>AD240-Q240-AF240-T240</f>
        <v>10836.796000000002</v>
      </c>
      <c r="AH240">
        <f>AE240-Q240-AF240-T240</f>
        <v>17236.396</v>
      </c>
      <c r="AI240">
        <f>AG240/X240</f>
        <v>0.16369782477341394</v>
      </c>
      <c r="AJ240">
        <f>AH240/Y240</f>
        <v>0.225607277486911</v>
      </c>
    </row>
    <row r="241">
      <c r="A241">
        <f>HYPERLINK("https://smartstore.naver.com/brickstore2019/products/4645616862",AW:AW)</f>
        <v>4645616862</v>
      </c>
      <c r="C241" t="str">
        <v>타이맥스 위켄더 여성시계 컬러러쉬 박스 세트 Color Rush Box Set (무료배송)</v>
      </c>
      <c r="E241" t="str">
        <v>Timex Weekender Color Rush Box Set</v>
      </c>
      <c r="F241" t="str">
        <v>Navy/Green</v>
      </c>
      <c r="G241" t="str">
        <v>A</v>
      </c>
      <c r="H241" t="str">
        <v>품절</v>
      </c>
      <c r="J241">
        <v>26.29</v>
      </c>
      <c r="K241">
        <f>IF(L241&gt;0,L241*0.0625,)</f>
        <v>0.3375</v>
      </c>
      <c r="L241">
        <v>5.4</v>
      </c>
      <c r="M241">
        <f>IF(K241&gt;0,K241*0.453592,IF(L241&gt;0,L241*0.02835,))</f>
        <v>0.1530873</v>
      </c>
      <c r="N241">
        <v>0</v>
      </c>
      <c r="O241">
        <v>0</v>
      </c>
      <c r="P241">
        <f>J241+O241+N241</f>
        <v>26.29</v>
      </c>
      <c r="Q241">
        <f>P241*C$3</f>
        <v>32862.5</v>
      </c>
      <c r="R241">
        <v>0</v>
      </c>
      <c r="S241">
        <f>ROUND(SUM(Q241:R241), -2)</f>
        <v>32900</v>
      </c>
      <c r="T241">
        <f>ROUNDUP(HLOOKUP(ROUNDUP(K241,0),'배송비 조회'!A$10:U$22,7,0)*C$3,-2)</f>
        <v>9000</v>
      </c>
      <c r="U241">
        <v>0</v>
      </c>
      <c r="V241">
        <f>ROUND(IF(R241&gt;0,0,(S241+T241)*0.4),-2)</f>
        <v>16800</v>
      </c>
      <c r="W241">
        <f>ROUND(IF(R241&gt;0,0,(S241+T241)*0.5),-2)</f>
        <v>21000</v>
      </c>
      <c r="X241">
        <f>IF(R241&gt;0,SUM(S241:T241),SUM(S241:V241))</f>
        <v>58700</v>
      </c>
      <c r="Y241">
        <f>IF(R241&gt;0,SUM(S241:T241),SUM(S241:U241)+W241)</f>
        <v>62900</v>
      </c>
      <c r="Z241">
        <v>0</v>
      </c>
      <c r="AA241">
        <f>X241*0.038</f>
        <v>2230.6</v>
      </c>
      <c r="AB241">
        <f>X241*0.02</f>
        <v>1174</v>
      </c>
      <c r="AC241">
        <f>Y241*0.1</f>
        <v>6290</v>
      </c>
      <c r="AD241">
        <f>X241-AA241-AB241</f>
        <v>55295.4</v>
      </c>
      <c r="AE241">
        <f>Y241-AC241</f>
        <v>56610</v>
      </c>
      <c r="AF241">
        <f>AD241*0.01</f>
        <v>552.9540000000001</v>
      </c>
      <c r="AG241">
        <f>AD241-Q241-AF241-T241</f>
        <v>12879.946</v>
      </c>
      <c r="AH241">
        <f>AE241-Q241-AF241-T241</f>
        <v>14194.545999999998</v>
      </c>
      <c r="AI241">
        <f>AG241/X241</f>
        <v>0.21941986371379898</v>
      </c>
      <c r="AJ241">
        <f>AH241/Y241</f>
        <v>0.22566845786963433</v>
      </c>
      <c r="AW241">
        <v>4645616862</v>
      </c>
    </row>
    <row r="242">
      <c r="F242" t="str">
        <v>Blue/Splash</v>
      </c>
      <c r="G242" t="str">
        <v>A</v>
      </c>
      <c r="J242">
        <v>47</v>
      </c>
      <c r="K242">
        <f>IF(L242&gt;0,L242*0.0625,)</f>
        <v>0.3375</v>
      </c>
      <c r="L242">
        <v>5.4</v>
      </c>
      <c r="M242">
        <f>IF(K242&gt;0,K242*0.453592,IF(L242&gt;0,L242*0.02835,))</f>
        <v>0.1530873</v>
      </c>
      <c r="N242">
        <v>0</v>
      </c>
      <c r="O242">
        <v>0</v>
      </c>
      <c r="P242">
        <f>J242+O242+N242</f>
        <v>47</v>
      </c>
      <c r="Q242">
        <f>P242*C$3</f>
        <v>58750</v>
      </c>
      <c r="R242">
        <v>0</v>
      </c>
      <c r="S242">
        <f>ROUND(SUM(Q242:R242), -2)</f>
        <v>58800</v>
      </c>
      <c r="T242">
        <f>ROUNDUP(HLOOKUP(ROUNDUP(K242,0),'배송비 조회'!A$10:U$22,7,0)*C$3,-2)</f>
        <v>9000</v>
      </c>
      <c r="U242">
        <v>0</v>
      </c>
      <c r="V242">
        <f>ROUND(IF(R242&gt;0,0,(S242+T242)*0.4),-2)</f>
        <v>27100</v>
      </c>
      <c r="W242">
        <f>ROUND(IF(R242&gt;0,0,(S242+T242)*0.5),-2)</f>
        <v>33900</v>
      </c>
      <c r="X242">
        <f>IF(R242&gt;0,SUM(S242:T242),SUM(S242:V242))</f>
        <v>94900</v>
      </c>
      <c r="Y242">
        <f>IF(R242&gt;0,SUM(S242:T242),SUM(S242:U242)+W242)</f>
        <v>101700</v>
      </c>
      <c r="Z242">
        <v>0</v>
      </c>
      <c r="AA242">
        <f>X242*0.038</f>
        <v>3606.2</v>
      </c>
      <c r="AB242">
        <f>X242*0.02</f>
        <v>1898</v>
      </c>
      <c r="AC242">
        <f>Y242*0.1</f>
        <v>10170</v>
      </c>
      <c r="AD242">
        <f>X242-AA242-AB242</f>
        <v>89395.8</v>
      </c>
      <c r="AE242">
        <f>Y242-AC242</f>
        <v>91530</v>
      </c>
      <c r="AF242">
        <f>AD242*0.01</f>
        <v>893.9580000000001</v>
      </c>
      <c r="AG242">
        <f>AD242-Q242-AF242-T242</f>
        <v>20751.842000000004</v>
      </c>
      <c r="AH242">
        <f>AE242-Q242-AF242-T242</f>
        <v>22886.042</v>
      </c>
      <c r="AI242">
        <f>AG242/X242</f>
        <v>0.21867062170706011</v>
      </c>
      <c r="AJ242">
        <f>AH242/Y242</f>
        <v>0.2250348279252704</v>
      </c>
    </row>
    <row r="243">
      <c r="F243" t="str">
        <v>Pink/Splash</v>
      </c>
      <c r="G243" t="str">
        <v>A</v>
      </c>
      <c r="J243">
        <v>47</v>
      </c>
      <c r="K243">
        <f>IF(L243&gt;0,L243*0.0625,)</f>
        <v>0.3375</v>
      </c>
      <c r="L243">
        <v>5.4</v>
      </c>
      <c r="M243">
        <f>IF(K243&gt;0,K243*0.453592,IF(L243&gt;0,L243*0.02835,))</f>
        <v>0.1530873</v>
      </c>
      <c r="N243">
        <v>0</v>
      </c>
      <c r="O243">
        <v>0</v>
      </c>
      <c r="P243">
        <f>J243+O243+N243</f>
        <v>47</v>
      </c>
      <c r="Q243">
        <f>P243*C$3</f>
        <v>58750</v>
      </c>
      <c r="R243">
        <v>0</v>
      </c>
      <c r="S243">
        <f>ROUND(SUM(Q243:R243), -2)</f>
        <v>58800</v>
      </c>
      <c r="T243">
        <f>ROUNDUP(HLOOKUP(ROUNDUP(K243,0),'배송비 조회'!A$10:U$22,7,0)*C$3,-2)</f>
        <v>9000</v>
      </c>
      <c r="U243">
        <v>0</v>
      </c>
      <c r="V243">
        <f>ROUND(IF(R243&gt;0,0,(S243+T243)*0.4),-2)</f>
        <v>27100</v>
      </c>
      <c r="W243">
        <f>ROUND(IF(R243&gt;0,0,(S243+T243)*0.5),-2)</f>
        <v>33900</v>
      </c>
      <c r="X243">
        <f>IF(R243&gt;0,SUM(S243:T243),SUM(S243:V243))</f>
        <v>94900</v>
      </c>
      <c r="Y243">
        <f>IF(R243&gt;0,SUM(S243:T243),SUM(S243:U243)+W243)</f>
        <v>101700</v>
      </c>
      <c r="Z243">
        <v>0</v>
      </c>
      <c r="AA243">
        <f>X243*0.038</f>
        <v>3606.2</v>
      </c>
      <c r="AB243">
        <f>X243*0.02</f>
        <v>1898</v>
      </c>
      <c r="AC243">
        <f>Y243*0.1</f>
        <v>10170</v>
      </c>
      <c r="AD243">
        <f>X243-AA243-AB243</f>
        <v>89395.8</v>
      </c>
      <c r="AE243">
        <f>Y243-AC243</f>
        <v>91530</v>
      </c>
      <c r="AF243">
        <f>AD243*0.01</f>
        <v>893.9580000000001</v>
      </c>
      <c r="AG243">
        <f>AD243-Q243-AF243-T243</f>
        <v>20751.842000000004</v>
      </c>
      <c r="AH243">
        <f>AE243-Q243-AF243-T243</f>
        <v>22886.042</v>
      </c>
      <c r="AI243">
        <f>AG243/X243</f>
        <v>0.21867062170706011</v>
      </c>
      <c r="AJ243">
        <f>AH243/Y243</f>
        <v>0.2250348279252704</v>
      </c>
    </row>
    <row r="244">
      <c r="F244" t="str">
        <v>White/Splash</v>
      </c>
      <c r="G244" t="str">
        <v>A</v>
      </c>
      <c r="H244" t="str">
        <v>품절</v>
      </c>
      <c r="J244">
        <v>34</v>
      </c>
      <c r="K244">
        <f>IF(L244&gt;0,L244*0.0625,)</f>
        <v>0.3375</v>
      </c>
      <c r="L244">
        <v>5.4</v>
      </c>
      <c r="M244">
        <f>IF(K244&gt;0,K244*0.453592,IF(L244&gt;0,L244*0.02835,))</f>
        <v>0.1530873</v>
      </c>
      <c r="N244">
        <v>0</v>
      </c>
      <c r="O244">
        <v>0</v>
      </c>
      <c r="P244">
        <f>J244+O244+N244</f>
        <v>34</v>
      </c>
      <c r="Q244">
        <f>P244*C$3</f>
        <v>42500</v>
      </c>
      <c r="R244">
        <v>0</v>
      </c>
      <c r="S244">
        <f>ROUND(SUM(Q244:R244), -2)</f>
        <v>42500</v>
      </c>
      <c r="T244">
        <f>ROUNDUP(HLOOKUP(ROUNDUP(K244,0),'배송비 조회'!A$10:U$22,7,0)*C$3,-2)</f>
        <v>9000</v>
      </c>
      <c r="U244">
        <v>0</v>
      </c>
      <c r="V244">
        <f>ROUND(IF(R244&gt;0,0,(S244+T244)*0.4),-2)</f>
        <v>20600</v>
      </c>
      <c r="W244">
        <f>ROUND(IF(R244&gt;0,0,(S244+T244)*0.5),-2)</f>
        <v>25800</v>
      </c>
      <c r="X244">
        <f>IF(R244&gt;0,SUM(S244:T244),SUM(S244:V244))</f>
        <v>72100</v>
      </c>
      <c r="Y244">
        <f>IF(R244&gt;0,SUM(S244:T244),SUM(S244:U244)+W244)</f>
        <v>77300</v>
      </c>
      <c r="Z244">
        <v>0</v>
      </c>
      <c r="AA244">
        <f>X244*0.038</f>
        <v>2739.7999999999997</v>
      </c>
      <c r="AB244">
        <f>X244*0.02</f>
        <v>1442</v>
      </c>
      <c r="AC244">
        <f>Y244*0.1</f>
        <v>7730</v>
      </c>
      <c r="AD244">
        <f>X244-AA244-AB244</f>
        <v>67918.2</v>
      </c>
      <c r="AE244">
        <f>Y244-AC244</f>
        <v>69570</v>
      </c>
      <c r="AF244">
        <f>AD244*0.01</f>
        <v>679.182</v>
      </c>
      <c r="AG244">
        <f>AD244-Q244-AF244-T244</f>
        <v>15739.017999999996</v>
      </c>
      <c r="AH244">
        <f>AE244-Q244-AF244-T244</f>
        <v>17390.818</v>
      </c>
      <c r="AI244">
        <f>AG244/X244</f>
        <v>0.21829428571428566</v>
      </c>
      <c r="AJ244">
        <f>AH244/Y244</f>
        <v>0.2249782406209573</v>
      </c>
      <c r="AK244">
        <f>X244-X243</f>
        <v>-22800</v>
      </c>
    </row>
    <row r="245">
      <c r="A245">
        <f>HYPERLINK("https://smartstore.naver.com/brickstore2019/products/4646964199",AW:AW)</f>
        <v>4646964199</v>
      </c>
      <c r="C245" t="str">
        <v>마이크로소프트 서피스고 케이스 킥스탠드 충격방지 스크래치 보호</v>
      </c>
      <c r="E245" t="str">
        <v>Surface Go Case,Microsoft Surface Go Case,Surface Go Keyboard Case, Multiple Angle Viewing Business Cover for Microsoft Surface go with Pen Holder and Type Cover Strap,Blue</v>
      </c>
      <c r="G245" t="str">
        <v>A</v>
      </c>
      <c r="J245">
        <v>22</v>
      </c>
      <c r="K245">
        <f>IF(L245&gt;0,L245*0.0625,)</f>
        <v>0.6</v>
      </c>
      <c r="L245">
        <v>9.6</v>
      </c>
      <c r="M245">
        <f>IF(K245&gt;0,K245*0.453592,IF(L245&gt;0,L245*0.02835,))</f>
        <v>0.2721552</v>
      </c>
      <c r="N245">
        <v>0</v>
      </c>
      <c r="O245">
        <v>0</v>
      </c>
      <c r="P245">
        <f>J245+O245+N245</f>
        <v>22</v>
      </c>
      <c r="Q245">
        <f>P245*C3</f>
        <v>27500</v>
      </c>
      <c r="R245">
        <v>0</v>
      </c>
      <c r="S245">
        <f>ROUND(SUM(Q245:R245), -2)</f>
        <v>27500</v>
      </c>
      <c r="T245">
        <f>ROUNDUP(HLOOKUP(ROUNDUP(K245,0),'배송비 조회'!A$10:U$22,7,0)*C$3,-2)</f>
        <v>9000</v>
      </c>
      <c r="U245">
        <v>0</v>
      </c>
      <c r="V245">
        <f>ROUND(IF(R245&gt;0,0,(S245+T245)*0.4),-2)</f>
        <v>14600</v>
      </c>
      <c r="W245">
        <f>ROUND(IF(R245&gt;0,0,(S245+T245)*0.5),-2)</f>
        <v>18300</v>
      </c>
      <c r="X245">
        <f>IF(R245&gt;0,SUM(S245:T245),SUM(S245:V245))</f>
        <v>51100</v>
      </c>
      <c r="Y245">
        <f>IF(R245&gt;0,SUM(S245:T245),SUM(S245:U245)+W245)</f>
        <v>54800</v>
      </c>
      <c r="Z245">
        <v>0</v>
      </c>
      <c r="AA245">
        <f>X245*0.038</f>
        <v>1941.8</v>
      </c>
      <c r="AB245">
        <f>X245*0.02</f>
        <v>1022</v>
      </c>
      <c r="AC245">
        <f>Y245*0.1</f>
        <v>5480</v>
      </c>
      <c r="AD245">
        <f>X245-AA245-AB245</f>
        <v>48136.2</v>
      </c>
      <c r="AE245">
        <f>Y245-AC245</f>
        <v>49320</v>
      </c>
      <c r="AF245">
        <f>AD245*0.01</f>
        <v>481.36199999999997</v>
      </c>
      <c r="AG245">
        <f>AD245-Q245-AF245-T245</f>
        <v>11154.837999999996</v>
      </c>
      <c r="AH245">
        <f>AE245-Q245-AF245-T245</f>
        <v>12338.637999999999</v>
      </c>
      <c r="AI245">
        <f>AG245/X245</f>
        <v>0.21829428571428564</v>
      </c>
      <c r="AJ245">
        <f>AH245/Y245</f>
        <v>0.22515762773722625</v>
      </c>
      <c r="AW245">
        <v>4646964199</v>
      </c>
    </row>
    <row r="246">
      <c r="A246">
        <f>HYPERLINK("https://smartstore.naver.com/brickstore2019/products/4646975669",AW:AW)</f>
        <v>4646975669</v>
      </c>
      <c r="C246" t="str">
        <v>서피스고 도킹 스테이션 HDMI 4K USB 3.0 USB C 허브 오디오/헤드폰 연결 잭</v>
      </c>
      <c r="E246" t="str">
        <v>CharJenPro Surface Go Docking Station, HDMI 4K, USB 3.0, USB C Power Delivery Port, 3.5mm Audio/Headphone Jack Surface Go USB C Hub, Surface Stick</v>
      </c>
      <c r="G246" t="str">
        <v>A</v>
      </c>
      <c r="J246">
        <v>32</v>
      </c>
      <c r="K246">
        <f>IF(L246&gt;0,L246*0.0625,)</f>
        <v>0.05</v>
      </c>
      <c r="L246">
        <v>0.8</v>
      </c>
      <c r="M246">
        <f>IF(K246&gt;0,K246*0.453592,IF(L246&gt;0,L246*0.02835,))</f>
        <v>0.0226796</v>
      </c>
      <c r="N246">
        <v>0</v>
      </c>
      <c r="O246">
        <v>0</v>
      </c>
      <c r="P246">
        <f>J246+O246+N246</f>
        <v>32</v>
      </c>
      <c r="Q246">
        <f>P246*C3</f>
        <v>40000</v>
      </c>
      <c r="R246">
        <v>0</v>
      </c>
      <c r="S246">
        <f>ROUND(SUM(Q246:R246), -2)</f>
        <v>40000</v>
      </c>
      <c r="T246">
        <f>ROUNDUP(HLOOKUP(ROUNDUP(K246,0),'배송비 조회'!A$10:U$22,7,0)*C$3,-2)</f>
        <v>9000</v>
      </c>
      <c r="U246">
        <v>0</v>
      </c>
      <c r="V246">
        <f>ROUND(IF(R246&gt;0,0,(S246+T246)*0.4),-2)</f>
        <v>19600</v>
      </c>
      <c r="W246">
        <f>ROUND(IF(R246&gt;0,0,(S246+T246)*0.5),-2)</f>
        <v>24500</v>
      </c>
      <c r="X246">
        <f>IF(R246&gt;0,SUM(S246:T246),SUM(S246:V246))</f>
        <v>68600</v>
      </c>
      <c r="Y246">
        <f>IF(R246&gt;0,SUM(S246:T246),SUM(S246:U246)+W246)</f>
        <v>73500</v>
      </c>
      <c r="Z246">
        <v>0</v>
      </c>
      <c r="AA246">
        <f>X246*0.038</f>
        <v>2606.7999999999997</v>
      </c>
      <c r="AB246">
        <f>X246*0.02</f>
        <v>1372</v>
      </c>
      <c r="AC246">
        <f>Y246*0.1</f>
        <v>7350</v>
      </c>
      <c r="AD246">
        <f>X246-AA246-AB246</f>
        <v>64621.2</v>
      </c>
      <c r="AE246">
        <f>Y246-AC246</f>
        <v>66150</v>
      </c>
      <c r="AF246">
        <f>AD246*0.01</f>
        <v>646.212</v>
      </c>
      <c r="AG246">
        <f>AD246-Q246-AF246-T246</f>
        <v>14974.987999999998</v>
      </c>
      <c r="AH246">
        <f>AE246-Q246-AF246-T246</f>
        <v>16503.788</v>
      </c>
      <c r="AI246">
        <f>AG246/X246</f>
        <v>0.2182942857142857</v>
      </c>
      <c r="AJ246">
        <f>AH246/Y246</f>
        <v>0.22454133333333334</v>
      </c>
      <c r="AW246">
        <v>4646975669</v>
      </c>
    </row>
    <row r="247">
      <c r="A247">
        <f>HYPERLINK("https://smartstore.naver.com/brickstore2019/products/4646988101",AW:AW)</f>
        <v>4646988101</v>
      </c>
      <c r="C247" t="str">
        <v>서피스고 서피스프로 충전기 케이블 액세서리 휴대용 파우치</v>
      </c>
      <c r="E247" t="str">
        <v>Surface Power Adapter Organizer, ProCase Portable Hard Carrying Cover Shockproof Travel Storage Bag Accessory Pouch for Microsoft Surface Go Laptop Pro 5 4 3 Book 2 Power Adaptor and Cords –Black</v>
      </c>
      <c r="G247" t="str">
        <f>HYPERLINK("https://www.amazon.com/Organizer-ProCase-Shockproof-Accessory-Microsoft/dp/B07F3NFF1J/ref=sr_1_42?crid=5JX2IAGBIL21&amp;keywords=surface+go+accessories&amp;qid=1566308363&amp;s=gateway&amp;sprefix=surface+go+a%2Caps%2C365&amp;sr=8-42","A")</f>
        <v>A</v>
      </c>
      <c r="J247">
        <v>10</v>
      </c>
      <c r="K247">
        <f>IF(L247&gt;0,L247*0.0625,)</f>
        <v>0.2</v>
      </c>
      <c r="L247">
        <v>3.2</v>
      </c>
      <c r="M247">
        <f>IF(K247&gt;0,K247*0.453592,IF(L247&gt;0,L247*0.02835,))</f>
        <v>0.0907184</v>
      </c>
      <c r="N247">
        <v>0</v>
      </c>
      <c r="O247">
        <v>0</v>
      </c>
      <c r="P247">
        <f>J247+O247+N247</f>
        <v>10</v>
      </c>
      <c r="Q247">
        <f>P247*C3</f>
        <v>12500</v>
      </c>
      <c r="R247">
        <v>0</v>
      </c>
      <c r="S247">
        <f>ROUND(SUM(Q247:R247), -2)</f>
        <v>12500</v>
      </c>
      <c r="T247">
        <f>ROUNDUP(HLOOKUP(ROUNDUP(K247,0),'배송비 조회'!A$10:U$22,7,0)*C$3,-2)</f>
        <v>9000</v>
      </c>
      <c r="U247">
        <v>0</v>
      </c>
      <c r="V247">
        <f>ROUND(IF(R247&gt;0,0,(S247+T247)*0.7),-2)</f>
        <v>15100</v>
      </c>
      <c r="W247">
        <f>ROUND(IF(R247&gt;0,0,(S247+T247)*0.5),-2)</f>
        <v>10800</v>
      </c>
      <c r="X247">
        <f>IF(R247&gt;0,SUM(S247:T247),SUM(S247:V247))</f>
        <v>36600</v>
      </c>
      <c r="Y247">
        <f>IF(R247&gt;0,SUM(S247:T247),SUM(S247:U247)+W247)</f>
        <v>32300</v>
      </c>
      <c r="Z247">
        <v>0</v>
      </c>
      <c r="AA247">
        <f>X247*0.038</f>
        <v>1390.8</v>
      </c>
      <c r="AB247">
        <f>X247*0.02</f>
        <v>732</v>
      </c>
      <c r="AC247">
        <f>Y247*0.1</f>
        <v>3230</v>
      </c>
      <c r="AD247">
        <f>X247-AA247-AB247</f>
        <v>34477.2</v>
      </c>
      <c r="AE247">
        <f>Y247-AC247</f>
        <v>29070</v>
      </c>
      <c r="AF247">
        <f>AD247*0.01</f>
        <v>344.772</v>
      </c>
      <c r="AG247">
        <f>AD247-Q247-AF247-T247</f>
        <v>12632.427999999996</v>
      </c>
      <c r="AH247">
        <f>AE247-Q247-AF247-T247</f>
        <v>7225.227999999999</v>
      </c>
      <c r="AI247">
        <f>AG247/X247</f>
        <v>0.3451483060109289</v>
      </c>
      <c r="AJ247">
        <f>AH247/Y247</f>
        <v>0.22369126934984518</v>
      </c>
      <c r="AW247">
        <v>4646988101</v>
      </c>
    </row>
    <row r="248">
      <c r="A248">
        <f>HYPERLINK("https://smartstore.naver.com/brickstore2019/products/4647785168",AW:AW)</f>
        <v>4647785168</v>
      </c>
      <c r="C248" t="str">
        <v>사테치 블루투스 무선 마우스 M1 맥북 아이맥 서피스프로(무료배송)</v>
      </c>
      <c r="E248" t="str">
        <v>Satechi Aluminum M1 Bluetooth Wireless Mouse with Rechargeable Type-C Port - Compatible with Mac Mini, iMac, iMac Pro, MacBook Pro/Air, Microsoft Surface Go and More</v>
      </c>
      <c r="F248" t="str">
        <v>Space Gray</v>
      </c>
      <c r="G248" t="str">
        <f>HYPERLINK("https://www.amazon.com/dp/B07NYB3HMC/ref=twister_B07P1CFF4S?_encoding=UTF8&amp;psc=1","A")</f>
        <v>A</v>
      </c>
      <c r="J248">
        <v>30</v>
      </c>
      <c r="K248">
        <f>IF(L248&gt;0,L248*0.0625,)</f>
        <v>0.3875</v>
      </c>
      <c r="L248">
        <v>6.2</v>
      </c>
      <c r="M248">
        <f>IF(K248&gt;0,K248*0.453592,IF(L248&gt;0,L248*0.02835,))</f>
        <v>0.1757669</v>
      </c>
      <c r="N248">
        <v>0</v>
      </c>
      <c r="O248">
        <v>0</v>
      </c>
      <c r="P248">
        <f>J248+O248+N248</f>
        <v>30</v>
      </c>
      <c r="Q248">
        <f>P248*C3</f>
        <v>37500</v>
      </c>
      <c r="R248">
        <v>0</v>
      </c>
      <c r="S248">
        <f>ROUND(SUM(Q248:R248), -2)</f>
        <v>37500</v>
      </c>
      <c r="T248">
        <f>ROUNDUP(HLOOKUP(ROUNDUP(K248,0),'배송비 조회'!A$10:U$22,7,0)*C$3,-2)</f>
        <v>9000</v>
      </c>
      <c r="U248">
        <v>0</v>
      </c>
      <c r="V248">
        <f>ROUND(IF(R248&gt;0,0,(S248+T248)*0.4),-2)</f>
        <v>18600</v>
      </c>
      <c r="W248">
        <f>ROUND(IF(R248&gt;0,0,(S248+T248)*0.5),-2)</f>
        <v>23300</v>
      </c>
      <c r="X248">
        <f>IF(R248&gt;0,SUM(S248:T248),SUM(S248:V248))</f>
        <v>65100</v>
      </c>
      <c r="Y248">
        <f>IF(R248&gt;0,SUM(S248:T248),SUM(S248:U248)+W248)</f>
        <v>69800</v>
      </c>
      <c r="Z248">
        <v>0</v>
      </c>
      <c r="AA248">
        <f>X248*0.038</f>
        <v>2473.7999999999997</v>
      </c>
      <c r="AB248">
        <f>X248*0.02</f>
        <v>1302</v>
      </c>
      <c r="AC248">
        <f>Y248*0.1</f>
        <v>6980</v>
      </c>
      <c r="AD248">
        <f>X248-AA248-AB248</f>
        <v>61324.2</v>
      </c>
      <c r="AE248">
        <f>Y248-AC248</f>
        <v>62820</v>
      </c>
      <c r="AF248">
        <f>AD248*0.01</f>
        <v>613.242</v>
      </c>
      <c r="AG248">
        <f>AD248-Q248-AF248-T248</f>
        <v>14210.957999999999</v>
      </c>
      <c r="AH248">
        <f>AE248-Q248-AF248-T248</f>
        <v>15706.758000000002</v>
      </c>
      <c r="AI248">
        <f>AG248/X248</f>
        <v>0.2182942857142857</v>
      </c>
      <c r="AJ248">
        <f>AH248/Y248</f>
        <v>0.22502518624641837</v>
      </c>
      <c r="AK248">
        <f>X248-X249</f>
        <v>0</v>
      </c>
      <c r="AW248">
        <v>4647785168</v>
      </c>
    </row>
    <row r="249">
      <c r="F249" t="str">
        <v>Silver</v>
      </c>
      <c r="G249" t="str">
        <f>HYPERLINK("https://www.amazon.com/dp/B07NZ79XBY/ref=twister_B07P1CFF4S?_encoding=UTF8&amp;psc=1","A")</f>
        <v>A</v>
      </c>
      <c r="J249">
        <v>30</v>
      </c>
      <c r="K249">
        <f>IF(L249&gt;0,L249*0.0625,)</f>
        <v>0.3875</v>
      </c>
      <c r="L249">
        <v>6.2</v>
      </c>
      <c r="M249">
        <f>IF(K249&gt;0,K249*0.453592,IF(L249&gt;0,L249*0.02835,))</f>
        <v>0.1757669</v>
      </c>
      <c r="N249">
        <v>0</v>
      </c>
      <c r="O249">
        <v>0</v>
      </c>
      <c r="P249">
        <f>J249+O249+N249</f>
        <v>30</v>
      </c>
      <c r="Q249">
        <f>P249*C3</f>
        <v>37500</v>
      </c>
      <c r="R249">
        <v>0</v>
      </c>
      <c r="S249">
        <f>ROUND(SUM(Q249:R249), -2)</f>
        <v>37500</v>
      </c>
      <c r="T249">
        <f>ROUNDUP(HLOOKUP(ROUNDUP(K249,0),'배송비 조회'!A$10:U$22,7,0)*C$3,-2)</f>
        <v>9000</v>
      </c>
      <c r="U249">
        <v>0</v>
      </c>
      <c r="V249">
        <f>ROUND(IF(R249&gt;0,0,(S249+T249)*0.4),-2)</f>
        <v>18600</v>
      </c>
      <c r="W249">
        <f>ROUND(IF(R249&gt;0,0,(S249+T249)*0.5),-2)</f>
        <v>23300</v>
      </c>
      <c r="X249">
        <f>IF(R249&gt;0,SUM(S249:T249),SUM(S249:V249))</f>
        <v>65100</v>
      </c>
      <c r="Y249">
        <f>IF(R249&gt;0,SUM(S249:T249),SUM(S249:U249)+W249)</f>
        <v>69800</v>
      </c>
      <c r="Z249">
        <v>0</v>
      </c>
      <c r="AA249">
        <f>X249*0.038</f>
        <v>2473.7999999999997</v>
      </c>
      <c r="AB249">
        <f>X249*0.02</f>
        <v>1302</v>
      </c>
      <c r="AC249">
        <f>Y249*0.1</f>
        <v>6980</v>
      </c>
      <c r="AD249">
        <f>X249-AA249-AB249</f>
        <v>61324.2</v>
      </c>
      <c r="AE249">
        <f>Y249-AC249</f>
        <v>62820</v>
      </c>
      <c r="AF249">
        <f>AD249*0.01</f>
        <v>613.242</v>
      </c>
      <c r="AG249">
        <f>AD249-Q249-AF249-T249</f>
        <v>14210.957999999999</v>
      </c>
      <c r="AH249">
        <f>AE249-Q249-AF249-T249</f>
        <v>15706.758000000002</v>
      </c>
      <c r="AI249">
        <f>AG249/X249</f>
        <v>0.2182942857142857</v>
      </c>
      <c r="AJ249">
        <f>AH249/Y249</f>
        <v>0.22502518624641837</v>
      </c>
    </row>
    <row r="250">
      <c r="F250" t="str">
        <v>Gold</v>
      </c>
      <c r="G250" t="str">
        <f>HYPERLINK("https://www.amazon.com/dp/B07NZ6XQGQ/ref=twister_B07P1CFF4S?_encoding=UTF8&amp;th=1","A")</f>
        <v>A</v>
      </c>
      <c r="J250">
        <v>30</v>
      </c>
      <c r="K250">
        <f>IF(L250&gt;0,L250*0.0625,)</f>
        <v>0.3875</v>
      </c>
      <c r="L250">
        <v>6.2</v>
      </c>
      <c r="M250">
        <f>IF(K250&gt;0,K250*0.453592,IF(L250&gt;0,L250*0.02835,))</f>
        <v>0.1757669</v>
      </c>
      <c r="N250">
        <v>0</v>
      </c>
      <c r="O250">
        <v>0</v>
      </c>
      <c r="P250">
        <f>J250+O250+N250</f>
        <v>30</v>
      </c>
      <c r="Q250">
        <f>P250*C3</f>
        <v>37500</v>
      </c>
      <c r="R250">
        <v>0</v>
      </c>
      <c r="S250">
        <f>ROUND(SUM(Q250:R250), -2)</f>
        <v>37500</v>
      </c>
      <c r="T250">
        <f>ROUNDUP(HLOOKUP(ROUNDUP(K250,0),'배송비 조회'!A$10:U$22,7,0)*C$3,-2)</f>
        <v>9000</v>
      </c>
      <c r="U250">
        <v>0</v>
      </c>
      <c r="V250">
        <f>ROUND(IF(R250&gt;0,0,(S250+T250)*0.4),-2)</f>
        <v>18600</v>
      </c>
      <c r="W250">
        <f>ROUND(IF(R250&gt;0,0,(S250+T250)*0.5),-2)</f>
        <v>23300</v>
      </c>
      <c r="X250">
        <f>IF(R250&gt;0,SUM(S250:T250),SUM(S250:V250))</f>
        <v>65100</v>
      </c>
      <c r="Y250">
        <f>IF(R250&gt;0,SUM(S250:T250),SUM(S250:U250)+W250)</f>
        <v>69800</v>
      </c>
      <c r="Z250">
        <v>0</v>
      </c>
      <c r="AA250">
        <f>X250*0.038</f>
        <v>2473.7999999999997</v>
      </c>
      <c r="AB250">
        <f>X250*0.02</f>
        <v>1302</v>
      </c>
      <c r="AC250">
        <f>Y250*0.1</f>
        <v>6980</v>
      </c>
      <c r="AD250">
        <f>X250-AA250-AB250</f>
        <v>61324.2</v>
      </c>
      <c r="AE250">
        <f>Y250-AC250</f>
        <v>62820</v>
      </c>
      <c r="AF250">
        <f>AD250*0.01</f>
        <v>613.242</v>
      </c>
      <c r="AG250">
        <f>AD250-Q250-AF250-T250</f>
        <v>14210.957999999999</v>
      </c>
      <c r="AH250">
        <f>AE250-Q250-AF250-T250</f>
        <v>15706.758000000002</v>
      </c>
      <c r="AI250">
        <f>AG250/X250</f>
        <v>0.2182942857142857</v>
      </c>
      <c r="AJ250">
        <f>AH250/Y250</f>
        <v>0.22502518624641837</v>
      </c>
    </row>
    <row r="251">
      <c r="F251" t="str">
        <v>Rose Gold</v>
      </c>
      <c r="G251" t="str">
        <f>HYPERLINK("https://www.amazon.com/dp/B07P1C6QNF/ref=twister_B07P1CFF4S?_encoding=UTF8&amp;th=1","A")</f>
        <v>A</v>
      </c>
      <c r="J251">
        <v>30</v>
      </c>
      <c r="K251">
        <f>IF(L251&gt;0,L251*0.0625,)</f>
        <v>0.3875</v>
      </c>
      <c r="L251">
        <v>6.2</v>
      </c>
      <c r="M251">
        <f>IF(K251&gt;0,K251*0.453592,IF(L251&gt;0,L251*0.02835,))</f>
        <v>0.1757669</v>
      </c>
      <c r="N251">
        <v>0</v>
      </c>
      <c r="O251">
        <v>0</v>
      </c>
      <c r="P251">
        <f>J251+O251+N251</f>
        <v>30</v>
      </c>
      <c r="Q251">
        <f>P251*C3</f>
        <v>37500</v>
      </c>
      <c r="R251">
        <v>0</v>
      </c>
      <c r="S251">
        <f>ROUND(SUM(Q251:R251), -2)</f>
        <v>37500</v>
      </c>
      <c r="T251">
        <f>ROUNDUP(HLOOKUP(ROUNDUP(K251,0),'배송비 조회'!A$10:U$22,7,0)*C$3,-2)</f>
        <v>9000</v>
      </c>
      <c r="U251">
        <v>0</v>
      </c>
      <c r="V251">
        <f>ROUND(IF(R251&gt;0,0,(S251+T251)*0.4),-2)</f>
        <v>18600</v>
      </c>
      <c r="W251">
        <f>ROUND(IF(R251&gt;0,0,(S251+T251)*0.5),-2)</f>
        <v>23300</v>
      </c>
      <c r="X251">
        <f>IF(R251&gt;0,SUM(S251:T251),SUM(S251:V251))</f>
        <v>65100</v>
      </c>
      <c r="Y251">
        <f>IF(R251&gt;0,SUM(S251:T251),SUM(S251:U251)+W251)</f>
        <v>69800</v>
      </c>
      <c r="Z251">
        <v>0</v>
      </c>
      <c r="AA251">
        <f>X251*0.038</f>
        <v>2473.7999999999997</v>
      </c>
      <c r="AB251">
        <f>X251*0.02</f>
        <v>1302</v>
      </c>
      <c r="AC251">
        <f>Y251*0.1</f>
        <v>6980</v>
      </c>
      <c r="AD251">
        <f>X251-AA251-AB251</f>
        <v>61324.2</v>
      </c>
      <c r="AE251">
        <f>Y251-AC251</f>
        <v>62820</v>
      </c>
      <c r="AF251">
        <f>AD251*0.01</f>
        <v>613.242</v>
      </c>
      <c r="AG251">
        <f>AD251-Q251-AF251-T251</f>
        <v>14210.957999999999</v>
      </c>
      <c r="AH251">
        <f>AE251-Q251-AF251-T251</f>
        <v>15706.758000000002</v>
      </c>
      <c r="AI251">
        <f>AG251/X251</f>
        <v>0.2182942857142857</v>
      </c>
      <c r="AJ251">
        <f>AH251/Y251</f>
        <v>0.22502518624641837</v>
      </c>
    </row>
    <row r="252">
      <c r="A252">
        <f>HYPERLINK("https://smartstore.naver.com/brickstore2019/products/4648581145",AW:AW)</f>
        <v>4648581145</v>
      </c>
      <c r="C252" t="str">
        <v>위딩스 Withings 스틸 HR 하이브리드 스마트워치 HWA03-36 (무료배송)</v>
      </c>
      <c r="E252" t="str">
        <v>Withings | Steel HR Hybrid Smartwatch</v>
      </c>
      <c r="F252" t="str">
        <v>White</v>
      </c>
      <c r="G252" t="str">
        <f>HYPERLINK("https://www.amazon.com/Nokia-Steel-Hybrid-Smartwatch-Resistant/dp/B0711LKZKX?ref_=bl_dp_s_web_2603806011&amp;th=1","A")</f>
        <v>A</v>
      </c>
      <c r="J252">
        <v>180</v>
      </c>
      <c r="K252">
        <f>IF(L252&gt;0,L252*0.0625,)</f>
        <v>0.5125</v>
      </c>
      <c r="L252">
        <v>8.2</v>
      </c>
      <c r="M252">
        <f>IF(K252&gt;0,K252*0.453592,IF(L252&gt;0,L252*0.02835,))</f>
        <v>0.23246589999999998</v>
      </c>
      <c r="N252">
        <v>0</v>
      </c>
      <c r="O252">
        <v>0</v>
      </c>
      <c r="P252">
        <f>J252+O252+N252</f>
        <v>180</v>
      </c>
      <c r="Q252">
        <f>P252*C$3</f>
        <v>225000</v>
      </c>
      <c r="R252">
        <v>0</v>
      </c>
      <c r="S252">
        <f>ROUND(SUM(Q252:R252), -2)</f>
        <v>225000</v>
      </c>
      <c r="T252">
        <f>ROUNDUP(HLOOKUP(ROUNDUP(K252,0),'배송비 조회'!A$10:U$22,7,0)*C$3,-2)</f>
        <v>9000</v>
      </c>
      <c r="U252">
        <v>0</v>
      </c>
      <c r="V252">
        <f>ROUND(IF(R252&gt;0,0,(S252+T252)*0.3),-2)</f>
        <v>70200</v>
      </c>
      <c r="W252">
        <f>ROUND(IF(R252&gt;0,0,(S252+T252)*0.5),-2)</f>
        <v>117000</v>
      </c>
      <c r="X252">
        <f>IF(R252&gt;0,SUM(S252:T252),SUM(S252:V252))</f>
        <v>304200</v>
      </c>
      <c r="Y252">
        <f>IF(R252&gt;0,SUM(S252:T252),SUM(S252:U252)+W252)</f>
        <v>351000</v>
      </c>
      <c r="Z252">
        <v>0</v>
      </c>
      <c r="AA252">
        <f>X252*0.038</f>
        <v>11559.6</v>
      </c>
      <c r="AB252">
        <f>X252*0.02</f>
        <v>6084</v>
      </c>
      <c r="AC252">
        <f>Y252*0.1</f>
        <v>35100</v>
      </c>
      <c r="AD252">
        <f>X252-AA252-AB252</f>
        <v>286556.4</v>
      </c>
      <c r="AE252">
        <f>Y252-AC252</f>
        <v>315900</v>
      </c>
      <c r="AF252">
        <f>AD252*0.01</f>
        <v>2865.5640000000003</v>
      </c>
      <c r="AG252">
        <f>AD252-Q252-AF252-T252</f>
        <v>49690.836000000025</v>
      </c>
      <c r="AH252">
        <f>AE252-Q252-AF252-T252</f>
        <v>79034.436</v>
      </c>
      <c r="AI252">
        <f>AG252/X252</f>
        <v>0.16334923076923086</v>
      </c>
      <c r="AJ252">
        <f>AH252/Y252</f>
        <v>0.22516933333333333</v>
      </c>
      <c r="AW252">
        <v>4648581145</v>
      </c>
    </row>
    <row r="253">
      <c r="F253" t="str">
        <v>Black</v>
      </c>
      <c r="G253" t="str">
        <f>HYPERLINK("https://www.amazon.com/Nokia-Steel-Hybrid-Smartwatch-Resistant/dp/B071NVR2QQ?ref_=bl_dp_s_web_2603806011&amp;th=1","A")</f>
        <v>A</v>
      </c>
      <c r="J253">
        <v>180</v>
      </c>
      <c r="K253">
        <f>IF(L253&gt;0,L253*0.0625,)</f>
        <v>0.5125</v>
      </c>
      <c r="L253">
        <v>8.2</v>
      </c>
      <c r="M253">
        <f>IF(K253&gt;0,K253*0.453592,IF(L253&gt;0,L253*0.02835,))</f>
        <v>0.23246589999999998</v>
      </c>
      <c r="N253">
        <v>0</v>
      </c>
      <c r="O253">
        <v>0</v>
      </c>
      <c r="P253">
        <f>J253+O253+N253</f>
        <v>180</v>
      </c>
      <c r="Q253">
        <f>P253*C$3</f>
        <v>225000</v>
      </c>
      <c r="R253">
        <v>0</v>
      </c>
      <c r="S253">
        <f>ROUND(SUM(Q253:R253), -2)</f>
        <v>225000</v>
      </c>
      <c r="T253">
        <f>ROUNDUP(HLOOKUP(ROUNDUP(K253,0),'배송비 조회'!A$10:U$22,7,0)*C$3,-2)</f>
        <v>9000</v>
      </c>
      <c r="U253">
        <v>0</v>
      </c>
      <c r="V253">
        <f>ROUND(IF(R253&gt;0,0,(S253+T253)*0.3),-2)</f>
        <v>70200</v>
      </c>
      <c r="W253">
        <f>ROUND(IF(R253&gt;0,0,(S253+T253)*0.5),-2)</f>
        <v>117000</v>
      </c>
      <c r="X253">
        <f>IF(R253&gt;0,SUM(S253:T253),SUM(S253:V253))</f>
        <v>304200</v>
      </c>
      <c r="Y253">
        <f>IF(R253&gt;0,SUM(S253:T253),SUM(S253:U253)+W253)</f>
        <v>351000</v>
      </c>
      <c r="Z253">
        <v>0</v>
      </c>
      <c r="AA253">
        <f>X253*0.038</f>
        <v>11559.6</v>
      </c>
      <c r="AB253">
        <f>X253*0.02</f>
        <v>6084</v>
      </c>
      <c r="AC253">
        <f>Y253*0.1</f>
        <v>35100</v>
      </c>
      <c r="AD253">
        <f>X253-AA253-AB253</f>
        <v>286556.4</v>
      </c>
      <c r="AE253">
        <f>Y253-AC253</f>
        <v>315900</v>
      </c>
      <c r="AF253">
        <f>AD253*0.01</f>
        <v>2865.5640000000003</v>
      </c>
      <c r="AG253">
        <f>AD253-Q253-AF253-T253</f>
        <v>49690.836000000025</v>
      </c>
      <c r="AH253">
        <f>AE253-Q253-AF253-T253</f>
        <v>79034.436</v>
      </c>
      <c r="AI253">
        <f>AG253/X253</f>
        <v>0.16334923076923086</v>
      </c>
      <c r="AJ253">
        <f>AH253/Y253</f>
        <v>0.22516933333333333</v>
      </c>
    </row>
    <row r="254">
      <c r="A254">
        <f>HYPERLINK("https://smartstore.naver.com/brickstore2019/products/4648417729",AW:AW)</f>
        <v>4648417729</v>
      </c>
      <c r="C254" t="str">
        <v>사테치 친환경 가죽 데스크매트 마우스패드</v>
      </c>
      <c r="E254" t="str">
        <v xml:space="preserve">Satechi Eco-Leather Deskmate 23” x 12.2” - Desk Blotter &amp; Protector - Safe for Lacquered &amp; Varnished Wooden Surfaces </v>
      </c>
      <c r="F254" t="str">
        <v>Brown</v>
      </c>
      <c r="G254" t="str">
        <f>HYPERLINK("https://www.amazon.com/dp/B07RCD3P8M/ref=twister_B07R6YHM9M?_encoding=UTF8&amp;psc=1","A")</f>
        <v>A</v>
      </c>
      <c r="J254">
        <v>30</v>
      </c>
      <c r="K254">
        <v>1.7</v>
      </c>
      <c r="L254">
        <v>3.2</v>
      </c>
      <c r="M254">
        <f>IF(K254&gt;0,K254*0.453592,IF(L254&gt;0,L254*0.02835,))</f>
        <v>0.7711064</v>
      </c>
      <c r="N254">
        <v>0</v>
      </c>
      <c r="O254">
        <v>0</v>
      </c>
      <c r="P254">
        <f>J254+O254+N254</f>
        <v>30</v>
      </c>
      <c r="Q254">
        <f>P254*C3</f>
        <v>37500</v>
      </c>
      <c r="R254">
        <v>0</v>
      </c>
      <c r="S254">
        <f>ROUND(SUM(Q254:R254), -2)</f>
        <v>37500</v>
      </c>
      <c r="T254">
        <f>ROUNDUP(HLOOKUP(ROUNDUP(K254,0),'배송비 조회'!A$10:U$22,7,0)*C$3,-2)</f>
        <v>11200</v>
      </c>
      <c r="U254">
        <v>0</v>
      </c>
      <c r="V254">
        <f>ROUND(IF(R254&gt;0,0,(S254+T254)*0.3),-2)</f>
        <v>14600</v>
      </c>
      <c r="W254">
        <f>ROUND(IF(R254&gt;0,0,(S254+T254)*0.5),-2)</f>
        <v>24400</v>
      </c>
      <c r="X254">
        <f>IF(R254&gt;0,SUM(S254:T254),SUM(S254:V254))</f>
        <v>63300</v>
      </c>
      <c r="Y254">
        <f>IF(R254&gt;0,SUM(S254:T254),SUM(S254:U254)+W254)</f>
        <v>73100</v>
      </c>
      <c r="Z254">
        <v>0</v>
      </c>
      <c r="AA254">
        <f>X254*0.038</f>
        <v>2405.4</v>
      </c>
      <c r="AB254">
        <f>X254*0.02</f>
        <v>1266</v>
      </c>
      <c r="AC254">
        <f>Y254*0.1</f>
        <v>7310</v>
      </c>
      <c r="AD254">
        <f>X254-AA254-AB254</f>
        <v>59628.6</v>
      </c>
      <c r="AE254">
        <f>Y254-AC254</f>
        <v>65790</v>
      </c>
      <c r="AF254">
        <f>AD254*0.01</f>
        <v>596.286</v>
      </c>
      <c r="AG254">
        <f>AD254-Q254-AF254-T254</f>
        <v>10332.313999999998</v>
      </c>
      <c r="AH254">
        <f>AE254-Q254-AF254-T254</f>
        <v>16493.714</v>
      </c>
      <c r="AI254">
        <f>AG254/X254</f>
        <v>0.16322770932069508</v>
      </c>
      <c r="AJ254">
        <f>AH254/Y254</f>
        <v>0.2256322024623803</v>
      </c>
      <c r="AW254">
        <v>4648417729</v>
      </c>
    </row>
    <row r="255">
      <c r="F255" t="str">
        <v>Blue</v>
      </c>
      <c r="G255" t="str">
        <f>HYPERLINK("https://www.amazon.com/dp/B07RCBZGV4/ref=twister_B07R6YHM9M?_encoding=UTF8&amp;th=1","A")</f>
        <v>A</v>
      </c>
      <c r="J255">
        <v>30</v>
      </c>
      <c r="K255">
        <v>1.7</v>
      </c>
      <c r="L255">
        <v>3.2</v>
      </c>
      <c r="M255">
        <f>IF(K255&gt;0,K255*0.453592,IF(L255&gt;0,L255*0.02835,))</f>
        <v>0.7711064</v>
      </c>
      <c r="N255">
        <v>0</v>
      </c>
      <c r="O255">
        <v>0</v>
      </c>
      <c r="P255">
        <f>J255+O255+N255</f>
        <v>30</v>
      </c>
      <c r="Q255">
        <f>P255*C3</f>
        <v>37500</v>
      </c>
      <c r="R255">
        <v>0</v>
      </c>
      <c r="S255">
        <f>ROUND(SUM(Q255:R255), -2)</f>
        <v>37500</v>
      </c>
      <c r="T255">
        <f>ROUNDUP(HLOOKUP(ROUNDUP(K255,0),'배송비 조회'!A$10:U$22,7,0)*C$3,-2)</f>
        <v>11200</v>
      </c>
      <c r="U255">
        <v>0</v>
      </c>
      <c r="V255">
        <f>ROUND(IF(R255&gt;0,0,(S255+T255)*0.3),-2)</f>
        <v>14600</v>
      </c>
      <c r="W255">
        <f>ROUND(IF(R255&gt;0,0,(S255+T255)*0.5),-2)</f>
        <v>24400</v>
      </c>
      <c r="X255">
        <f>IF(R255&gt;0,SUM(S255:T255),SUM(S255:V255))</f>
        <v>63300</v>
      </c>
      <c r="Y255">
        <f>IF(R255&gt;0,SUM(S255:T255),SUM(S255:U255)+W255)</f>
        <v>73100</v>
      </c>
      <c r="Z255">
        <v>0</v>
      </c>
      <c r="AA255">
        <f>X255*0.038</f>
        <v>2405.4</v>
      </c>
      <c r="AB255">
        <f>X255*0.02</f>
        <v>1266</v>
      </c>
      <c r="AC255">
        <f>Y255*0.1</f>
        <v>7310</v>
      </c>
      <c r="AD255">
        <f>X255-AA255-AB255</f>
        <v>59628.6</v>
      </c>
      <c r="AE255">
        <f>Y255-AC255</f>
        <v>65790</v>
      </c>
      <c r="AF255">
        <f>AD255*0.01</f>
        <v>596.286</v>
      </c>
      <c r="AG255">
        <f>AD255-Q255-AF255-T255</f>
        <v>10332.313999999998</v>
      </c>
      <c r="AH255">
        <f>AE255-Q255-AF255-T255</f>
        <v>16493.714</v>
      </c>
      <c r="AI255">
        <f>AG255/X255</f>
        <v>0.16322770932069508</v>
      </c>
      <c r="AJ255">
        <f>AH255/Y255</f>
        <v>0.2256322024623803</v>
      </c>
    </row>
    <row r="256">
      <c r="F256" t="str">
        <v>Black</v>
      </c>
      <c r="G256" t="str">
        <f>HYPERLINK("https://www.amazon.com/Satechi-Eco-Leather-Deskmate-12-2-Protector/dp/B07R967BLQ?th=1","A")</f>
        <v>A</v>
      </c>
      <c r="H256" t="str">
        <v>품절</v>
      </c>
      <c r="J256">
        <v>35</v>
      </c>
      <c r="K256">
        <v>1.7</v>
      </c>
      <c r="L256">
        <v>3.2</v>
      </c>
      <c r="M256">
        <f>IF(K256&gt;0,K256*0.453592,IF(L256&gt;0,L256*0.02835,))</f>
        <v>0.7711064</v>
      </c>
      <c r="N256">
        <v>0</v>
      </c>
      <c r="O256">
        <v>0</v>
      </c>
      <c r="P256">
        <f>J256+O256+N256</f>
        <v>35</v>
      </c>
      <c r="Q256">
        <f>P256*C3</f>
        <v>43750</v>
      </c>
      <c r="R256">
        <v>0</v>
      </c>
      <c r="S256">
        <f>ROUND(SUM(Q256:R256), -2)</f>
        <v>43800</v>
      </c>
      <c r="T256">
        <f>ROUNDUP(HLOOKUP(ROUNDUP(K256,0),'배송비 조회'!A$10:U$22,7,0)*C$3,-2)</f>
        <v>11200</v>
      </c>
      <c r="U256">
        <v>0</v>
      </c>
      <c r="V256">
        <f>ROUND(IF(R256&gt;0,0,(S256+T256)*0.3),-2)</f>
        <v>16500</v>
      </c>
      <c r="W256">
        <f>ROUND(IF(R256&gt;0,0,(S256+T256)*0.5),-2)</f>
        <v>27500</v>
      </c>
      <c r="X256">
        <f>IF(R256&gt;0,SUM(S256:T256),SUM(S256:V256))</f>
        <v>71500</v>
      </c>
      <c r="Y256">
        <f>IF(R256&gt;0,SUM(S256:T256),SUM(S256:U256)+W256)</f>
        <v>82500</v>
      </c>
      <c r="Z256">
        <v>0</v>
      </c>
      <c r="AA256">
        <f>X256*0.038</f>
        <v>2717</v>
      </c>
      <c r="AB256">
        <f>X256*0.02</f>
        <v>1430</v>
      </c>
      <c r="AC256">
        <f>Y256*0.1</f>
        <v>8250</v>
      </c>
      <c r="AD256">
        <f>X256-AA256-AB256</f>
        <v>67353</v>
      </c>
      <c r="AE256">
        <f>Y256-AC256</f>
        <v>74250</v>
      </c>
      <c r="AF256">
        <f>AD256*0.01</f>
        <v>673.53</v>
      </c>
      <c r="AG256">
        <f>AD256-Q256-AF256-T256</f>
        <v>11729.470000000001</v>
      </c>
      <c r="AH256">
        <f>AE256-Q256-AF256-T256</f>
        <v>18626.47</v>
      </c>
      <c r="AI256">
        <f>AG256/X256</f>
        <v>0.1640485314685315</v>
      </c>
      <c r="AJ256">
        <f>AH256/Y256</f>
        <v>0.22577539393939394</v>
      </c>
    </row>
    <row r="257">
      <c r="A257">
        <f>HYPERLINK("https://smartstore.naver.com/brickstore2019/products/4650071282",AW:AW)</f>
        <v>4650071282</v>
      </c>
      <c r="C257" t="str">
        <v>위딩스 Withings 무브 하이브리드 스마트워치 (무료배송)</v>
      </c>
      <c r="E257" t="str">
        <v>Withings Move Hybrid Smartwatch - Activity Tracker with Connected GPS, Sleep Monitor, Water Resistant with 18-month battery life</v>
      </c>
      <c r="F257" t="str">
        <v>Black/Mint</v>
      </c>
      <c r="G257" t="str">
        <f>HYPERLINK("https://www.amazon.com/Withings-Move-Activity-Tracking-Watch/dp/B07NMRDKWF/ref=sr_1_12?keywords=withings&amp;qid=1566827116&amp;s=gateway&amp;sr=8-12&amp;th=1","A")</f>
        <v>A</v>
      </c>
      <c r="J257">
        <v>70</v>
      </c>
      <c r="K257">
        <f>IF(L257&gt;0,L257*0.0625,)</f>
        <v>0.13125</v>
      </c>
      <c r="L257">
        <v>2.1</v>
      </c>
      <c r="M257">
        <f>IF(K257&gt;0,K257*0.453592,IF(L257&gt;0,L257*0.02835,))</f>
        <v>0.05953395</v>
      </c>
      <c r="N257">
        <v>0</v>
      </c>
      <c r="O257">
        <v>0</v>
      </c>
      <c r="P257">
        <f>J257+O257+N257</f>
        <v>70</v>
      </c>
      <c r="Q257">
        <f>P257*C$3</f>
        <v>87500</v>
      </c>
      <c r="R257">
        <v>0</v>
      </c>
      <c r="S257">
        <f>ROUND(SUM(Q257:R257), -2)</f>
        <v>87500</v>
      </c>
      <c r="T257">
        <f>ROUNDUP(HLOOKUP(ROUNDUP(K257,0),'배송비 조회'!A$10:U$22,7,0)*C$3,-2)</f>
        <v>9000</v>
      </c>
      <c r="U257">
        <v>0</v>
      </c>
      <c r="V257">
        <f>ROUND(IF(R257&gt;0,0,(S257+T257)*0.3),-2)</f>
        <v>29000</v>
      </c>
      <c r="W257">
        <f>ROUND(IF(R257&gt;0,0,(S257+T257)*0.5),-2)</f>
        <v>48300</v>
      </c>
      <c r="X257">
        <f>IF(R257&gt;0,SUM(S257:T257),SUM(S257:V257))</f>
        <v>125500</v>
      </c>
      <c r="Y257">
        <f>IF(R257&gt;0,SUM(S257:T257),SUM(S257:U257)+W257)</f>
        <v>144800</v>
      </c>
      <c r="Z257">
        <v>0</v>
      </c>
      <c r="AA257">
        <f>X257*0.038</f>
        <v>4769</v>
      </c>
      <c r="AB257">
        <f>X257*0.02</f>
        <v>2510</v>
      </c>
      <c r="AC257">
        <f>Y257*0.1</f>
        <v>14480</v>
      </c>
      <c r="AD257">
        <f>X257-AA257-AB257</f>
        <v>118221</v>
      </c>
      <c r="AE257">
        <f>Y257-AC257</f>
        <v>130320</v>
      </c>
      <c r="AF257">
        <f>AD257*0.01</f>
        <v>1182.21</v>
      </c>
      <c r="AG257">
        <f>AD257-Q257-AF257-T257</f>
        <v>20538.79</v>
      </c>
      <c r="AH257">
        <f>AE257-Q257-AF257-T257</f>
        <v>32637.79</v>
      </c>
      <c r="AI257">
        <f>AG257/X257</f>
        <v>0.1636556972111554</v>
      </c>
      <c r="AJ257">
        <f>AH257/Y257</f>
        <v>0.22539910220994475</v>
      </c>
      <c r="AW257">
        <v>4650071282</v>
      </c>
    </row>
    <row r="258">
      <c r="F258" t="str">
        <v>Black/Yellow</v>
      </c>
      <c r="G258" t="str">
        <f>HYPERLINK("https://www.amazon.com/Withings-Move-Activity-Tracking-Watch/dp/B07L7168W9/ref=sr_1_12?keywords=withings&amp;qid=1566827116&amp;s=gateway&amp;sr=8-12&amp;th=1","A")</f>
        <v>A</v>
      </c>
      <c r="J258">
        <v>70</v>
      </c>
      <c r="K258">
        <f>IF(L258&gt;0,L258*0.0625,)</f>
        <v>0.13125</v>
      </c>
      <c r="L258">
        <v>2.1</v>
      </c>
      <c r="M258">
        <f>IF(K258&gt;0,K258*0.453592,IF(L258&gt;0,L258*0.02835,))</f>
        <v>0.05953395</v>
      </c>
      <c r="N258">
        <v>0</v>
      </c>
      <c r="O258">
        <v>0</v>
      </c>
      <c r="P258">
        <f>J258+O258+N258</f>
        <v>70</v>
      </c>
      <c r="Q258">
        <f>P258*C$3</f>
        <v>87500</v>
      </c>
      <c r="R258">
        <v>0</v>
      </c>
      <c r="S258">
        <f>ROUND(SUM(Q258:R258), -2)</f>
        <v>87500</v>
      </c>
      <c r="T258">
        <f>ROUNDUP(HLOOKUP(ROUNDUP(K258,0),'배송비 조회'!A$10:U$22,7,0)*C$3,-2)</f>
        <v>9000</v>
      </c>
      <c r="U258">
        <v>0</v>
      </c>
      <c r="V258">
        <f>ROUND(IF(R258&gt;0,0,(S258+T258)*0.3),-2)</f>
        <v>29000</v>
      </c>
      <c r="W258">
        <f>ROUND(IF(R258&gt;0,0,(S258+T258)*0.5),-2)</f>
        <v>48300</v>
      </c>
      <c r="X258">
        <f>IF(R258&gt;0,SUM(S258:T258),SUM(S258:V258))</f>
        <v>125500</v>
      </c>
      <c r="Y258">
        <f>IF(R258&gt;0,SUM(S258:T258),SUM(S258:U258)+W258)</f>
        <v>144800</v>
      </c>
      <c r="Z258">
        <v>0</v>
      </c>
      <c r="AA258">
        <f>X258*0.038</f>
        <v>4769</v>
      </c>
      <c r="AB258">
        <f>X258*0.02</f>
        <v>2510</v>
      </c>
      <c r="AC258">
        <f>Y258*0.1</f>
        <v>14480</v>
      </c>
      <c r="AD258">
        <f>X258-AA258-AB258</f>
        <v>118221</v>
      </c>
      <c r="AE258">
        <f>Y258-AC258</f>
        <v>130320</v>
      </c>
      <c r="AF258">
        <f>AD258*0.01</f>
        <v>1182.21</v>
      </c>
      <c r="AG258">
        <f>AD258-Q258-AF258-T258</f>
        <v>20538.79</v>
      </c>
      <c r="AH258">
        <f>AE258-Q258-AF258-T258</f>
        <v>32637.79</v>
      </c>
      <c r="AI258">
        <f>AG258/X258</f>
        <v>0.1636556972111554</v>
      </c>
      <c r="AJ258">
        <f>AH258/Y258</f>
        <v>0.22539910220994475</v>
      </c>
    </row>
    <row r="259">
      <c r="F259" t="str">
        <v>White/Blue</v>
      </c>
      <c r="G259" t="str">
        <f>HYPERLINK("https://www.amazon.com/Withings-Move-Activity-Tracking-Watch/dp/B07L6ZXXNK/ref=sr_1_12?keywords=withings&amp;qid=1566827116&amp;s=gateway&amp;sr=8-12&amp;th=1","A")</f>
        <v>A</v>
      </c>
      <c r="J259">
        <v>70</v>
      </c>
      <c r="K259">
        <f>IF(L259&gt;0,L259*0.0625,)</f>
        <v>0.13125</v>
      </c>
      <c r="L259">
        <v>2.1</v>
      </c>
      <c r="M259">
        <f>IF(K259&gt;0,K259*0.453592,IF(L259&gt;0,L259*0.02835,))</f>
        <v>0.05953395</v>
      </c>
      <c r="N259">
        <v>0</v>
      </c>
      <c r="O259">
        <v>0</v>
      </c>
      <c r="P259">
        <f>J259+O259+N259</f>
        <v>70</v>
      </c>
      <c r="Q259">
        <f>P259*C$3</f>
        <v>87500</v>
      </c>
      <c r="R259">
        <v>0</v>
      </c>
      <c r="S259">
        <f>ROUND(SUM(Q259:R259), -2)</f>
        <v>87500</v>
      </c>
      <c r="T259">
        <f>ROUNDUP(HLOOKUP(ROUNDUP(K259,0),'배송비 조회'!A$10:U$22,7,0)*C$3,-2)</f>
        <v>9000</v>
      </c>
      <c r="U259">
        <v>0</v>
      </c>
      <c r="V259">
        <f>ROUND(IF(R259&gt;0,0,(S259+T259)*0.3),-2)</f>
        <v>29000</v>
      </c>
      <c r="W259">
        <f>ROUND(IF(R259&gt;0,0,(S259+T259)*0.5),-2)</f>
        <v>48300</v>
      </c>
      <c r="X259">
        <f>IF(R259&gt;0,SUM(S259:T259),SUM(S259:V259))</f>
        <v>125500</v>
      </c>
      <c r="Y259">
        <f>IF(R259&gt;0,SUM(S259:T259),SUM(S259:U259)+W259)</f>
        <v>144800</v>
      </c>
      <c r="Z259">
        <v>0</v>
      </c>
      <c r="AA259">
        <f>X259*0.038</f>
        <v>4769</v>
      </c>
      <c r="AB259">
        <f>X259*0.02</f>
        <v>2510</v>
      </c>
      <c r="AC259">
        <f>Y259*0.1</f>
        <v>14480</v>
      </c>
      <c r="AD259">
        <f>X259-AA259-AB259</f>
        <v>118221</v>
      </c>
      <c r="AE259">
        <f>Y259-AC259</f>
        <v>130320</v>
      </c>
      <c r="AF259">
        <f>AD259*0.01</f>
        <v>1182.21</v>
      </c>
      <c r="AG259">
        <f>AD259-Q259-AF259-T259</f>
        <v>20538.79</v>
      </c>
      <c r="AH259">
        <f>AE259-Q259-AF259-T259</f>
        <v>32637.79</v>
      </c>
      <c r="AI259">
        <f>AG259/X259</f>
        <v>0.1636556972111554</v>
      </c>
      <c r="AJ259">
        <f>AH259/Y259</f>
        <v>0.22539910220994475</v>
      </c>
    </row>
    <row r="260">
      <c r="F260" t="str">
        <v>White,Black/Mint</v>
      </c>
      <c r="G260" t="str">
        <f>HYPERLINK("https://www.amazon.com/Withings-Move-Activity-Tracking-Watch/dp/B07PVKR6QX/ref=sr_1_12?keywords=withings&amp;qid=1566827116&amp;s=gateway&amp;sr=8-12&amp;th=1","A")</f>
        <v>A</v>
      </c>
      <c r="J260">
        <v>70</v>
      </c>
      <c r="K260">
        <f>IF(L260&gt;0,L260*0.0625,)</f>
        <v>0.13125</v>
      </c>
      <c r="L260">
        <v>2.1</v>
      </c>
      <c r="M260">
        <f>IF(K260&gt;0,K260*0.453592,IF(L260&gt;0,L260*0.02835,))</f>
        <v>0.05953395</v>
      </c>
      <c r="N260">
        <v>0</v>
      </c>
      <c r="O260">
        <v>0</v>
      </c>
      <c r="P260">
        <f>J260+O260+N260</f>
        <v>70</v>
      </c>
      <c r="Q260">
        <f>P260*C$3</f>
        <v>87500</v>
      </c>
      <c r="R260">
        <v>0</v>
      </c>
      <c r="S260">
        <f>ROUND(SUM(Q260:R260), -2)</f>
        <v>87500</v>
      </c>
      <c r="T260">
        <f>ROUNDUP(HLOOKUP(ROUNDUP(K260,0),'배송비 조회'!A$10:U$22,7,0)*C$3,-2)</f>
        <v>9000</v>
      </c>
      <c r="U260">
        <v>0</v>
      </c>
      <c r="V260">
        <f>ROUND(IF(R260&gt;0,0,(S260+T260)*0.3),-2)</f>
        <v>29000</v>
      </c>
      <c r="W260">
        <f>ROUND(IF(R260&gt;0,0,(S260+T260)*0.5),-2)</f>
        <v>48300</v>
      </c>
      <c r="X260">
        <f>IF(R260&gt;0,SUM(S260:T260),SUM(S260:V260))</f>
        <v>125500</v>
      </c>
      <c r="Y260">
        <f>IF(R260&gt;0,SUM(S260:T260),SUM(S260:U260)+W260)</f>
        <v>144800</v>
      </c>
      <c r="Z260">
        <v>0</v>
      </c>
      <c r="AA260">
        <f>X260*0.038</f>
        <v>4769</v>
      </c>
      <c r="AB260">
        <f>X260*0.02</f>
        <v>2510</v>
      </c>
      <c r="AC260">
        <f>Y260*0.1</f>
        <v>14480</v>
      </c>
      <c r="AD260">
        <f>X260-AA260-AB260</f>
        <v>118221</v>
      </c>
      <c r="AE260">
        <f>Y260-AC260</f>
        <v>130320</v>
      </c>
      <c r="AF260">
        <f>AD260*0.01</f>
        <v>1182.21</v>
      </c>
      <c r="AG260">
        <f>AD260-Q260-AF260-T260</f>
        <v>20538.79</v>
      </c>
      <c r="AH260">
        <f>AE260-Q260-AF260-T260</f>
        <v>32637.79</v>
      </c>
      <c r="AI260">
        <f>AG260/X260</f>
        <v>0.1636556972111554</v>
      </c>
      <c r="AJ260">
        <f>AH260/Y260</f>
        <v>0.22539910220994475</v>
      </c>
    </row>
    <row r="261">
      <c r="A261">
        <f>HYPERLINK("https://smartstore.naver.com/brickstore2019/products/4651619931",AW:AW)</f>
        <v>4651619931</v>
      </c>
      <c r="C261" t="str">
        <v>VOAMOKO 메탈 마우스 패드 usb허브(무료배송)</v>
      </c>
      <c r="E261" t="str">
        <v>VOAMOKO Metal Mouse Pad – Aluminum Thin Pad with USB Hub – Gaming Mouse Stand – Practical &amp; Stylish – SD &amp; Micro SD Slots – Stable Connection &amp; Fast Data Transfer – Ergonomic &amp; Compact Design</v>
      </c>
      <c r="F261" t="str">
        <v>usb type-a</v>
      </c>
      <c r="G261" t="str">
        <f>HYPERLINK("https://www.amazon.com/dp/B07SJ8V14C/ref=cm_sw_r_cp_api_i_-G7yDb8EAN774","A")</f>
        <v>A</v>
      </c>
      <c r="J261">
        <v>40</v>
      </c>
      <c r="K261">
        <v>1.05</v>
      </c>
      <c r="L261">
        <f>IF(K261&gt;0,K261*16,)</f>
        <v>16.8</v>
      </c>
      <c r="M261">
        <f>IF(K261&gt;0,K261*0.453592,IF(L261&gt;0,L261*0.02835,))</f>
        <v>0.4762716</v>
      </c>
      <c r="N261">
        <v>0</v>
      </c>
      <c r="O261">
        <v>0</v>
      </c>
      <c r="P261">
        <f>J261+O261+N261</f>
        <v>40</v>
      </c>
      <c r="Q261">
        <f>P261*C$3</f>
        <v>50000</v>
      </c>
      <c r="R261">
        <v>0</v>
      </c>
      <c r="S261">
        <f>ROUND(SUM(Q261:R261), -2)</f>
        <v>50000</v>
      </c>
      <c r="T261">
        <f>ROUNDUP(HLOOKUP(ROUNDUP(K261,0),'배송비 조회'!A$10:U$22,7,0)*C$3,-2)</f>
        <v>11200</v>
      </c>
      <c r="U261">
        <v>0</v>
      </c>
      <c r="V261">
        <f>ROUND(IF(R261&gt;0,0,(S261+T261)*0.3),-2)</f>
        <v>18400</v>
      </c>
      <c r="W261">
        <f>ROUND(IF(R261&gt;0,0,(S261+T261)*0.5),-2)</f>
        <v>30600</v>
      </c>
      <c r="X261">
        <f>IF(R261&gt;0,SUM(S261:T261),SUM(S261:V261))</f>
        <v>79600</v>
      </c>
      <c r="Y261">
        <f>IF(R261&gt;0,SUM(S261:T261),SUM(S261:U261)+W261)</f>
        <v>91800</v>
      </c>
      <c r="Z261">
        <v>0</v>
      </c>
      <c r="AA261">
        <f>X261*0.038</f>
        <v>3024.7999999999997</v>
      </c>
      <c r="AB261">
        <f>X261*0.02</f>
        <v>1592</v>
      </c>
      <c r="AC261">
        <f>Y261*0.1</f>
        <v>9180</v>
      </c>
      <c r="AD261">
        <f>X261-AA261-AB261</f>
        <v>74983.2</v>
      </c>
      <c r="AE261">
        <f>Y261-AC261</f>
        <v>82620</v>
      </c>
      <c r="AF261">
        <f>AD261*0.01</f>
        <v>749.832</v>
      </c>
      <c r="AG261">
        <f>AD261-Q261-AF261-T261</f>
        <v>13033.367999999999</v>
      </c>
      <c r="AH261">
        <f>AE261-Q261-AF261-T261</f>
        <v>20670.168</v>
      </c>
      <c r="AI261">
        <f>AG261/X261</f>
        <v>0.16373577889447236</v>
      </c>
      <c r="AJ261">
        <f>AH261/Y261</f>
        <v>0.22516522875816994</v>
      </c>
      <c r="AW261">
        <v>4651619931</v>
      </c>
    </row>
    <row r="262">
      <c r="F262" t="str">
        <v>usb type-c</v>
      </c>
      <c r="G262" t="str">
        <f>HYPERLINK("https://www.amazon.com/dp/B07SH97KCZ/ref=cm_sw_r_cp_api_i_-G7yDb8EAN774?th=1","A")</f>
        <v>A</v>
      </c>
      <c r="J262">
        <v>40</v>
      </c>
      <c r="K262">
        <v>1.05</v>
      </c>
      <c r="L262">
        <f>IF(K262&gt;0,K262*16,)</f>
        <v>16.8</v>
      </c>
      <c r="M262">
        <f>IF(K262&gt;0,K262*0.453592,IF(L262&gt;0,L262*0.02835,))</f>
        <v>0.4762716</v>
      </c>
      <c r="N262">
        <v>0</v>
      </c>
      <c r="O262">
        <v>0</v>
      </c>
      <c r="P262">
        <f>J262+O262+N262</f>
        <v>40</v>
      </c>
      <c r="Q262">
        <f>P262*C$3</f>
        <v>50000</v>
      </c>
      <c r="R262">
        <v>0</v>
      </c>
      <c r="S262">
        <f>ROUND(SUM(Q262:R262), -2)</f>
        <v>50000</v>
      </c>
      <c r="T262">
        <f>ROUNDUP(HLOOKUP(ROUNDUP(K262,0),'배송비 조회'!A$10:U$22,7,0)*C$3,-2)</f>
        <v>11200</v>
      </c>
      <c r="U262">
        <v>0</v>
      </c>
      <c r="V262">
        <f>ROUND(IF(R262&gt;0,0,(S262+T262)*0.3),-2)</f>
        <v>18400</v>
      </c>
      <c r="W262">
        <f>ROUND(IF(R262&gt;0,0,(S262+T262)*0.5),-2)</f>
        <v>30600</v>
      </c>
      <c r="X262">
        <f>IF(R262&gt;0,SUM(S262:T262),SUM(S262:V262))</f>
        <v>79600</v>
      </c>
      <c r="Y262">
        <f>IF(R262&gt;0,SUM(S262:T262),SUM(S262:U262)+W262)</f>
        <v>91800</v>
      </c>
      <c r="Z262">
        <v>0</v>
      </c>
      <c r="AA262">
        <f>X262*0.038</f>
        <v>3024.7999999999997</v>
      </c>
      <c r="AB262">
        <f>X262*0.02</f>
        <v>1592</v>
      </c>
      <c r="AC262">
        <f>Y262*0.1</f>
        <v>9180</v>
      </c>
      <c r="AD262">
        <f>X262-AA262-AB262</f>
        <v>74983.2</v>
      </c>
      <c r="AE262">
        <f>Y262-AC262</f>
        <v>82620</v>
      </c>
      <c r="AF262">
        <f>AD262*0.01</f>
        <v>749.832</v>
      </c>
      <c r="AG262">
        <f>AD262-Q262-AF262-T262</f>
        <v>13033.367999999999</v>
      </c>
      <c r="AH262">
        <f>AE262-Q262-AF262-T262</f>
        <v>20670.168</v>
      </c>
      <c r="AI262">
        <f>AG262/X262</f>
        <v>0.16373577889447236</v>
      </c>
      <c r="AJ262">
        <f>AH262/Y262</f>
        <v>0.22516522875816994</v>
      </c>
    </row>
    <row r="263">
      <c r="A263">
        <f>HYPERLINK("https://smartstore.naver.com/brickstore2019/products/4651722921",AW:AW)</f>
        <v>4651722921</v>
      </c>
      <c r="C263" t="str">
        <v>큐브 키 파인더 분실 방지 애완동물 지갑 소지품 추적장치(무료배송)</v>
      </c>
      <c r="E263" t="str">
        <v>Cube Pro Key Finder Smart Tracker Bluetooth Tracker for Dogs, Kids, Cats, Luggage, Wallet, with app for Phone, Replaceable Battery Waterproof Tracking Device</v>
      </c>
      <c r="G263" t="str">
        <f>HYPERLINK("https://www.amazon.com/Cube-Tracker-Replaceable-Battery-Locator/dp/B07HFMZXR4","A")</f>
        <v>A</v>
      </c>
      <c r="J263">
        <v>30</v>
      </c>
      <c r="K263">
        <f>IF(L263&gt;0,L263*0.0625,)</f>
        <v>0.03</v>
      </c>
      <c r="L263">
        <v>0.48</v>
      </c>
      <c r="M263">
        <f>IF(K263&gt;0,K263*0.453592,IF(L263&gt;0,L263*0.02835,))</f>
        <v>0.01360776</v>
      </c>
      <c r="N263">
        <v>0</v>
      </c>
      <c r="O263">
        <v>0</v>
      </c>
      <c r="P263">
        <f>J263+O263+N263</f>
        <v>30</v>
      </c>
      <c r="Q263">
        <f>P263*C$3</f>
        <v>37500</v>
      </c>
      <c r="R263">
        <v>0</v>
      </c>
      <c r="S263">
        <f>ROUND(SUM(Q263:R263), -2)</f>
        <v>37500</v>
      </c>
      <c r="T263">
        <f>ROUNDUP(HLOOKUP(ROUNDUP(K263,0),'배송비 조회'!A$10:U$22,7,0)*C$3,-2)</f>
        <v>9000</v>
      </c>
      <c r="U263">
        <v>0</v>
      </c>
      <c r="V263">
        <f>ROUND(IF(R263&gt;0,0,(S263+T263)*0.4),-2)</f>
        <v>18600</v>
      </c>
      <c r="W263">
        <f>ROUND(IF(R263&gt;0,0,(S263+T263)*0.5),-2)</f>
        <v>23300</v>
      </c>
      <c r="X263">
        <f>IF(R263&gt;0,SUM(S263:T263),SUM(S263:V263))</f>
        <v>65100</v>
      </c>
      <c r="Y263">
        <f>IF(R263&gt;0,SUM(S263:T263),SUM(S263:U263)+W263)</f>
        <v>69800</v>
      </c>
      <c r="Z263">
        <v>0</v>
      </c>
      <c r="AA263">
        <f>X263*0.038</f>
        <v>2473.7999999999997</v>
      </c>
      <c r="AB263">
        <f>X263*0.02</f>
        <v>1302</v>
      </c>
      <c r="AC263">
        <f>Y263*0.1</f>
        <v>6980</v>
      </c>
      <c r="AD263">
        <f>X263-AA263-AB263</f>
        <v>61324.2</v>
      </c>
      <c r="AE263">
        <f>Y263-AC263</f>
        <v>62820</v>
      </c>
      <c r="AF263">
        <f>AD263*0.01</f>
        <v>613.242</v>
      </c>
      <c r="AG263">
        <f>AD263-Q263-AF263-T263</f>
        <v>14210.957999999999</v>
      </c>
      <c r="AH263">
        <f>AE263-Q263-AF263-T263</f>
        <v>15706.758000000002</v>
      </c>
      <c r="AI263">
        <f>AG263/X263</f>
        <v>0.2182942857142857</v>
      </c>
      <c r="AJ263">
        <f>AH263/Y263</f>
        <v>0.22502518624641837</v>
      </c>
      <c r="AW263">
        <v>4651722921</v>
      </c>
    </row>
    <row r="264">
      <c r="A264">
        <f>HYPERLINK("https://smartstore.naver.com/brickstore2019/products/4654236262",AW:AW)</f>
        <v>4654236262</v>
      </c>
      <c r="C264" t="str">
        <v>2019 최신 로켓북 에버라스트 퓨전 재사용 스마트 노트(무료배송)</v>
      </c>
      <c r="E264" t="str">
        <v>Rocketbook Everlast Fusion</v>
      </c>
      <c r="F264" t="str">
        <v>Executive (6x8.8")</v>
      </c>
      <c r="G264" t="str">
        <f>HYPERLINK("https://www.amazon.com/dp/B07RSH69HC/ref=psdc_490757011_t2_B07CPHBQ6F?th=1","A")</f>
        <v>A</v>
      </c>
      <c r="J264">
        <v>35</v>
      </c>
      <c r="K264">
        <f>IF(L264&gt;0,L264*0.0625,)</f>
        <v>0.45</v>
      </c>
      <c r="L264">
        <v>7.2</v>
      </c>
      <c r="M264">
        <f>IF(K264&gt;0,K264*0.453592,IF(L264&gt;0,L264*0.02835,))</f>
        <v>0.2041164</v>
      </c>
      <c r="N264">
        <v>0</v>
      </c>
      <c r="O264">
        <v>0</v>
      </c>
      <c r="P264">
        <f>J264+O264+N264</f>
        <v>35</v>
      </c>
      <c r="Q264">
        <f>P264*C$3</f>
        <v>43750</v>
      </c>
      <c r="R264">
        <v>0</v>
      </c>
      <c r="S264">
        <f>ROUND(SUM(Q264:R264), -2)</f>
        <v>43800</v>
      </c>
      <c r="T264">
        <f>ROUNDUP(HLOOKUP(ROUNDUP(K264,0),'배송비 조회'!A$10:U$22,7,0)*C$3,-2)</f>
        <v>9000</v>
      </c>
      <c r="U264">
        <v>0</v>
      </c>
      <c r="V264">
        <f>ROUND(IF(R264&gt;0,0,(S264+T264)*0.3),-2)</f>
        <v>15800</v>
      </c>
      <c r="W264">
        <f>ROUND(IF(R264&gt;0,0,(S264+T264)*0.5),-2)</f>
        <v>26400</v>
      </c>
      <c r="X264">
        <f>IF(R264&gt;0,SUM(S264:T264),SUM(S264:V264))</f>
        <v>68600</v>
      </c>
      <c r="Y264">
        <f>IF(R264&gt;0,SUM(S264:T264),SUM(S264:U264)+W264)</f>
        <v>79200</v>
      </c>
      <c r="Z264">
        <v>0</v>
      </c>
      <c r="AA264">
        <f>X264*0.038</f>
        <v>2606.7999999999997</v>
      </c>
      <c r="AB264">
        <f>X264*0.02</f>
        <v>1372</v>
      </c>
      <c r="AC264">
        <f>Y264*0.1</f>
        <v>7920</v>
      </c>
      <c r="AD264">
        <f>X264-AA264-AB264</f>
        <v>64621.2</v>
      </c>
      <c r="AE264">
        <f>Y264-AC264</f>
        <v>71280</v>
      </c>
      <c r="AF264">
        <f>AD264*0.01</f>
        <v>646.212</v>
      </c>
      <c r="AG264">
        <f>AD264-Q264-AF264-T264</f>
        <v>11224.987999999998</v>
      </c>
      <c r="AH264">
        <f>AE264-Q264-AF264-T264</f>
        <v>17883.788</v>
      </c>
      <c r="AI264">
        <f>AG264/X264</f>
        <v>0.1636295626822157</v>
      </c>
      <c r="AJ264">
        <f>AH264/Y264</f>
        <v>0.22580540404040406</v>
      </c>
      <c r="AW264">
        <v>4654236262</v>
      </c>
    </row>
    <row r="265">
      <c r="F265" t="str">
        <v>Letter (8.5x11")</v>
      </c>
      <c r="G265" t="str">
        <f>HYPERLINK("https://www.amazon.com/dp/B07RTN4F7D/ref=psdc_490757011_t2_B07CPHBQ6F?th=1","A")</f>
        <v>A</v>
      </c>
      <c r="J265">
        <v>38</v>
      </c>
      <c r="K265">
        <f>IF(L265&gt;0,L265*0.0625,)</f>
        <v>0.45</v>
      </c>
      <c r="L265">
        <v>7.2</v>
      </c>
      <c r="M265">
        <f>IF(K265&gt;0,K265*0.453592,IF(L265&gt;0,L265*0.02835,))</f>
        <v>0.2041164</v>
      </c>
      <c r="N265">
        <v>0</v>
      </c>
      <c r="O265">
        <v>0</v>
      </c>
      <c r="P265">
        <f>J265+O265+N265</f>
        <v>38</v>
      </c>
      <c r="Q265">
        <f>P265*C$3</f>
        <v>47500</v>
      </c>
      <c r="R265">
        <v>0</v>
      </c>
      <c r="S265">
        <f>ROUND(SUM(Q265:R265), -2)</f>
        <v>47500</v>
      </c>
      <c r="T265">
        <f>ROUNDUP(HLOOKUP(ROUNDUP(K265,0),'배송비 조회'!A$10:U$22,7,0)*C$3,-2)</f>
        <v>9000</v>
      </c>
      <c r="U265">
        <v>0</v>
      </c>
      <c r="V265">
        <f>ROUND(IF(R265&gt;0,0,(S265+T265)*0.3),-2)</f>
        <v>17000</v>
      </c>
      <c r="W265">
        <f>ROUND(IF(R265&gt;0,0,(S265+T265)*0.5),-2)</f>
        <v>28300</v>
      </c>
      <c r="X265">
        <f>IF(R265&gt;0,SUM(S265:T265),SUM(S265:V265))</f>
        <v>73500</v>
      </c>
      <c r="Y265">
        <f>IF(R265&gt;0,SUM(S265:T265),SUM(S265:U265)+W265)</f>
        <v>84800</v>
      </c>
      <c r="Z265">
        <v>0</v>
      </c>
      <c r="AA265">
        <f>X265*0.038</f>
        <v>2793</v>
      </c>
      <c r="AB265">
        <f>X265*0.02</f>
        <v>1470</v>
      </c>
      <c r="AC265">
        <f>Y265*0.1</f>
        <v>8480</v>
      </c>
      <c r="AD265">
        <f>X265-AA265-AB265</f>
        <v>69237</v>
      </c>
      <c r="AE265">
        <f>Y265-AC265</f>
        <v>76320</v>
      </c>
      <c r="AF265">
        <f>AD265*0.01</f>
        <v>692.37</v>
      </c>
      <c r="AG265">
        <f>AD265-Q265-AF265-T265</f>
        <v>12044.630000000001</v>
      </c>
      <c r="AH265">
        <f>AE265-Q265-AF265-T265</f>
        <v>19127.63</v>
      </c>
      <c r="AI265">
        <f>AG265/X265</f>
        <v>0.16387251700680275</v>
      </c>
      <c r="AJ265">
        <f>AH265/Y265</f>
        <v>0.2255616745283019</v>
      </c>
      <c r="AK265">
        <f>X265-X264</f>
        <v>4900</v>
      </c>
    </row>
    <row r="266">
      <c r="A266">
        <f>HYPERLINK("https://smartstore.naver.com/brickstore2019/products/4655399145",AW:AW)</f>
        <v>4655399145</v>
      </c>
      <c r="C266" t="str">
        <v>쌤소나이트 콤비 4스퀘어 비즈니스 백팩 회사원 백팩 Samsonite Kombi</v>
      </c>
      <c r="E266" t="str">
        <v>Samsonite Kombi Business Backpack with SmartSleeve 4 Square Black/Brown</v>
      </c>
      <c r="F266" t="str">
        <v>4 Square</v>
      </c>
      <c r="G266" t="str">
        <f>HYPERLINK("https://www.amazon.com/Samsonite-Komni-Small-Backpack-Black/dp/B076VXP36V/ref=sr_1_3?keywords=samsonite%2Bbackpack&amp;qid=1567090957&amp;refinements=p_89%3ASamsonite&amp;rnid=2528832011&amp;s=gateway&amp;sr=8-3&amp;th=1","A")</f>
        <v>A</v>
      </c>
      <c r="J266">
        <v>82.47</v>
      </c>
      <c r="K266">
        <v>2.85</v>
      </c>
      <c r="L266">
        <f>IF(K266&gt;0,K266*16,)</f>
        <v>45.6</v>
      </c>
      <c r="M266">
        <f>IF(K266&gt;0,K266*0.453592,IF(L266&gt;0,L266*0.02835,))</f>
        <v>1.2927372</v>
      </c>
      <c r="N266">
        <v>0</v>
      </c>
      <c r="O266">
        <v>0</v>
      </c>
      <c r="P266">
        <f>J266+O266+N266</f>
        <v>82.47</v>
      </c>
      <c r="Q266">
        <f>P266*C$3</f>
        <v>103087.5</v>
      </c>
      <c r="R266">
        <v>0</v>
      </c>
      <c r="S266">
        <f>ROUND(SUM(Q266:R266), -2)</f>
        <v>103100</v>
      </c>
      <c r="T266">
        <f>ROUNDUP(HLOOKUP(ROUNDUP(K266,0),'배송비 조회'!A$10:U$22,7,0)*C$3,-2)</f>
        <v>13400</v>
      </c>
      <c r="U266">
        <v>0</v>
      </c>
      <c r="V266">
        <f>ROUND(IF(R266&gt;0,0,(S266+T266)*0.3),-2)</f>
        <v>35000</v>
      </c>
      <c r="W266">
        <f>ROUND(IF(R266&gt;0,0,(S266+T266)*0.5),-2)</f>
        <v>58300</v>
      </c>
      <c r="X266">
        <f>IF(R266&gt;0,SUM(S266:T266),SUM(S266:V266))</f>
        <v>151500</v>
      </c>
      <c r="Y266">
        <f>IF(R266&gt;0,SUM(S266:T266),SUM(S266:U266)+W266)</f>
        <v>174800</v>
      </c>
      <c r="Z266">
        <v>0</v>
      </c>
      <c r="AA266">
        <f>X266*0.038</f>
        <v>5757</v>
      </c>
      <c r="AB266">
        <f>X266*0.02</f>
        <v>3030</v>
      </c>
      <c r="AC266">
        <f>Y266*0.1</f>
        <v>17480</v>
      </c>
      <c r="AD266">
        <f>X266-AA266-AB266</f>
        <v>142713</v>
      </c>
      <c r="AE266">
        <f>Y266-AC266</f>
        <v>157320</v>
      </c>
      <c r="AF266">
        <f>AD266*0.01</f>
        <v>1427.13</v>
      </c>
      <c r="AG266">
        <f>AD266-Q266-AF266-T266</f>
        <v>24798.370000000003</v>
      </c>
      <c r="AH266">
        <f>AE266-Q266-AF266-T266</f>
        <v>39405.37</v>
      </c>
      <c r="AI266">
        <f>AG266/X266</f>
        <v>0.16368561056105613</v>
      </c>
      <c r="AJ266">
        <f>AH266/Y266</f>
        <v>0.22543117848970254</v>
      </c>
      <c r="AW266">
        <v>4655399145</v>
      </c>
    </row>
    <row r="267">
      <c r="A267">
        <f>HYPERLINK("https://smartstore.naver.com/brickstore2019/products/4655408201",AW:AW)</f>
        <v>4655408201</v>
      </c>
      <c r="C267" t="str">
        <v>쌤소나이트 콤비 라지 비즈니스 백팩 회사원 백팩 Samsonite Kombi</v>
      </c>
      <c r="E267" t="str">
        <v>Samsonite Kombi Business Backpack with SmartSleeve Large Black/Brown</v>
      </c>
      <c r="F267" t="str">
        <v>Large</v>
      </c>
      <c r="G267" t="str">
        <f>HYPERLINK("https://www.amazon.com/Samsonite-Komni-Small-Backpack-Black/dp/B0765JTG8J/ref=sr_1_3?keywords=samsonite%2Bbackpack&amp;qid=1567090957&amp;refinements=p_89%3ASamsonite&amp;rnid=2528832011&amp;s=gateway&amp;sr=8-3&amp;th=1","A")</f>
        <v>A</v>
      </c>
      <c r="J267">
        <v>111</v>
      </c>
      <c r="K267">
        <v>3.55</v>
      </c>
      <c r="L267">
        <f>IF(K267&gt;0,K267*16,)</f>
        <v>56.8</v>
      </c>
      <c r="M267">
        <f>IF(K267&gt;0,K267*0.453592,IF(L267&gt;0,L267*0.02835,))</f>
        <v>1.6102516</v>
      </c>
      <c r="N267">
        <v>0</v>
      </c>
      <c r="O267">
        <v>0</v>
      </c>
      <c r="P267">
        <f>J267+O267+N267</f>
        <v>111</v>
      </c>
      <c r="Q267">
        <f>P267*C$3</f>
        <v>138750</v>
      </c>
      <c r="R267">
        <v>0</v>
      </c>
      <c r="S267">
        <f>ROUND(SUM(Q267:R267), -2)</f>
        <v>138800</v>
      </c>
      <c r="T267">
        <f>ROUNDUP(HLOOKUP(ROUNDUP(K267,0),'배송비 조회'!A$10:U$22,7,0)*C$3,-2)</f>
        <v>15600</v>
      </c>
      <c r="U267">
        <v>0</v>
      </c>
      <c r="V267">
        <f>ROUND(IF(R267&gt;0,0,(S267+T267)*0.3),-2)</f>
        <v>46300</v>
      </c>
      <c r="W267">
        <f>ROUND(IF(R267&gt;0,0,(S267+T267)*0.5),-2)</f>
        <v>77200</v>
      </c>
      <c r="X267">
        <f>IF(R267&gt;0,SUM(S267:T267),SUM(S267:V267))</f>
        <v>200700</v>
      </c>
      <c r="Y267">
        <f>IF(R267&gt;0,SUM(S267:T267),SUM(S267:U267)+W267)</f>
        <v>231600</v>
      </c>
      <c r="Z267">
        <v>0</v>
      </c>
      <c r="AA267">
        <f>X267*0.038</f>
        <v>7626.599999999999</v>
      </c>
      <c r="AB267">
        <f>X267*0.02</f>
        <v>4014</v>
      </c>
      <c r="AC267">
        <f>Y267*0.1</f>
        <v>23160</v>
      </c>
      <c r="AD267">
        <f>X267-AA267-AB267</f>
        <v>189059.4</v>
      </c>
      <c r="AE267">
        <f>Y267-AC267</f>
        <v>208440</v>
      </c>
      <c r="AF267">
        <f>AD267*0.01</f>
        <v>1890.594</v>
      </c>
      <c r="AG267">
        <f>AD267-Q267-AF267-T267</f>
        <v>32818.806</v>
      </c>
      <c r="AH267">
        <f>AE267-Q267-AF267-T267</f>
        <v>52199.406</v>
      </c>
      <c r="AI267">
        <f>AG267/X267</f>
        <v>0.16352170403587443</v>
      </c>
      <c r="AJ267">
        <f>AH267/Y267</f>
        <v>0.22538603626943007</v>
      </c>
      <c r="AW267">
        <v>4655408201</v>
      </c>
    </row>
    <row r="268">
      <c r="A268">
        <f>HYPERLINK("https://smartstore.naver.com/brickstore2019/products/4655412506",AW:AW)</f>
        <v>4655412506</v>
      </c>
      <c r="C268" t="str">
        <v>쌤소나이트 콤비 스몰 비즈니스 백팩 회사원 백팩 Samsonite Kombi</v>
      </c>
      <c r="E268" t="str">
        <v>Samsonite Kombi Business Backpack with SmartSleeve Small Black/Brown</v>
      </c>
      <c r="F268" t="str">
        <v>small</v>
      </c>
      <c r="G268" t="str">
        <f>HYPERLINK("https://www.amazon.com/Samsonite-Komni-Small-Backpack-Black/dp/B0765JCL3V/ref=sr_1_3?keywords=samsonite%2Bbackpack&amp;qid=1567090957&amp;refinements=p_89%3ASamsonite&amp;rnid=2528832011&amp;s=gateway&amp;sr=8-3&amp;th=1","A")</f>
        <v>A</v>
      </c>
      <c r="J268">
        <v>80</v>
      </c>
      <c r="K268">
        <v>2.15</v>
      </c>
      <c r="L268">
        <f>IF(K268&gt;0,K268*16,)</f>
        <v>34.4</v>
      </c>
      <c r="M268">
        <f>IF(K268&gt;0,K268*0.453592,IF(L268&gt;0,L268*0.02835,))</f>
        <v>0.9752228</v>
      </c>
      <c r="N268">
        <v>0</v>
      </c>
      <c r="O268">
        <v>0</v>
      </c>
      <c r="P268">
        <f>J268+O268+N268</f>
        <v>80</v>
      </c>
      <c r="Q268">
        <f>P268*C$3</f>
        <v>100000</v>
      </c>
      <c r="R268">
        <v>0</v>
      </c>
      <c r="S268">
        <f>ROUND(SUM(Q268:R268), -2)</f>
        <v>100000</v>
      </c>
      <c r="T268">
        <f>ROUNDUP(HLOOKUP(ROUNDUP(K268,0),'배송비 조회'!A$10:U$22,7,0)*C$3,-2)</f>
        <v>13400</v>
      </c>
      <c r="U268">
        <v>0</v>
      </c>
      <c r="V268">
        <f>ROUND(IF(R268&gt;0,0,(S268+T268)*0.3),-2)</f>
        <v>34000</v>
      </c>
      <c r="W268">
        <f>ROUND(IF(R268&gt;0,0,(S268+T268)*0.5),-2)</f>
        <v>56700</v>
      </c>
      <c r="X268">
        <f>IF(R268&gt;0,SUM(S268:T268),SUM(S268:V268))</f>
        <v>147400</v>
      </c>
      <c r="Y268">
        <f>IF(R268&gt;0,SUM(S268:T268),SUM(S268:U268)+W268)</f>
        <v>170100</v>
      </c>
      <c r="Z268">
        <v>0</v>
      </c>
      <c r="AA268">
        <f>X268*0.038</f>
        <v>5601.2</v>
      </c>
      <c r="AB268">
        <f>X268*0.02</f>
        <v>2948</v>
      </c>
      <c r="AC268">
        <f>Y268*0.1</f>
        <v>17010</v>
      </c>
      <c r="AD268">
        <f>X268-AA268-AB268</f>
        <v>138850.8</v>
      </c>
      <c r="AE268">
        <f>Y268-AC268</f>
        <v>153090</v>
      </c>
      <c r="AF268">
        <f>AD268*0.01</f>
        <v>1388.5079999999998</v>
      </c>
      <c r="AG268">
        <f>AD268-Q268-AF268-T268</f>
        <v>24062.291999999987</v>
      </c>
      <c r="AH268">
        <f>AE268-Q268-AF268-T268</f>
        <v>38301.492</v>
      </c>
      <c r="AI268">
        <f>AG268/X268</f>
        <v>0.16324485753052909</v>
      </c>
      <c r="AJ268">
        <f>AH268/Y268</f>
        <v>0.22517044091710758</v>
      </c>
      <c r="AW268">
        <v>4655412506</v>
      </c>
    </row>
    <row r="269">
      <c r="A269">
        <f>HYPERLINK("https://smartstore.naver.com/brickstore2019/products/4655455382",AW:AW)</f>
        <v>4655455382</v>
      </c>
      <c r="C269" t="str">
        <v>벤큐 스크린바 E-리딩 모니터 작업 LED 램프 모니터용/노트북용(무료배송)</v>
      </c>
      <c r="E269" t="str">
        <v xml:space="preserve">BenQ ScreenBar e-Reading LED Task Lamp with Auto-Dimming and Hue Adjustment Features, Matte Black USB Powered Office Lamp </v>
      </c>
      <c r="F269" t="str">
        <v>ScreenBar</v>
      </c>
      <c r="G269" t="str">
        <v>A</v>
      </c>
      <c r="J269">
        <v>99</v>
      </c>
      <c r="K269">
        <v>1.32</v>
      </c>
      <c r="L269">
        <f>IF(K269&gt;0,K269*16,)</f>
        <v>21.12</v>
      </c>
      <c r="M269">
        <f>IF(K269&gt;0,K269*0.453592,IF(L269&gt;0,L269*0.02835,))</f>
        <v>0.5987414400000001</v>
      </c>
      <c r="N269">
        <v>0</v>
      </c>
      <c r="O269">
        <v>0</v>
      </c>
      <c r="P269">
        <f>J269+O269+N269</f>
        <v>99</v>
      </c>
      <c r="Q269">
        <f>P269*C$3</f>
        <v>123750</v>
      </c>
      <c r="R269">
        <v>0</v>
      </c>
      <c r="S269">
        <f>ROUND(SUM(Q269:R269), -2)</f>
        <v>123800</v>
      </c>
      <c r="T269">
        <f>ROUNDUP(HLOOKUP(ROUNDUP(K269,0),'배송비 조회'!A$10:U$22,7,0)*C$3,-2)</f>
        <v>11200</v>
      </c>
      <c r="U269">
        <v>0</v>
      </c>
      <c r="V269">
        <f>ROUND(IF(R269&gt;0,0,(S269+T269)*0.3),-2)</f>
        <v>40500</v>
      </c>
      <c r="W269">
        <f>ROUND(IF(R269&gt;0,0,(S269+T269)*0.5),-2)</f>
        <v>67500</v>
      </c>
      <c r="X269">
        <f>IF(R269&gt;0,SUM(S269:T269),SUM(S269:V269))</f>
        <v>175500</v>
      </c>
      <c r="Y269">
        <f>IF(R269&gt;0,SUM(S269:T269),SUM(S269:U269)+W269)</f>
        <v>202500</v>
      </c>
      <c r="Z269">
        <v>0</v>
      </c>
      <c r="AA269">
        <f>X269*0.038</f>
        <v>6669</v>
      </c>
      <c r="AB269">
        <f>X269*0.02</f>
        <v>3510</v>
      </c>
      <c r="AC269">
        <f>Y269*0.1</f>
        <v>20250</v>
      </c>
      <c r="AD269">
        <f>X269-AA269-AB269</f>
        <v>165321</v>
      </c>
      <c r="AE269">
        <f>Y269-AC269</f>
        <v>182250</v>
      </c>
      <c r="AF269">
        <f>AD269*0.01</f>
        <v>1653.21</v>
      </c>
      <c r="AG269">
        <f>AD269-Q269-AF269-T269</f>
        <v>28717.79</v>
      </c>
      <c r="AH269">
        <f>AE269-Q269-AF269-T269</f>
        <v>45646.79</v>
      </c>
      <c r="AI269">
        <f>AG269/X269</f>
        <v>0.16363413105413105</v>
      </c>
      <c r="AJ269">
        <f>AH269/Y269</f>
        <v>0.22541624691358025</v>
      </c>
      <c r="AW269">
        <v>4655455382</v>
      </c>
    </row>
    <row r="270">
      <c r="F270" t="str">
        <v>ScreenBar for Laptop</v>
      </c>
      <c r="G270" t="str">
        <f>HYPERLINK("https://www.amazon.com/dp/B07NJRSGFH/ref=twister_B07VZKJQCY?_encoding=UTF8&amp;psc=1","A")</f>
        <v>A</v>
      </c>
      <c r="J270">
        <v>99</v>
      </c>
      <c r="K270">
        <v>1.32</v>
      </c>
      <c r="L270">
        <f>IF(K270&gt;0,K270*16,)</f>
        <v>21.12</v>
      </c>
      <c r="M270">
        <f>IF(K270&gt;0,K270*0.453592,IF(L270&gt;0,L270*0.02835,))</f>
        <v>0.5987414400000001</v>
      </c>
      <c r="N270">
        <v>0</v>
      </c>
      <c r="O270">
        <v>0</v>
      </c>
      <c r="P270">
        <f>J270+O270+N270</f>
        <v>99</v>
      </c>
      <c r="Q270">
        <f>P270*C$3</f>
        <v>123750</v>
      </c>
      <c r="R270">
        <v>0</v>
      </c>
      <c r="S270">
        <f>ROUND(SUM(Q270:R270), -2)</f>
        <v>123800</v>
      </c>
      <c r="T270">
        <f>ROUNDUP(HLOOKUP(ROUNDUP(K270,0),'배송비 조회'!A$10:U$22,7,0)*C$3,-2)</f>
        <v>11200</v>
      </c>
      <c r="U270">
        <v>0</v>
      </c>
      <c r="V270">
        <f>ROUND(IF(R270&gt;0,0,(S270+T270)*0.3),-2)</f>
        <v>40500</v>
      </c>
      <c r="W270">
        <f>ROUND(IF(R270&gt;0,0,(S270+T270)*0.5),-2)</f>
        <v>67500</v>
      </c>
      <c r="X270">
        <f>IF(R270&gt;0,SUM(S270:T270),SUM(S270:V270))</f>
        <v>175500</v>
      </c>
      <c r="Y270">
        <f>IF(R270&gt;0,SUM(S270:T270),SUM(S270:U270)+W270)</f>
        <v>202500</v>
      </c>
      <c r="Z270">
        <v>0</v>
      </c>
      <c r="AA270">
        <f>X270*0.038</f>
        <v>6669</v>
      </c>
      <c r="AB270">
        <f>X270*0.02</f>
        <v>3510</v>
      </c>
      <c r="AC270">
        <f>Y270*0.1</f>
        <v>20250</v>
      </c>
      <c r="AD270">
        <f>X270-AA270-AB270</f>
        <v>165321</v>
      </c>
      <c r="AE270">
        <f>Y270-AC270</f>
        <v>182250</v>
      </c>
      <c r="AF270">
        <f>AD270*0.01</f>
        <v>1653.21</v>
      </c>
      <c r="AG270">
        <f>AD270-Q270-AF270-T270</f>
        <v>28717.79</v>
      </c>
      <c r="AH270">
        <f>AE270-Q270-AF270-T270</f>
        <v>45646.79</v>
      </c>
      <c r="AI270">
        <f>AG270/X270</f>
        <v>0.16363413105413105</v>
      </c>
      <c r="AJ270">
        <f>AH270/Y270</f>
        <v>0.22541624691358025</v>
      </c>
    </row>
    <row r="271">
      <c r="A271">
        <f>HYPERLINK("https://smartstore.naver.com/brickstore2019/products/4659021818",AW:AW)</f>
        <v>4659021818</v>
      </c>
      <c r="C271" t="str">
        <v>하만카돈 오닉스 스튜디오4 블루투스 스피커 Harman kardon onyx studio4 (무료배송)</v>
      </c>
      <c r="E271" t="str">
        <v>Harman Kardon Onyx Studio 4 Wireless Bluetooth Speaker</v>
      </c>
      <c r="F271" t="str">
        <v>Black</v>
      </c>
      <c r="G271" t="str">
        <f>HYPERLINK("https://www.amazon.com/Harman-Kardon-Wireless-Bluetooth-Speaker/dp/B074P79X9C/ref=cm_cr_arp_d_product_top?ie=UTF8&amp;th=1","A")</f>
        <v>A</v>
      </c>
      <c r="J271">
        <v>120</v>
      </c>
      <c r="K271">
        <v>7.2</v>
      </c>
      <c r="L271">
        <f>IF(K271&gt;0,K271*16,)</f>
        <v>115.2</v>
      </c>
      <c r="M271">
        <f>IF(K271&gt;0,K271*0.453592,IF(L271&gt;0,L271*0.02835,))</f>
        <v>3.2658624</v>
      </c>
      <c r="N271">
        <v>0</v>
      </c>
      <c r="O271">
        <v>0</v>
      </c>
      <c r="P271">
        <f>J271+O271+N271</f>
        <v>120</v>
      </c>
      <c r="Q271">
        <f>P271*C$3</f>
        <v>150000</v>
      </c>
      <c r="R271">
        <v>0</v>
      </c>
      <c r="S271">
        <f>ROUND(SUM(Q271:R271), -2)</f>
        <v>150000</v>
      </c>
      <c r="T271">
        <f>ROUNDUP(HLOOKUP(ROUNDUP(K271,0),'배송비 조회'!A$10:U$22,7,0)*C$3,-2)</f>
        <v>24400</v>
      </c>
      <c r="U271">
        <v>0</v>
      </c>
      <c r="V271">
        <f>ROUND(IF(R271&gt;0,0,(S271+T271)*0.3),-2)</f>
        <v>52300</v>
      </c>
      <c r="W271">
        <f>ROUND(IF(R271&gt;0,0,(S271+T271)*0.5),-2)</f>
        <v>87200</v>
      </c>
      <c r="X271">
        <f>IF(R271&gt;0,SUM(S271:T271),SUM(S271:V271))</f>
        <v>226700</v>
      </c>
      <c r="Y271">
        <f>IF(R271&gt;0,SUM(S271:T271),SUM(S271:U271)+W271)</f>
        <v>261600</v>
      </c>
      <c r="Z271">
        <v>0</v>
      </c>
      <c r="AA271">
        <f>X271*0.038</f>
        <v>8614.6</v>
      </c>
      <c r="AB271">
        <f>X271*0.02</f>
        <v>4534</v>
      </c>
      <c r="AC271">
        <f>Y271*0.1</f>
        <v>26160</v>
      </c>
      <c r="AD271">
        <f>X271-AA271-AB271</f>
        <v>213551.4</v>
      </c>
      <c r="AE271">
        <f>Y271-AC271</f>
        <v>235440</v>
      </c>
      <c r="AF271">
        <f>AD271*0.01</f>
        <v>2135.514</v>
      </c>
      <c r="AG271">
        <f>AD271-Q271-AF271-T271</f>
        <v>37015.88599999999</v>
      </c>
      <c r="AH271">
        <f>AE271-Q271-AF271-T271</f>
        <v>58904.486000000004</v>
      </c>
      <c r="AI271">
        <f>AG271/X271</f>
        <v>0.1632813674459638</v>
      </c>
      <c r="AJ271">
        <f>AH271/Y271</f>
        <v>0.2251700535168196</v>
      </c>
      <c r="AW271">
        <v>4659021818</v>
      </c>
    </row>
    <row r="272">
      <c r="C272" t="str">
        <v>(추가상품) 케이스</v>
      </c>
      <c r="E272" t="str">
        <v>Caseling Hard CASE for Harman Kardon Onyx Studio 1, 2, 3 &amp; 4 Wireless Speaker System</v>
      </c>
      <c r="G272" t="str">
        <v>A</v>
      </c>
      <c r="J272">
        <v>19</v>
      </c>
      <c r="K272">
        <f>IF(L272&gt;0,L272*0.0625,)</f>
        <v>0.96875</v>
      </c>
      <c r="L272">
        <v>15.5</v>
      </c>
      <c r="M272">
        <f>IF(K272&gt;0,K272*0.453592,IF(L272&gt;0,L272*0.02835,))</f>
        <v>0.43941725</v>
      </c>
      <c r="N272">
        <v>0</v>
      </c>
      <c r="O272">
        <v>0</v>
      </c>
      <c r="P272">
        <f>J272+O272+N272</f>
        <v>19</v>
      </c>
      <c r="Q272">
        <f>P272*C$3</f>
        <v>23750</v>
      </c>
      <c r="R272">
        <v>0</v>
      </c>
      <c r="S272">
        <f>ROUND(SUM(Q272:R272), -2)</f>
        <v>23800</v>
      </c>
      <c r="U272">
        <v>0</v>
      </c>
      <c r="V272">
        <f>ROUND(IF(R272&gt;0,0,(S272+T272)*0.6),-2)</f>
        <v>14300</v>
      </c>
      <c r="W272">
        <f>ROUND(IF(R272&gt;0,0,(S272+T272)*0.5),-2)</f>
        <v>11900</v>
      </c>
      <c r="X272">
        <f>IF(R272&gt;0,SUM(S272:T272),SUM(S272:V272))</f>
        <v>38100</v>
      </c>
      <c r="Y272">
        <f>IF(R272&gt;0,SUM(S272:T272),SUM(S272:U272)+W272)</f>
        <v>35700</v>
      </c>
      <c r="Z272">
        <v>0</v>
      </c>
      <c r="AA272">
        <f>X272*0.038</f>
        <v>1447.8</v>
      </c>
      <c r="AB272">
        <f>X272*0.02</f>
        <v>762</v>
      </c>
      <c r="AC272">
        <f>Y272*0.1</f>
        <v>3570</v>
      </c>
      <c r="AD272">
        <f>X272-AA272-AB272</f>
        <v>35890.2</v>
      </c>
      <c r="AE272">
        <f>Y272-AC272</f>
        <v>32130</v>
      </c>
      <c r="AF272">
        <f>AD272*0.01</f>
        <v>358.902</v>
      </c>
      <c r="AG272">
        <f>AD272-Q272-AF272-T272</f>
        <v>11781.297999999997</v>
      </c>
      <c r="AH272">
        <f>AE272-Q272-AF272-T272</f>
        <v>8021.098</v>
      </c>
      <c r="AI272">
        <f>AG272/X272</f>
        <v>0.3092204199475065</v>
      </c>
      <c r="AJ272">
        <f>AH272/Y272</f>
        <v>0.2246806162464986</v>
      </c>
    </row>
    <row r="273">
      <c r="H273" t="str">
        <v>합</v>
      </c>
      <c r="J273">
        <f>J271+J272</f>
        <v>139</v>
      </c>
      <c r="K273">
        <f>K272+K271</f>
        <v>8.16875</v>
      </c>
      <c r="L273">
        <f>L272+L271</f>
        <v>130.7</v>
      </c>
      <c r="M273">
        <f>M272+M271</f>
        <v>3.70527965</v>
      </c>
      <c r="N273">
        <v>0</v>
      </c>
      <c r="O273">
        <v>0</v>
      </c>
      <c r="P273">
        <f>J273+O273+N273</f>
        <v>139</v>
      </c>
      <c r="Q273">
        <f>Q272+Q271</f>
        <v>173750</v>
      </c>
      <c r="R273">
        <v>0</v>
      </c>
      <c r="S273">
        <f>S272+S271</f>
        <v>173800</v>
      </c>
      <c r="T273">
        <f>T272+T271</f>
        <v>24400</v>
      </c>
      <c r="U273">
        <v>0</v>
      </c>
      <c r="V273">
        <f>ROUND(IF(R273&gt;0,0,(S273+T273)*0.3),-2)</f>
        <v>59500</v>
      </c>
      <c r="W273">
        <f>ROUND(IF(R273&gt;0,0,(S273+T273)*0.5),-2)</f>
        <v>99100</v>
      </c>
      <c r="X273">
        <f>IF(R273&gt;0,SUM(S273:T273),SUM(S273:V273))</f>
        <v>257700</v>
      </c>
      <c r="Y273">
        <f>IF(R273&gt;0,SUM(S273:T273),SUM(S273:U273)+W273)</f>
        <v>297300</v>
      </c>
      <c r="Z273">
        <v>0</v>
      </c>
      <c r="AA273">
        <f>X273*0.038</f>
        <v>9792.6</v>
      </c>
      <c r="AB273">
        <f>X273*0.02</f>
        <v>5154</v>
      </c>
      <c r="AC273">
        <f>Y273*0.1</f>
        <v>29730</v>
      </c>
      <c r="AD273">
        <f>X273-AA273-AB273</f>
        <v>242753.4</v>
      </c>
      <c r="AE273">
        <f>Y273-AC273</f>
        <v>267570</v>
      </c>
      <c r="AF273">
        <f>AD273*0.01</f>
        <v>2427.534</v>
      </c>
      <c r="AG273">
        <f>AD273-Q273-AF273-T273</f>
        <v>42175.865999999995</v>
      </c>
      <c r="AH273">
        <f>AE273-Q273-AF273-T273</f>
        <v>66992.466</v>
      </c>
      <c r="AI273">
        <f>AG273/X273</f>
        <v>0.16366265424912688</v>
      </c>
      <c r="AJ273">
        <f>AH273/Y273</f>
        <v>0.2253362462159435</v>
      </c>
    </row>
    <row r="274">
      <c r="A274">
        <f>HYPERLINK("https://smartstore.naver.com/brickstore2019/products/4660567882",AW:AW)</f>
        <v>4660567882</v>
      </c>
      <c r="C274" t="str">
        <v>Logitech 로지텍 keys to go 블루투스 키보드 (무료배송)</v>
      </c>
      <c r="E274" t="str">
        <v>Logitech Keys-to-Go Ultra-Portable, Stand-Alone Keyboard COMPATIBLE DEVICES all iOS devices including iPad, iPhone and Apple TV 920-006701</v>
      </c>
      <c r="F274" t="str">
        <v>Black</v>
      </c>
      <c r="G274" t="str">
        <f>HYPERLINK("https://www.amazon.com/Logitech-Ultra-Portable-Stand-Alone-COMPATIBLE-920-006701/dp/B00R0I71S4/ref=sr_1_1?keywords=keys+to+go&amp;qid=1570716028&amp;sr=8-1","A")</f>
        <v>A</v>
      </c>
      <c r="J274">
        <v>57</v>
      </c>
      <c r="K274">
        <f>IF(L274&gt;0,L274*0.0625,)</f>
        <v>0.8375</v>
      </c>
      <c r="L274">
        <v>13.4</v>
      </c>
      <c r="M274">
        <f>IF(K274&gt;0,K274*0.453592,IF(L274&gt;0,L274*0.02835,))</f>
        <v>0.3798833</v>
      </c>
      <c r="N274">
        <v>0</v>
      </c>
      <c r="O274">
        <v>0</v>
      </c>
      <c r="P274">
        <f>J274+O274+N274</f>
        <v>57</v>
      </c>
      <c r="Q274">
        <f>P274*C$3</f>
        <v>71250</v>
      </c>
      <c r="R274">
        <v>0</v>
      </c>
      <c r="S274">
        <f>ROUND(SUM(Q274:R274), -2)</f>
        <v>71300</v>
      </c>
      <c r="T274">
        <f>ROUNDUP(HLOOKUP(ROUNDUP(K274,0),'배송비 조회'!A$10:U$22,7,0)*C$3,-2)</f>
        <v>9000</v>
      </c>
      <c r="U274">
        <v>0</v>
      </c>
      <c r="V274">
        <f>ROUND(IF(R274&gt;0,0,(S274+T274)*0.3),-2)</f>
        <v>24100</v>
      </c>
      <c r="W274">
        <f>ROUND(IF(R274&gt;0,0,(S274+T274)*0.5),-2)</f>
        <v>40200</v>
      </c>
      <c r="X274">
        <f>IF(R274&gt;0,SUM(S274:T274),SUM(S274:V274))</f>
        <v>104400</v>
      </c>
      <c r="Y274">
        <f>IF(R274&gt;0,SUM(S274:T274),SUM(S274:U274)+W274)</f>
        <v>120500</v>
      </c>
      <c r="Z274">
        <v>0</v>
      </c>
      <c r="AA274">
        <f>X274*0.038</f>
        <v>3967.2</v>
      </c>
      <c r="AB274">
        <f>X274*0.02</f>
        <v>2088</v>
      </c>
      <c r="AC274">
        <f>Y274*0.1</f>
        <v>12050</v>
      </c>
      <c r="AD274">
        <f>X274-AA274-AB274</f>
        <v>98344.8</v>
      </c>
      <c r="AE274">
        <f>Y274-AC274</f>
        <v>108450</v>
      </c>
      <c r="AF274">
        <f>AD274*0.01</f>
        <v>983.4480000000001</v>
      </c>
      <c r="AG274">
        <f>AD274-Q274-AF274-T274</f>
        <v>17111.352000000003</v>
      </c>
      <c r="AH274">
        <f>AE274-Q274-AF274-T274</f>
        <v>27216.552000000003</v>
      </c>
      <c r="AI274">
        <f>AG274/X274</f>
        <v>0.1639018390804598</v>
      </c>
      <c r="AJ274">
        <f>AH274/Y274</f>
        <v>0.22586350207468883</v>
      </c>
      <c r="AK274" t="str">
        <v>최저가보다 쌈</v>
      </c>
      <c r="AW274">
        <v>4660567882</v>
      </c>
    </row>
    <row r="275">
      <c r="A275">
        <f>HYPERLINK("https://smartstore.naver.com/brickstore2019/products/4658960999",AW:AW)</f>
        <v>4658960999</v>
      </c>
      <c r="B275" t="str">
        <f>HYPERLINK("https://www.coupang.com/vp/products/330199708?vendorItemId=5527113486","330199708")</f>
        <v>330199708</v>
      </c>
      <c r="C275" t="str">
        <v>애플 아이패드용 펜슬 어도닛 노트 Adonit Note(무료배송)</v>
      </c>
      <c r="D275" t="str">
        <v>애플 아이패드용 펜슬 어도닛 노트 Adonit Note</v>
      </c>
      <c r="E275" t="str">
        <v>Adonit Note Natural Palm Rejection Stylus for iPad Pro (3rd Gen), iPad (6th Gen), iPad Air (3rd Gen) and iPad Mini (5th Gen) - Black,Gold</v>
      </c>
      <c r="F275" t="str">
        <v>Black</v>
      </c>
      <c r="G275" t="str">
        <f>HYPERLINK("https://www.amazon.com/dp/B07R9HPSYN/ref=cm_sw_r_cp_api_i_lZeBDbS3HKADW?th=1","A")</f>
        <v>A</v>
      </c>
      <c r="J275">
        <v>50</v>
      </c>
      <c r="K275">
        <f>IF(L275&gt;0,L275*0.0625,)</f>
        <v>0.04</v>
      </c>
      <c r="L275">
        <v>0.64</v>
      </c>
      <c r="M275">
        <f>IF(K275&gt;0,K275*0.453592,IF(L275&gt;0,L275*0.02835,))</f>
        <v>0.01814368</v>
      </c>
      <c r="N275">
        <v>0</v>
      </c>
      <c r="O275">
        <v>0</v>
      </c>
      <c r="P275">
        <f>J275+O275+N275</f>
        <v>50</v>
      </c>
      <c r="Q275">
        <f>P275*C$3</f>
        <v>62500</v>
      </c>
      <c r="R275">
        <v>0</v>
      </c>
      <c r="S275">
        <f>ROUND(SUM(Q275:R275), -2)</f>
        <v>62500</v>
      </c>
      <c r="T275">
        <f>ROUNDUP(HLOOKUP(ROUNDUP(K275,0),'배송비 조회'!A$10:U$22,7,0)*C$3,-2)</f>
        <v>9000</v>
      </c>
      <c r="U275">
        <v>0</v>
      </c>
      <c r="V275">
        <f>ROUND(IF(R275&gt;0,0,(S275+T275)*0.3),-2)</f>
        <v>21500</v>
      </c>
      <c r="W275">
        <f>ROUND(IF(R275&gt;0,0,(S275+T275)*0.4),-2)</f>
        <v>28600</v>
      </c>
      <c r="X275">
        <f>IF(R275&gt;0,SUM(S275:T275),SUM(S275:V275))</f>
        <v>93000</v>
      </c>
      <c r="Y275">
        <f>IF(R275&gt;0,SUM(S275:T275),SUM(S275:U275)+W275)</f>
        <v>100100</v>
      </c>
      <c r="Z275">
        <v>0</v>
      </c>
      <c r="AA275">
        <f>X275*0.038</f>
        <v>3534</v>
      </c>
      <c r="AB275">
        <f>X275*0.02</f>
        <v>1860</v>
      </c>
      <c r="AC275">
        <f>Y275*0.1</f>
        <v>10010</v>
      </c>
      <c r="AD275">
        <f>X275-AA275-AB275</f>
        <v>87606</v>
      </c>
      <c r="AE275">
        <f>Y275-AC275</f>
        <v>90090</v>
      </c>
      <c r="AF275">
        <f>AD275*0.01</f>
        <v>876.0600000000001</v>
      </c>
      <c r="AG275">
        <f>AD275-Q275-AF275-T275</f>
        <v>15229.939999999999</v>
      </c>
      <c r="AH275">
        <f>AE275-Q275-AF275-T275</f>
        <v>17713.94</v>
      </c>
      <c r="AI275">
        <f>AG275/X275</f>
        <v>0.1637627956989247</v>
      </c>
      <c r="AJ275">
        <f>AH275/Y275</f>
        <v>0.17696243756243754</v>
      </c>
      <c r="AK275" t="str">
        <v>유료배송 측정</v>
      </c>
      <c r="AW275">
        <v>4658960999</v>
      </c>
    </row>
    <row r="276">
      <c r="F276" t="str">
        <v>Gold</v>
      </c>
      <c r="G276" t="str">
        <f>HYPERLINK("https://www.amazon.com/dp/B07R76TTLJ/ref=twister_B07RZZBFK4?_encoding=UTF8&amp;psc=1","A")</f>
        <v>A</v>
      </c>
      <c r="J276">
        <v>50</v>
      </c>
      <c r="K276">
        <f>IF(L276&gt;0,L276*0.0625,)</f>
        <v>0.04</v>
      </c>
      <c r="L276">
        <v>0.64</v>
      </c>
      <c r="M276">
        <f>IF(K276&gt;0,K276*0.453592,IF(L276&gt;0,L276*0.02835,))</f>
        <v>0.01814368</v>
      </c>
      <c r="N276">
        <v>0</v>
      </c>
      <c r="O276">
        <v>0</v>
      </c>
      <c r="P276">
        <f>J276+O276+N276</f>
        <v>50</v>
      </c>
      <c r="Q276">
        <f>P276*C$3</f>
        <v>62500</v>
      </c>
      <c r="R276">
        <v>0</v>
      </c>
      <c r="S276">
        <f>ROUND(SUM(Q276:R276), -2)</f>
        <v>62500</v>
      </c>
      <c r="T276">
        <f>ROUNDUP(HLOOKUP(ROUNDUP(K276,0),'배송비 조회'!A$10:U$22,7,0)*C$3,-2)</f>
        <v>9000</v>
      </c>
      <c r="U276">
        <v>0</v>
      </c>
      <c r="V276">
        <f>ROUND(IF(R276&gt;0,0,(S276+T276)*0.3),-2)</f>
        <v>21500</v>
      </c>
      <c r="W276">
        <f>ROUND(IF(R276&gt;0,0,(S276+T276)*0.4),-2)</f>
        <v>28600</v>
      </c>
      <c r="X276">
        <f>IF(R276&gt;0,SUM(S276:T276),SUM(S276:V276))</f>
        <v>93000</v>
      </c>
      <c r="Y276">
        <f>IF(R276&gt;0,SUM(S276:T276),SUM(S276:U276)+W276)</f>
        <v>100100</v>
      </c>
      <c r="Z276">
        <v>0</v>
      </c>
      <c r="AA276">
        <f>X276*0.038</f>
        <v>3534</v>
      </c>
      <c r="AB276">
        <f>X276*0.02</f>
        <v>1860</v>
      </c>
      <c r="AC276">
        <f>Y276*0.1</f>
        <v>10010</v>
      </c>
      <c r="AD276">
        <f>X276-AA276-AB276</f>
        <v>87606</v>
      </c>
      <c r="AE276">
        <f>Y276-AC276</f>
        <v>90090</v>
      </c>
      <c r="AF276">
        <f>AD276*0.01</f>
        <v>876.0600000000001</v>
      </c>
      <c r="AG276">
        <f>AD276-Q276-AF276-T276</f>
        <v>15229.939999999999</v>
      </c>
      <c r="AH276">
        <f>AE276-Q276-AF276-T276</f>
        <v>17713.94</v>
      </c>
      <c r="AI276">
        <f>AG276/X276</f>
        <v>0.1637627956989247</v>
      </c>
      <c r="AJ276">
        <f>AH276/Y276</f>
        <v>0.17696243756243754</v>
      </c>
    </row>
    <row r="277">
      <c r="A277" t="str">
        <f>HYPERLINK("https://smartstore.naver.com/brickstore2019/products/4658960999",AW:AW)</f>
        <v>추가상품</v>
      </c>
      <c r="C277" t="str">
        <v>어도닛노트 펜팁 3팩</v>
      </c>
      <c r="E277" t="str">
        <v>Adonit Note Tips 3 Pack Sensitive Nibs Extra Stylus Pen Tips for iPad Pro, iPad Mini, iPad Air</v>
      </c>
      <c r="G277" t="str">
        <f>HYPERLINK("https://www.amazon.com/Adonit-Note-Sensitive-Extra-Stylus/dp/B07T34NRGS/ref=as_li_ss_tl?keywords=adonit+note+pen+tips&amp;qid=1567009996&amp;s=gateway&amp;sr=8-3&amp;linkCode=sl1&amp;tag=techgearcast-20&amp;linkId=d488edc3bb8589ff3188719f6e24f808&amp;language=en_US","A")</f>
        <v>A</v>
      </c>
      <c r="J277">
        <v>15</v>
      </c>
      <c r="K277">
        <f>IF(L277&gt;0,L277*0.0625,)</f>
        <v>0.02</v>
      </c>
      <c r="L277">
        <v>0.32</v>
      </c>
      <c r="M277">
        <f>IF(K277&gt;0,K277*0.453592,IF(L277&gt;0,L277*0.02835,))</f>
        <v>0.00907184</v>
      </c>
      <c r="N277">
        <v>0</v>
      </c>
      <c r="O277">
        <v>0</v>
      </c>
      <c r="P277">
        <f>J277+O277+N277</f>
        <v>15</v>
      </c>
      <c r="Q277">
        <f>P277*C$3</f>
        <v>18750</v>
      </c>
      <c r="R277">
        <v>0</v>
      </c>
      <c r="S277">
        <f>ROUND(SUM(Q277:R277), -2)</f>
        <v>18800</v>
      </c>
      <c r="T277">
        <v>0</v>
      </c>
      <c r="U277">
        <v>0</v>
      </c>
      <c r="V277">
        <f>ROUND(IF(R277&gt;0,0,(S277+T277)*0.7),-2)</f>
        <v>13200</v>
      </c>
      <c r="W277">
        <f>ROUND(IF(R277&gt;0,0,(S277+T277)*0.5),-2)</f>
        <v>9400</v>
      </c>
      <c r="X277">
        <f>IF(R277&gt;0,SUM(S277:T277),SUM(S277:V277))</f>
        <v>32000</v>
      </c>
      <c r="Y277">
        <f>IF(R277&gt;0,SUM(S277:T277),SUM(S277:U277)+W277)</f>
        <v>28200</v>
      </c>
      <c r="Z277">
        <v>0</v>
      </c>
      <c r="AA277">
        <f>X277*0.038</f>
        <v>1216</v>
      </c>
      <c r="AB277">
        <f>X277*0.02</f>
        <v>640</v>
      </c>
      <c r="AC277">
        <f>Y277*0.1</f>
        <v>2820</v>
      </c>
      <c r="AD277">
        <f>X277-AA277-AB277</f>
        <v>30144</v>
      </c>
      <c r="AE277">
        <f>Y277-AC277</f>
        <v>25380</v>
      </c>
      <c r="AF277">
        <f>AD277*0.01</f>
        <v>301.44</v>
      </c>
      <c r="AG277">
        <f>AD277-Q277-AF277-T277</f>
        <v>11092.56</v>
      </c>
      <c r="AH277">
        <f>AE277-Q277-AF277-T277</f>
        <v>6328.56</v>
      </c>
      <c r="AI277">
        <f>AG277/X277</f>
        <v>0.34664249999999996</v>
      </c>
      <c r="AJ277">
        <f>AH277/Y277</f>
        <v>0.22441702127659577</v>
      </c>
      <c r="AW277" t="str">
        <v>추가상품</v>
      </c>
    </row>
    <row r="278">
      <c r="A278">
        <f>HYPERLINK("https://smartstore.naver.com/brickstore2019/products/4659010984",AW:AW)</f>
        <v>4659010984</v>
      </c>
      <c r="C278" t="str">
        <v>VIVO 조절가능한 듀얼모니터암 STAND-V002 STAND-V102F (무료배송)</v>
      </c>
      <c r="E278" t="str">
        <v>VIVO Dual LCD Monitor Desk Mount Stand Heavy Duty Fully Adjustable fits 2 /Two Screens up to 27" (STAND-V002)</v>
      </c>
      <c r="F278" t="str">
        <v>Dual Monitor - Desk Mount</v>
      </c>
      <c r="G278" t="str">
        <f>HYPERLINK("https://www.amazon.com/gp/product/B009S750LA/ref=as_li_tl?ie=UTF8&amp;camp=1789&amp;creative=390957&amp;tag=207858-20&amp;creativeASIN=B009S750LA&amp;linkCode=as2&amp;th=1","A")</f>
        <v>A</v>
      </c>
      <c r="J278">
        <v>30</v>
      </c>
      <c r="K278">
        <v>9</v>
      </c>
      <c r="L278">
        <f>IF(K278&gt;0,K278*16,)</f>
        <v>144</v>
      </c>
      <c r="M278">
        <f>IF(K278&gt;0,K278*0.453592,IF(L278&gt;0,L278*0.02835,))</f>
        <v>4.082328</v>
      </c>
      <c r="N278">
        <v>0</v>
      </c>
      <c r="O278">
        <v>0</v>
      </c>
      <c r="P278">
        <f>J278+O278+N278</f>
        <v>30</v>
      </c>
      <c r="Q278">
        <f>P278*C$3</f>
        <v>37500</v>
      </c>
      <c r="R278">
        <v>0</v>
      </c>
      <c r="S278">
        <f>ROUND(SUM(Q278:R278), -2)</f>
        <v>37500</v>
      </c>
      <c r="T278">
        <f>ROUNDUP(HLOOKUP(ROUNDUP(K278,0),'배송비 조회'!A$10:U$22,7,0)*C$3,-2)</f>
        <v>26500</v>
      </c>
      <c r="U278">
        <v>0</v>
      </c>
      <c r="V278">
        <f>ROUND(IF(R278&gt;0,0,(S278+T278)*0.3),-2)</f>
        <v>19200</v>
      </c>
      <c r="W278">
        <f>ROUND(IF(R278&gt;0,0,(S278+T278)*0.5),-2)</f>
        <v>32000</v>
      </c>
      <c r="X278">
        <f>IF(R278&gt;0,SUM(S278:T278),SUM(S278:V278))</f>
        <v>83200</v>
      </c>
      <c r="Y278">
        <f>IF(R278&gt;0,SUM(S278:T278),SUM(S278:U278)+W278)</f>
        <v>96000</v>
      </c>
      <c r="Z278">
        <v>0</v>
      </c>
      <c r="AA278">
        <f>X278*0.038</f>
        <v>3161.6</v>
      </c>
      <c r="AB278">
        <f>X278*0.02</f>
        <v>1664</v>
      </c>
      <c r="AC278">
        <f>Y278*0.1</f>
        <v>9600</v>
      </c>
      <c r="AD278">
        <f>X278-AA278-AB278</f>
        <v>78374.4</v>
      </c>
      <c r="AE278">
        <f>Y278-AC278</f>
        <v>86400</v>
      </c>
      <c r="AF278">
        <f>AD278*0.01</f>
        <v>783.7439999999999</v>
      </c>
      <c r="AG278">
        <f>AD278-Q278-AF278-T278</f>
        <v>13590.655999999995</v>
      </c>
      <c r="AH278">
        <f>AE278-Q278-AF278-T278</f>
        <v>21616.256</v>
      </c>
      <c r="AI278">
        <f>AG278/X278</f>
        <v>0.16334923076923072</v>
      </c>
      <c r="AJ278">
        <f>AH278/Y278</f>
        <v>0.22516933333333333</v>
      </c>
      <c r="AW278">
        <v>4659010984</v>
      </c>
    </row>
    <row r="279">
      <c r="E279" t="str">
        <v>VIVO Full Motion Dual Monitor Free-Standing Desk Stand VESA Mount with Articulating Double Center Arm Joint | Holds 2 Screens up to 30 inches (STAND-V102F)</v>
      </c>
      <c r="F279" t="str">
        <v>Dual Monitor - Freestanding</v>
      </c>
      <c r="G279" t="str">
        <f>HYPERLINK("https://www.amazon.com/gp/product/B074GBSXTM/ref=as_li_tl?ie=UTF8&amp;camp=1789&amp;creative=390957&amp;tag=207858-20&amp;creativeASIN=B009S750LA&amp;linkCode=as2&amp;th=1","A")</f>
        <v>A</v>
      </c>
      <c r="J279">
        <v>38</v>
      </c>
      <c r="K279">
        <v>11</v>
      </c>
      <c r="L279">
        <f>IF(K279&gt;0,K279*16,)</f>
        <v>176</v>
      </c>
      <c r="M279">
        <f>IF(K279&gt;0,K279*0.453592,IF(L279&gt;0,L279*0.02835,))</f>
        <v>4.9895119999999995</v>
      </c>
      <c r="N279">
        <v>0</v>
      </c>
      <c r="O279">
        <v>0</v>
      </c>
      <c r="P279">
        <f>J279+O279+N279</f>
        <v>38</v>
      </c>
      <c r="Q279">
        <f>P279*C$3</f>
        <v>47500</v>
      </c>
      <c r="R279">
        <v>0</v>
      </c>
      <c r="S279">
        <f>ROUND(SUM(Q279:R279), -2)</f>
        <v>47500</v>
      </c>
      <c r="T279">
        <f>ROUNDUP(HLOOKUP(ROUNDUP(K279,0),'배송비 조회'!A$10:U$22,7,0)*C$3,-2)</f>
        <v>30900</v>
      </c>
      <c r="U279">
        <v>0</v>
      </c>
      <c r="V279">
        <f>ROUND(IF(R279&gt;0,0,(S279+T279)*0.3),-2)</f>
        <v>23500</v>
      </c>
      <c r="W279">
        <f>ROUND(IF(R279&gt;0,0,(S279+T279)*0.5),-2)</f>
        <v>39200</v>
      </c>
      <c r="X279">
        <f>IF(R279&gt;0,SUM(S279:T279),SUM(S279:V279))</f>
        <v>101900</v>
      </c>
      <c r="Y279">
        <f>IF(R279&gt;0,SUM(S279:T279),SUM(S279:U279)+W279)</f>
        <v>117600</v>
      </c>
      <c r="Z279">
        <v>0</v>
      </c>
      <c r="AA279">
        <f>X279*0.038</f>
        <v>3872.2</v>
      </c>
      <c r="AB279">
        <f>X279*0.02</f>
        <v>2038</v>
      </c>
      <c r="AC279">
        <f>Y279*0.1</f>
        <v>11760</v>
      </c>
      <c r="AD279">
        <f>X279-AA279-AB279</f>
        <v>95989.8</v>
      </c>
      <c r="AE279">
        <f>Y279-AC279</f>
        <v>105840</v>
      </c>
      <c r="AF279">
        <f>AD279*0.01</f>
        <v>959.898</v>
      </c>
      <c r="AG279">
        <f>AD279-Q279-AF279-T279</f>
        <v>16629.902000000002</v>
      </c>
      <c r="AH279">
        <f>AE279-Q279-AF279-T279</f>
        <v>26480.102</v>
      </c>
      <c r="AI279">
        <f>AG279/X279</f>
        <v>0.1631982531894014</v>
      </c>
      <c r="AJ279">
        <f>AH279/Y279</f>
        <v>0.22517093537414964</v>
      </c>
      <c r="AK279">
        <f>X279-X278</f>
        <v>18700</v>
      </c>
    </row>
    <row r="280">
      <c r="A280">
        <f>HYPERLINK("https://smartstore.naver.com/brickstore2019/products/4660583576",AW:AW)</f>
        <v>4660583576</v>
      </c>
      <c r="C280" t="str">
        <v>타이틀리스트 골프 모자 클래식 볼마커 골프 모자</v>
      </c>
      <c r="E280" t="str">
        <v>Titleist Classic Golf Ball Marker Hat (Adjustable)</v>
      </c>
      <c r="F280" t="str">
        <v>Black/White</v>
      </c>
      <c r="G280" t="str">
        <f>HYPERLINK("https://www.amazon.com/Titleist-Classic-Marker-Adjustable-Charcoal/dp/B07JR6JS5L/ref=sr_1_8?crid=3H5S7NH7W5BMG&amp;keywords=titleist%2Bgolf%2Bhat&amp;qid=1567257690&amp;refinements=p_89%3ATitleist&amp;rnid=2528832011&amp;s=gateway&amp;sprefix=title%2Caps%2C432&amp;sr=8-8&amp;th=1","A")</f>
        <v>A</v>
      </c>
      <c r="J280">
        <v>18</v>
      </c>
      <c r="K280">
        <f>IF(L280&gt;0,L280*0.0625,)</f>
        <v>0.25</v>
      </c>
      <c r="L280">
        <v>4</v>
      </c>
      <c r="M280">
        <f>IF(K280&gt;0,K280*0.453592,IF(L280&gt;0,L280*0.02835,))</f>
        <v>0.113398</v>
      </c>
      <c r="N280">
        <v>0</v>
      </c>
      <c r="O280">
        <v>0</v>
      </c>
      <c r="P280">
        <f>J280+O280+N280</f>
        <v>18</v>
      </c>
      <c r="Q280">
        <f>P280*C$3</f>
        <v>22500</v>
      </c>
      <c r="R280">
        <v>0</v>
      </c>
      <c r="S280">
        <f>ROUND(SUM(Q280:R280), -2)</f>
        <v>22500</v>
      </c>
      <c r="T280">
        <f>ROUNDUP(HLOOKUP(ROUNDUP(K280,0),'배송비 조회'!A$10:U$22,7,0)*C$3,-2)</f>
        <v>9000</v>
      </c>
      <c r="U280">
        <v>0</v>
      </c>
      <c r="V280">
        <f>ROUND(IF(R280&gt;0,0,(S280+T280)*0.5),-2)</f>
        <v>15800</v>
      </c>
      <c r="W280">
        <f>ROUND(IF(R280&gt;0,0,(S280+T280)*0.5),-2)</f>
        <v>15800</v>
      </c>
      <c r="X280">
        <f>IF(R280&gt;0,SUM(S280:T280),SUM(S280:V280))</f>
        <v>47300</v>
      </c>
      <c r="Y280">
        <f>IF(R280&gt;0,SUM(S280:T280),SUM(S280:U280)+W280)</f>
        <v>47300</v>
      </c>
      <c r="Z280">
        <v>0</v>
      </c>
      <c r="AA280">
        <f>X280*0.038</f>
        <v>1797.3999999999999</v>
      </c>
      <c r="AB280">
        <f>X280*0.02</f>
        <v>946</v>
      </c>
      <c r="AC280">
        <f>Y280*0.1</f>
        <v>4730</v>
      </c>
      <c r="AD280">
        <f>X280-AA280-AB280</f>
        <v>44556.6</v>
      </c>
      <c r="AE280">
        <f>Y280-AC280</f>
        <v>42570</v>
      </c>
      <c r="AF280">
        <f>AD280*0.01</f>
        <v>445.566</v>
      </c>
      <c r="AG280">
        <f>AD280-Q280-AF280-T280</f>
        <v>12611.034</v>
      </c>
      <c r="AH280">
        <f>AE280-Q280-AF280-T280</f>
        <v>10624.434000000001</v>
      </c>
      <c r="AI280">
        <f>AG280/X280</f>
        <v>0.2666180549682875</v>
      </c>
      <c r="AJ280">
        <f>AH280/Y280</f>
        <v>0.22461805496828754</v>
      </c>
      <c r="AW280">
        <v>4660583576</v>
      </c>
    </row>
    <row r="281">
      <c r="F281" t="str">
        <v>Charcoal/Black</v>
      </c>
      <c r="G281" t="str">
        <f>HYPERLINK("https://www.amazon.com/Titleist-Classic-Marker-Adjustable-Charcoal/dp/B07JR6JS5L/ref=sr_1_8?crid=3H5S7NH7W5BMG&amp;keywords=titleist%2Bgolf%2Bhat&amp;qid=1567257690&amp;refinements=p_89%3ATitleist&amp;rnid=2528832011&amp;s=gateway&amp;sprefix=title%2Caps%2C432&amp;sr=8-8&amp;th=1","A")</f>
        <v>A</v>
      </c>
      <c r="H281" t="str">
        <v>품절</v>
      </c>
      <c r="J281">
        <v>18</v>
      </c>
      <c r="K281">
        <f>IF(L281&gt;0,L281*0.0625,)</f>
        <v>0.25</v>
      </c>
      <c r="L281">
        <v>4</v>
      </c>
      <c r="M281">
        <f>IF(K281&gt;0,K281*0.453592,IF(L281&gt;0,L281*0.02835,))</f>
        <v>0.113398</v>
      </c>
      <c r="N281">
        <v>0</v>
      </c>
      <c r="O281">
        <v>0</v>
      </c>
      <c r="P281">
        <f>J281+O281+N281</f>
        <v>18</v>
      </c>
      <c r="Q281">
        <f>P281*C$3</f>
        <v>22500</v>
      </c>
      <c r="R281">
        <v>0</v>
      </c>
      <c r="S281">
        <f>ROUND(SUM(Q281:R281), -2)</f>
        <v>22500</v>
      </c>
      <c r="T281">
        <f>ROUNDUP(HLOOKUP(ROUNDUP(K281,0),'배송비 조회'!A$10:U$22,7,0)*C$3,-2)</f>
        <v>9000</v>
      </c>
      <c r="U281">
        <v>0</v>
      </c>
      <c r="V281">
        <f>ROUND(IF(R281&gt;0,0,(S281+T281)*0.5),-2)</f>
        <v>15800</v>
      </c>
      <c r="W281">
        <f>ROUND(IF(R281&gt;0,0,(S281+T281)*0.5),-2)</f>
        <v>15800</v>
      </c>
      <c r="X281">
        <f>IF(R281&gt;0,SUM(S281:T281),SUM(S281:V281))</f>
        <v>47300</v>
      </c>
      <c r="Y281">
        <f>IF(R281&gt;0,SUM(S281:T281),SUM(S281:U281)+W281)</f>
        <v>47300</v>
      </c>
      <c r="Z281">
        <v>0</v>
      </c>
      <c r="AA281">
        <f>X281*0.038</f>
        <v>1797.3999999999999</v>
      </c>
      <c r="AB281">
        <f>X281*0.02</f>
        <v>946</v>
      </c>
      <c r="AC281">
        <f>Y281*0.1</f>
        <v>4730</v>
      </c>
      <c r="AD281">
        <f>X281-AA281-AB281</f>
        <v>44556.6</v>
      </c>
      <c r="AE281">
        <f>Y281-AC281</f>
        <v>42570</v>
      </c>
      <c r="AF281">
        <f>AD281*0.01</f>
        <v>445.566</v>
      </c>
      <c r="AG281">
        <f>AD281-Q281-AF281-T281</f>
        <v>12611.034</v>
      </c>
      <c r="AH281">
        <f>AE281-Q281-AF281-T281</f>
        <v>10624.434000000001</v>
      </c>
      <c r="AI281">
        <f>AG281/X281</f>
        <v>0.2666180549682875</v>
      </c>
      <c r="AJ281">
        <f>AH281/Y281</f>
        <v>0.22461805496828754</v>
      </c>
    </row>
    <row r="282">
      <c r="F282" t="str">
        <v>Navy/White</v>
      </c>
      <c r="G282" t="str">
        <f>HYPERLINK("https://www.amazon.com/Titleist-Classic-Marker-Adjustable-Charcoal/dp/B07JRH2L9D/ref=sr_1_8?crid=3H5S7NH7W5BMG&amp;keywords=titleist%2Bgolf%2Bhat&amp;qid=1567257690&amp;refinements=p_89%3ATitleist&amp;rnid=2528832011&amp;s=gateway&amp;sprefix=title%2Caps%2C432&amp;sr=8-8&amp;th=1","A")</f>
        <v>A</v>
      </c>
      <c r="J282">
        <v>18</v>
      </c>
      <c r="K282">
        <f>IF(L282&gt;0,L282*0.0625,)</f>
        <v>0.25</v>
      </c>
      <c r="L282">
        <v>4</v>
      </c>
      <c r="M282">
        <f>IF(K282&gt;0,K282*0.453592,IF(L282&gt;0,L282*0.02835,))</f>
        <v>0.113398</v>
      </c>
      <c r="N282">
        <v>0</v>
      </c>
      <c r="O282">
        <v>0</v>
      </c>
      <c r="P282">
        <f>J282+O282+N282</f>
        <v>18</v>
      </c>
      <c r="Q282">
        <f>P282*C$3</f>
        <v>22500</v>
      </c>
      <c r="R282">
        <v>0</v>
      </c>
      <c r="S282">
        <f>ROUND(SUM(Q282:R282), -2)</f>
        <v>22500</v>
      </c>
      <c r="T282">
        <f>ROUNDUP(HLOOKUP(ROUNDUP(K282,0),'배송비 조회'!A$10:U$22,7,0)*C$3,-2)</f>
        <v>9000</v>
      </c>
      <c r="U282">
        <v>0</v>
      </c>
      <c r="V282">
        <f>ROUND(IF(R282&gt;0,0,(S282+T282)*0.5),-2)</f>
        <v>15800</v>
      </c>
      <c r="W282">
        <f>ROUND(IF(R282&gt;0,0,(S282+T282)*0.5),-2)</f>
        <v>15800</v>
      </c>
      <c r="X282">
        <f>IF(R282&gt;0,SUM(S282:T282),SUM(S282:V282))</f>
        <v>47300</v>
      </c>
      <c r="Y282">
        <f>IF(R282&gt;0,SUM(S282:T282),SUM(S282:U282)+W282)</f>
        <v>47300</v>
      </c>
      <c r="Z282">
        <v>0</v>
      </c>
      <c r="AA282">
        <f>X282*0.038</f>
        <v>1797.3999999999999</v>
      </c>
      <c r="AB282">
        <f>X282*0.02</f>
        <v>946</v>
      </c>
      <c r="AC282">
        <f>Y282*0.1</f>
        <v>4730</v>
      </c>
      <c r="AD282">
        <f>X282-AA282-AB282</f>
        <v>44556.6</v>
      </c>
      <c r="AE282">
        <f>Y282-AC282</f>
        <v>42570</v>
      </c>
      <c r="AF282">
        <f>AD282*0.01</f>
        <v>445.566</v>
      </c>
      <c r="AG282">
        <f>AD282-Q282-AF282-T282</f>
        <v>12611.034</v>
      </c>
      <c r="AH282">
        <f>AE282-Q282-AF282-T282</f>
        <v>10624.434000000001</v>
      </c>
      <c r="AI282">
        <f>AG282/X282</f>
        <v>0.2666180549682875</v>
      </c>
      <c r="AJ282">
        <f>AH282/Y282</f>
        <v>0.22461805496828754</v>
      </c>
    </row>
    <row r="283">
      <c r="F283" t="str">
        <v>Red/White</v>
      </c>
      <c r="G283" t="str">
        <f>HYPERLINK("https://www.amazon.com/Titleist-Classic-Marker-Adjustable-Charcoal/dp/B07JRH2197/ref=sr_1_8?crid=3H5S7NH7W5BMG&amp;keywords=titleist%2Bgolf%2Bhat&amp;qid=1567257690&amp;refinements=p_89%3ATitleist&amp;rnid=2528832011&amp;s=gateway&amp;sprefix=title%2Caps%2C432&amp;sr=8-8&amp;th=1","A")</f>
        <v>A</v>
      </c>
      <c r="J283">
        <v>18</v>
      </c>
      <c r="K283">
        <f>IF(L283&gt;0,L283*0.0625,)</f>
        <v>0.25</v>
      </c>
      <c r="L283">
        <v>4</v>
      </c>
      <c r="M283">
        <f>IF(K283&gt;0,K283*0.453592,IF(L283&gt;0,L283*0.02835,))</f>
        <v>0.113398</v>
      </c>
      <c r="N283">
        <v>0</v>
      </c>
      <c r="O283">
        <v>0</v>
      </c>
      <c r="P283">
        <f>J283+O283+N283</f>
        <v>18</v>
      </c>
      <c r="Q283">
        <f>P283*C$3</f>
        <v>22500</v>
      </c>
      <c r="R283">
        <v>0</v>
      </c>
      <c r="S283">
        <f>ROUND(SUM(Q283:R283), -2)</f>
        <v>22500</v>
      </c>
      <c r="T283">
        <f>ROUNDUP(HLOOKUP(ROUNDUP(K283,0),'배송비 조회'!A$10:U$22,7,0)*C$3,-2)</f>
        <v>9000</v>
      </c>
      <c r="U283">
        <v>0</v>
      </c>
      <c r="V283">
        <f>ROUND(IF(R283&gt;0,0,(S283+T283)*0.5),-2)</f>
        <v>15800</v>
      </c>
      <c r="W283">
        <f>ROUND(IF(R283&gt;0,0,(S283+T283)*0.5),-2)</f>
        <v>15800</v>
      </c>
      <c r="X283">
        <f>IF(R283&gt;0,SUM(S283:T283),SUM(S283:V283))</f>
        <v>47300</v>
      </c>
      <c r="Y283">
        <f>IF(R283&gt;0,SUM(S283:T283),SUM(S283:U283)+W283)</f>
        <v>47300</v>
      </c>
      <c r="Z283">
        <v>0</v>
      </c>
      <c r="AA283">
        <f>X283*0.038</f>
        <v>1797.3999999999999</v>
      </c>
      <c r="AB283">
        <f>X283*0.02</f>
        <v>946</v>
      </c>
      <c r="AC283">
        <f>Y283*0.1</f>
        <v>4730</v>
      </c>
      <c r="AD283">
        <f>X283-AA283-AB283</f>
        <v>44556.6</v>
      </c>
      <c r="AE283">
        <f>Y283-AC283</f>
        <v>42570</v>
      </c>
      <c r="AF283">
        <f>AD283*0.01</f>
        <v>445.566</v>
      </c>
      <c r="AG283">
        <f>AD283-Q283-AF283-T283</f>
        <v>12611.034</v>
      </c>
      <c r="AH283">
        <f>AE283-Q283-AF283-T283</f>
        <v>10624.434000000001</v>
      </c>
      <c r="AI283">
        <f>AG283/X283</f>
        <v>0.2666180549682875</v>
      </c>
      <c r="AJ283">
        <f>AH283/Y283</f>
        <v>0.22461805496828754</v>
      </c>
    </row>
    <row r="284">
      <c r="F284" t="str">
        <v>Royal/White</v>
      </c>
      <c r="G284" t="str">
        <f>HYPERLINK("https://www.amazon.com/Titleist-Classic-Marker-Adjustable-Charcoal/dp/B07JRHHY5Y/ref=sr_1_8?crid=3H5S7NH7W5BMG&amp;keywords=titleist%2Bgolf%2Bhat&amp;qid=1567257690&amp;refinements=p_89%3ATitleist&amp;rnid=2528832011&amp;s=gateway&amp;sprefix=title%2Caps%2C432&amp;sr=8-8&amp;th=1","A")</f>
        <v>A</v>
      </c>
      <c r="J284">
        <v>18</v>
      </c>
      <c r="K284">
        <f>IF(L284&gt;0,L284*0.0625,)</f>
        <v>0.25</v>
      </c>
      <c r="L284">
        <v>4</v>
      </c>
      <c r="M284">
        <f>IF(K284&gt;0,K284*0.453592,IF(L284&gt;0,L284*0.02835,))</f>
        <v>0.113398</v>
      </c>
      <c r="N284">
        <v>0</v>
      </c>
      <c r="O284">
        <v>0</v>
      </c>
      <c r="P284">
        <f>J284+O284+N284</f>
        <v>18</v>
      </c>
      <c r="Q284">
        <f>P284*C$3</f>
        <v>22500</v>
      </c>
      <c r="R284">
        <v>0</v>
      </c>
      <c r="S284">
        <f>ROUND(SUM(Q284:R284), -2)</f>
        <v>22500</v>
      </c>
      <c r="T284">
        <f>ROUNDUP(HLOOKUP(ROUNDUP(K284,0),'배송비 조회'!A$10:U$22,7,0)*C$3,-2)</f>
        <v>9000</v>
      </c>
      <c r="U284">
        <v>0</v>
      </c>
      <c r="V284">
        <f>ROUND(IF(R284&gt;0,0,(S284+T284)*0.5),-2)</f>
        <v>15800</v>
      </c>
      <c r="W284">
        <f>ROUND(IF(R284&gt;0,0,(S284+T284)*0.5),-2)</f>
        <v>15800</v>
      </c>
      <c r="X284">
        <f>IF(R284&gt;0,SUM(S284:T284),SUM(S284:V284))</f>
        <v>47300</v>
      </c>
      <c r="Y284">
        <f>IF(R284&gt;0,SUM(S284:T284),SUM(S284:U284)+W284)</f>
        <v>47300</v>
      </c>
      <c r="Z284">
        <v>0</v>
      </c>
      <c r="AA284">
        <f>X284*0.038</f>
        <v>1797.3999999999999</v>
      </c>
      <c r="AB284">
        <f>X284*0.02</f>
        <v>946</v>
      </c>
      <c r="AC284">
        <f>Y284*0.1</f>
        <v>4730</v>
      </c>
      <c r="AD284">
        <f>X284-AA284-AB284</f>
        <v>44556.6</v>
      </c>
      <c r="AE284">
        <f>Y284-AC284</f>
        <v>42570</v>
      </c>
      <c r="AF284">
        <f>AD284*0.01</f>
        <v>445.566</v>
      </c>
      <c r="AG284">
        <f>AD284-Q284-AF284-T284</f>
        <v>12611.034</v>
      </c>
      <c r="AH284">
        <f>AE284-Q284-AF284-T284</f>
        <v>10624.434000000001</v>
      </c>
      <c r="AI284">
        <f>AG284/X284</f>
        <v>0.2666180549682875</v>
      </c>
      <c r="AJ284">
        <f>AH284/Y284</f>
        <v>0.22461805496828754</v>
      </c>
    </row>
    <row r="285">
      <c r="F285" t="str">
        <v>White/Red</v>
      </c>
      <c r="G285" t="str">
        <f>HYPERLINK("https://www.amazon.com/Titleist-Classic-Marker-Adjustable-Charcoal/dp/B07JQ9KS4H/ref=sr_1_8?crid=3H5S7NH7W5BMG&amp;keywords=titleist%2Bgolf%2Bhat&amp;qid=1567257690&amp;refinements=p_89%3ATitleist&amp;rnid=2528832011&amp;s=gateway&amp;sprefix=title%2Caps%2C432&amp;sr=8-8&amp;th=1","A")</f>
        <v>A</v>
      </c>
      <c r="J285">
        <v>18</v>
      </c>
      <c r="K285">
        <f>IF(L285&gt;0,L285*0.0625,)</f>
        <v>0.25</v>
      </c>
      <c r="L285">
        <v>4</v>
      </c>
      <c r="M285">
        <f>IF(K285&gt;0,K285*0.453592,IF(L285&gt;0,L285*0.02835,))</f>
        <v>0.113398</v>
      </c>
      <c r="N285">
        <v>0</v>
      </c>
      <c r="O285">
        <v>0</v>
      </c>
      <c r="P285">
        <f>J285+O285+N285</f>
        <v>18</v>
      </c>
      <c r="Q285">
        <f>P285*C$3</f>
        <v>22500</v>
      </c>
      <c r="R285">
        <v>0</v>
      </c>
      <c r="S285">
        <f>ROUND(SUM(Q285:R285), -2)</f>
        <v>22500</v>
      </c>
      <c r="T285">
        <f>ROUNDUP(HLOOKUP(ROUNDUP(K285,0),'배송비 조회'!A$10:U$22,7,0)*C$3,-2)</f>
        <v>9000</v>
      </c>
      <c r="U285">
        <v>0</v>
      </c>
      <c r="V285">
        <f>ROUND(IF(R285&gt;0,0,(S285+T285)*0.5),-2)</f>
        <v>15800</v>
      </c>
      <c r="W285">
        <f>ROUND(IF(R285&gt;0,0,(S285+T285)*0.5),-2)</f>
        <v>15800</v>
      </c>
      <c r="X285">
        <f>IF(R285&gt;0,SUM(S285:T285),SUM(S285:V285))</f>
        <v>47300</v>
      </c>
      <c r="Y285">
        <f>IF(R285&gt;0,SUM(S285:T285),SUM(S285:U285)+W285)</f>
        <v>47300</v>
      </c>
      <c r="Z285">
        <v>0</v>
      </c>
      <c r="AA285">
        <f>X285*0.038</f>
        <v>1797.3999999999999</v>
      </c>
      <c r="AB285">
        <f>X285*0.02</f>
        <v>946</v>
      </c>
      <c r="AC285">
        <f>Y285*0.1</f>
        <v>4730</v>
      </c>
      <c r="AD285">
        <f>X285-AA285-AB285</f>
        <v>44556.6</v>
      </c>
      <c r="AE285">
        <f>Y285-AC285</f>
        <v>42570</v>
      </c>
      <c r="AF285">
        <f>AD285*0.01</f>
        <v>445.566</v>
      </c>
      <c r="AG285">
        <f>AD285-Q285-AF285-T285</f>
        <v>12611.034</v>
      </c>
      <c r="AH285">
        <f>AE285-Q285-AF285-T285</f>
        <v>10624.434000000001</v>
      </c>
      <c r="AI285">
        <f>AG285/X285</f>
        <v>0.2666180549682875</v>
      </c>
      <c r="AJ285">
        <f>AH285/Y285</f>
        <v>0.22461805496828754</v>
      </c>
    </row>
    <row r="286">
      <c r="A286">
        <f>HYPERLINK("https://smartstore.naver.com/brickstore2019/products/4660605713",AW:AW)</f>
        <v>4660605713</v>
      </c>
      <c r="C286" t="str">
        <v>템퍼 베개 템퍼 심포니 꿀잠베개 15390515P</v>
      </c>
      <c r="E286" t="str">
        <v>Tempur-Pedic TEMPUR-ProForm Symphony Luxury Pillow for Sleeping, Soft Premium Foam, Washable Cover, Standard, White</v>
      </c>
      <c r="G286" t="str">
        <v>A</v>
      </c>
      <c r="J286">
        <v>46</v>
      </c>
      <c r="K286">
        <v>3</v>
      </c>
      <c r="L286">
        <f>IF(K286&gt;0,K286*16,)</f>
        <v>48</v>
      </c>
      <c r="M286">
        <f>IF(K286&gt;0,K286*0.453592,IF(L286&gt;0,L286*0.02835,))</f>
        <v>1.360776</v>
      </c>
      <c r="N286">
        <v>0</v>
      </c>
      <c r="O286">
        <v>0</v>
      </c>
      <c r="P286">
        <f>J286+O286+N286</f>
        <v>46</v>
      </c>
      <c r="Q286">
        <f>P286*C$3</f>
        <v>57500</v>
      </c>
      <c r="R286">
        <v>0</v>
      </c>
      <c r="S286">
        <f>ROUND(SUM(Q286:R286), -2)</f>
        <v>57500</v>
      </c>
      <c r="T286">
        <f>ROUNDUP(HLOOKUP(ROUNDUP(K286,0),'배송비 조회'!A$10:U$22,7,0)*C$3,-2)</f>
        <v>13400</v>
      </c>
      <c r="U286">
        <v>0</v>
      </c>
      <c r="V286">
        <f>ROUND(IF(R286&gt;0,0,(S286+T286)*0.3),-2)</f>
        <v>21300</v>
      </c>
      <c r="W286">
        <f>ROUND(IF(R286&gt;0,0,(S286+T286)*0.5),-2)</f>
        <v>35500</v>
      </c>
      <c r="X286">
        <f>IF(R286&gt;0,SUM(S286:T286),SUM(S286:V286))</f>
        <v>92200</v>
      </c>
      <c r="Y286">
        <f>IF(R286&gt;0,SUM(S286:T286),SUM(S286:U286)+W286)</f>
        <v>106400</v>
      </c>
      <c r="Z286">
        <v>0</v>
      </c>
      <c r="AA286">
        <f>X286*0.038</f>
        <v>3503.6</v>
      </c>
      <c r="AB286">
        <f>X286*0.02</f>
        <v>1844</v>
      </c>
      <c r="AC286">
        <f>Y286*0.1</f>
        <v>10640</v>
      </c>
      <c r="AD286">
        <f>X286-AA286-AB286</f>
        <v>86852.4</v>
      </c>
      <c r="AE286">
        <f>Y286-AC286</f>
        <v>95760</v>
      </c>
      <c r="AF286">
        <f>AD286*0.01</f>
        <v>868.524</v>
      </c>
      <c r="AG286">
        <f>AD286-Q286-AF286-T286</f>
        <v>15083.875999999993</v>
      </c>
      <c r="AH286">
        <f>AE286-Q286-AF286-T286</f>
        <v>23991.476000000002</v>
      </c>
      <c r="AI286">
        <f>AG286/X286</f>
        <v>0.16359952277657258</v>
      </c>
      <c r="AJ286">
        <f>AH286/Y286</f>
        <v>0.22548379699248122</v>
      </c>
      <c r="AW286">
        <v>4660605713</v>
      </c>
    </row>
    <row r="287">
      <c r="A287">
        <f>HYPERLINK("https://smartstore.naver.com/brickstore2019/products/4661807433",AW:AW)</f>
        <v>4661807433</v>
      </c>
      <c r="C287" t="str">
        <v>오하이오 빈티지 화장실 액자 화장실 인테리어(무료배송)</v>
      </c>
      <c r="E287" t="str">
        <v>Ohio Wholesale Vintage Bath Advertising Wall Art, from our Americana Collection, from our Americana Collection</v>
      </c>
      <c r="F287" t="str">
        <v>Multi-colored</v>
      </c>
      <c r="G287" t="str">
        <f>HYPERLINK("https://www.amazon.com/dp/B0070AMQGY/ref=twister_B07NVRRH76?_encoding=UTF8&amp;psc=1","A")</f>
        <v>A</v>
      </c>
      <c r="J287">
        <v>11</v>
      </c>
      <c r="K287">
        <f>IF(L287&gt;0,L287*0.0625,)</f>
        <v>0.6</v>
      </c>
      <c r="L287">
        <v>9.6</v>
      </c>
      <c r="M287">
        <f>IF(K287&gt;0,K287*0.453592,IF(L287&gt;0,L287*0.02835,))</f>
        <v>0.2721552</v>
      </c>
      <c r="N287">
        <v>0</v>
      </c>
      <c r="O287">
        <v>0</v>
      </c>
      <c r="P287">
        <f>J287+O287+N287</f>
        <v>11</v>
      </c>
      <c r="Q287">
        <f>P287*C$3</f>
        <v>13750</v>
      </c>
      <c r="R287">
        <v>0</v>
      </c>
      <c r="S287">
        <f>ROUND(SUM(Q287:R287), -2)</f>
        <v>13800</v>
      </c>
      <c r="T287">
        <f>ROUNDUP(HLOOKUP(ROUNDUP(K287,0),'배송비 조회'!A$10:U$22,7,0)*C$3,-2)</f>
        <v>9000</v>
      </c>
      <c r="U287">
        <v>0</v>
      </c>
      <c r="V287">
        <f>ROUND(IF(R287&gt;0,0,(S287+T287)*0.6),-2)</f>
        <v>13700</v>
      </c>
      <c r="W287">
        <f>ROUND(IF(R287&gt;0,0,(S287+T287)*0.5),-2)</f>
        <v>11400</v>
      </c>
      <c r="X287">
        <f>IF(R287&gt;0,SUM(S287:T287),SUM(S287:V287))</f>
        <v>36500</v>
      </c>
      <c r="Y287">
        <f>IF(R287&gt;0,SUM(S287:T287),SUM(S287:U287)+W287)</f>
        <v>34200</v>
      </c>
      <c r="Z287">
        <v>0</v>
      </c>
      <c r="AA287">
        <f>X287*0.038</f>
        <v>1387</v>
      </c>
      <c r="AB287">
        <f>X287*0.02</f>
        <v>730</v>
      </c>
      <c r="AC287">
        <f>Y287*0.1</f>
        <v>3420</v>
      </c>
      <c r="AD287">
        <f>X287-AA287-AB287</f>
        <v>34383</v>
      </c>
      <c r="AE287">
        <f>Y287-AC287</f>
        <v>30780</v>
      </c>
      <c r="AF287">
        <f>AD287*0.01</f>
        <v>343.83</v>
      </c>
      <c r="AG287">
        <f>AD287-Q287-AF287-T287</f>
        <v>11289.169999999998</v>
      </c>
      <c r="AH287">
        <f>AE287-Q287-AF287-T287</f>
        <v>7686.169999999998</v>
      </c>
      <c r="AI287">
        <f>AG287/X287</f>
        <v>0.30929232876712326</v>
      </c>
      <c r="AJ287">
        <f>AH287/Y287</f>
        <v>0.22474181286549702</v>
      </c>
      <c r="AW287">
        <v>4661807433</v>
      </c>
    </row>
    <row r="288">
      <c r="F288" t="str">
        <v>White</v>
      </c>
      <c r="G288" t="str">
        <f>HYPERLINK("https://www.amazon.com/dp/B07H5N5HJS/ref=cm_sw_r_other_apa_i_eY0ADbNV81227?th=1","A")</f>
        <v>A</v>
      </c>
      <c r="J288">
        <v>15</v>
      </c>
      <c r="K288">
        <f>IF(L288&gt;0,L288*0.0625,)</f>
        <v>0.6</v>
      </c>
      <c r="L288">
        <v>9.6</v>
      </c>
      <c r="M288">
        <f>IF(K288&gt;0,K288*0.453592,IF(L288&gt;0,L288*0.02835,))</f>
        <v>0.2721552</v>
      </c>
      <c r="N288">
        <v>0</v>
      </c>
      <c r="O288">
        <v>0</v>
      </c>
      <c r="P288">
        <f>J288+O288+N288</f>
        <v>15</v>
      </c>
      <c r="Q288">
        <f>P288*C$3</f>
        <v>18750</v>
      </c>
      <c r="R288">
        <v>0</v>
      </c>
      <c r="S288">
        <f>ROUND(SUM(Q288:R288), -2)</f>
        <v>18800</v>
      </c>
      <c r="T288">
        <f>ROUNDUP(HLOOKUP(ROUNDUP(K288,0),'배송비 조회'!A$10:U$22,7,0)*C$3,-2)</f>
        <v>9000</v>
      </c>
      <c r="U288">
        <v>0</v>
      </c>
      <c r="V288">
        <f>ROUND(IF(R288&gt;0,0,(S288+T288)*0.5),-2)</f>
        <v>13900</v>
      </c>
      <c r="W288">
        <f>ROUND(IF(R288&gt;0,0,(S288+T288)*0.5),-2)</f>
        <v>13900</v>
      </c>
      <c r="X288">
        <f>IF(R288&gt;0,SUM(S288:T288),SUM(S288:V288))</f>
        <v>41700</v>
      </c>
      <c r="Y288">
        <f>IF(R288&gt;0,SUM(S288:T288),SUM(S288:U288)+W288)</f>
        <v>41700</v>
      </c>
      <c r="Z288">
        <v>0</v>
      </c>
      <c r="AA288">
        <f>X288*0.038</f>
        <v>1584.6</v>
      </c>
      <c r="AB288">
        <f>X288*0.02</f>
        <v>834</v>
      </c>
      <c r="AC288">
        <f>Y288*0.1</f>
        <v>4170</v>
      </c>
      <c r="AD288">
        <f>X288-AA288-AB288</f>
        <v>39281.4</v>
      </c>
      <c r="AE288">
        <f>Y288-AC288</f>
        <v>37530</v>
      </c>
      <c r="AF288">
        <f>AD288*0.01</f>
        <v>392.814</v>
      </c>
      <c r="AG288">
        <f>AD288-Q288-AF288-T288</f>
        <v>11138.586000000003</v>
      </c>
      <c r="AH288">
        <f>AE288-Q288-AF288-T288</f>
        <v>9387.186000000002</v>
      </c>
      <c r="AI288">
        <f>AG288/X288</f>
        <v>0.2671123741007195</v>
      </c>
      <c r="AJ288">
        <f>AH288/Y288</f>
        <v>0.22511237410071946</v>
      </c>
    </row>
    <row r="289">
      <c r="A289">
        <f>HYPERLINK("https://smartstore.naver.com/brickstore2019/products/4661848306",AW:AW)</f>
        <v>4661848306</v>
      </c>
      <c r="B289" t="str">
        <f>HYPERLINK("https://www.coupang.com/vp/products/331941249","331941249")</f>
        <v>331941249</v>
      </c>
      <c r="C289" t="str">
        <v>아마존 베이직 싱글 모니터암 Amazon basic single monitor arm</v>
      </c>
      <c r="D289" t="str">
        <v>아마존 베이직 싱글 모니터암 Amazon basic single monitor arm</v>
      </c>
      <c r="E289" t="str">
        <v>AmazonBasics Single Computer Monitor Stand – Height Adjustable Desk Arm Mount, Steel</v>
      </c>
      <c r="G289" t="str">
        <f>HYPERLINK("https://www.amazon.com/AmazonBasics-Single-Monitor-Stand-Adjustable/dp/B07DHK5DHN/ref=sr_1_4?crid=ORD8OHGD06GC&amp;keywords=amazon+basics+monitor+arm&amp;qid=1567601553&amp;s=electronics&amp;sprefix=amazon+basics+moni%2Celectronics%2C327&amp;sr=1-4","A")</f>
        <v>A</v>
      </c>
      <c r="J289">
        <v>26</v>
      </c>
      <c r="K289">
        <v>7.75</v>
      </c>
      <c r="L289">
        <v>9.6</v>
      </c>
      <c r="M289">
        <f>IF(K289&gt;0,K289*0.453592,IF(L289&gt;0,L289*0.02835,))</f>
        <v>3.515338</v>
      </c>
      <c r="N289">
        <v>0</v>
      </c>
      <c r="O289">
        <v>0</v>
      </c>
      <c r="P289">
        <f>J289+O289+N289</f>
        <v>26</v>
      </c>
      <c r="Q289">
        <f>P289*C$3</f>
        <v>32500</v>
      </c>
      <c r="R289">
        <v>0</v>
      </c>
      <c r="S289">
        <f>ROUND(SUM(Q289:R289), -2)</f>
        <v>32500</v>
      </c>
      <c r="T289">
        <f>ROUNDUP(HLOOKUP(ROUNDUP(K289,0),'배송비 조회'!A$10:U$22,7,0)*C$3,-2)</f>
        <v>24400</v>
      </c>
      <c r="U289">
        <v>0</v>
      </c>
      <c r="V289">
        <f>ROUND(IF(R289&gt;0,0,(S289+T289)*0.3),-2)</f>
        <v>17100</v>
      </c>
      <c r="W289">
        <f>ROUND(IF(R289&gt;0,0,(S289+T289)*0.4),-2)</f>
        <v>22800</v>
      </c>
      <c r="X289">
        <f>IF(R289&gt;0,SUM(S289:T289),SUM(S289:V289))</f>
        <v>74000</v>
      </c>
      <c r="Y289">
        <f>IF(R289&gt;0,SUM(S289:T289),SUM(S289:U289)+W289)</f>
        <v>79700</v>
      </c>
      <c r="Z289">
        <v>0</v>
      </c>
      <c r="AA289">
        <f>X289*0.038</f>
        <v>2812</v>
      </c>
      <c r="AB289">
        <f>X289*0.02</f>
        <v>1480</v>
      </c>
      <c r="AC289">
        <f>Y289*0.1</f>
        <v>7970</v>
      </c>
      <c r="AD289">
        <f>X289-AA289-AB289</f>
        <v>69708</v>
      </c>
      <c r="AE289">
        <f>Y289-AC289</f>
        <v>71730</v>
      </c>
      <c r="AF289">
        <f>AD289*0.01</f>
        <v>697.08</v>
      </c>
      <c r="AG289">
        <f>AD289-Q289-AF289-T289</f>
        <v>12110.919999999998</v>
      </c>
      <c r="AH289">
        <f>AE289-Q289-AF289-T289</f>
        <v>14132.919999999998</v>
      </c>
      <c r="AI289">
        <f>AG289/X289</f>
        <v>0.16366108108108104</v>
      </c>
      <c r="AJ289">
        <f>AH289/Y289</f>
        <v>0.17732647427854453</v>
      </c>
      <c r="AW289">
        <v>4661848306</v>
      </c>
    </row>
    <row r="290">
      <c r="A290">
        <f>HYPERLINK("https://smartstore.naver.com/brickstore2019/products/4661886919",AW:AW)</f>
        <v>4661886919</v>
      </c>
      <c r="C290" t="str">
        <v>GGMM M3 스마트 와이파이 블루투스 스피커(무료배송)</v>
      </c>
      <c r="E290" t="str">
        <v>GGMM M3 WiFi Bluetooth Speaker, Smart WiFi Speaker for Streaming Music, HiFi Audio Stereo Surround Powerful Bass Speaker, AirPlay Speaker Wooden Cabinet</v>
      </c>
      <c r="F290" t="str">
        <v>CAMEL</v>
      </c>
      <c r="G290" t="str">
        <f>HYPERLINK("https://www.amazon.com/dp/B00WGOO2AW/?th=1","A")</f>
        <v>A</v>
      </c>
      <c r="J290">
        <v>234</v>
      </c>
      <c r="K290">
        <v>10</v>
      </c>
      <c r="L290">
        <f>IF(K290&gt;0,K290*16,)</f>
        <v>160</v>
      </c>
      <c r="M290">
        <f>IF(K290&gt;0,K290*0.453592,IF(L290&gt;0,L290*0.02835,))</f>
        <v>4.53592</v>
      </c>
      <c r="N290">
        <v>0</v>
      </c>
      <c r="O290">
        <v>0</v>
      </c>
      <c r="P290">
        <f>J290+O290+N290</f>
        <v>234</v>
      </c>
      <c r="Q290">
        <f>P290*C$3</f>
        <v>292500</v>
      </c>
      <c r="R290">
        <v>0</v>
      </c>
      <c r="S290">
        <f>ROUND(SUM(Q290:R290), -2)</f>
        <v>292500</v>
      </c>
      <c r="T290">
        <f>ROUNDUP(HLOOKUP(ROUNDUP(K290,0),'배송비 조회'!A$10:U$22,7,0)*C$3,-2)</f>
        <v>28700</v>
      </c>
      <c r="U290">
        <v>0</v>
      </c>
      <c r="V290">
        <f>ROUND(IF(R290&gt;0,0,(S290+T290)*0.3),-2)</f>
        <v>96400</v>
      </c>
      <c r="W290">
        <f>ROUND(IF(R290&gt;0,0,(S290+T290)*0.5),-2)</f>
        <v>160600</v>
      </c>
      <c r="X290">
        <f>IF(R290&gt;0,SUM(S290:T290),SUM(S290:V290))</f>
        <v>417600</v>
      </c>
      <c r="Y290">
        <f>IF(R290&gt;0,SUM(S290:T290),SUM(S290:U290)+W290)</f>
        <v>481800</v>
      </c>
      <c r="Z290">
        <v>0</v>
      </c>
      <c r="AA290">
        <f>X290*0.038</f>
        <v>15868.8</v>
      </c>
      <c r="AB290">
        <f>X290*0.02</f>
        <v>8352</v>
      </c>
      <c r="AC290">
        <f>Y290*0.1</f>
        <v>48180</v>
      </c>
      <c r="AD290">
        <f>X290-AA290-AB290</f>
        <v>393379.2</v>
      </c>
      <c r="AE290">
        <f>Y290-AC290</f>
        <v>433620</v>
      </c>
      <c r="AF290">
        <f>AD290*0.01</f>
        <v>3933.7920000000004</v>
      </c>
      <c r="AG290">
        <f>AD290-Q290-AF290-T290</f>
        <v>68245.40800000001</v>
      </c>
      <c r="AH290">
        <f>AE290-Q290-AF290-T290</f>
        <v>108486.20800000001</v>
      </c>
      <c r="AI290">
        <f>AG290/X290</f>
        <v>0.16342291187739466</v>
      </c>
      <c r="AJ290">
        <f>AH290/Y290</f>
        <v>0.22516855126608554</v>
      </c>
      <c r="AW290">
        <v>4661886919</v>
      </c>
    </row>
    <row r="291">
      <c r="F291" t="str">
        <v>Black</v>
      </c>
      <c r="G291" t="str">
        <f>HYPERLINK("https://www.amazon.com/dp/B00WGOO3ZG/ref=twister_B07BX2FHYF?_encoding=UTF8&amp;psc=1","A")</f>
        <v>A</v>
      </c>
      <c r="J291">
        <v>64</v>
      </c>
      <c r="K291">
        <v>10</v>
      </c>
      <c r="L291">
        <f>IF(K291&gt;0,K291*16,)</f>
        <v>160</v>
      </c>
      <c r="M291">
        <f>IF(K291&gt;0,K291*0.453592,IF(L291&gt;0,L291*0.02835,))</f>
        <v>4.53592</v>
      </c>
      <c r="N291">
        <v>0</v>
      </c>
      <c r="O291">
        <v>0</v>
      </c>
      <c r="P291">
        <f>J291+O291+N291</f>
        <v>64</v>
      </c>
      <c r="Q291">
        <f>P291*C$3</f>
        <v>80000</v>
      </c>
      <c r="R291">
        <v>0</v>
      </c>
      <c r="S291">
        <f>ROUND(SUM(Q291:R291), -2)</f>
        <v>80000</v>
      </c>
      <c r="T291">
        <f>ROUNDUP(HLOOKUP(ROUNDUP(K291,0),'배송비 조회'!A$10:U$22,7,0)*C$3,-2)</f>
        <v>28700</v>
      </c>
      <c r="U291">
        <v>0</v>
      </c>
      <c r="V291">
        <f>ROUND(IF(R291&gt;0,0,(S291+T291)*0.3),-2)</f>
        <v>32600</v>
      </c>
      <c r="W291">
        <f>ROUND(IF(R291&gt;0,0,(S291+T291)*0.5),-2)</f>
        <v>54400</v>
      </c>
      <c r="X291">
        <f>IF(R291&gt;0,SUM(S291:T291),SUM(S291:V291))</f>
        <v>141300</v>
      </c>
      <c r="Y291">
        <f>IF(R291&gt;0,SUM(S291:T291),SUM(S291:U291)+W291)</f>
        <v>163100</v>
      </c>
      <c r="Z291">
        <v>0</v>
      </c>
      <c r="AA291">
        <f>X291*0.038</f>
        <v>5369.4</v>
      </c>
      <c r="AB291">
        <f>X291*0.02</f>
        <v>2826</v>
      </c>
      <c r="AC291">
        <f>Y291*0.1</f>
        <v>16310</v>
      </c>
      <c r="AD291">
        <f>X291-AA291-AB291</f>
        <v>133104.6</v>
      </c>
      <c r="AE291">
        <f>Y291-AC291</f>
        <v>146790</v>
      </c>
      <c r="AF291">
        <f>AD291*0.01</f>
        <v>1331.046</v>
      </c>
      <c r="AG291">
        <f>AD291-Q291-AF291-T291</f>
        <v>23073.554000000004</v>
      </c>
      <c r="AH291">
        <f>AE291-Q291-AF291-T291</f>
        <v>36758.954</v>
      </c>
      <c r="AI291">
        <f>AG291/X291</f>
        <v>0.1632947912243454</v>
      </c>
      <c r="AJ291">
        <f>AH291/Y291</f>
        <v>0.22537678724708765</v>
      </c>
    </row>
    <row r="292">
      <c r="A292">
        <f>HYPERLINK("https://smartstore.naver.com/brickstore2019/products/4663174801",AW:AW)</f>
        <v>4663174801</v>
      </c>
      <c r="C292" t="str">
        <v>VIVO 조절가능한 듀얼 모니터암 monitor arm STAND-V002D (무료배송)</v>
      </c>
      <c r="E292" t="str">
        <v>VIVO Black Dual LCD Monitor Height Adjustable Desk Mount Stand, Deluxe Pneumatic Arms | Holds 2 Screens up to 27 inches (STAND-V002D)</v>
      </c>
      <c r="F292" t="str">
        <v>기본</v>
      </c>
      <c r="G292" t="str">
        <f>HYPERLINK("https://www.amazon.com/dp/B00M4D395O/ref=emc_b_5_i?th=1","A")</f>
        <v>A</v>
      </c>
      <c r="H292" t="str">
        <v>품절</v>
      </c>
      <c r="J292">
        <v>66</v>
      </c>
      <c r="K292">
        <v>11.2</v>
      </c>
      <c r="L292">
        <f>IF(K292&gt;0,K292*16,)</f>
        <v>179.2</v>
      </c>
      <c r="M292">
        <f>IF(K292&gt;0,K292*0.453592,IF(L292&gt;0,L292*0.02835,))</f>
        <v>5.0802304</v>
      </c>
      <c r="N292">
        <v>0</v>
      </c>
      <c r="O292">
        <v>0</v>
      </c>
      <c r="P292">
        <f>J292+O292+N292</f>
        <v>66</v>
      </c>
      <c r="Q292">
        <f>P292*C$3</f>
        <v>82500</v>
      </c>
      <c r="R292">
        <v>0</v>
      </c>
      <c r="S292">
        <f>ROUND(SUM(Q292:R292), -2)</f>
        <v>82500</v>
      </c>
      <c r="T292">
        <f>ROUNDUP(HLOOKUP(ROUNDUP(K292,0),'배송비 조회'!A$10:U$22,7,0)*C$3,-2)</f>
        <v>33100</v>
      </c>
      <c r="U292">
        <v>0</v>
      </c>
      <c r="V292">
        <f>ROUND(IF(R292&gt;0,0,(S292+T292)*0.3),-2)</f>
        <v>34700</v>
      </c>
      <c r="W292">
        <f>ROUND(IF(R292&gt;0,0,(S292+T292)*0.5),-2)</f>
        <v>57800</v>
      </c>
      <c r="X292">
        <f>IF(R292&gt;0,SUM(S292:T292),SUM(S292:V292))</f>
        <v>150300</v>
      </c>
      <c r="Y292">
        <f>IF(R292&gt;0,SUM(S292:T292),SUM(S292:U292)+W292)</f>
        <v>173400</v>
      </c>
      <c r="Z292">
        <v>0</v>
      </c>
      <c r="AA292">
        <f>X292*0.038</f>
        <v>5711.4</v>
      </c>
      <c r="AB292">
        <f>X292*0.02</f>
        <v>3006</v>
      </c>
      <c r="AC292">
        <f>Y292*0.1</f>
        <v>17340</v>
      </c>
      <c r="AD292">
        <f>X292-AA292-AB292</f>
        <v>141582.6</v>
      </c>
      <c r="AE292">
        <f>Y292-AC292</f>
        <v>156060</v>
      </c>
      <c r="AF292">
        <f>AD292*0.01</f>
        <v>1415.826</v>
      </c>
      <c r="AG292">
        <f>AD292-Q292-AF292-T292</f>
        <v>24566.774000000005</v>
      </c>
      <c r="AH292">
        <f>AE292-Q292-AF292-T292</f>
        <v>39044.174</v>
      </c>
      <c r="AI292">
        <f>AG292/X292</f>
        <v>0.16345159015302732</v>
      </c>
      <c r="AJ292">
        <f>AH292/Y292</f>
        <v>0.22516824682814301</v>
      </c>
      <c r="AW292">
        <v>4663174801</v>
      </c>
    </row>
    <row r="293">
      <c r="F293" t="str">
        <v>기본 + USB 2 port</v>
      </c>
      <c r="G293" t="str">
        <f>HYPERLINK("https://www.amazon.com/dp/B01771CJ1M/ref=emc_b_5_i?th=1","A")</f>
        <v>A</v>
      </c>
      <c r="H293" t="str">
        <v>품절</v>
      </c>
      <c r="J293">
        <v>76</v>
      </c>
      <c r="K293">
        <v>12.1</v>
      </c>
      <c r="L293">
        <f>IF(K293&gt;0,K293*16,)</f>
        <v>193.6</v>
      </c>
      <c r="M293">
        <f>IF(K293&gt;0,K293*0.453592,IF(L293&gt;0,L293*0.02835,))</f>
        <v>5.4884632</v>
      </c>
      <c r="N293">
        <v>0</v>
      </c>
      <c r="O293">
        <v>0</v>
      </c>
      <c r="P293">
        <f>J293+O293+N293</f>
        <v>76</v>
      </c>
      <c r="Q293">
        <f>P293*C$3</f>
        <v>95000</v>
      </c>
      <c r="R293">
        <v>0</v>
      </c>
      <c r="S293">
        <f>ROUND(SUM(Q293:R293), -2)</f>
        <v>95000</v>
      </c>
      <c r="T293">
        <f>ROUNDUP(HLOOKUP(ROUNDUP(K293,0),'배송비 조회'!A$10:U$22,7,0)*C$3,-2)</f>
        <v>35300</v>
      </c>
      <c r="U293">
        <v>0</v>
      </c>
      <c r="V293">
        <f>ROUND(IF(R293&gt;0,0,(S293+T293)*0.3),-2)</f>
        <v>39100</v>
      </c>
      <c r="W293">
        <f>ROUND(IF(R293&gt;0,0,(S293+T293)*0.5),-2)</f>
        <v>65200</v>
      </c>
      <c r="X293">
        <f>IF(R293&gt;0,SUM(S293:T293),SUM(S293:V293))</f>
        <v>169400</v>
      </c>
      <c r="Y293">
        <f>IF(R293&gt;0,SUM(S293:T293),SUM(S293:U293)+W293)</f>
        <v>195500</v>
      </c>
      <c r="Z293">
        <v>0</v>
      </c>
      <c r="AA293">
        <f>X293*0.038</f>
        <v>6437.2</v>
      </c>
      <c r="AB293">
        <f>X293*0.02</f>
        <v>3388</v>
      </c>
      <c r="AC293">
        <f>Y293*0.1</f>
        <v>19550</v>
      </c>
      <c r="AD293">
        <f>X293-AA293-AB293</f>
        <v>159574.8</v>
      </c>
      <c r="AE293">
        <f>Y293-AC293</f>
        <v>175950</v>
      </c>
      <c r="AF293">
        <f>AD293*0.01</f>
        <v>1595.7479999999998</v>
      </c>
      <c r="AG293">
        <f>AD293-Q293-AF293-T293</f>
        <v>27679.05199999999</v>
      </c>
      <c r="AH293">
        <f>AE293-Q293-AF293-T293</f>
        <v>44054.25199999999</v>
      </c>
      <c r="AI293">
        <f>AG293/X293</f>
        <v>0.16339463990554892</v>
      </c>
      <c r="AJ293">
        <f>AH293/Y293</f>
        <v>0.22534144245524293</v>
      </c>
    </row>
    <row r="294">
      <c r="A294">
        <f>HYPERLINK("https://smartstore.naver.com/brickstore2019/products/4664369711",AW:AW)</f>
        <v>4664369711</v>
      </c>
      <c r="C294" t="str">
        <v>템퍼페딕 싯쿠션 메모리폼 방석 temper-pedic seat cushion</v>
      </c>
      <c r="E294" t="str">
        <v>TEMPUR-Seat Cushion</v>
      </c>
      <c r="G294" t="str">
        <f>HYPERLINK("https://www.amazon.com/Tempur-Pedic-15335133-TEMPUR-Seat-Cushion/dp/B004TT6X4U/ref=sr_1_1?keywords=tempur+cushion&amp;qid=1567777408&amp;s=gateway&amp;sr=8-1","A")</f>
        <v>A</v>
      </c>
      <c r="J294">
        <v>76.49</v>
      </c>
      <c r="K294">
        <v>3.17</v>
      </c>
      <c r="L294">
        <f>IF(K294&gt;0,K294*16,)</f>
        <v>50.72</v>
      </c>
      <c r="M294">
        <f>IF(K294&gt;0,K294*0.453592,IF(L294&gt;0,L294*0.02835,))</f>
        <v>1.4378866399999999</v>
      </c>
      <c r="N294">
        <v>0</v>
      </c>
      <c r="O294">
        <v>0</v>
      </c>
      <c r="P294">
        <f>J294+O294+N294</f>
        <v>76.49</v>
      </c>
      <c r="Q294">
        <f>P294*C$3</f>
        <v>95612.5</v>
      </c>
      <c r="R294">
        <v>0</v>
      </c>
      <c r="S294">
        <f>ROUND(SUM(Q294:R294), -2)</f>
        <v>95600</v>
      </c>
      <c r="T294">
        <f>ROUNDUP(HLOOKUP(ROUNDUP(K294,0),'배송비 조회'!A$10:U$22,7,0)*C$3,-2)</f>
        <v>15600</v>
      </c>
      <c r="U294">
        <v>0</v>
      </c>
      <c r="V294">
        <f>ROUND(IF(R294&gt;0,0,(S294+T294)*0.3),-2)</f>
        <v>33400</v>
      </c>
      <c r="W294">
        <f>ROUND(IF(R294&gt;0,0,(S294+T294)*0.5),-2)</f>
        <v>55600</v>
      </c>
      <c r="X294">
        <f>IF(R294&gt;0,SUM(S294:T294),SUM(S294:V294))</f>
        <v>144600</v>
      </c>
      <c r="Y294">
        <f>IF(R294&gt;0,SUM(S294:T294),SUM(S294:U294)+W294)</f>
        <v>166800</v>
      </c>
      <c r="Z294">
        <v>0</v>
      </c>
      <c r="AA294">
        <f>X294*0.038</f>
        <v>5494.8</v>
      </c>
      <c r="AB294">
        <f>X294*0.02</f>
        <v>2892</v>
      </c>
      <c r="AC294">
        <f>Y294*0.1</f>
        <v>16680</v>
      </c>
      <c r="AD294">
        <f>X294-AA294-AB294</f>
        <v>136213.2</v>
      </c>
      <c r="AE294">
        <f>Y294-AC294</f>
        <v>150120</v>
      </c>
      <c r="AF294">
        <f>AD294*0.01</f>
        <v>1362.132</v>
      </c>
      <c r="AG294">
        <f>AD294-Q294-AF294-T294</f>
        <v>23638.568000000014</v>
      </c>
      <c r="AH294">
        <f>AE294-Q294-AF294-T294</f>
        <v>37545.368</v>
      </c>
      <c r="AI294">
        <f>AG294/X294</f>
        <v>0.16347557399723384</v>
      </c>
      <c r="AJ294">
        <f>AH294/Y294</f>
        <v>0.22509213429256597</v>
      </c>
      <c r="AW294">
        <v>4664369711</v>
      </c>
    </row>
    <row r="295">
      <c r="A295">
        <f>HYPERLINK("https://smartstore.naver.com/brickstore2019/products/4664384486",AW:AW)</f>
        <v>4664384486</v>
      </c>
      <c r="C295" t="str">
        <v>템퍼페딕 꿀잠 숙면 전신쿠션 바디쿠션 Tempur-Pedic TEMPUR-Body Pillow</v>
      </c>
      <c r="E295" t="str">
        <v>Tempur-Pedic TEMPUR-Body Pillow, Soft Support, Pressure Relief, Adaptable Comfort Washable Cover, Assembled in the USA, 5 YR Warranty, Standard</v>
      </c>
      <c r="G295" t="str">
        <f>HYPERLINK("https://www.amazon.com/Tempur-Pedic-TEMPUR-Body-Pressure-Adaptable-Assembled/dp/B003BGNIZE/ref=sr_1_11?keywords=TEMPUR+Cushion&amp;qid=1567777417&amp;s=gateway&amp;sr=8-11","A")</f>
        <v>A</v>
      </c>
      <c r="J295">
        <v>140</v>
      </c>
      <c r="K295">
        <v>12.5</v>
      </c>
      <c r="L295">
        <f>IF(K295&gt;0,K295*16,)</f>
        <v>200</v>
      </c>
      <c r="M295">
        <f>IF(K295&gt;0,K295*0.453592,IF(L295&gt;0,L295*0.02835,))</f>
        <v>5.6699</v>
      </c>
      <c r="N295">
        <v>0</v>
      </c>
      <c r="O295">
        <v>0</v>
      </c>
      <c r="P295">
        <f>J295+O295+N295</f>
        <v>140</v>
      </c>
      <c r="Q295">
        <f>P295*C$3</f>
        <v>175000</v>
      </c>
      <c r="R295">
        <v>0</v>
      </c>
      <c r="S295">
        <f>ROUND(SUM(Q295:R295), -2)</f>
        <v>175000</v>
      </c>
      <c r="T295">
        <f>ROUNDUP(HLOOKUP(ROUNDUP(K295,0),'배송비 조회'!A$10:U$22,7,0)*C$3,-2)</f>
        <v>35300</v>
      </c>
      <c r="U295">
        <v>0</v>
      </c>
      <c r="V295">
        <f>ROUND(IF(R295&gt;0,0,(S295+T295)*0.3),-2)</f>
        <v>63100</v>
      </c>
      <c r="W295">
        <f>ROUND(IF(R295&gt;0,0,(S295+T295)*0.5),-2)</f>
        <v>105200</v>
      </c>
      <c r="X295">
        <f>IF(R295&gt;0,SUM(S295:T295),SUM(S295:V295))</f>
        <v>273400</v>
      </c>
      <c r="Y295">
        <f>IF(R295&gt;0,SUM(S295:T295),SUM(S295:U295)+W295)</f>
        <v>315500</v>
      </c>
      <c r="Z295">
        <v>0</v>
      </c>
      <c r="AA295">
        <f>X295*0.038</f>
        <v>10389.199999999999</v>
      </c>
      <c r="AB295">
        <f>X295*0.02</f>
        <v>5468</v>
      </c>
      <c r="AC295">
        <f>Y295*0.1</f>
        <v>31550</v>
      </c>
      <c r="AD295">
        <f>X295-AA295-AB295</f>
        <v>257542.8</v>
      </c>
      <c r="AE295">
        <f>Y295-AC295</f>
        <v>283950</v>
      </c>
      <c r="AF295">
        <f>AD295*0.01</f>
        <v>2575.428</v>
      </c>
      <c r="AG295">
        <f>AD295-Q295-AF295-T295</f>
        <v>44667.37199999999</v>
      </c>
      <c r="AH295">
        <f>AE295-Q295-AF295-T295</f>
        <v>71074.572</v>
      </c>
      <c r="AI295">
        <f>AG295/X295</f>
        <v>0.16337736649597656</v>
      </c>
      <c r="AJ295">
        <f>AH295/Y295</f>
        <v>0.22527598098256735</v>
      </c>
      <c r="AW295">
        <v>4664384486</v>
      </c>
    </row>
    <row r="296">
      <c r="A296">
        <f>HYPERLINK("https://smartstore.naver.com/brickstore2019/products/4664413653",AW:AW)</f>
        <v>4664413653</v>
      </c>
      <c r="C296" t="str">
        <v>템퍼페딕 유니버셜 허리 건강 쿠션 TEMPUR-Universal Cushion</v>
      </c>
      <c r="G296" t="str">
        <f>HYPERLINK("https://www.amazon.com/Tempur-Pedic-15325141-TEMPUR-Universal-Cushion/dp/B005PYMB3U/ref=sr_1_5?keywords=TEMPUR+Cushion&amp;qid=1567777417&amp;s=gateway&amp;sr=8-5","A")</f>
        <v>A</v>
      </c>
      <c r="J296">
        <v>67.15</v>
      </c>
      <c r="K296">
        <v>2</v>
      </c>
      <c r="L296">
        <f>IF(K296&gt;0,K296*16,)</f>
        <v>32</v>
      </c>
      <c r="M296">
        <f>IF(K296&gt;0,K296*0.453592,IF(L296&gt;0,L296*0.02835,))</f>
        <v>0.907184</v>
      </c>
      <c r="N296">
        <v>0</v>
      </c>
      <c r="O296">
        <v>0</v>
      </c>
      <c r="P296">
        <f>J296+O296+N296</f>
        <v>67.15</v>
      </c>
      <c r="Q296">
        <f>P296*C$3</f>
        <v>83937.5</v>
      </c>
      <c r="R296">
        <v>0</v>
      </c>
      <c r="S296">
        <f>ROUND(SUM(Q296:R296), -2)</f>
        <v>83900</v>
      </c>
      <c r="T296">
        <f>ROUNDUP(HLOOKUP(ROUNDUP(K296,0),'배송비 조회'!A$10:U$22,7,0)*C$3,-2)</f>
        <v>11200</v>
      </c>
      <c r="U296">
        <v>0</v>
      </c>
      <c r="V296">
        <f>ROUND(IF(R296&gt;0,0,(S296+T296)*0.3),-2)</f>
        <v>28500</v>
      </c>
      <c r="W296">
        <f>ROUND(IF(R296&gt;0,0,(S296+T296)*0.5),-2)</f>
        <v>47600</v>
      </c>
      <c r="X296">
        <f>IF(R296&gt;0,SUM(S296:T296),SUM(S296:V296))</f>
        <v>123600</v>
      </c>
      <c r="Y296">
        <f>IF(R296&gt;0,SUM(S296:T296),SUM(S296:U296)+W296)</f>
        <v>142700</v>
      </c>
      <c r="Z296">
        <v>0</v>
      </c>
      <c r="AA296">
        <f>X296*0.038</f>
        <v>4696.8</v>
      </c>
      <c r="AB296">
        <f>X296*0.02</f>
        <v>2472</v>
      </c>
      <c r="AC296">
        <f>Y296*0.1</f>
        <v>14270</v>
      </c>
      <c r="AD296">
        <f>X296-AA296-AB296</f>
        <v>116431.2</v>
      </c>
      <c r="AE296">
        <f>Y296-AC296</f>
        <v>128430</v>
      </c>
      <c r="AF296">
        <f>AD296*0.01</f>
        <v>1164.312</v>
      </c>
      <c r="AG296">
        <f>AD296-Q296-AF296-T296</f>
        <v>20129.388</v>
      </c>
      <c r="AH296">
        <f>AE296-Q296-AF296-T296</f>
        <v>32128.188000000002</v>
      </c>
      <c r="AI296">
        <f>AG296/X296</f>
        <v>0.16285912621359222</v>
      </c>
      <c r="AJ296">
        <f>AH296/Y296</f>
        <v>0.22514497547302034</v>
      </c>
      <c r="AW296">
        <v>4664413653</v>
      </c>
    </row>
    <row r="297">
      <c r="A297">
        <f>HYPERLINK("https://smartstore.naver.com/brickstore2019/products/4664775122",AW:AW)</f>
        <v>4664775122</v>
      </c>
      <c r="C297" t="str">
        <v>얼티메이트 이어 붐2 방수 스피커 Ultimate Ears BOOM 2</v>
      </c>
      <c r="E297" t="str">
        <v>Ultimate Ears BOOM 2 Portable Waterproof &amp; Shockproof Bluetooth Speaker - Patches</v>
      </c>
      <c r="G297" t="str">
        <f>HYPERLINK("https://www.amazon.com/Ultimate-Ears-Bluetooth-Waterproof-Shockproof/dp/B014M8ZO8S/ref=lp_17284462011_1_5?srs=17284462011&amp;ie=UTF8&amp;qid=1567834310&amp;sr=8-5","A")</f>
        <v>A</v>
      </c>
      <c r="J297">
        <v>93.72</v>
      </c>
      <c r="K297">
        <v>2.1</v>
      </c>
      <c r="L297">
        <f>IF(K297&gt;0,K297*16,)</f>
        <v>33.6</v>
      </c>
      <c r="M297">
        <f>IF(K297&gt;0,K297*0.453592,IF(L297&gt;0,L297*0.02835,))</f>
        <v>0.9525432</v>
      </c>
      <c r="N297">
        <v>0</v>
      </c>
      <c r="O297">
        <v>0</v>
      </c>
      <c r="P297">
        <f>J297+O297+N297</f>
        <v>93.72</v>
      </c>
      <c r="Q297">
        <f>P297*C$3</f>
        <v>117150</v>
      </c>
      <c r="R297">
        <v>0</v>
      </c>
      <c r="S297">
        <f>ROUND(SUM(Q297:R297), -2)</f>
        <v>117200</v>
      </c>
      <c r="T297">
        <f>ROUNDUP(HLOOKUP(ROUNDUP(K297,0),'배송비 조회'!A$10:U$22,7,0)*C$3,-2)</f>
        <v>13400</v>
      </c>
      <c r="U297">
        <v>0</v>
      </c>
      <c r="V297">
        <f>ROUND(IF(R297&gt;0,0,(S297+T297)*0.3),-2)</f>
        <v>39200</v>
      </c>
      <c r="W297">
        <f>ROUND(IF(R297&gt;0,0,(S297+T297)*0.5),-2)</f>
        <v>65300</v>
      </c>
      <c r="X297">
        <f>IF(R297&gt;0,SUM(S297:T297),SUM(S297:V297))</f>
        <v>169800</v>
      </c>
      <c r="Y297">
        <f>IF(R297&gt;0,SUM(S297:T297),SUM(S297:U297)+W297)</f>
        <v>195900</v>
      </c>
      <c r="Z297">
        <v>0</v>
      </c>
      <c r="AA297">
        <f>X297*0.038</f>
        <v>6452.4</v>
      </c>
      <c r="AB297">
        <f>X297*0.02</f>
        <v>3396</v>
      </c>
      <c r="AC297">
        <f>Y297*0.1</f>
        <v>19590</v>
      </c>
      <c r="AD297">
        <f>X297-AA297-AB297</f>
        <v>159951.6</v>
      </c>
      <c r="AE297">
        <f>Y297-AC297</f>
        <v>176310</v>
      </c>
      <c r="AF297">
        <f>AD297*0.01</f>
        <v>1599.516</v>
      </c>
      <c r="AG297">
        <f>AD297-Q297-AF297-T297</f>
        <v>27802.084000000003</v>
      </c>
      <c r="AH297">
        <f>AE297-Q297-AF297-T297</f>
        <v>44160.484</v>
      </c>
      <c r="AI297">
        <f>AG297/X297</f>
        <v>0.1637342991755006</v>
      </c>
      <c r="AJ297">
        <f>AH297/Y297</f>
        <v>0.22542360387953037</v>
      </c>
      <c r="AW297">
        <v>4664775122</v>
      </c>
    </row>
    <row r="298">
      <c r="A298">
        <f>HYPERLINK("https://www.amazon.com/dp/B07DD3WBYW/ref=twister_B07GY8WFVK?_encoding=UTF8&amp;th=1",AW:AW)</f>
        <v>4664819159</v>
      </c>
      <c r="C298" t="str">
        <v xml:space="preserve">얼티밋이어 붐3 방수 스피커 Ultimate Ears BOOM 3 </v>
      </c>
      <c r="E298" t="str">
        <v>Ultimate Ears BOOM 3 Portable Waterproof Bluetooth Speaker</v>
      </c>
      <c r="F298" t="str">
        <v>Lagoon Blue</v>
      </c>
      <c r="G298" t="str">
        <f>HYPERLINK("https://www.amazon.com/dp/B07DD7ZJ6X/ref=twister_B07GY8WFVK?_encoding=UTF8&amp;th=1","A")</f>
        <v>A</v>
      </c>
      <c r="J298">
        <v>120</v>
      </c>
      <c r="K298">
        <v>2.1</v>
      </c>
      <c r="L298">
        <f>IF(K298&gt;0,K298*16,)</f>
        <v>33.6</v>
      </c>
      <c r="M298">
        <f>IF(K298&gt;0,K298*0.453592,IF(L298&gt;0,L298*0.02835,))</f>
        <v>0.9525432</v>
      </c>
      <c r="N298">
        <v>0</v>
      </c>
      <c r="O298">
        <v>0</v>
      </c>
      <c r="P298">
        <f>J298+O298+N298</f>
        <v>120</v>
      </c>
      <c r="Q298">
        <f>P298*C$3</f>
        <v>150000</v>
      </c>
      <c r="R298">
        <v>0</v>
      </c>
      <c r="S298">
        <f>ROUND(SUM(Q298:R298), -2)</f>
        <v>150000</v>
      </c>
      <c r="T298">
        <f>ROUNDUP(HLOOKUP(ROUNDUP(K298,0),'배송비 조회'!A$10:U$22,7,0)*C$3,-2)</f>
        <v>13400</v>
      </c>
      <c r="U298">
        <v>0</v>
      </c>
      <c r="V298">
        <f>ROUND(IF(R298&gt;0,0,(S298+T298)*0.3),-2)</f>
        <v>49000</v>
      </c>
      <c r="W298">
        <f>ROUND(IF(R298&gt;0,0,(S298+T298)*0.5),-2)</f>
        <v>81700</v>
      </c>
      <c r="X298">
        <f>IF(R298&gt;0,SUM(S298:T298),SUM(S298:V298))</f>
        <v>212400</v>
      </c>
      <c r="Y298">
        <f>IF(R298&gt;0,SUM(S298:T298),SUM(S298:U298)+W298)</f>
        <v>245100</v>
      </c>
      <c r="Z298">
        <v>0</v>
      </c>
      <c r="AA298">
        <f>X298*0.038</f>
        <v>8071.2</v>
      </c>
      <c r="AB298">
        <f>X298*0.02</f>
        <v>4248</v>
      </c>
      <c r="AC298">
        <f>Y298*0.1</f>
        <v>24510</v>
      </c>
      <c r="AD298">
        <f>X298-AA298-AB298</f>
        <v>200080.8</v>
      </c>
      <c r="AE298">
        <f>Y298-AC298</f>
        <v>220590</v>
      </c>
      <c r="AF298">
        <f>AD298*0.01</f>
        <v>2000.808</v>
      </c>
      <c r="AG298">
        <f>AD298-Q298-AF298-T298</f>
        <v>34679.99199999999</v>
      </c>
      <c r="AH298">
        <f>AE298-Q298-AF298-T298</f>
        <v>55189.191999999995</v>
      </c>
      <c r="AI298">
        <f>AG298/X298</f>
        <v>0.16327679849340862</v>
      </c>
      <c r="AJ298">
        <f>AH298/Y298</f>
        <v>0.225170101999184</v>
      </c>
      <c r="AW298">
        <v>4664819159</v>
      </c>
    </row>
    <row r="299">
      <c r="F299" t="str">
        <v>Night Black</v>
      </c>
      <c r="G299" t="str">
        <f>HYPERLINK("https://www.amazon.com/dp/B07DD3VXRZ/ref=twister_B07GY8WFVK?_encoding=UTF8&amp;th=1","A")</f>
        <v>A</v>
      </c>
      <c r="J299">
        <v>120</v>
      </c>
      <c r="K299">
        <v>2.1</v>
      </c>
      <c r="L299">
        <f>IF(K299&gt;0,K299*16,)</f>
        <v>33.6</v>
      </c>
      <c r="M299">
        <f>IF(K299&gt;0,K299*0.453592,IF(L299&gt;0,L299*0.02835,))</f>
        <v>0.9525432</v>
      </c>
      <c r="N299">
        <v>0</v>
      </c>
      <c r="O299">
        <v>0</v>
      </c>
      <c r="P299">
        <f>J299+O299+N299</f>
        <v>120</v>
      </c>
      <c r="Q299">
        <f>P299*C$3</f>
        <v>150000</v>
      </c>
      <c r="R299">
        <v>0</v>
      </c>
      <c r="S299">
        <f>ROUND(SUM(Q299:R299), -2)</f>
        <v>150000</v>
      </c>
      <c r="T299">
        <f>ROUNDUP(HLOOKUP(ROUNDUP(K299,0),'배송비 조회'!A$10:U$22,7,0)*C$3,-2)</f>
        <v>13400</v>
      </c>
      <c r="U299">
        <v>0</v>
      </c>
      <c r="V299">
        <f>ROUND(IF(R299&gt;0,0,(S299+T299)*0.3),-2)</f>
        <v>49000</v>
      </c>
      <c r="W299">
        <f>ROUND(IF(R299&gt;0,0,(S299+T299)*0.5),-2)</f>
        <v>81700</v>
      </c>
      <c r="X299">
        <f>IF(R299&gt;0,SUM(S299:T299),SUM(S299:V299))</f>
        <v>212400</v>
      </c>
      <c r="Y299">
        <f>IF(R299&gt;0,SUM(S299:T299),SUM(S299:U299)+W299)</f>
        <v>245100</v>
      </c>
      <c r="Z299">
        <v>0</v>
      </c>
      <c r="AA299">
        <f>X299*0.038</f>
        <v>8071.2</v>
      </c>
      <c r="AB299">
        <f>X299*0.02</f>
        <v>4248</v>
      </c>
      <c r="AC299">
        <f>Y299*0.1</f>
        <v>24510</v>
      </c>
      <c r="AD299">
        <f>X299-AA299-AB299</f>
        <v>200080.8</v>
      </c>
      <c r="AE299">
        <f>Y299-AC299</f>
        <v>220590</v>
      </c>
      <c r="AF299">
        <f>AD299*0.01</f>
        <v>2000.808</v>
      </c>
      <c r="AG299">
        <f>AD299-Q299-AF299-T299</f>
        <v>34679.99199999999</v>
      </c>
      <c r="AH299">
        <f>AE299-Q299-AF299-T299</f>
        <v>55189.191999999995</v>
      </c>
      <c r="AI299">
        <f>AG299/X299</f>
        <v>0.16327679849340862</v>
      </c>
      <c r="AJ299">
        <f>AH299/Y299</f>
        <v>0.225170101999184</v>
      </c>
      <c r="AK299">
        <f>X299-X298</f>
        <v>0</v>
      </c>
    </row>
    <row r="300">
      <c r="F300" t="str">
        <v>Sunset Red</v>
      </c>
      <c r="G300" t="str">
        <f>HYPERLINK("https://www.amazon.com/dp/B07DD7ZFKW/ref=twister_B07GY8WFVK?_encoding=UTF8&amp;th=1","A")</f>
        <v>A</v>
      </c>
      <c r="J300">
        <v>120</v>
      </c>
      <c r="K300">
        <v>2.1</v>
      </c>
      <c r="L300">
        <f>IF(K300&gt;0,K300*16,)</f>
        <v>33.6</v>
      </c>
      <c r="M300">
        <f>IF(K300&gt;0,K300*0.453592,IF(L300&gt;0,L300*0.02835,))</f>
        <v>0.9525432</v>
      </c>
      <c r="N300">
        <v>0</v>
      </c>
      <c r="O300">
        <v>0</v>
      </c>
      <c r="P300">
        <f>J300+O300+N300</f>
        <v>120</v>
      </c>
      <c r="Q300">
        <f>P300*C$3</f>
        <v>150000</v>
      </c>
      <c r="R300">
        <v>0</v>
      </c>
      <c r="S300">
        <f>ROUND(SUM(Q300:R300), -2)</f>
        <v>150000</v>
      </c>
      <c r="T300">
        <f>ROUNDUP(HLOOKUP(ROUNDUP(K300,0),'배송비 조회'!A$10:U$22,7,0)*C$3,-2)</f>
        <v>13400</v>
      </c>
      <c r="U300">
        <v>0</v>
      </c>
      <c r="V300">
        <f>ROUND(IF(R300&gt;0,0,(S300+T300)*0.3),-2)</f>
        <v>49000</v>
      </c>
      <c r="W300">
        <f>ROUND(IF(R300&gt;0,0,(S300+T300)*0.5),-2)</f>
        <v>81700</v>
      </c>
      <c r="X300">
        <f>IF(R300&gt;0,SUM(S300:T300),SUM(S300:V300))</f>
        <v>212400</v>
      </c>
      <c r="Y300">
        <f>IF(R300&gt;0,SUM(S300:T300),SUM(S300:U300)+W300)</f>
        <v>245100</v>
      </c>
      <c r="Z300">
        <v>0</v>
      </c>
      <c r="AA300">
        <f>X300*0.038</f>
        <v>8071.2</v>
      </c>
      <c r="AB300">
        <f>X300*0.02</f>
        <v>4248</v>
      </c>
      <c r="AC300">
        <f>Y300*0.1</f>
        <v>24510</v>
      </c>
      <c r="AD300">
        <f>X300-AA300-AB300</f>
        <v>200080.8</v>
      </c>
      <c r="AE300">
        <f>Y300-AC300</f>
        <v>220590</v>
      </c>
      <c r="AF300">
        <f>AD300*0.01</f>
        <v>2000.808</v>
      </c>
      <c r="AG300">
        <f>AD300-Q300-AF300-T300</f>
        <v>34679.99199999999</v>
      </c>
      <c r="AH300">
        <f>AE300-Q300-AF300-T300</f>
        <v>55189.191999999995</v>
      </c>
      <c r="AI300">
        <f>AG300/X300</f>
        <v>0.16327679849340862</v>
      </c>
      <c r="AJ300">
        <f>AH300/Y300</f>
        <v>0.225170101999184</v>
      </c>
    </row>
    <row r="301">
      <c r="F301" t="str">
        <v>Ultraviolet Purple</v>
      </c>
      <c r="G301" t="str">
        <f>HYPERLINK("https://www.amazon.com/dp/B07DD3WBYW/ref=twister_B07GY8WFVK?_encoding=UTF8&amp;th=1","A")</f>
        <v>A</v>
      </c>
      <c r="J301">
        <v>120</v>
      </c>
      <c r="K301">
        <v>2.1</v>
      </c>
      <c r="L301">
        <f>IF(K301&gt;0,K301*16,)</f>
        <v>33.6</v>
      </c>
      <c r="M301">
        <f>IF(K301&gt;0,K301*0.453592,IF(L301&gt;0,L301*0.02835,))</f>
        <v>0.9525432</v>
      </c>
      <c r="N301">
        <v>0</v>
      </c>
      <c r="O301">
        <v>0</v>
      </c>
      <c r="P301">
        <f>J301+O301+N301</f>
        <v>120</v>
      </c>
      <c r="Q301">
        <f>P301*C$3</f>
        <v>150000</v>
      </c>
      <c r="R301">
        <v>0</v>
      </c>
      <c r="S301">
        <f>ROUND(SUM(Q301:R301), -2)</f>
        <v>150000</v>
      </c>
      <c r="T301">
        <f>ROUNDUP(HLOOKUP(ROUNDUP(K301,0),'배송비 조회'!A$10:U$22,7,0)*C$3,-2)</f>
        <v>13400</v>
      </c>
      <c r="U301">
        <v>0</v>
      </c>
      <c r="V301">
        <f>ROUND(IF(R301&gt;0,0,(S301+T301)*0.3),-2)</f>
        <v>49000</v>
      </c>
      <c r="W301">
        <f>ROUND(IF(R301&gt;0,0,(S301+T301)*0.5),-2)</f>
        <v>81700</v>
      </c>
      <c r="X301">
        <f>IF(R301&gt;0,SUM(S301:T301),SUM(S301:V301))</f>
        <v>212400</v>
      </c>
      <c r="Y301">
        <f>IF(R301&gt;0,SUM(S301:T301),SUM(S301:U301)+W301)</f>
        <v>245100</v>
      </c>
      <c r="Z301">
        <v>0</v>
      </c>
      <c r="AA301">
        <f>X301*0.038</f>
        <v>8071.2</v>
      </c>
      <c r="AB301">
        <f>X301*0.02</f>
        <v>4248</v>
      </c>
      <c r="AC301">
        <f>Y301*0.1</f>
        <v>24510</v>
      </c>
      <c r="AD301">
        <f>X301-AA301-AB301</f>
        <v>200080.8</v>
      </c>
      <c r="AE301">
        <f>Y301-AC301</f>
        <v>220590</v>
      </c>
      <c r="AF301">
        <f>AD301*0.01</f>
        <v>2000.808</v>
      </c>
      <c r="AG301">
        <f>AD301-Q301-AF301-T301</f>
        <v>34679.99199999999</v>
      </c>
      <c r="AH301">
        <f>AE301-Q301-AF301-T301</f>
        <v>55189.191999999995</v>
      </c>
      <c r="AI301">
        <f>AG301/X301</f>
        <v>0.16327679849340862</v>
      </c>
      <c r="AJ301">
        <f>AH301/Y301</f>
        <v>0.225170101999184</v>
      </c>
      <c r="AK301">
        <f>X299-X301</f>
        <v>0</v>
      </c>
    </row>
    <row r="302">
      <c r="A302">
        <f>HYPERLINK("https://smartstore.naver.com/brickstore2019/products/4665446843",AW:AW)</f>
        <v>4665446843</v>
      </c>
      <c r="C302" t="str">
        <v>애플 아이패드용 펜슬 짭플펜슬2 (무료배송)</v>
      </c>
      <c r="E302" t="str">
        <v>Ultimate Ears BOOM 2 Portable Waterproof &amp; Shockproof Bluetooth Speaker - Patches</v>
      </c>
      <c r="G302" t="str">
        <f>HYPERLINK("https://www.amazon.com/gp/product/B07V4Y1PJ1/ref=as_li_ss_tl?ie=UTF8&amp;psc=1&amp;linkCode=sl1&amp;tag=techgearcast-20&amp;linkId=9feedfa326edb5694973d626f4ff05d1&amp;language=en_US","A")</f>
        <v>A</v>
      </c>
      <c r="J302">
        <v>40</v>
      </c>
      <c r="K302">
        <f>IF(L302&gt;0,L302*0.0625,)</f>
        <v>0.15</v>
      </c>
      <c r="L302">
        <v>2.4</v>
      </c>
      <c r="M302">
        <f>IF(K302&gt;0,K302*0.453592,IF(L302&gt;0,L302*0.02835,))</f>
        <v>0.0680388</v>
      </c>
      <c r="N302">
        <v>0</v>
      </c>
      <c r="O302">
        <v>0</v>
      </c>
      <c r="P302">
        <f>J302+O302+N302</f>
        <v>40</v>
      </c>
      <c r="Q302">
        <f>P302*C$3</f>
        <v>50000</v>
      </c>
      <c r="R302">
        <v>0</v>
      </c>
      <c r="S302">
        <f>ROUND(SUM(Q302:R302), -2)</f>
        <v>50000</v>
      </c>
      <c r="T302">
        <f>ROUNDUP(HLOOKUP(ROUNDUP(K302,0),'배송비 조회'!A$10:U$22,7,0)*C$3,-2)</f>
        <v>9000</v>
      </c>
      <c r="U302">
        <v>0</v>
      </c>
      <c r="V302">
        <f>ROUND(IF(R302&gt;0,0,(S302+T302)*0.3),-2)</f>
        <v>17700</v>
      </c>
      <c r="W302">
        <f>ROUND(IF(R302&gt;0,0,(S302+T302)*0.5),-2)</f>
        <v>29500</v>
      </c>
      <c r="X302">
        <f>IF(R302&gt;0,SUM(S302:T302),SUM(S302:V302))</f>
        <v>76700</v>
      </c>
      <c r="Y302">
        <f>IF(R302&gt;0,SUM(S302:T302),SUM(S302:U302)+W302)</f>
        <v>88500</v>
      </c>
      <c r="Z302">
        <v>0</v>
      </c>
      <c r="AA302">
        <f>X302*0.038</f>
        <v>2914.6</v>
      </c>
      <c r="AB302">
        <f>X302*0.02</f>
        <v>1534</v>
      </c>
      <c r="AC302">
        <f>Y302*0.1</f>
        <v>8850</v>
      </c>
      <c r="AD302">
        <f>X302-AA302-AB302</f>
        <v>72251.4</v>
      </c>
      <c r="AE302">
        <f>Y302-AC302</f>
        <v>79650</v>
      </c>
      <c r="AF302">
        <f>AD302*0.01</f>
        <v>722.514</v>
      </c>
      <c r="AG302">
        <f>AD302-Q302-AF302-T302</f>
        <v>12528.885999999995</v>
      </c>
      <c r="AH302">
        <f>AE302-Q302-AF302-T302</f>
        <v>19927.486</v>
      </c>
      <c r="AI302">
        <f>AG302/X302</f>
        <v>0.1633492307692307</v>
      </c>
      <c r="AJ302">
        <f>AH302/Y302</f>
        <v>0.22516933333333333</v>
      </c>
      <c r="AW302">
        <v>4665446843</v>
      </c>
    </row>
    <row r="303">
      <c r="A303">
        <f>HYPERLINK("https://smartstore.naver.com/brickstore2019/products/4666461347",AW:AW)</f>
        <v>4666461347</v>
      </c>
      <c r="C303" t="str">
        <v>접히는 휴대용 돋보기 안경 띤옵틱스 ThinOptics Glasses (무료배송)</v>
      </c>
      <c r="E303" t="str">
        <v>ThinOptics Reading Glasses + Keychain Case</v>
      </c>
      <c r="F303" t="str">
        <v>black 1.0</v>
      </c>
      <c r="G303" t="str">
        <f>HYPERLINK("https://www.amazon.com/ThinOPTICS-Keychain-Reading-Glasses-Strength/dp/B01MYDWUXL/ref=lp_12034493011_1_2?s=boost&amp;srs=12034493011&amp;ie=UTF8&amp;qid=1567837649&amp;sr=1-2&amp;th=1","A")</f>
        <v>A</v>
      </c>
      <c r="J303">
        <v>25</v>
      </c>
      <c r="K303">
        <f>IF(L303&gt;0,L303*0.0625,)</f>
        <v>0.15</v>
      </c>
      <c r="L303">
        <v>2.4</v>
      </c>
      <c r="M303">
        <f>IF(K303&gt;0,K303*0.453592,IF(L303&gt;0,L303*0.02835,))</f>
        <v>0.0680388</v>
      </c>
      <c r="N303">
        <v>0</v>
      </c>
      <c r="O303">
        <v>0</v>
      </c>
      <c r="P303">
        <f>J303+O303+N303</f>
        <v>25</v>
      </c>
      <c r="Q303">
        <f>P303*C$3</f>
        <v>31250</v>
      </c>
      <c r="R303">
        <v>0</v>
      </c>
      <c r="S303">
        <f>ROUND(SUM(Q303:R303), -2)</f>
        <v>31300</v>
      </c>
      <c r="T303">
        <f>ROUNDUP(HLOOKUP(ROUNDUP(K303,0),'배송비 조회'!A$10:U$22,7,0)*C$3,-2)</f>
        <v>9000</v>
      </c>
      <c r="U303">
        <v>0</v>
      </c>
      <c r="V303">
        <f>ROUND(IF(R303&gt;0,0,(S303+T303)*0.4),-2)</f>
        <v>16100</v>
      </c>
      <c r="W303">
        <f>ROUND(IF(R303&gt;0,0,(S303+T303)*0.5),-2)</f>
        <v>20200</v>
      </c>
      <c r="X303">
        <f>IF(R303&gt;0,SUM(S303:T303),SUM(S303:V303))</f>
        <v>56400</v>
      </c>
      <c r="Y303">
        <f>IF(R303&gt;0,SUM(S303:T303),SUM(S303:U303)+W303)</f>
        <v>60500</v>
      </c>
      <c r="Z303">
        <v>0</v>
      </c>
      <c r="AA303">
        <f>X303*0.038</f>
        <v>2143.2</v>
      </c>
      <c r="AB303">
        <f>X303*0.02</f>
        <v>1128</v>
      </c>
      <c r="AC303">
        <f>Y303*0.1</f>
        <v>6050</v>
      </c>
      <c r="AD303">
        <f>X303-AA303-AB303</f>
        <v>53128.8</v>
      </c>
      <c r="AE303">
        <f>Y303-AC303</f>
        <v>54450</v>
      </c>
      <c r="AF303">
        <f>AD303*0.01</f>
        <v>531.288</v>
      </c>
      <c r="AG303">
        <f>AD303-Q303-AF303-T303</f>
        <v>12347.512000000002</v>
      </c>
      <c r="AH303">
        <f>AE303-Q303-AF303-T303</f>
        <v>13668.712</v>
      </c>
      <c r="AI303">
        <f>AG303/X303</f>
        <v>0.21892751773049648</v>
      </c>
      <c r="AJ303">
        <f>AH303/Y303</f>
        <v>0.22592912396694215</v>
      </c>
      <c r="AW303">
        <v>4666461347</v>
      </c>
    </row>
    <row r="304">
      <c r="F304" t="str">
        <v>black 1.5</v>
      </c>
      <c r="G304" t="str">
        <f>HYPERLINK("https://www.amazon.com/ThinOPTICS-Keychain-Reading-Glasses-Strength/dp/B01MYDWUXL/ref=lp_12034493011_1_2?s=boost&amp;srs=12034493011&amp;ie=UTF9&amp;qid=1567837649&amp;sr=1-2&amp;th=1","A")</f>
        <v>A</v>
      </c>
      <c r="J304">
        <v>25</v>
      </c>
      <c r="K304">
        <f>IF(L304&gt;0,L304*0.0625,)</f>
        <v>0.15</v>
      </c>
      <c r="L304">
        <v>2.4</v>
      </c>
      <c r="M304">
        <f>IF(K304&gt;0,K304*0.453592,IF(L304&gt;0,L304*0.02835,))</f>
        <v>0.0680388</v>
      </c>
      <c r="N304">
        <v>0</v>
      </c>
      <c r="O304">
        <v>0</v>
      </c>
      <c r="P304">
        <f>J304+O304+N304</f>
        <v>25</v>
      </c>
      <c r="Q304">
        <f>P304*C$3</f>
        <v>31250</v>
      </c>
      <c r="R304">
        <v>0</v>
      </c>
      <c r="S304">
        <f>ROUND(SUM(Q304:R304), -2)</f>
        <v>31300</v>
      </c>
      <c r="T304">
        <f>ROUNDUP(HLOOKUP(ROUNDUP(K304,0),'배송비 조회'!A$10:U$22,7,0)*C$3,-2)</f>
        <v>9000</v>
      </c>
      <c r="U304">
        <v>0</v>
      </c>
      <c r="V304">
        <f>ROUND(IF(R304&gt;0,0,(S304+T304)*0.4),-2)</f>
        <v>16100</v>
      </c>
      <c r="W304">
        <f>ROUND(IF(R304&gt;0,0,(S304+T304)*0.5),-2)</f>
        <v>20200</v>
      </c>
      <c r="X304">
        <f>IF(R304&gt;0,SUM(S304:T304),SUM(S304:V304))</f>
        <v>56400</v>
      </c>
      <c r="Y304">
        <f>IF(R304&gt;0,SUM(S304:T304),SUM(S304:U304)+W304)</f>
        <v>60500</v>
      </c>
      <c r="Z304">
        <v>0</v>
      </c>
      <c r="AA304">
        <f>X304*0.038</f>
        <v>2143.2</v>
      </c>
      <c r="AB304">
        <f>X304*0.02</f>
        <v>1128</v>
      </c>
      <c r="AC304">
        <f>Y304*0.1</f>
        <v>6050</v>
      </c>
      <c r="AD304">
        <f>X304-AA304-AB304</f>
        <v>53128.8</v>
      </c>
      <c r="AE304">
        <f>Y304-AC304</f>
        <v>54450</v>
      </c>
      <c r="AF304">
        <f>AD304*0.01</f>
        <v>531.288</v>
      </c>
      <c r="AG304">
        <f>AD304-Q304-AF304-T304</f>
        <v>12347.512000000002</v>
      </c>
      <c r="AH304">
        <f>AE304-Q304-AF304-T304</f>
        <v>13668.712</v>
      </c>
      <c r="AI304">
        <f>AG304/X304</f>
        <v>0.21892751773049648</v>
      </c>
      <c r="AJ304">
        <f>AH304/Y304</f>
        <v>0.22592912396694215</v>
      </c>
    </row>
    <row r="305">
      <c r="F305" t="str">
        <v>black 2.0</v>
      </c>
      <c r="G305" t="str">
        <f>HYPERLINK("https://www.amazon.com/ThinOPTICS-Keychain-Reading-Glasses-Strength/dp/B01MYDWUXL/ref=lp_12034493011_1_2?s=boost&amp;srs=12034493011&amp;ie=UTF10&amp;qid=1567837649&amp;sr=1-2&amp;th=1","A")</f>
        <v>A</v>
      </c>
      <c r="J305">
        <v>25</v>
      </c>
      <c r="K305">
        <f>IF(L305&gt;0,L305*0.0625,)</f>
        <v>0.15</v>
      </c>
      <c r="L305">
        <v>2.4</v>
      </c>
      <c r="M305">
        <f>IF(K305&gt;0,K305*0.453592,IF(L305&gt;0,L305*0.02835,))</f>
        <v>0.0680388</v>
      </c>
      <c r="N305">
        <v>0</v>
      </c>
      <c r="O305">
        <v>0</v>
      </c>
      <c r="P305">
        <f>J305+O305+N305</f>
        <v>25</v>
      </c>
      <c r="Q305">
        <f>P305*C$3</f>
        <v>31250</v>
      </c>
      <c r="R305">
        <v>0</v>
      </c>
      <c r="S305">
        <f>ROUND(SUM(Q305:R305), -2)</f>
        <v>31300</v>
      </c>
      <c r="T305">
        <f>ROUNDUP(HLOOKUP(ROUNDUP(K305,0),'배송비 조회'!A$10:U$22,7,0)*C$3,-2)</f>
        <v>9000</v>
      </c>
      <c r="U305">
        <v>0</v>
      </c>
      <c r="V305">
        <f>ROUND(IF(R305&gt;0,0,(S305+T305)*0.4),-2)</f>
        <v>16100</v>
      </c>
      <c r="W305">
        <f>ROUND(IF(R305&gt;0,0,(S305+T305)*0.5),-2)</f>
        <v>20200</v>
      </c>
      <c r="X305">
        <f>IF(R305&gt;0,SUM(S305:T305),SUM(S305:V305))</f>
        <v>56400</v>
      </c>
      <c r="Y305">
        <f>IF(R305&gt;0,SUM(S305:T305),SUM(S305:U305)+W305)</f>
        <v>60500</v>
      </c>
      <c r="Z305">
        <v>0</v>
      </c>
      <c r="AA305">
        <f>X305*0.038</f>
        <v>2143.2</v>
      </c>
      <c r="AB305">
        <f>X305*0.02</f>
        <v>1128</v>
      </c>
      <c r="AC305">
        <f>Y305*0.1</f>
        <v>6050</v>
      </c>
      <c r="AD305">
        <f>X305-AA305-AB305</f>
        <v>53128.8</v>
      </c>
      <c r="AE305">
        <f>Y305-AC305</f>
        <v>54450</v>
      </c>
      <c r="AF305">
        <f>AD305*0.01</f>
        <v>531.288</v>
      </c>
      <c r="AG305">
        <f>AD305-Q305-AF305-T305</f>
        <v>12347.512000000002</v>
      </c>
      <c r="AH305">
        <f>AE305-Q305-AF305-T305</f>
        <v>13668.712</v>
      </c>
      <c r="AI305">
        <f>AG305/X305</f>
        <v>0.21892751773049648</v>
      </c>
      <c r="AJ305">
        <f>AH305/Y305</f>
        <v>0.22592912396694215</v>
      </c>
    </row>
    <row r="306">
      <c r="F306" t="str">
        <v>black 2.5</v>
      </c>
      <c r="G306" t="str">
        <f>HYPERLINK("https://www.amazon.com/ThinOPTICS-Keychain-Reading-Glasses-Strength/dp/B01MYDWUXL/ref=lp_12034493011_1_2?s=boost&amp;srs=12034493011&amp;ie=UTF11&amp;qid=1567837649&amp;sr=1-2&amp;th=1","A")</f>
        <v>A</v>
      </c>
      <c r="J306">
        <v>25</v>
      </c>
      <c r="K306">
        <f>IF(L306&gt;0,L306*0.0625,)</f>
        <v>0.15</v>
      </c>
      <c r="L306">
        <v>2.4</v>
      </c>
      <c r="M306">
        <f>IF(K306&gt;0,K306*0.453592,IF(L306&gt;0,L306*0.02835,))</f>
        <v>0.0680388</v>
      </c>
      <c r="N306">
        <v>0</v>
      </c>
      <c r="O306">
        <v>0</v>
      </c>
      <c r="P306">
        <f>J306+O306+N306</f>
        <v>25</v>
      </c>
      <c r="Q306">
        <f>P306*C$3</f>
        <v>31250</v>
      </c>
      <c r="R306">
        <v>0</v>
      </c>
      <c r="S306">
        <f>ROUND(SUM(Q306:R306), -2)</f>
        <v>31300</v>
      </c>
      <c r="T306">
        <f>ROUNDUP(HLOOKUP(ROUNDUP(K306,0),'배송비 조회'!A$10:U$22,7,0)*C$3,-2)</f>
        <v>9000</v>
      </c>
      <c r="U306">
        <v>0</v>
      </c>
      <c r="V306">
        <f>ROUND(IF(R306&gt;0,0,(S306+T306)*0.4),-2)</f>
        <v>16100</v>
      </c>
      <c r="W306">
        <f>ROUND(IF(R306&gt;0,0,(S306+T306)*0.5),-2)</f>
        <v>20200</v>
      </c>
      <c r="X306">
        <f>IF(R306&gt;0,SUM(S306:T306),SUM(S306:V306))</f>
        <v>56400</v>
      </c>
      <c r="Y306">
        <f>IF(R306&gt;0,SUM(S306:T306),SUM(S306:U306)+W306)</f>
        <v>60500</v>
      </c>
      <c r="Z306">
        <v>0</v>
      </c>
      <c r="AA306">
        <f>X306*0.038</f>
        <v>2143.2</v>
      </c>
      <c r="AB306">
        <f>X306*0.02</f>
        <v>1128</v>
      </c>
      <c r="AC306">
        <f>Y306*0.1</f>
        <v>6050</v>
      </c>
      <c r="AD306">
        <f>X306-AA306-AB306</f>
        <v>53128.8</v>
      </c>
      <c r="AE306">
        <f>Y306-AC306</f>
        <v>54450</v>
      </c>
      <c r="AF306">
        <f>AD306*0.01</f>
        <v>531.288</v>
      </c>
      <c r="AG306">
        <f>AD306-Q306-AF306-T306</f>
        <v>12347.512000000002</v>
      </c>
      <c r="AH306">
        <f>AE306-Q306-AF306-T306</f>
        <v>13668.712</v>
      </c>
      <c r="AI306">
        <f>AG306/X306</f>
        <v>0.21892751773049648</v>
      </c>
      <c r="AJ306">
        <f>AH306/Y306</f>
        <v>0.22592912396694215</v>
      </c>
    </row>
    <row r="307">
      <c r="F307" t="str">
        <v>clear 1.0</v>
      </c>
      <c r="G307" t="str">
        <f>HYPERLINK("https://www.amazon.com/ThinOPTICS-Keychain-Reading-Glasses-Strength/dp/B01MYDWUXL/ref=lp_12034493011_1_2?s=boost&amp;srs=12034493011&amp;ie=UTF12&amp;qid=1567837649&amp;sr=1-2&amp;th=1","A")</f>
        <v>A</v>
      </c>
      <c r="J307">
        <v>25</v>
      </c>
      <c r="K307">
        <f>IF(L307&gt;0,L307*0.0625,)</f>
        <v>0.15</v>
      </c>
      <c r="L307">
        <v>2.4</v>
      </c>
      <c r="M307">
        <f>IF(K307&gt;0,K307*0.453592,IF(L307&gt;0,L307*0.02835,))</f>
        <v>0.0680388</v>
      </c>
      <c r="N307">
        <v>0</v>
      </c>
      <c r="O307">
        <v>0</v>
      </c>
      <c r="P307">
        <f>J307+O307+N307</f>
        <v>25</v>
      </c>
      <c r="Q307">
        <f>P307*C$3</f>
        <v>31250</v>
      </c>
      <c r="R307">
        <v>0</v>
      </c>
      <c r="S307">
        <f>ROUND(SUM(Q307:R307), -2)</f>
        <v>31300</v>
      </c>
      <c r="T307">
        <f>ROUNDUP(HLOOKUP(ROUNDUP(K307,0),'배송비 조회'!A$10:U$22,7,0)*C$3,-2)</f>
        <v>9000</v>
      </c>
      <c r="U307">
        <v>0</v>
      </c>
      <c r="V307">
        <f>ROUND(IF(R307&gt;0,0,(S307+T307)*0.4),-2)</f>
        <v>16100</v>
      </c>
      <c r="W307">
        <f>ROUND(IF(R307&gt;0,0,(S307+T307)*0.5),-2)</f>
        <v>20200</v>
      </c>
      <c r="X307">
        <f>IF(R307&gt;0,SUM(S307:T307),SUM(S307:V307))</f>
        <v>56400</v>
      </c>
      <c r="Y307">
        <f>IF(R307&gt;0,SUM(S307:T307),SUM(S307:U307)+W307)</f>
        <v>60500</v>
      </c>
      <c r="Z307">
        <v>0</v>
      </c>
      <c r="AA307">
        <f>X307*0.038</f>
        <v>2143.2</v>
      </c>
      <c r="AB307">
        <f>X307*0.02</f>
        <v>1128</v>
      </c>
      <c r="AC307">
        <f>Y307*0.1</f>
        <v>6050</v>
      </c>
      <c r="AD307">
        <f>X307-AA307-AB307</f>
        <v>53128.8</v>
      </c>
      <c r="AE307">
        <f>Y307-AC307</f>
        <v>54450</v>
      </c>
      <c r="AF307">
        <f>AD307*0.01</f>
        <v>531.288</v>
      </c>
      <c r="AG307">
        <f>AD307-Q307-AF307-T307</f>
        <v>12347.512000000002</v>
      </c>
      <c r="AH307">
        <f>AE307-Q307-AF307-T307</f>
        <v>13668.712</v>
      </c>
      <c r="AI307">
        <f>AG307/X307</f>
        <v>0.21892751773049648</v>
      </c>
      <c r="AJ307">
        <f>AH307/Y307</f>
        <v>0.22592912396694215</v>
      </c>
    </row>
    <row r="308">
      <c r="F308" t="str">
        <v>clear 1.5</v>
      </c>
      <c r="G308" t="str">
        <f>HYPERLINK("https://www.amazon.com/ThinOPTICS-Keychain-Reading-Glasses-Strength/dp/B01MYDWUXL/ref=lp_12034493011_1_2?s=boost&amp;srs=12034493011&amp;ie=UTF13&amp;qid=1567837649&amp;sr=1-2&amp;th=1","A")</f>
        <v>A</v>
      </c>
      <c r="J308">
        <v>25</v>
      </c>
      <c r="K308">
        <f>IF(L308&gt;0,L308*0.0625,)</f>
        <v>0.15</v>
      </c>
      <c r="L308">
        <v>2.4</v>
      </c>
      <c r="M308">
        <f>IF(K308&gt;0,K308*0.453592,IF(L308&gt;0,L308*0.02835,))</f>
        <v>0.0680388</v>
      </c>
      <c r="N308">
        <v>0</v>
      </c>
      <c r="O308">
        <v>0</v>
      </c>
      <c r="P308">
        <f>J308+O308+N308</f>
        <v>25</v>
      </c>
      <c r="Q308">
        <f>P308*C$3</f>
        <v>31250</v>
      </c>
      <c r="R308">
        <v>0</v>
      </c>
      <c r="S308">
        <f>ROUND(SUM(Q308:R308), -2)</f>
        <v>31300</v>
      </c>
      <c r="T308">
        <f>ROUNDUP(HLOOKUP(ROUNDUP(K308,0),'배송비 조회'!A$10:U$22,7,0)*C$3,-2)</f>
        <v>9000</v>
      </c>
      <c r="U308">
        <v>0</v>
      </c>
      <c r="V308">
        <f>ROUND(IF(R308&gt;0,0,(S308+T308)*0.4),-2)</f>
        <v>16100</v>
      </c>
      <c r="W308">
        <f>ROUND(IF(R308&gt;0,0,(S308+T308)*0.5),-2)</f>
        <v>20200</v>
      </c>
      <c r="X308">
        <f>IF(R308&gt;0,SUM(S308:T308),SUM(S308:V308))</f>
        <v>56400</v>
      </c>
      <c r="Y308">
        <f>IF(R308&gt;0,SUM(S308:T308),SUM(S308:U308)+W308)</f>
        <v>60500</v>
      </c>
      <c r="Z308">
        <v>0</v>
      </c>
      <c r="AA308">
        <f>X308*0.038</f>
        <v>2143.2</v>
      </c>
      <c r="AB308">
        <f>X308*0.02</f>
        <v>1128</v>
      </c>
      <c r="AC308">
        <f>Y308*0.1</f>
        <v>6050</v>
      </c>
      <c r="AD308">
        <f>X308-AA308-AB308</f>
        <v>53128.8</v>
      </c>
      <c r="AE308">
        <f>Y308-AC308</f>
        <v>54450</v>
      </c>
      <c r="AF308">
        <f>AD308*0.01</f>
        <v>531.288</v>
      </c>
      <c r="AG308">
        <f>AD308-Q308-AF308-T308</f>
        <v>12347.512000000002</v>
      </c>
      <c r="AH308">
        <f>AE308-Q308-AF308-T308</f>
        <v>13668.712</v>
      </c>
      <c r="AI308">
        <f>AG308/X308</f>
        <v>0.21892751773049648</v>
      </c>
      <c r="AJ308">
        <f>AH308/Y308</f>
        <v>0.22592912396694215</v>
      </c>
    </row>
    <row r="309">
      <c r="F309" t="str">
        <v>clear 2.0</v>
      </c>
      <c r="G309" t="str">
        <f>HYPERLINK("https://www.amazon.com/ThinOPTICS-Keychain-Reading-Glasses-Strength/dp/B01MYDWUXL/ref=lp_12034493011_1_2?s=boost&amp;srs=12034493011&amp;ie=UTF14&amp;qid=1567837649&amp;sr=1-2&amp;th=1","A")</f>
        <v>A</v>
      </c>
      <c r="J309">
        <v>25</v>
      </c>
      <c r="K309">
        <f>IF(L309&gt;0,L309*0.0625,)</f>
        <v>0.15</v>
      </c>
      <c r="L309">
        <v>2.4</v>
      </c>
      <c r="M309">
        <f>IF(K309&gt;0,K309*0.453592,IF(L309&gt;0,L309*0.02835,))</f>
        <v>0.0680388</v>
      </c>
      <c r="N309">
        <v>0</v>
      </c>
      <c r="O309">
        <v>0</v>
      </c>
      <c r="P309">
        <f>J309+O309+N309</f>
        <v>25</v>
      </c>
      <c r="Q309">
        <f>P309*C$3</f>
        <v>31250</v>
      </c>
      <c r="R309">
        <v>0</v>
      </c>
      <c r="S309">
        <f>ROUND(SUM(Q309:R309), -2)</f>
        <v>31300</v>
      </c>
      <c r="T309">
        <f>ROUNDUP(HLOOKUP(ROUNDUP(K309,0),'배송비 조회'!A$10:U$22,7,0)*C$3,-2)</f>
        <v>9000</v>
      </c>
      <c r="U309">
        <v>0</v>
      </c>
      <c r="V309">
        <f>ROUND(IF(R309&gt;0,0,(S309+T309)*0.4),-2)</f>
        <v>16100</v>
      </c>
      <c r="W309">
        <f>ROUND(IF(R309&gt;0,0,(S309+T309)*0.5),-2)</f>
        <v>20200</v>
      </c>
      <c r="X309">
        <f>IF(R309&gt;0,SUM(S309:T309),SUM(S309:V309))</f>
        <v>56400</v>
      </c>
      <c r="Y309">
        <f>IF(R309&gt;0,SUM(S309:T309),SUM(S309:U309)+W309)</f>
        <v>60500</v>
      </c>
      <c r="Z309">
        <v>0</v>
      </c>
      <c r="AA309">
        <f>X309*0.038</f>
        <v>2143.2</v>
      </c>
      <c r="AB309">
        <f>X309*0.02</f>
        <v>1128</v>
      </c>
      <c r="AC309">
        <f>Y309*0.1</f>
        <v>6050</v>
      </c>
      <c r="AD309">
        <f>X309-AA309-AB309</f>
        <v>53128.8</v>
      </c>
      <c r="AE309">
        <f>Y309-AC309</f>
        <v>54450</v>
      </c>
      <c r="AF309">
        <f>AD309*0.01</f>
        <v>531.288</v>
      </c>
      <c r="AG309">
        <f>AD309-Q309-AF309-T309</f>
        <v>12347.512000000002</v>
      </c>
      <c r="AH309">
        <f>AE309-Q309-AF309-T309</f>
        <v>13668.712</v>
      </c>
      <c r="AI309">
        <f>AG309/X309</f>
        <v>0.21892751773049648</v>
      </c>
      <c r="AJ309">
        <f>AH309/Y309</f>
        <v>0.22592912396694215</v>
      </c>
    </row>
    <row r="310">
      <c r="F310" t="str">
        <v>clear 2.5</v>
      </c>
      <c r="G310" t="str">
        <f>HYPERLINK("https://www.amazon.com/ThinOPTICS-Keychain-Reading-Glasses-Strength/dp/B01MYDWUXL/ref=lp_12034493011_1_2?s=boost&amp;srs=12034493011&amp;ie=UTF15&amp;qid=1567837649&amp;sr=1-2&amp;th=1","A")</f>
        <v>A</v>
      </c>
      <c r="J310">
        <v>25</v>
      </c>
      <c r="K310">
        <f>IF(L310&gt;0,L310*0.0625,)</f>
        <v>0.15</v>
      </c>
      <c r="L310">
        <v>2.4</v>
      </c>
      <c r="M310">
        <f>IF(K310&gt;0,K310*0.453592,IF(L310&gt;0,L310*0.02835,))</f>
        <v>0.0680388</v>
      </c>
      <c r="N310">
        <v>0</v>
      </c>
      <c r="O310">
        <v>0</v>
      </c>
      <c r="P310">
        <f>J310+O310+N310</f>
        <v>25</v>
      </c>
      <c r="Q310">
        <f>P310*C$3</f>
        <v>31250</v>
      </c>
      <c r="R310">
        <v>0</v>
      </c>
      <c r="S310">
        <f>ROUND(SUM(Q310:R310), -2)</f>
        <v>31300</v>
      </c>
      <c r="T310">
        <f>ROUNDUP(HLOOKUP(ROUNDUP(K310,0),'배송비 조회'!A$10:U$22,7,0)*C$3,-2)</f>
        <v>9000</v>
      </c>
      <c r="U310">
        <v>0</v>
      </c>
      <c r="V310">
        <f>ROUND(IF(R310&gt;0,0,(S310+T310)*0.4),-2)</f>
        <v>16100</v>
      </c>
      <c r="W310">
        <f>ROUND(IF(R310&gt;0,0,(S310+T310)*0.5),-2)</f>
        <v>20200</v>
      </c>
      <c r="X310">
        <f>IF(R310&gt;0,SUM(S310:T310),SUM(S310:V310))</f>
        <v>56400</v>
      </c>
      <c r="Y310">
        <f>IF(R310&gt;0,SUM(S310:T310),SUM(S310:U310)+W310)</f>
        <v>60500</v>
      </c>
      <c r="Z310">
        <v>0</v>
      </c>
      <c r="AA310">
        <f>X310*0.038</f>
        <v>2143.2</v>
      </c>
      <c r="AB310">
        <f>X310*0.02</f>
        <v>1128</v>
      </c>
      <c r="AC310">
        <f>Y310*0.1</f>
        <v>6050</v>
      </c>
      <c r="AD310">
        <f>X310-AA310-AB310</f>
        <v>53128.8</v>
      </c>
      <c r="AE310">
        <f>Y310-AC310</f>
        <v>54450</v>
      </c>
      <c r="AF310">
        <f>AD310*0.01</f>
        <v>531.288</v>
      </c>
      <c r="AG310">
        <f>AD310-Q310-AF310-T310</f>
        <v>12347.512000000002</v>
      </c>
      <c r="AH310">
        <f>AE310-Q310-AF310-T310</f>
        <v>13668.712</v>
      </c>
      <c r="AI310">
        <f>AG310/X310</f>
        <v>0.21892751773049648</v>
      </c>
      <c r="AJ310">
        <f>AH310/Y310</f>
        <v>0.22592912396694215</v>
      </c>
    </row>
    <row r="311">
      <c r="A311">
        <f>HYPERLINK("https://smartstore.naver.com/brickstore2019/products/4666568128",AW:AW)</f>
        <v>4666568128</v>
      </c>
      <c r="C311" t="str">
        <v>휴대용 돋보기 안경 띤옵틱스 ThinOptics Glasses (무료배송)</v>
      </c>
      <c r="E311" t="str">
        <v>ThinOptics Manhattan reading glasses + Milano anodized aluminum, magnetic case</v>
      </c>
      <c r="F311" t="str">
        <v>모든옵션</v>
      </c>
      <c r="G311" t="str">
        <f>HYPERLINK("https://www.amazon.com/ThinOptics-Manhattan-anodized-aluminum-magnetic/dp/B07FL3166Q?ref_=ast_sto_dp&amp;th=1&amp;psc=1","A")</f>
        <v>A</v>
      </c>
      <c r="J311">
        <v>50</v>
      </c>
      <c r="K311">
        <f>IF(L311&gt;0,L311*0.0625,)</f>
        <v>0.25</v>
      </c>
      <c r="L311">
        <v>4</v>
      </c>
      <c r="M311">
        <f>IF(K311&gt;0,K311*0.453592,IF(L311&gt;0,L311*0.02835,))</f>
        <v>0.113398</v>
      </c>
      <c r="N311">
        <v>0</v>
      </c>
      <c r="O311">
        <v>0</v>
      </c>
      <c r="P311">
        <f>J311+O311+N311</f>
        <v>50</v>
      </c>
      <c r="Q311">
        <f>P311*C$3</f>
        <v>62500</v>
      </c>
      <c r="R311">
        <v>0</v>
      </c>
      <c r="S311">
        <f>ROUND(SUM(Q311:R311), -2)</f>
        <v>62500</v>
      </c>
      <c r="T311">
        <f>ROUNDUP(HLOOKUP(ROUNDUP(K311,0),'배송비 조회'!A$10:U$22,7,0)*C$3,-2)</f>
        <v>9000</v>
      </c>
      <c r="U311">
        <v>0</v>
      </c>
      <c r="V311">
        <f>ROUND(IF(R311&gt;0,0,(S311+T311)*0.3),-2)</f>
        <v>21500</v>
      </c>
      <c r="W311">
        <f>ROUND(IF(R311&gt;0,0,(S311+T311)*0.5),-2)</f>
        <v>35800</v>
      </c>
      <c r="X311">
        <f>IF(R311&gt;0,SUM(S311:T311),SUM(S311:V311))</f>
        <v>93000</v>
      </c>
      <c r="Y311">
        <f>IF(R311&gt;0,SUM(S311:T311),SUM(S311:U311)+W311)</f>
        <v>107300</v>
      </c>
      <c r="Z311">
        <v>0</v>
      </c>
      <c r="AA311">
        <f>X311*0.038</f>
        <v>3534</v>
      </c>
      <c r="AB311">
        <f>X311*0.02</f>
        <v>1860</v>
      </c>
      <c r="AC311">
        <f>Y311*0.1</f>
        <v>10730</v>
      </c>
      <c r="AD311">
        <f>X311-AA311-AB311</f>
        <v>87606</v>
      </c>
      <c r="AE311">
        <f>Y311-AC311</f>
        <v>96570</v>
      </c>
      <c r="AF311">
        <f>AD311*0.01</f>
        <v>876.0600000000001</v>
      </c>
      <c r="AG311">
        <f>AD311-Q311-AF311-T311</f>
        <v>15229.939999999999</v>
      </c>
      <c r="AH311">
        <f>AE311-Q311-AF311-T311</f>
        <v>24193.940000000002</v>
      </c>
      <c r="AI311">
        <f>AG311/X311</f>
        <v>0.1637627956989247</v>
      </c>
      <c r="AJ311">
        <f>AH311/Y311</f>
        <v>0.22547940354147253</v>
      </c>
      <c r="AW311">
        <v>4666568128</v>
      </c>
    </row>
    <row r="312">
      <c r="A312">
        <f>HYPERLINK("https://smartstore.naver.com/brickstore2019/products/4668334527",AW:AW)</f>
        <v>4668334527</v>
      </c>
      <c r="C312" t="str">
        <v>타이틀리스트 스냅백 남자골프모자 Titleist TH9ATSMN2</v>
      </c>
      <c r="E312" t="str">
        <v>Titleist Men's Tour Snapback Mesh Golf Hat</v>
      </c>
      <c r="F312" t="str">
        <v>Black/Charcoal</v>
      </c>
      <c r="G312" t="str">
        <f>HYPERLINK("https://www.amazon.com/Titleist-Mens-Snapback-Black-Charcoal/dp/B07PYYQY5M/ref=sr_1_6?crid=2SI3UC8J34K6J&amp;keywords=titleist%2Bhat&amp;qid=1568210955&amp;refinements=p_72%3A2661618011&amp;rnid=2661617011&amp;s=gateway&amp;sprefix=title%2Caps%2C322&amp;sr=8-6&amp;th=1","A")</f>
        <v>A</v>
      </c>
      <c r="J312">
        <v>30</v>
      </c>
      <c r="K312">
        <f>IF(L312&gt;0,L312*0.0625,)</f>
        <v>0.25</v>
      </c>
      <c r="L312">
        <v>4</v>
      </c>
      <c r="M312">
        <f>IF(K312&gt;0,K312*0.453592,IF(L312&gt;0,L312*0.02835,))</f>
        <v>0.113398</v>
      </c>
      <c r="N312">
        <v>0</v>
      </c>
      <c r="O312">
        <v>0</v>
      </c>
      <c r="P312">
        <f>J312+O312+N312</f>
        <v>30</v>
      </c>
      <c r="Q312">
        <f>P312*C$3</f>
        <v>37500</v>
      </c>
      <c r="R312">
        <v>0</v>
      </c>
      <c r="S312">
        <f>ROUND(SUM(Q312:R312), -2)</f>
        <v>37500</v>
      </c>
      <c r="T312">
        <f>ROUNDUP(HLOOKUP(ROUNDUP(K312,0),'배송비 조회'!A$10:U$22,7,0)*C$3,-2)</f>
        <v>9000</v>
      </c>
      <c r="U312">
        <v>0</v>
      </c>
      <c r="V312">
        <f>ROUND(IF(R312&gt;0,0,(S312+T312)*0.4),-2)</f>
        <v>18600</v>
      </c>
      <c r="W312">
        <f>ROUND(IF(R312&gt;0,0,(S312+T312)*0.5),-2)</f>
        <v>23300</v>
      </c>
      <c r="X312">
        <f>IF(R312&gt;0,SUM(S312:T312),SUM(S312:V312))</f>
        <v>65100</v>
      </c>
      <c r="Y312">
        <f>IF(R312&gt;0,SUM(S312:T312),SUM(S312:U312)+W312)</f>
        <v>69800</v>
      </c>
      <c r="Z312">
        <v>0</v>
      </c>
      <c r="AA312">
        <f>X312*0.038</f>
        <v>2473.7999999999997</v>
      </c>
      <c r="AB312">
        <f>X312*0.02</f>
        <v>1302</v>
      </c>
      <c r="AC312">
        <f>Y312*0.1</f>
        <v>6980</v>
      </c>
      <c r="AD312">
        <f>X312-AA312-AB312</f>
        <v>61324.2</v>
      </c>
      <c r="AE312">
        <f>Y312-AC312</f>
        <v>62820</v>
      </c>
      <c r="AF312">
        <f>AD312*0.01</f>
        <v>613.242</v>
      </c>
      <c r="AG312">
        <f>AD312-Q312-AF312-T312</f>
        <v>14210.957999999999</v>
      </c>
      <c r="AH312">
        <f>AE312-Q312-AF312-T312</f>
        <v>15706.758000000002</v>
      </c>
      <c r="AI312">
        <f>AG312/X312</f>
        <v>0.2182942857142857</v>
      </c>
      <c r="AJ312">
        <f>AH312/Y312</f>
        <v>0.22502518624641837</v>
      </c>
      <c r="AW312">
        <v>4668334527</v>
      </c>
    </row>
    <row r="313">
      <c r="F313" t="str">
        <v>Charcoal/Black</v>
      </c>
      <c r="G313" t="str">
        <f>HYPERLINK("https://www.amazon.com/Titleist-Mens-Snapback-Black-Charcoal/dp/B07PVQJF6P/ref=sr_1_6?crid=2SI3UC8J34K6J&amp;keywords=titleist%2Bhat&amp;qid=1568210955&amp;refinements=p_72%3A2661618011&amp;rnid=2661617011&amp;s=gateway&amp;sprefix=title%2Caps%2C322&amp;sr=8-6&amp;th=1","A")</f>
        <v>A</v>
      </c>
      <c r="H313" t="str">
        <v>품절</v>
      </c>
      <c r="J313">
        <v>30</v>
      </c>
      <c r="K313">
        <f>IF(L313&gt;0,L313*0.0625,)</f>
        <v>0.25</v>
      </c>
      <c r="L313">
        <v>4</v>
      </c>
      <c r="M313">
        <f>IF(K313&gt;0,K313*0.453592,IF(L313&gt;0,L313*0.02835,))</f>
        <v>0.113398</v>
      </c>
      <c r="N313">
        <v>0</v>
      </c>
      <c r="O313">
        <v>0</v>
      </c>
      <c r="P313">
        <f>J313+O313+N313</f>
        <v>30</v>
      </c>
      <c r="Q313">
        <f>P313*C$3</f>
        <v>37500</v>
      </c>
      <c r="R313">
        <v>0</v>
      </c>
      <c r="S313">
        <f>ROUND(SUM(Q313:R313), -2)</f>
        <v>37500</v>
      </c>
      <c r="T313">
        <f>ROUNDUP(HLOOKUP(ROUNDUP(K313,0),'배송비 조회'!A$10:U$22,7,0)*C$3,-2)</f>
        <v>9000</v>
      </c>
      <c r="U313">
        <v>0</v>
      </c>
      <c r="V313">
        <f>ROUND(IF(R313&gt;0,0,(S313+T313)*0.4),-2)</f>
        <v>18600</v>
      </c>
      <c r="W313">
        <f>ROUND(IF(R313&gt;0,0,(S313+T313)*0.5),-2)</f>
        <v>23300</v>
      </c>
      <c r="X313">
        <f>IF(R313&gt;0,SUM(S313:T313),SUM(S313:V313))</f>
        <v>65100</v>
      </c>
      <c r="Y313">
        <f>IF(R313&gt;0,SUM(S313:T313),SUM(S313:U313)+W313)</f>
        <v>69800</v>
      </c>
      <c r="Z313">
        <v>0</v>
      </c>
      <c r="AA313">
        <f>X313*0.038</f>
        <v>2473.7999999999997</v>
      </c>
      <c r="AB313">
        <f>X313*0.02</f>
        <v>1302</v>
      </c>
      <c r="AC313">
        <f>Y313*0.1</f>
        <v>6980</v>
      </c>
      <c r="AD313">
        <f>X313-AA313-AB313</f>
        <v>61324.2</v>
      </c>
      <c r="AE313">
        <f>Y313-AC313</f>
        <v>62820</v>
      </c>
      <c r="AF313">
        <f>AD313*0.01</f>
        <v>613.242</v>
      </c>
      <c r="AG313">
        <f>AD313-Q313-AF313-T313</f>
        <v>14210.957999999999</v>
      </c>
      <c r="AH313">
        <f>AE313-Q313-AF313-T313</f>
        <v>15706.758000000002</v>
      </c>
      <c r="AI313">
        <f>AG313/X313</f>
        <v>0.2182942857142857</v>
      </c>
      <c r="AJ313">
        <f>AH313/Y313</f>
        <v>0.22502518624641837</v>
      </c>
    </row>
    <row r="314">
      <c r="A314">
        <f>HYPERLINK("https://smartstore.naver.com/brickstore2019/products/4668374383",AW:AW)</f>
        <v>4668374383</v>
      </c>
      <c r="C314" t="str">
        <v>나이트라이트 블루투스 스피커 LED 무드등 SHAVA 7</v>
      </c>
      <c r="E314" t="str">
        <v>Night Light Bluetooth Speaker, Portable Wireless Bluetooth Speakers, Touch Control, Color LED Speaker, Bedside Table Light, Speakerphone/TF Card/AUX-in Supported (White), SHAVA 7</v>
      </c>
      <c r="G314" t="str">
        <f>HYPERLINK("https://www.amazon.com/SHAVA-Bluetooth-Portable-Speakerphone-Supported/dp/B01IEIRFAW/ref=sr_1_131?keywords=BLUETOOTH+SPEAKER&amp;qid=1567859937&amp;s=gateway&amp;sr=8-131","A")</f>
        <v>A</v>
      </c>
      <c r="J314">
        <v>30</v>
      </c>
      <c r="K314">
        <v>2</v>
      </c>
      <c r="L314">
        <v>15.2</v>
      </c>
      <c r="M314">
        <f>IF(K314&gt;0,K314*0.453592,IF(L314&gt;0,L314*0.02835,))</f>
        <v>0.907184</v>
      </c>
      <c r="N314">
        <v>0</v>
      </c>
      <c r="O314">
        <v>0</v>
      </c>
      <c r="P314">
        <f>J314+O314+N314</f>
        <v>30</v>
      </c>
      <c r="Q314">
        <f>P314*C$3</f>
        <v>37500</v>
      </c>
      <c r="R314">
        <v>0</v>
      </c>
      <c r="S314">
        <f>ROUND(SUM(Q314:R314), -2)</f>
        <v>37500</v>
      </c>
      <c r="T314">
        <f>ROUNDUP(HLOOKUP(ROUNDUP(K314,0),'배송비 조회'!A$10:U$22,7,0)*C$3,-2)</f>
        <v>11200</v>
      </c>
      <c r="U314">
        <v>0</v>
      </c>
      <c r="V314">
        <f>ROUND(IF(R314&gt;0,0,(S314+T314)*0.4),-2)</f>
        <v>19500</v>
      </c>
      <c r="W314">
        <f>ROUND(IF(R314&gt;0,0,(S314+T314)*0.5),-2)</f>
        <v>24400</v>
      </c>
      <c r="X314">
        <f>IF(R314&gt;0,SUM(S314:T314),SUM(S314:V314))</f>
        <v>68200</v>
      </c>
      <c r="Y314">
        <f>IF(R314&gt;0,SUM(S314:T314),SUM(S314:U314)+W314)</f>
        <v>73100</v>
      </c>
      <c r="Z314">
        <v>0</v>
      </c>
      <c r="AA314">
        <f>X314*0.038</f>
        <v>2591.6</v>
      </c>
      <c r="AB314">
        <f>X314*0.02</f>
        <v>1364</v>
      </c>
      <c r="AC314">
        <f>Y314*0.1</f>
        <v>7310</v>
      </c>
      <c r="AD314">
        <f>X314-AA314-AB314</f>
        <v>64244.399999999994</v>
      </c>
      <c r="AE314">
        <f>Y314-AC314</f>
        <v>65790</v>
      </c>
      <c r="AF314">
        <f>AD314*0.01</f>
        <v>642.444</v>
      </c>
      <c r="AG314">
        <f>AD314-Q314-AF314-T314</f>
        <v>14901.955999999995</v>
      </c>
      <c r="AH314">
        <f>AE314-Q314-AF314-T314</f>
        <v>16447.556</v>
      </c>
      <c r="AI314">
        <f>AG314/X314</f>
        <v>0.21850375366568908</v>
      </c>
      <c r="AJ314">
        <f>AH314/Y314</f>
        <v>0.22500076607387143</v>
      </c>
      <c r="AW314">
        <v>4668374383</v>
      </c>
    </row>
    <row r="315">
      <c r="A315">
        <f>HYPERLINK("https://smartstore.naver.com/brickstore2019/products/4668422508",AW:AW)</f>
        <v>4668422508</v>
      </c>
      <c r="C315" t="str">
        <v>유비사이즈 스마트폰 유투브 촬영용 삼각대 링조명 Ubeesize Ring Light Tripod Stand Youtube (무료배송)</v>
      </c>
      <c r="E315" t="str">
        <v>8" Selfie Ring Light with Tripod Stand &amp; Cell Phone Holder for Live Stream/Makeup, UBeesize Mini Led Camera Ringlight for YouTube Video/Photography Compatible with iPhone Xs Max XR Android (Upgraded)</v>
      </c>
      <c r="G315" t="str">
        <v>A</v>
      </c>
      <c r="H315" t="str">
        <v>품절</v>
      </c>
      <c r="J315">
        <v>32</v>
      </c>
      <c r="K315">
        <v>2.7</v>
      </c>
      <c r="L315">
        <f>IF(K315&gt;0,K315*16,)</f>
        <v>43.2</v>
      </c>
      <c r="M315">
        <f>IF(K315&gt;0,K315*0.453592,IF(L315&gt;0,L315*0.02835,))</f>
        <v>1.2246984</v>
      </c>
      <c r="N315">
        <v>0</v>
      </c>
      <c r="O315">
        <v>0</v>
      </c>
      <c r="P315">
        <f>J315+O315+N315</f>
        <v>32</v>
      </c>
      <c r="Q315">
        <f>P315*C$3</f>
        <v>40000</v>
      </c>
      <c r="R315">
        <v>0</v>
      </c>
      <c r="S315">
        <f>ROUND(SUM(Q315:R315), -2)</f>
        <v>40000</v>
      </c>
      <c r="T315">
        <f>ROUNDUP(HLOOKUP(ROUNDUP(K315,0),'배송비 조회'!A$10:U$22,7,0)*C$3,-2)</f>
        <v>13400</v>
      </c>
      <c r="U315">
        <v>0</v>
      </c>
      <c r="V315">
        <f>ROUND(IF(R315&gt;0,0,(S315+T315)*0.3),-2)</f>
        <v>16000</v>
      </c>
      <c r="W315">
        <f>ROUND(IF(R315&gt;0,0,(S315+T315)*0.5),-2)</f>
        <v>26700</v>
      </c>
      <c r="X315">
        <f>IF(R315&gt;0,SUM(S315:T315),SUM(S315:V315))</f>
        <v>69400</v>
      </c>
      <c r="Y315">
        <f>IF(R315&gt;0,SUM(S315:T315),SUM(S315:U315)+W315)</f>
        <v>80100</v>
      </c>
      <c r="Z315">
        <v>0</v>
      </c>
      <c r="AA315">
        <f>X315*0.038</f>
        <v>2637.2</v>
      </c>
      <c r="AB315">
        <f>X315*0.02</f>
        <v>1388</v>
      </c>
      <c r="AC315">
        <f>Y315*0.1</f>
        <v>8010</v>
      </c>
      <c r="AD315">
        <f>X315-AA315-AB315</f>
        <v>65374.8</v>
      </c>
      <c r="AE315">
        <f>Y315-AC315</f>
        <v>72090</v>
      </c>
      <c r="AF315">
        <f>AD315*0.01</f>
        <v>653.748</v>
      </c>
      <c r="AG315">
        <f>AD315-Q315-AF315-T315</f>
        <v>11321.052000000003</v>
      </c>
      <c r="AH315">
        <f>AE315-Q315-AF315-T315</f>
        <v>18036.252</v>
      </c>
      <c r="AI315">
        <f>AG315/X315</f>
        <v>0.1631275504322767</v>
      </c>
      <c r="AJ315">
        <f>AH315/Y315</f>
        <v>0.22517168539325844</v>
      </c>
      <c r="AW315">
        <v>4668422508</v>
      </c>
    </row>
    <row r="316">
      <c r="A316">
        <f>HYPERLINK("https://smartstore.naver.com/brickstore2019/products/4668882624",AW:AW)</f>
        <v>4668882624</v>
      </c>
      <c r="C316" t="str">
        <v>그림그리는 태블릿 10인치 드로잉태블릿 드로잉패드 ZBHT(무료배송)</v>
      </c>
      <c r="E316" t="str">
        <v>Drawing Tablet 10 Inches LCD Writing Tablet Colorful Screen, Doodle Board Electronic Doodle Pads Writing Board for Kids and Adults</v>
      </c>
      <c r="F316" t="str">
        <v>blue</v>
      </c>
      <c r="G316" t="str">
        <f>HYPERLINK("https://www.amazon.com/dp/B07TH7CPTN/ref=twister_B07T8TRQ43?_encoding=UTF8&amp;psc=1","A")</f>
        <v>A</v>
      </c>
      <c r="J316">
        <v>20</v>
      </c>
      <c r="K316">
        <f>IF(L316&gt;0,L316*0.0625,)</f>
        <v>0.7</v>
      </c>
      <c r="L316">
        <v>11.2</v>
      </c>
      <c r="M316">
        <f>IF(K316&gt;0,K316*0.453592,IF(L316&gt;0,L316*0.02835,))</f>
        <v>0.3175144</v>
      </c>
      <c r="N316">
        <v>0</v>
      </c>
      <c r="O316">
        <v>0</v>
      </c>
      <c r="P316">
        <f>J316+O316+N316</f>
        <v>20</v>
      </c>
      <c r="Q316">
        <f>P316*C$3</f>
        <v>25000</v>
      </c>
      <c r="R316">
        <v>0</v>
      </c>
      <c r="S316">
        <f>ROUND(SUM(Q316:R316), -2)</f>
        <v>25000</v>
      </c>
      <c r="T316">
        <f>ROUNDUP(HLOOKUP(ROUNDUP(K316,0),'배송비 조회'!A$10:U$22,7,0)*C$3,-2)</f>
        <v>9000</v>
      </c>
      <c r="U316">
        <v>0</v>
      </c>
      <c r="V316">
        <f>ROUND(IF(R316&gt;0,0,(S316+T316)*0.4),-2)</f>
        <v>13600</v>
      </c>
      <c r="W316">
        <f>ROUND(IF(R316&gt;0,0,(S316+T316)*0.5),-2)</f>
        <v>17000</v>
      </c>
      <c r="X316">
        <f>IF(R316&gt;0,SUM(S316:T316),SUM(S316:V316))</f>
        <v>47600</v>
      </c>
      <c r="Y316">
        <f>IF(R316&gt;0,SUM(S316:T316),SUM(S316:U316)+W316)</f>
        <v>51000</v>
      </c>
      <c r="Z316">
        <v>0</v>
      </c>
      <c r="AA316">
        <f>X316*0.038</f>
        <v>1808.8</v>
      </c>
      <c r="AB316">
        <f>X316*0.02</f>
        <v>952</v>
      </c>
      <c r="AC316">
        <f>Y316*0.1</f>
        <v>5100</v>
      </c>
      <c r="AD316">
        <f>X316-AA316-AB316</f>
        <v>44839.2</v>
      </c>
      <c r="AE316">
        <f>Y316-AC316</f>
        <v>45900</v>
      </c>
      <c r="AF316">
        <f>AD316*0.01</f>
        <v>448.392</v>
      </c>
      <c r="AG316">
        <f>AD316-Q316-AF316-T316</f>
        <v>10390.807999999997</v>
      </c>
      <c r="AH316">
        <f>AE316-Q316-AF316-T316</f>
        <v>11451.608</v>
      </c>
      <c r="AI316">
        <f>AG316/X316</f>
        <v>0.21829428571428566</v>
      </c>
      <c r="AJ316">
        <f>AH316/Y316</f>
        <v>0.22454133333333334</v>
      </c>
      <c r="AW316">
        <v>4668882624</v>
      </c>
    </row>
    <row r="317">
      <c r="F317" t="str">
        <v>orange</v>
      </c>
      <c r="G317" t="str">
        <f>HYPERLINK("https://www.amazon.com/Drawing-Writing-Colorful-Electronic-Adults%EF%BC%88Blue%EF%BC%89/dp/B07TC171Z9/ref=zg_bsnr_electronics_51?_encoding=UTF8&amp;refRID=JFBSPXJN7AGC6R3E1EJ4&amp;th=1","A")</f>
        <v>A</v>
      </c>
      <c r="J317">
        <v>20</v>
      </c>
      <c r="K317">
        <f>IF(L317&gt;0,L317*0.0625,)</f>
        <v>0.7</v>
      </c>
      <c r="L317">
        <v>11.2</v>
      </c>
      <c r="M317">
        <f>IF(K317&gt;0,K317*0.453592,IF(L317&gt;0,L317*0.02835,))</f>
        <v>0.3175144</v>
      </c>
      <c r="N317">
        <v>0</v>
      </c>
      <c r="O317">
        <v>0</v>
      </c>
      <c r="P317">
        <f>J317+O317+N317</f>
        <v>20</v>
      </c>
      <c r="Q317">
        <f>P317*C$3</f>
        <v>25000</v>
      </c>
      <c r="R317">
        <v>0</v>
      </c>
      <c r="S317">
        <f>ROUND(SUM(Q317:R317), -2)</f>
        <v>25000</v>
      </c>
      <c r="T317">
        <f>ROUNDUP(HLOOKUP(ROUNDUP(K317,0),'배송비 조회'!A$10:U$22,7,0)*C$3,-2)</f>
        <v>9000</v>
      </c>
      <c r="U317">
        <v>0</v>
      </c>
      <c r="V317">
        <f>ROUND(IF(R317&gt;0,0,(S317+T317)*0.4),-2)</f>
        <v>13600</v>
      </c>
      <c r="W317">
        <f>ROUND(IF(R317&gt;0,0,(S317+T317)*0.5),-2)</f>
        <v>17000</v>
      </c>
      <c r="X317">
        <f>IF(R317&gt;0,SUM(S317:T317),SUM(S317:V317))</f>
        <v>47600</v>
      </c>
      <c r="Y317">
        <f>IF(R317&gt;0,SUM(S317:T317),SUM(S317:U317)+W317)</f>
        <v>51000</v>
      </c>
      <c r="Z317">
        <v>0</v>
      </c>
      <c r="AA317">
        <f>X317*0.038</f>
        <v>1808.8</v>
      </c>
      <c r="AB317">
        <f>X317*0.02</f>
        <v>952</v>
      </c>
      <c r="AC317">
        <f>Y317*0.1</f>
        <v>5100</v>
      </c>
      <c r="AD317">
        <f>X317-AA317-AB317</f>
        <v>44839.2</v>
      </c>
      <c r="AE317">
        <f>Y317-AC317</f>
        <v>45900</v>
      </c>
      <c r="AF317">
        <f>AD317*0.01</f>
        <v>448.392</v>
      </c>
      <c r="AG317">
        <f>AD317-Q317-AF317-T317</f>
        <v>10390.807999999997</v>
      </c>
      <c r="AH317">
        <f>AE317-Q317-AF317-T317</f>
        <v>11451.608</v>
      </c>
      <c r="AI317">
        <f>AG317/X317</f>
        <v>0.21829428571428566</v>
      </c>
      <c r="AJ317">
        <f>AH317/Y317</f>
        <v>0.22454133333333334</v>
      </c>
    </row>
    <row r="318">
      <c r="A318">
        <f>HYPERLINK("https://smartstore.naver.com/brickstore2019/products/4668936446",AW:AW)</f>
        <v>4668936446</v>
      </c>
      <c r="C318" t="str">
        <v>CHESONA 아이패드 프로 3세대 키보드 케이스 (무료배송)</v>
      </c>
      <c r="E318" t="str">
        <v>iPad Pro 12.9 Case with Keyboard 2018-3rd Gen [Support Apple Pencil Charging] [with Pencil Holder] Magnetically Detachable Wireless Keyboard for iPad Pro 12.9 2018 (Not for 2017/2015), Black</v>
      </c>
      <c r="F318" t="str">
        <v>Black</v>
      </c>
      <c r="G318" t="str">
        <v>A</v>
      </c>
      <c r="J318">
        <v>52</v>
      </c>
      <c r="K318">
        <v>2.15</v>
      </c>
      <c r="L318">
        <f>IF(K318&gt;0,K318*16,)</f>
        <v>34.4</v>
      </c>
      <c r="M318">
        <f>IF(K318&gt;0,K318*0.453592,IF(L318&gt;0,L318*0.02835,))</f>
        <v>0.9752228</v>
      </c>
      <c r="N318">
        <v>0</v>
      </c>
      <c r="O318">
        <v>0</v>
      </c>
      <c r="P318">
        <f>J318+O318+N318</f>
        <v>52</v>
      </c>
      <c r="Q318">
        <f>P318*C$3</f>
        <v>65000</v>
      </c>
      <c r="R318">
        <v>0</v>
      </c>
      <c r="S318">
        <f>ROUND(SUM(Q318:R318), -2)</f>
        <v>65000</v>
      </c>
      <c r="T318">
        <f>ROUNDUP(HLOOKUP(ROUNDUP(K318,0),'배송비 조회'!A$10:U$22,7,0)*C$3,-2)</f>
        <v>13400</v>
      </c>
      <c r="U318">
        <v>0</v>
      </c>
      <c r="V318">
        <f>ROUND(IF(R318&gt;0,0,(S318+T318)*0.3),-2)</f>
        <v>23500</v>
      </c>
      <c r="W318">
        <f>ROUND(IF(R318&gt;0,0,(S318+T318)*0.5),-2)</f>
        <v>39200</v>
      </c>
      <c r="X318">
        <f>IF(R318&gt;0,SUM(S318:T318),SUM(S318:V318))</f>
        <v>101900</v>
      </c>
      <c r="Y318">
        <f>IF(R318&gt;0,SUM(S318:T318),SUM(S318:U318)+W318)</f>
        <v>117600</v>
      </c>
      <c r="Z318">
        <v>0</v>
      </c>
      <c r="AA318">
        <f>X318*0.038</f>
        <v>3872.2</v>
      </c>
      <c r="AB318">
        <f>X318*0.02</f>
        <v>2038</v>
      </c>
      <c r="AC318">
        <f>Y318*0.1</f>
        <v>11760</v>
      </c>
      <c r="AD318">
        <f>X318-AA318-AB318</f>
        <v>95989.8</v>
      </c>
      <c r="AE318">
        <f>Y318-AC318</f>
        <v>105840</v>
      </c>
      <c r="AF318">
        <f>AD318*0.01</f>
        <v>959.898</v>
      </c>
      <c r="AG318">
        <f>AD318-Q318-AF318-T318</f>
        <v>16629.902000000002</v>
      </c>
      <c r="AH318">
        <f>AE318-Q318-AF318-T318</f>
        <v>26480.102</v>
      </c>
      <c r="AI318">
        <f>AG318/X318</f>
        <v>0.1631982531894014</v>
      </c>
      <c r="AJ318">
        <f>AH318/Y318</f>
        <v>0.22517093537414964</v>
      </c>
      <c r="AW318">
        <v>4668936446</v>
      </c>
    </row>
    <row r="319">
      <c r="F319" t="str">
        <v>Blue</v>
      </c>
      <c r="G319" t="str">
        <v>A</v>
      </c>
      <c r="J319">
        <v>56</v>
      </c>
      <c r="K319">
        <v>2.15</v>
      </c>
      <c r="L319">
        <f>IF(K319&gt;0,K319*16,)</f>
        <v>34.4</v>
      </c>
      <c r="M319">
        <f>IF(K319&gt;0,K319*0.453592,IF(L319&gt;0,L319*0.02835,))</f>
        <v>0.9752228</v>
      </c>
      <c r="N319">
        <v>0</v>
      </c>
      <c r="O319">
        <v>0</v>
      </c>
      <c r="P319">
        <f>J319+O319+N319</f>
        <v>56</v>
      </c>
      <c r="Q319">
        <f>P319*C$3</f>
        <v>70000</v>
      </c>
      <c r="R319">
        <v>0</v>
      </c>
      <c r="S319">
        <f>ROUND(SUM(Q319:R319), -2)</f>
        <v>70000</v>
      </c>
      <c r="T319">
        <f>ROUNDUP(HLOOKUP(ROUNDUP(K319,0),'배송비 조회'!A$10:U$22,7,0)*C$3,-2)</f>
        <v>13400</v>
      </c>
      <c r="U319">
        <v>0</v>
      </c>
      <c r="V319">
        <f>ROUND(IF(R319&gt;0,0,(S319+T319)*0.3),-2)</f>
        <v>25000</v>
      </c>
      <c r="W319">
        <f>ROUND(IF(R319&gt;0,0,(S319+T319)*0.5),-2)</f>
        <v>41700</v>
      </c>
      <c r="X319">
        <f>IF(R319&gt;0,SUM(S319:T319),SUM(S319:V319))</f>
        <v>108400</v>
      </c>
      <c r="Y319">
        <f>IF(R319&gt;0,SUM(S319:T319),SUM(S319:U319)+W319)</f>
        <v>125100</v>
      </c>
      <c r="Z319">
        <v>0</v>
      </c>
      <c r="AA319">
        <f>X319*0.038</f>
        <v>4119.2</v>
      </c>
      <c r="AB319">
        <f>X319*0.02</f>
        <v>2168</v>
      </c>
      <c r="AC319">
        <f>Y319*0.1</f>
        <v>12510</v>
      </c>
      <c r="AD319">
        <f>X319-AA319-AB319</f>
        <v>102112.8</v>
      </c>
      <c r="AE319">
        <f>Y319-AC319</f>
        <v>112590</v>
      </c>
      <c r="AF319">
        <f>AD319*0.01</f>
        <v>1021.128</v>
      </c>
      <c r="AG319">
        <f>AD319-Q319-AF319-T319</f>
        <v>17691.672000000002</v>
      </c>
      <c r="AH319">
        <f>AE319-Q319-AF319-T319</f>
        <v>28168.872000000003</v>
      </c>
      <c r="AI319">
        <f>AG319/X319</f>
        <v>0.16320730627306276</v>
      </c>
      <c r="AJ319">
        <f>AH319/Y319</f>
        <v>0.22517083932853718</v>
      </c>
    </row>
    <row r="320">
      <c r="F320" t="str">
        <v>Pink</v>
      </c>
      <c r="G320" t="str">
        <v>A</v>
      </c>
      <c r="J320">
        <v>56</v>
      </c>
      <c r="K320">
        <v>2.15</v>
      </c>
      <c r="L320">
        <f>IF(K320&gt;0,K320*16,)</f>
        <v>34.4</v>
      </c>
      <c r="M320">
        <f>IF(K320&gt;0,K320*0.453592,IF(L320&gt;0,L320*0.02835,))</f>
        <v>0.9752228</v>
      </c>
      <c r="N320">
        <v>0</v>
      </c>
      <c r="O320">
        <v>0</v>
      </c>
      <c r="P320">
        <f>J320+O320+N320</f>
        <v>56</v>
      </c>
      <c r="Q320">
        <f>P320*C$3</f>
        <v>70000</v>
      </c>
      <c r="R320">
        <v>0</v>
      </c>
      <c r="S320">
        <f>ROUND(SUM(Q320:R320), -2)</f>
        <v>70000</v>
      </c>
      <c r="T320">
        <f>ROUNDUP(HLOOKUP(ROUNDUP(K320,0),'배송비 조회'!A$10:U$22,7,0)*C$3,-2)</f>
        <v>13400</v>
      </c>
      <c r="U320">
        <v>0</v>
      </c>
      <c r="V320">
        <f>ROUND(IF(R320&gt;0,0,(S320+T320)*0.3),-2)</f>
        <v>25000</v>
      </c>
      <c r="W320">
        <f>ROUND(IF(R320&gt;0,0,(S320+T320)*0.5),-2)</f>
        <v>41700</v>
      </c>
      <c r="X320">
        <f>IF(R320&gt;0,SUM(S320:T320),SUM(S320:V320))</f>
        <v>108400</v>
      </c>
      <c r="Y320">
        <f>IF(R320&gt;0,SUM(S320:T320),SUM(S320:U320)+W320)</f>
        <v>125100</v>
      </c>
      <c r="Z320">
        <v>0</v>
      </c>
      <c r="AA320">
        <f>X320*0.038</f>
        <v>4119.2</v>
      </c>
      <c r="AB320">
        <f>X320*0.02</f>
        <v>2168</v>
      </c>
      <c r="AC320">
        <f>Y320*0.1</f>
        <v>12510</v>
      </c>
      <c r="AD320">
        <f>X320-AA320-AB320</f>
        <v>102112.8</v>
      </c>
      <c r="AE320">
        <f>Y320-AC320</f>
        <v>112590</v>
      </c>
      <c r="AF320">
        <f>AD320*0.01</f>
        <v>1021.128</v>
      </c>
      <c r="AG320">
        <f>AD320-Q320-AF320-T320</f>
        <v>17691.672000000002</v>
      </c>
      <c r="AH320">
        <f>AE320-Q320-AF320-T320</f>
        <v>28168.872000000003</v>
      </c>
      <c r="AI320">
        <f>AG320/X320</f>
        <v>0.16320730627306276</v>
      </c>
      <c r="AJ320">
        <f>AH320/Y320</f>
        <v>0.22517083932853718</v>
      </c>
    </row>
    <row r="321">
      <c r="F321" t="str">
        <v>Black + KeyLED</v>
      </c>
      <c r="G321" t="str">
        <v>A</v>
      </c>
      <c r="J321">
        <v>56</v>
      </c>
      <c r="K321">
        <v>2.35</v>
      </c>
      <c r="L321">
        <f>IF(K321&gt;0,K321*16,)</f>
        <v>37.6</v>
      </c>
      <c r="M321">
        <f>IF(K321&gt;0,K321*0.453592,IF(L321&gt;0,L321*0.02835,))</f>
        <v>1.0659412</v>
      </c>
      <c r="N321">
        <v>0</v>
      </c>
      <c r="O321">
        <v>0</v>
      </c>
      <c r="P321">
        <f>J321+O321+N321</f>
        <v>56</v>
      </c>
      <c r="Q321">
        <f>P321*C$3</f>
        <v>70000</v>
      </c>
      <c r="R321">
        <v>0</v>
      </c>
      <c r="S321">
        <f>ROUND(SUM(Q321:R321), -2)</f>
        <v>70000</v>
      </c>
      <c r="T321">
        <f>ROUNDUP(HLOOKUP(ROUNDUP(K321,0),'배송비 조회'!A$10:U$22,7,0)*C$3,-2)</f>
        <v>13400</v>
      </c>
      <c r="U321">
        <v>0</v>
      </c>
      <c r="V321">
        <f>ROUND(IF(R321&gt;0,0,(S321+T321)*0.3),-2)</f>
        <v>25000</v>
      </c>
      <c r="W321">
        <f>ROUND(IF(R321&gt;0,0,(S321+T321)*0.5),-2)</f>
        <v>41700</v>
      </c>
      <c r="X321">
        <f>IF(R321&gt;0,SUM(S321:T321),SUM(S321:V321))</f>
        <v>108400</v>
      </c>
      <c r="Y321">
        <f>IF(R321&gt;0,SUM(S321:T321),SUM(S321:U321)+W321)</f>
        <v>125100</v>
      </c>
      <c r="Z321">
        <v>0</v>
      </c>
      <c r="AA321">
        <f>X321*0.038</f>
        <v>4119.2</v>
      </c>
      <c r="AB321">
        <f>X321*0.02</f>
        <v>2168</v>
      </c>
      <c r="AC321">
        <f>Y321*0.1</f>
        <v>12510</v>
      </c>
      <c r="AD321">
        <f>X321-AA321-AB321</f>
        <v>102112.8</v>
      </c>
      <c r="AE321">
        <f>Y321-AC321</f>
        <v>112590</v>
      </c>
      <c r="AF321">
        <f>AD321*0.01</f>
        <v>1021.128</v>
      </c>
      <c r="AG321">
        <f>AD321-Q321-AF321-T321</f>
        <v>17691.672000000002</v>
      </c>
      <c r="AH321">
        <f>AE321-Q321-AF321-T321</f>
        <v>28168.872000000003</v>
      </c>
      <c r="AI321">
        <f>AG321/X321</f>
        <v>0.16320730627306276</v>
      </c>
      <c r="AJ321">
        <f>AH321/Y321</f>
        <v>0.22517083932853718</v>
      </c>
    </row>
    <row r="322">
      <c r="A322">
        <f>HYPERLINK("https://smartstore.naver.com/brickstore2019/products/4669037742",AW:AW)</f>
        <v>4669037742</v>
      </c>
      <c r="C322" t="str">
        <v>타이틀리스트 백팩 가벼운 미니 백팩 Titleist Sack Pack(무료배송)</v>
      </c>
      <c r="E322" t="str">
        <v>Titleist Essential Sack Pack</v>
      </c>
      <c r="G322" t="str">
        <f>HYPERLINK("https://www.amazon.com/Titleist-Sack-Pack-2016-Black/dp/B0173UX39E/ref=sr_1_9?keywords=titleist+bag&amp;qid=1568214744&amp;s=gateway&amp;sr=8-9","A")</f>
        <v>A</v>
      </c>
      <c r="H322" t="str">
        <v>품절</v>
      </c>
      <c r="J322">
        <v>35</v>
      </c>
      <c r="K322">
        <f>IF(L322&gt;0,L322*0.0625,)</f>
        <v>0.7125</v>
      </c>
      <c r="L322">
        <v>11.4</v>
      </c>
      <c r="M322">
        <f>IF(K322&gt;0,K322*0.453592,IF(L322&gt;0,L322*0.02835,))</f>
        <v>0.3231843</v>
      </c>
      <c r="N322">
        <v>0</v>
      </c>
      <c r="O322">
        <v>0</v>
      </c>
      <c r="P322">
        <f>J322+O322+N322</f>
        <v>35</v>
      </c>
      <c r="Q322">
        <f>P322*C$3</f>
        <v>43750</v>
      </c>
      <c r="R322">
        <v>0</v>
      </c>
      <c r="S322">
        <f>ROUND(SUM(Q322:R322), -2)</f>
        <v>43800</v>
      </c>
      <c r="T322">
        <f>ROUNDUP(HLOOKUP(ROUNDUP(K322,0),'배송비 조회'!A$10:U$22,7,0)*C$3,-2)</f>
        <v>9000</v>
      </c>
      <c r="U322">
        <v>0</v>
      </c>
      <c r="V322">
        <f>ROUND(IF(R322&gt;0,0,(S322+T322)*0.4),-2)</f>
        <v>21100</v>
      </c>
      <c r="W322">
        <f>ROUND(IF(R322&gt;0,0,(S322+T322)*0.5),-2)</f>
        <v>26400</v>
      </c>
      <c r="X322">
        <f>IF(R322&gt;0,SUM(S322:T322),SUM(S322:V322))</f>
        <v>73900</v>
      </c>
      <c r="Y322">
        <f>IF(R322&gt;0,SUM(S322:T322),SUM(S322:U322)+W322)</f>
        <v>79200</v>
      </c>
      <c r="Z322">
        <v>0</v>
      </c>
      <c r="AA322">
        <f>X322*0.038</f>
        <v>2808.2</v>
      </c>
      <c r="AB322">
        <f>X322*0.02</f>
        <v>1478</v>
      </c>
      <c r="AC322">
        <f>Y322*0.1</f>
        <v>7920</v>
      </c>
      <c r="AD322">
        <f>X322-AA322-AB322</f>
        <v>69613.8</v>
      </c>
      <c r="AE322">
        <f>Y322-AC322</f>
        <v>71280</v>
      </c>
      <c r="AF322">
        <f>AD322*0.01</f>
        <v>696.138</v>
      </c>
      <c r="AG322">
        <f>AD322-Q322-AF322-T322</f>
        <v>16167.662000000004</v>
      </c>
      <c r="AH322">
        <f>AE322-Q322-AF322-T322</f>
        <v>17833.862</v>
      </c>
      <c r="AI322">
        <f>AG322/X322</f>
        <v>0.21877756427604877</v>
      </c>
      <c r="AJ322">
        <f>AH322/Y322</f>
        <v>0.22517502525252525</v>
      </c>
      <c r="AW322">
        <v>4669037742</v>
      </c>
    </row>
    <row r="323">
      <c r="A323">
        <f>HYPERLINK("https://smartstore.naver.com/brickstore2019/products/4669112228",AW:AW)</f>
        <v>4669112228</v>
      </c>
      <c r="C323" t="str">
        <v>ROKU Stick Plus 넷플릭스 유투브 스트리밍 스틱 (무료배송)</v>
      </c>
      <c r="E323" t="str">
        <v>Roku Streaming Stick | HD/4K/HDR Streaming Device with Long-range Wireless and Voice Remote with TV Power and Volume</v>
      </c>
      <c r="G323" t="str">
        <f>HYPERLINK("https://www.amazon.com/Roku-Streaming-Stick-HDR-Streaming-Long-range/dp/B075XLWML4/ref=sr_1_1?keywords=Roku+Streaming+Stick%2B&amp;qid=1568124093&amp;s=electronics&amp;sr=1-1","A")</f>
        <v>A</v>
      </c>
      <c r="J323">
        <v>46</v>
      </c>
      <c r="K323">
        <f>IF(L323&gt;0,L323*0.0625,)</f>
        <v>0.61875</v>
      </c>
      <c r="L323">
        <v>9.9</v>
      </c>
      <c r="M323">
        <f>IF(K323&gt;0,K323*0.453592,IF(L323&gt;0,L323*0.02835,))</f>
        <v>0.28066005</v>
      </c>
      <c r="N323">
        <v>0</v>
      </c>
      <c r="O323">
        <v>0</v>
      </c>
      <c r="P323">
        <f>J323+O323+N323</f>
        <v>46</v>
      </c>
      <c r="Q323">
        <f>P323*C$3</f>
        <v>57500</v>
      </c>
      <c r="R323">
        <v>0</v>
      </c>
      <c r="S323">
        <f>ROUND(SUM(Q323:R323), -2)</f>
        <v>57500</v>
      </c>
      <c r="T323">
        <f>ROUNDUP(HLOOKUP(ROUNDUP(K323,0),'배송비 조회'!A$10:U$22,7,0)*C$3,-2)</f>
        <v>9000</v>
      </c>
      <c r="U323">
        <v>0</v>
      </c>
      <c r="V323">
        <f>ROUND(IF(R323&gt;0,0,(S323+T323)*0.3),-2)</f>
        <v>20000</v>
      </c>
      <c r="W323">
        <f>ROUND(IF(R323&gt;0,0,(S323+T323)*0.5),-2)</f>
        <v>33300</v>
      </c>
      <c r="X323">
        <f>IF(R323&gt;0,SUM(S323:T323),SUM(S323:V323))</f>
        <v>86500</v>
      </c>
      <c r="Y323">
        <f>IF(R323&gt;0,SUM(S323:T323),SUM(S323:U323)+W323)</f>
        <v>99800</v>
      </c>
      <c r="Z323">
        <v>0</v>
      </c>
      <c r="AA323">
        <f>X323*0.038</f>
        <v>3287</v>
      </c>
      <c r="AB323">
        <f>X323*0.02</f>
        <v>1730</v>
      </c>
      <c r="AC323">
        <f>Y323*0.1</f>
        <v>9980</v>
      </c>
      <c r="AD323">
        <f>X323-AA323-AB323</f>
        <v>81483</v>
      </c>
      <c r="AE323">
        <f>Y323-AC323</f>
        <v>89820</v>
      </c>
      <c r="AF323">
        <f>AD323*0.01</f>
        <v>814.83</v>
      </c>
      <c r="AG323">
        <f>AD323-Q323-AF323-T323</f>
        <v>14168.169999999998</v>
      </c>
      <c r="AH323">
        <f>AE323-Q323-AF323-T323</f>
        <v>22505.17</v>
      </c>
      <c r="AI323">
        <f>AG323/X323</f>
        <v>0.16379387283236993</v>
      </c>
      <c r="AJ323">
        <f>AH323/Y323</f>
        <v>0.22550270541082162</v>
      </c>
      <c r="AW323">
        <v>4669112228</v>
      </c>
    </row>
    <row r="324">
      <c r="A324">
        <f>HYPERLINK("https://smartstore.naver.com/brickstore2019/products/4669114224",AW:AW)</f>
        <v>4669114224</v>
      </c>
      <c r="C324" t="str">
        <v>ROKU Stick 넷플릭스 유투브 스트리밍 스틱 (무료배송)</v>
      </c>
      <c r="E324" t="str">
        <v>Roku Streaming Stick | HD/4K/HDR Streaming Device with Long-range Wireless and Voice Remote with TV Power and Volume</v>
      </c>
      <c r="G324" t="str">
        <f>HYPERLINK("https://www.amazon.com/gp/product/B01DA0YCNC/ref=ppx_od_dt_b_asin_title_s00?ie=UTF8&amp;psc=1","A")</f>
        <v>A</v>
      </c>
      <c r="J324">
        <v>45</v>
      </c>
      <c r="K324">
        <f>IF(L324&gt;0,L324*0.0625,)</f>
        <v>0.25</v>
      </c>
      <c r="L324">
        <v>4</v>
      </c>
      <c r="M324">
        <f>IF(K324&gt;0,K324*0.453592,IF(L324&gt;0,L324*0.02835,))</f>
        <v>0.113398</v>
      </c>
      <c r="N324">
        <v>0</v>
      </c>
      <c r="O324">
        <v>0</v>
      </c>
      <c r="P324">
        <f>J324+O324+N324</f>
        <v>45</v>
      </c>
      <c r="Q324">
        <f>P324*C$3</f>
        <v>56250</v>
      </c>
      <c r="R324">
        <v>0</v>
      </c>
      <c r="S324">
        <f>ROUND(SUM(Q324:R324), -2)</f>
        <v>56300</v>
      </c>
      <c r="T324">
        <f>ROUNDUP(HLOOKUP(ROUNDUP(K324,0),'배송비 조회'!A$10:U$22,7,0)*C$3,-2)</f>
        <v>9000</v>
      </c>
      <c r="U324">
        <v>0</v>
      </c>
      <c r="V324">
        <f>ROUND(IF(R324&gt;0,0,(S324+T324)*0.3),-2)</f>
        <v>19600</v>
      </c>
      <c r="W324">
        <f>ROUND(IF(R324&gt;0,0,(S324+T324)*0.5),-2)</f>
        <v>32700</v>
      </c>
      <c r="X324">
        <f>IF(R324&gt;0,SUM(S324:T324),SUM(S324:V324))</f>
        <v>84900</v>
      </c>
      <c r="Y324">
        <f>IF(R324&gt;0,SUM(S324:T324),SUM(S324:U324)+W324)</f>
        <v>98000</v>
      </c>
      <c r="Z324">
        <v>0</v>
      </c>
      <c r="AA324">
        <f>X324*0.038</f>
        <v>3226.2</v>
      </c>
      <c r="AB324">
        <f>X324*0.02</f>
        <v>1698</v>
      </c>
      <c r="AC324">
        <f>Y324*0.1</f>
        <v>9800</v>
      </c>
      <c r="AD324">
        <f>X324-AA324-AB324</f>
        <v>79975.8</v>
      </c>
      <c r="AE324">
        <f>Y324-AC324</f>
        <v>88200</v>
      </c>
      <c r="AF324">
        <f>AD324*0.01</f>
        <v>799.758</v>
      </c>
      <c r="AG324">
        <f>AD324-Q324-AF324-T324</f>
        <v>13926.042000000001</v>
      </c>
      <c r="AH324">
        <f>AE324-Q324-AF324-T324</f>
        <v>22150.242</v>
      </c>
      <c r="AI324">
        <f>AG324/X324</f>
        <v>0.16402876325088342</v>
      </c>
      <c r="AJ324">
        <f>AH324/Y324</f>
        <v>0.22602287755102038</v>
      </c>
      <c r="AW324">
        <v>4669114224</v>
      </c>
    </row>
    <row r="325">
      <c r="A325">
        <f>HYPERLINK("https://smartstore.naver.com/brickstore2019/products/4669120176",AW:AW)</f>
        <v>4669120176</v>
      </c>
      <c r="B325" t="str">
        <f>HYPERLINK("https://www.coupang.com/vp/products/331385124","331385124")</f>
        <v>331385124</v>
      </c>
      <c r="C325" t="str">
        <v>ROKU Express 넷플릭스 유투브 스트리밍 스틱 (무료배송)</v>
      </c>
      <c r="D325" t="str">
        <v>ROKU Express 넷플릭스 유투브 스트리밍 스틱</v>
      </c>
      <c r="E325" t="str">
        <v>Roku Express | Easy High Definition (HD) Streaming Media Player</v>
      </c>
      <c r="G325" t="str">
        <f>HYPERLINK("https://www.amazon.com/Roku-Express-Definition-Streaming-Player/dp/B075XN1NZC/ref=zg_bs_electronics_4?_encoding=UTF8&amp;psc=1&amp;refRID=9QREJHMHD47JP95R3X9P","A")</f>
        <v>A</v>
      </c>
      <c r="J325">
        <v>30</v>
      </c>
      <c r="K325">
        <f>IF(L325&gt;0,L325*0.0625,)</f>
        <v>0.65</v>
      </c>
      <c r="L325">
        <v>10.4</v>
      </c>
      <c r="M325">
        <f>IF(K325&gt;0,K325*0.453592,IF(L325&gt;0,L325*0.02835,))</f>
        <v>0.2948348</v>
      </c>
      <c r="N325">
        <v>0</v>
      </c>
      <c r="O325">
        <v>0</v>
      </c>
      <c r="P325">
        <f>J325+O325+N325</f>
        <v>30</v>
      </c>
      <c r="Q325">
        <f>P325*C$3</f>
        <v>37500</v>
      </c>
      <c r="R325">
        <v>0</v>
      </c>
      <c r="S325">
        <f>ROUND(SUM(Q325:R325), -2)</f>
        <v>37500</v>
      </c>
      <c r="T325">
        <f>ROUNDUP(HLOOKUP(ROUNDUP(K325,0),'배송비 조회'!A$10:U$22,7,0)*C$3,-2)</f>
        <v>9000</v>
      </c>
      <c r="U325">
        <v>0</v>
      </c>
      <c r="V325">
        <f>ROUND(IF(R325&gt;0,0,(S325+T325)*0.35),-2)</f>
        <v>16300</v>
      </c>
      <c r="W325">
        <f>ROUND(IF(R325&gt;0,0,(S325+T325)*0.4),-2)</f>
        <v>18600</v>
      </c>
      <c r="X325">
        <f>IF(R325&gt;0,SUM(S325:T325),SUM(S325:V325))</f>
        <v>62800</v>
      </c>
      <c r="Y325">
        <f>IF(R325&gt;0,SUM(S325:T325),SUM(S325:U325)+W325)</f>
        <v>65100</v>
      </c>
      <c r="Z325">
        <v>0</v>
      </c>
      <c r="AA325">
        <f>X325*0.038</f>
        <v>2386.4</v>
      </c>
      <c r="AB325">
        <f>X325*0.02</f>
        <v>1256</v>
      </c>
      <c r="AC325">
        <f>Y325*0.1</f>
        <v>6510</v>
      </c>
      <c r="AD325">
        <f>X325-AA325-AB325</f>
        <v>59157.6</v>
      </c>
      <c r="AE325">
        <f>Y325-AC325</f>
        <v>58590</v>
      </c>
      <c r="AF325">
        <f>AD325*0.01</f>
        <v>591.576</v>
      </c>
      <c r="AG325">
        <f>AD325-Q325-AF325-T325</f>
        <v>12066.023999999998</v>
      </c>
      <c r="AH325">
        <f>AE325-Q325-AF325-T325</f>
        <v>11498.423999999999</v>
      </c>
      <c r="AI325">
        <f>AG325/X325</f>
        <v>0.1921341401273885</v>
      </c>
      <c r="AJ325">
        <f>AH325/Y325</f>
        <v>0.17662709677419353</v>
      </c>
      <c r="AW325">
        <v>4669120176</v>
      </c>
    </row>
    <row r="326">
      <c r="A326">
        <f>HYPERLINK("https://smartstore.naver.com/brickstore2019/products/4669296403",AW:AW)</f>
        <v>4669296403</v>
      </c>
      <c r="C326" t="str">
        <v>예티 데이트립 런치백 미니 보냉백 피크닉 도시락 가방(무료배송)</v>
      </c>
      <c r="E326" t="str">
        <v>YETI Daytrip Packable Lunch Bag</v>
      </c>
      <c r="F326" t="str">
        <v>Charcoal</v>
      </c>
      <c r="G326" t="str">
        <f>HYPERLINK("https://www.amazon.com/YETI-Daytrip-Packable-Lunch-Charcoal/dp/B07T3FWXGX?pf_rd_p=c0dea64e-b08f-4304-afcc-8c16c9d82b97&amp;pd_rd_wg=53kcL&amp;pf_rd_r=3HRYZWX62BQB0K9TVMRH&amp;ref_=pd_gw_bmx&amp;pd_rd_w=hnYcc&amp;pd_rd_r=6ebfc9ca-99bb-42a4-b1e2-07c64f8a733b","A")</f>
        <v>A</v>
      </c>
      <c r="J326">
        <v>80</v>
      </c>
      <c r="K326">
        <v>1.2</v>
      </c>
      <c r="L326">
        <f>IF(K326&gt;0,K326*16,)</f>
        <v>19.2</v>
      </c>
      <c r="M326">
        <f>IF(K326&gt;0,K326*0.453592,IF(L326&gt;0,L326*0.02835,))</f>
        <v>0.5443104</v>
      </c>
      <c r="N326">
        <v>0</v>
      </c>
      <c r="O326">
        <v>0</v>
      </c>
      <c r="P326">
        <f>J326+O326+N326</f>
        <v>80</v>
      </c>
      <c r="Q326">
        <f>P326*C$3</f>
        <v>100000</v>
      </c>
      <c r="R326">
        <v>0</v>
      </c>
      <c r="S326">
        <f>ROUND(SUM(Q326:R326), -2)</f>
        <v>100000</v>
      </c>
      <c r="T326">
        <f>ROUNDUP(HLOOKUP(ROUNDUP(K326,0),'배송비 조회'!A$10:U$22,7,0)*C$3,-2)</f>
        <v>11200</v>
      </c>
      <c r="U326">
        <v>0</v>
      </c>
      <c r="V326">
        <f>ROUND(IF(R326&gt;0,0,(S326+T326)*0.2),-2)</f>
        <v>22200</v>
      </c>
      <c r="W326">
        <f>ROUND(IF(R326&gt;0,0,(S326+T326)*0.5),-2)</f>
        <v>55600</v>
      </c>
      <c r="X326">
        <f>IF(R326&gt;0,SUM(S326:T326),SUM(S326:V326))</f>
        <v>133400</v>
      </c>
      <c r="Y326">
        <f>IF(R326&gt;0,SUM(S326:T326),SUM(S326:U326)+W326)</f>
        <v>166800</v>
      </c>
      <c r="Z326">
        <v>0</v>
      </c>
      <c r="AA326">
        <f>X326*0.038</f>
        <v>5069.2</v>
      </c>
      <c r="AB326">
        <f>X326*0.02</f>
        <v>2668</v>
      </c>
      <c r="AC326">
        <f>Y326*0.1</f>
        <v>16680</v>
      </c>
      <c r="AD326">
        <f>X326-AA326-AB326</f>
        <v>125662.8</v>
      </c>
      <c r="AE326">
        <f>Y326-AC326</f>
        <v>150120</v>
      </c>
      <c r="AF326">
        <f>AD326*0.01</f>
        <v>1256.6280000000002</v>
      </c>
      <c r="AG326">
        <f>AD326-Q326-AF326-T326</f>
        <v>13206.172000000002</v>
      </c>
      <c r="AH326">
        <f>AE326-Q326-AF326-T326</f>
        <v>37663.372</v>
      </c>
      <c r="AI326">
        <f>AG326/X326</f>
        <v>0.09899679160419791</v>
      </c>
      <c r="AJ326">
        <f>AH326/Y326</f>
        <v>0.2257995923261391</v>
      </c>
      <c r="AW326">
        <v>4669296403</v>
      </c>
    </row>
    <row r="327">
      <c r="F327" t="str">
        <v>Navy</v>
      </c>
      <c r="G327" t="str">
        <f>HYPERLINK("https://www.amazon.com/YETI-Daytrip-Packable-Lunch-Charcoal/dp/B07SZ98T79?pf_rd_p=c0dea64e-b08f-4304-afcc-8c16c9d82b97&amp;pd_rd_wg=53kcL&amp;pf_rd_r=3HRYZWX62BQB0K9TVMRH&amp;ref_=pd_gw_bmx&amp;pd_rd_w=hnYcc&amp;pd_rd_r=6ebfc9ca-99bb-42a4-b1e2-07c64f8a733b&amp;th=1","A")</f>
        <v>A</v>
      </c>
      <c r="J327">
        <v>80</v>
      </c>
      <c r="K327">
        <v>1.2</v>
      </c>
      <c r="L327">
        <f>IF(K327&gt;0,K327*16,)</f>
        <v>19.2</v>
      </c>
      <c r="M327">
        <f>IF(K327&gt;0,K327*0.453592,IF(L327&gt;0,L327*0.02835,))</f>
        <v>0.5443104</v>
      </c>
      <c r="N327">
        <v>0</v>
      </c>
      <c r="O327">
        <v>0</v>
      </c>
      <c r="P327">
        <f>J327+O327+N327</f>
        <v>80</v>
      </c>
      <c r="Q327">
        <f>P327*C$3</f>
        <v>100000</v>
      </c>
      <c r="R327">
        <v>0</v>
      </c>
      <c r="S327">
        <f>ROUND(SUM(Q327:R327), -2)</f>
        <v>100000</v>
      </c>
      <c r="T327">
        <f>ROUNDUP(HLOOKUP(ROUNDUP(K327,0),'배송비 조회'!A$10:U$22,7,0)*C$3,-2)</f>
        <v>11200</v>
      </c>
      <c r="U327">
        <v>0</v>
      </c>
      <c r="V327">
        <f>ROUND(IF(R327&gt;0,0,(S327+T327)*0.2),-2)</f>
        <v>22200</v>
      </c>
      <c r="W327">
        <f>ROUND(IF(R327&gt;0,0,(S327+T327)*0.5),-2)</f>
        <v>55600</v>
      </c>
      <c r="X327">
        <f>IF(R327&gt;0,SUM(S327:T327),SUM(S327:V327))</f>
        <v>133400</v>
      </c>
      <c r="Y327">
        <f>IF(R327&gt;0,SUM(S327:T327),SUM(S327:U327)+W327)</f>
        <v>166800</v>
      </c>
      <c r="Z327">
        <v>0</v>
      </c>
      <c r="AA327">
        <f>X327*0.038</f>
        <v>5069.2</v>
      </c>
      <c r="AB327">
        <f>X327*0.02</f>
        <v>2668</v>
      </c>
      <c r="AC327">
        <f>Y327*0.1</f>
        <v>16680</v>
      </c>
      <c r="AD327">
        <f>X327-AA327-AB327</f>
        <v>125662.8</v>
      </c>
      <c r="AE327">
        <f>Y327-AC327</f>
        <v>150120</v>
      </c>
      <c r="AF327">
        <f>AD327*0.01</f>
        <v>1256.6280000000002</v>
      </c>
      <c r="AG327">
        <f>AD327-Q327-AF327-T327</f>
        <v>13206.172000000002</v>
      </c>
      <c r="AH327">
        <f>AE327-Q327-AF327-T327</f>
        <v>37663.372</v>
      </c>
      <c r="AI327">
        <f>AG327/X327</f>
        <v>0.09899679160419791</v>
      </c>
      <c r="AJ327">
        <f>AH327/Y327</f>
        <v>0.2257995923261391</v>
      </c>
    </row>
    <row r="328">
      <c r="F328" t="str">
        <v>River Green</v>
      </c>
      <c r="G328" t="str">
        <f>HYPERLINK("https://www.amazon.com/YETI-Daytrip-Packable-Lunch-Charcoal/dp/B07T1DQ5YY?pf_rd_p=c0dea64e-b08f-4304-afcc-8c16c9d82b97&amp;pd_rd_wg=53kcL&amp;pf_rd_r=3HRYZWX62BQB0K9TVMRH&amp;ref_=pd_gw_bmx&amp;pd_rd_w=hnYcc&amp;pd_rd_r=6ebfc9ca-99bb-42a4-b1e2-07c64f8a733b&amp;th=1","A")</f>
        <v>A</v>
      </c>
      <c r="J328">
        <v>80</v>
      </c>
      <c r="K328">
        <v>1.2</v>
      </c>
      <c r="L328">
        <f>IF(K328&gt;0,K328*16,)</f>
        <v>19.2</v>
      </c>
      <c r="M328">
        <f>IF(K328&gt;0,K328*0.453592,IF(L328&gt;0,L328*0.02835,))</f>
        <v>0.5443104</v>
      </c>
      <c r="N328">
        <v>0</v>
      </c>
      <c r="O328">
        <v>0</v>
      </c>
      <c r="P328">
        <f>J328+O328+N328</f>
        <v>80</v>
      </c>
      <c r="Q328">
        <f>P328*C$3</f>
        <v>100000</v>
      </c>
      <c r="R328">
        <v>0</v>
      </c>
      <c r="S328">
        <f>ROUND(SUM(Q328:R328), -2)</f>
        <v>100000</v>
      </c>
      <c r="T328">
        <f>ROUNDUP(HLOOKUP(ROUNDUP(K328,0),'배송비 조회'!A$10:U$22,7,0)*C$3,-2)</f>
        <v>11200</v>
      </c>
      <c r="U328">
        <v>0</v>
      </c>
      <c r="V328">
        <f>ROUND(IF(R328&gt;0,0,(S328+T328)*0.2),-2)</f>
        <v>22200</v>
      </c>
      <c r="W328">
        <f>ROUND(IF(R328&gt;0,0,(S328+T328)*0.5),-2)</f>
        <v>55600</v>
      </c>
      <c r="X328">
        <f>IF(R328&gt;0,SUM(S328:T328),SUM(S328:V328))</f>
        <v>133400</v>
      </c>
      <c r="Y328">
        <f>IF(R328&gt;0,SUM(S328:T328),SUM(S328:U328)+W328)</f>
        <v>166800</v>
      </c>
      <c r="Z328">
        <v>0</v>
      </c>
      <c r="AA328">
        <f>X328*0.038</f>
        <v>5069.2</v>
      </c>
      <c r="AB328">
        <f>X328*0.02</f>
        <v>2668</v>
      </c>
      <c r="AC328">
        <f>Y328*0.1</f>
        <v>16680</v>
      </c>
      <c r="AD328">
        <f>X328-AA328-AB328</f>
        <v>125662.8</v>
      </c>
      <c r="AE328">
        <f>Y328-AC328</f>
        <v>150120</v>
      </c>
      <c r="AF328">
        <f>AD328*0.01</f>
        <v>1256.6280000000002</v>
      </c>
      <c r="AG328">
        <f>AD328-Q328-AF328-T328</f>
        <v>13206.172000000002</v>
      </c>
      <c r="AH328">
        <f>AE328-Q328-AF328-T328</f>
        <v>37663.372</v>
      </c>
      <c r="AI328">
        <f>AG328/X328</f>
        <v>0.09899679160419791</v>
      </c>
      <c r="AJ328">
        <f>AH328/Y328</f>
        <v>0.2257995923261391</v>
      </c>
    </row>
    <row r="329">
      <c r="A329">
        <f>HYPERLINK("https://smartstore.naver.com/brickstore2019/products/4669315065",AW:AW)</f>
        <v>4669296403</v>
      </c>
      <c r="C329" t="str">
        <v>키크론 맥북 usb c 허브 멀티포트 어댑터 Keychron USB C Hub(무료배송)</v>
      </c>
      <c r="E329" t="str">
        <v>USB C Hub Adapter for MacBook Pro 2019 / MacBook 2018, Keychron 10 in 1 Thunderbolt 3 Type C Hub with 4K HDMI/Ethernet Port / 4 USB 3.0 Ports / 1080P VGA/SD/TF Card Reader/Power Fast Delivery</v>
      </c>
      <c r="G329" t="str">
        <f>HYPERLINK("https://www.amazon.com/gp/product/B07QK63LNH/ref=s9_acsd_al_bw_c_x_7_w?pf_rd_m=ATVPDKIKX0DER&amp;pf_rd_s=merchandised-search-4&amp;pf_rd_r=0VQA6S777D11JF6D8Q8J&amp;pf_rd_t=101&amp;pf_rd_p=e3b53f90-ad59-4a75-84a8-f78a37b5b121&amp;pf_rd_i=12034490011","A")</f>
        <v>A</v>
      </c>
      <c r="J329">
        <v>50</v>
      </c>
      <c r="K329">
        <f>IF(L329&gt;0,L329*0.0625,)</f>
        <v>0.0625</v>
      </c>
      <c r="L329">
        <v>1</v>
      </c>
      <c r="M329">
        <f>IF(K329&gt;0,K329*0.453592,IF(L329&gt;0,L329*0.02835,))</f>
        <v>0.0283495</v>
      </c>
      <c r="N329">
        <v>0</v>
      </c>
      <c r="O329">
        <v>0</v>
      </c>
      <c r="P329">
        <f>J329+O329+N329</f>
        <v>50</v>
      </c>
      <c r="Q329">
        <f>P329*C$3</f>
        <v>62500</v>
      </c>
      <c r="R329">
        <v>0</v>
      </c>
      <c r="S329">
        <f>ROUND(SUM(Q329:R329), -2)</f>
        <v>62500</v>
      </c>
      <c r="T329">
        <f>ROUNDUP(HLOOKUP(ROUNDUP(K329,0),'배송비 조회'!A$10:U$22,7,0)*C$3,-2)</f>
        <v>9000</v>
      </c>
      <c r="U329">
        <v>0</v>
      </c>
      <c r="V329">
        <f>ROUND(IF(R329&gt;0,0,(S329+T329)*0.3),-2)</f>
        <v>21500</v>
      </c>
      <c r="W329">
        <f>ROUND(IF(R329&gt;0,0,(S329+T329)*0.5),-2)</f>
        <v>35800</v>
      </c>
      <c r="X329">
        <f>IF(R329&gt;0,SUM(S329:T329),SUM(S329:V329))</f>
        <v>93000</v>
      </c>
      <c r="Y329">
        <f>IF(R329&gt;0,SUM(S329:T329),SUM(S329:U329)+W329)</f>
        <v>107300</v>
      </c>
      <c r="Z329">
        <v>0</v>
      </c>
      <c r="AA329">
        <f>X329*0.038</f>
        <v>3534</v>
      </c>
      <c r="AB329">
        <f>X329*0.02</f>
        <v>1860</v>
      </c>
      <c r="AC329">
        <f>Y329*0.1</f>
        <v>10730</v>
      </c>
      <c r="AD329">
        <f>X329-AA329-AB329</f>
        <v>87606</v>
      </c>
      <c r="AE329">
        <f>Y329-AC329</f>
        <v>96570</v>
      </c>
      <c r="AF329">
        <f>AD329*0.01</f>
        <v>876.0600000000001</v>
      </c>
      <c r="AG329">
        <f>AD329-Q329-AF329-T329</f>
        <v>15229.939999999999</v>
      </c>
      <c r="AH329">
        <f>AE329-Q329-AF329-T329</f>
        <v>24193.940000000002</v>
      </c>
      <c r="AI329">
        <f>AG329/X329</f>
        <v>0.1637627956989247</v>
      </c>
      <c r="AJ329">
        <f>AH329/Y329</f>
        <v>0.22547940354147253</v>
      </c>
      <c r="AW329">
        <v>4669296403</v>
      </c>
    </row>
    <row r="330">
      <c r="A330">
        <f>HYPERLINK("https://smartstore.naver.com/brickstore2019/products/4669389966",AW:AW)</f>
        <v>4669389966</v>
      </c>
      <c r="C330" t="str">
        <v>키크론 K2 무선 기계식 키보드 게이트론 블루 스위치 청축 텐키리스 Keychron K2</v>
      </c>
      <c r="F330" t="str">
        <v>RGB / Grey / AL</v>
      </c>
      <c r="G330" t="str">
        <f>HYPERLINK("https://www.amazon.com/Keychron-Wireless-Bluetooth-Mechanical-Keyboard/dp/B07WDBKHVM?ref_=ast_sto_dp&amp;th=1","A")</f>
        <v>A</v>
      </c>
      <c r="J330">
        <v>100</v>
      </c>
      <c r="K330">
        <v>2.5</v>
      </c>
      <c r="L330">
        <f>IF(K330&gt;0,K330*16,)</f>
        <v>40</v>
      </c>
      <c r="M330">
        <f>IF(K330&gt;0,K330*0.453592,IF(L330&gt;0,L330*0.02835,))</f>
        <v>1.13398</v>
      </c>
      <c r="N330">
        <v>0</v>
      </c>
      <c r="O330">
        <v>0</v>
      </c>
      <c r="P330">
        <f>J330+O330+N330</f>
        <v>100</v>
      </c>
      <c r="Q330">
        <f>P330*C$3</f>
        <v>125000</v>
      </c>
      <c r="R330">
        <v>0</v>
      </c>
      <c r="S330">
        <f>ROUND(SUM(Q330:R330), -2)</f>
        <v>125000</v>
      </c>
      <c r="T330">
        <f>ROUNDUP(HLOOKUP(ROUNDUP(K330,0),'배송비 조회'!A$10:U$22,7,0)*C$3,-2)</f>
        <v>13400</v>
      </c>
      <c r="U330">
        <v>0</v>
      </c>
      <c r="V330">
        <f>ROUND(IF(R330&gt;0,0,(S330+T330)*0.3),-2)</f>
        <v>41500</v>
      </c>
      <c r="W330">
        <f>ROUND(IF(R330&gt;0,0,(S330+T330)*0.5),-2)</f>
        <v>69200</v>
      </c>
      <c r="X330">
        <f>IF(R330&gt;0,SUM(S330:T330),SUM(S330:V330))</f>
        <v>179900</v>
      </c>
      <c r="Y330">
        <f>IF(R330&gt;0,SUM(S330:T330),SUM(S330:U330)+W330)</f>
        <v>207600</v>
      </c>
      <c r="Z330">
        <v>0</v>
      </c>
      <c r="AA330">
        <f>X330*0.038</f>
        <v>6836.2</v>
      </c>
      <c r="AB330">
        <f>X330*0.02</f>
        <v>3598</v>
      </c>
      <c r="AC330">
        <f>Y330*0.1</f>
        <v>20760</v>
      </c>
      <c r="AD330">
        <f>X330-AA330-AB330</f>
        <v>169465.8</v>
      </c>
      <c r="AE330">
        <f>Y330-AC330</f>
        <v>186840</v>
      </c>
      <c r="AF330">
        <f>AD330*0.01</f>
        <v>1694.658</v>
      </c>
      <c r="AG330">
        <f>AD330-Q330-AF330-T330</f>
        <v>29371.141999999985</v>
      </c>
      <c r="AH330">
        <f>AE330-Q330-AF330-T330</f>
        <v>46745.342</v>
      </c>
      <c r="AI330">
        <f>AG330/X330</f>
        <v>0.16326371317398547</v>
      </c>
      <c r="AJ330">
        <f>AH330/Y330</f>
        <v>0.2251702408477842</v>
      </c>
      <c r="AW330">
        <v>4669389966</v>
      </c>
    </row>
    <row r="331">
      <c r="F331" t="str">
        <v>RGB / Black / AL</v>
      </c>
      <c r="G331" t="str">
        <f>HYPERLINK("https://www.amazon.com/Keychron-Wireless-Bluetooth-Mechanical-Keyboard/dp/B07YXNSP1B?ref_=ast_sto_dp&amp;th=1","A")</f>
        <v>A</v>
      </c>
      <c r="J331">
        <v>100</v>
      </c>
      <c r="K331">
        <v>2.5</v>
      </c>
      <c r="L331">
        <f>IF(K331&gt;0,K331*16,)</f>
        <v>40</v>
      </c>
      <c r="M331">
        <f>IF(K331&gt;0,K331*0.453592,IF(L331&gt;0,L331*0.02835,))</f>
        <v>1.13398</v>
      </c>
      <c r="N331">
        <v>0</v>
      </c>
      <c r="O331">
        <v>0</v>
      </c>
      <c r="P331">
        <f>J331+O331+N331</f>
        <v>100</v>
      </c>
      <c r="Q331">
        <f>P331*C$3</f>
        <v>125000</v>
      </c>
      <c r="R331">
        <v>0</v>
      </c>
      <c r="S331">
        <f>ROUND(SUM(Q331:R331), -2)</f>
        <v>125000</v>
      </c>
      <c r="T331">
        <f>ROUNDUP(HLOOKUP(ROUNDUP(K331,0),'배송비 조회'!A$10:U$22,7,0)*C$3,-2)</f>
        <v>13400</v>
      </c>
      <c r="U331">
        <v>0</v>
      </c>
      <c r="V331">
        <f>ROUND(IF(R331&gt;0,0,(S331+T331)*0.3),-2)</f>
        <v>41500</v>
      </c>
      <c r="W331">
        <f>ROUND(IF(R331&gt;0,0,(S331+T331)*0.5),-2)</f>
        <v>69200</v>
      </c>
      <c r="X331">
        <f>IF(R331&gt;0,SUM(S331:T331),SUM(S331:V331))</f>
        <v>179900</v>
      </c>
      <c r="Y331">
        <f>IF(R331&gt;0,SUM(S331:T331),SUM(S331:U331)+W331)</f>
        <v>207600</v>
      </c>
      <c r="Z331">
        <v>0</v>
      </c>
      <c r="AA331">
        <f>X331*0.038</f>
        <v>6836.2</v>
      </c>
      <c r="AB331">
        <f>X331*0.02</f>
        <v>3598</v>
      </c>
      <c r="AC331">
        <f>Y331*0.1</f>
        <v>20760</v>
      </c>
      <c r="AD331">
        <f>X331-AA331-AB331</f>
        <v>169465.8</v>
      </c>
      <c r="AE331">
        <f>Y331-AC331</f>
        <v>186840</v>
      </c>
      <c r="AF331">
        <f>AD331*0.01</f>
        <v>1694.658</v>
      </c>
      <c r="AG331">
        <f>AD331-Q331-AF331-T331</f>
        <v>29371.141999999985</v>
      </c>
      <c r="AH331">
        <f>AE331-Q331-AF331-T331</f>
        <v>46745.342</v>
      </c>
      <c r="AI331">
        <f>AG331/X331</f>
        <v>0.16326371317398547</v>
      </c>
      <c r="AJ331">
        <f>AH331/Y331</f>
        <v>0.2251702408477842</v>
      </c>
    </row>
    <row r="332">
      <c r="F332" t="str">
        <v>RGB / Grey / PL</v>
      </c>
      <c r="G332" t="str">
        <f>HYPERLINK("https://www.amazon.com/Keychron-Bluetooth-Mechanical-Keyboard-Tenkeyless-Keyboard/dp/B07QHWLZG6/ref=sr_1_1?keywords=Keychron+K2&amp;qid=1571711470&amp;s=electronics&amp;sr=1-1-catcorr","A")</f>
        <v>A</v>
      </c>
      <c r="J332">
        <v>90</v>
      </c>
      <c r="K332">
        <v>2.5</v>
      </c>
      <c r="L332">
        <f>IF(K332&gt;0,K332*16,)</f>
        <v>40</v>
      </c>
      <c r="M332">
        <f>IF(K332&gt;0,K332*0.453592,IF(L332&gt;0,L332*0.02835,))</f>
        <v>1.13398</v>
      </c>
      <c r="N332">
        <v>0</v>
      </c>
      <c r="O332">
        <v>0</v>
      </c>
      <c r="P332">
        <f>J332+O332+N332</f>
        <v>90</v>
      </c>
      <c r="Q332">
        <f>P332*C$3</f>
        <v>112500</v>
      </c>
      <c r="R332">
        <v>0</v>
      </c>
      <c r="S332">
        <f>ROUND(SUM(Q332:R332), -2)</f>
        <v>112500</v>
      </c>
      <c r="T332">
        <f>ROUNDUP(HLOOKUP(ROUNDUP(K332,0),'배송비 조회'!A$10:U$22,7,0)*C$3,-2)</f>
        <v>13400</v>
      </c>
      <c r="U332">
        <v>0</v>
      </c>
      <c r="V332">
        <f>ROUND(IF(R332&gt;0,0,(S332+T332)*0.3),-2)</f>
        <v>37800</v>
      </c>
      <c r="W332">
        <f>ROUND(IF(R332&gt;0,0,(S332+T332)*0.5),-2)</f>
        <v>63000</v>
      </c>
      <c r="X332">
        <f>IF(R332&gt;0,SUM(S332:T332),SUM(S332:V332))</f>
        <v>163700</v>
      </c>
      <c r="Y332">
        <f>IF(R332&gt;0,SUM(S332:T332),SUM(S332:U332)+W332)</f>
        <v>188900</v>
      </c>
      <c r="Z332">
        <v>0</v>
      </c>
      <c r="AA332">
        <f>X332*0.038</f>
        <v>6220.599999999999</v>
      </c>
      <c r="AB332">
        <f>X332*0.02</f>
        <v>3274</v>
      </c>
      <c r="AC332">
        <f>Y332*0.1</f>
        <v>18890</v>
      </c>
      <c r="AD332">
        <f>X332-AA332-AB332</f>
        <v>154205.4</v>
      </c>
      <c r="AE332">
        <f>Y332-AC332</f>
        <v>170010</v>
      </c>
      <c r="AF332">
        <f>AD332*0.01</f>
        <v>1542.054</v>
      </c>
      <c r="AG332">
        <f>AD332-Q332-AF332-T332</f>
        <v>26763.34599999999</v>
      </c>
      <c r="AH332">
        <f>AE332-Q332-AF332-T332</f>
        <v>42567.945999999996</v>
      </c>
      <c r="AI332">
        <f>AG332/X332</f>
        <v>0.16349020158827116</v>
      </c>
      <c r="AJ332">
        <f>AH332/Y332</f>
        <v>0.22534645844362095</v>
      </c>
      <c r="AK332">
        <f>X331-X332</f>
        <v>16200</v>
      </c>
    </row>
    <row r="333">
      <c r="F333" t="str">
        <v>RGB / Black / PL</v>
      </c>
      <c r="W333">
        <f>ROUND(IF(R333&gt;0,0,(S333+T333)*0.5),-2)</f>
        <v>0</v>
      </c>
      <c r="Y333">
        <f>IF(R333&gt;0,SUM(S333:T333),SUM(S333:U333)+W333)</f>
        <v>0</v>
      </c>
      <c r="AC333">
        <f>Y333*0.1</f>
        <v>0</v>
      </c>
      <c r="AE333">
        <f>Y333-AC333</f>
        <v>0</v>
      </c>
      <c r="AH333">
        <f>AE333-Q333-AF333-T333</f>
        <v>0</v>
      </c>
      <c r="AI333" t="e">
        <f>AG333/X333</f>
        <v>#DIV/0!</v>
      </c>
      <c r="AJ333" t="e">
        <f>AH333/Y333</f>
        <v>#DIV/0!</v>
      </c>
    </row>
    <row r="334">
      <c r="F334" t="str">
        <v>RGB / Mix Grey / AL</v>
      </c>
      <c r="G334" t="str">
        <f>HYPERLINK("https://www.amazon.com/Keychron-Wireless-Bluetooth-Mechanical-Keyboard/dp/B07WDBKHVM?ref_=ast_sto_dp&amp;th=1","A")</f>
        <v>A</v>
      </c>
      <c r="J334">
        <v>100</v>
      </c>
      <c r="K334">
        <v>2.5</v>
      </c>
      <c r="L334">
        <f>IF(K334&gt;0,K334*16,)</f>
        <v>40</v>
      </c>
      <c r="M334">
        <f>IF(K334&gt;0,K334*0.453592,IF(L334&gt;0,L334*0.02835,))</f>
        <v>1.13398</v>
      </c>
      <c r="N334">
        <v>0</v>
      </c>
      <c r="O334">
        <v>0</v>
      </c>
      <c r="P334">
        <f>J334+O334+N334</f>
        <v>100</v>
      </c>
      <c r="Q334">
        <f>P334*C$3</f>
        <v>125000</v>
      </c>
      <c r="R334">
        <v>0</v>
      </c>
      <c r="S334">
        <f>ROUND(SUM(Q334:R334), -2)</f>
        <v>125000</v>
      </c>
      <c r="T334">
        <f>ROUNDUP(HLOOKUP(ROUNDUP(K334,0),'배송비 조회'!A$10:U$22,7,0)*C$3,-2)</f>
        <v>13400</v>
      </c>
      <c r="U334">
        <v>0</v>
      </c>
      <c r="V334">
        <f>ROUND(IF(R334&gt;0,0,(S334+T334)*0.3),-2)</f>
        <v>41500</v>
      </c>
      <c r="W334">
        <f>ROUND(IF(R334&gt;0,0,(S334+T334)*0.5),-2)</f>
        <v>69200</v>
      </c>
      <c r="X334">
        <f>IF(R334&gt;0,SUM(S334:T334),SUM(S334:V334))</f>
        <v>179900</v>
      </c>
      <c r="Y334">
        <f>IF(R334&gt;0,SUM(S334:T334),SUM(S334:U334)+W334)</f>
        <v>207600</v>
      </c>
      <c r="Z334">
        <v>0</v>
      </c>
      <c r="AA334">
        <f>X334*0.038</f>
        <v>6836.2</v>
      </c>
      <c r="AB334">
        <f>X334*0.02</f>
        <v>3598</v>
      </c>
      <c r="AC334">
        <f>Y334*0.1</f>
        <v>20760</v>
      </c>
      <c r="AD334">
        <f>X334-AA334-AB334</f>
        <v>169465.8</v>
      </c>
      <c r="AE334">
        <f>Y334-AC334</f>
        <v>186840</v>
      </c>
      <c r="AF334">
        <f>AD334*0.01</f>
        <v>1694.658</v>
      </c>
      <c r="AG334">
        <f>AD334-Q334-AF334-T334</f>
        <v>29371.141999999985</v>
      </c>
      <c r="AH334">
        <f>AE334-Q334-AF334-T334</f>
        <v>46745.342</v>
      </c>
      <c r="AI334">
        <f>AG334/X334</f>
        <v>0.16326371317398547</v>
      </c>
      <c r="AJ334">
        <f>AH334/Y334</f>
        <v>0.2251702408477842</v>
      </c>
    </row>
    <row r="335">
      <c r="F335" t="str">
        <v>RGB / Pure Grey / AL</v>
      </c>
      <c r="G335" t="str">
        <f>HYPERLINK("https://www.amazon.com/Keychron-Wireless-Bluetooth-Mechanical-Keyboard/dp/B07YXNSP1B?ref_=ast_sto_dp&amp;th=1","A")</f>
        <v>A</v>
      </c>
      <c r="J335">
        <v>100</v>
      </c>
      <c r="K335">
        <v>2.5</v>
      </c>
      <c r="L335">
        <f>IF(K335&gt;0,K335*16,)</f>
        <v>40</v>
      </c>
      <c r="M335">
        <f>IF(K335&gt;0,K335*0.453592,IF(L335&gt;0,L335*0.02835,))</f>
        <v>1.13398</v>
      </c>
      <c r="N335">
        <v>0</v>
      </c>
      <c r="O335">
        <v>0</v>
      </c>
      <c r="P335">
        <f>J335+O335+N335</f>
        <v>100</v>
      </c>
      <c r="Q335">
        <f>P335*C$3</f>
        <v>125000</v>
      </c>
      <c r="R335">
        <v>0</v>
      </c>
      <c r="S335">
        <f>ROUND(SUM(Q335:R335), -2)</f>
        <v>125000</v>
      </c>
      <c r="T335">
        <f>ROUNDUP(HLOOKUP(ROUNDUP(K335,0),'배송비 조회'!A$10:U$22,7,0)*C$3,-2)</f>
        <v>13400</v>
      </c>
      <c r="U335">
        <v>0</v>
      </c>
      <c r="V335">
        <f>ROUND(IF(R335&gt;0,0,(S335+T335)*0.3),-2)</f>
        <v>41500</v>
      </c>
      <c r="W335">
        <f>ROUND(IF(R335&gt;0,0,(S335+T335)*0.5),-2)</f>
        <v>69200</v>
      </c>
      <c r="X335">
        <f>IF(R335&gt;0,SUM(S335:T335),SUM(S335:V335))</f>
        <v>179900</v>
      </c>
      <c r="Y335">
        <f>IF(R335&gt;0,SUM(S335:T335),SUM(S335:U335)+W335)</f>
        <v>207600</v>
      </c>
      <c r="Z335">
        <v>0</v>
      </c>
      <c r="AA335">
        <f>X335*0.038</f>
        <v>6836.2</v>
      </c>
      <c r="AB335">
        <f>X335*0.02</f>
        <v>3598</v>
      </c>
      <c r="AC335">
        <f>Y335*0.1</f>
        <v>20760</v>
      </c>
      <c r="AD335">
        <f>X335-AA335-AB335</f>
        <v>169465.8</v>
      </c>
      <c r="AE335">
        <f>Y335-AC335</f>
        <v>186840</v>
      </c>
      <c r="AF335">
        <f>AD335*0.01</f>
        <v>1694.658</v>
      </c>
      <c r="AG335">
        <f>AD335-Q335-AF335-T335</f>
        <v>29371.141999999985</v>
      </c>
      <c r="AH335">
        <f>AE335-Q335-AF335-T335</f>
        <v>46745.342</v>
      </c>
      <c r="AI335">
        <f>AG335/X335</f>
        <v>0.16326371317398547</v>
      </c>
      <c r="AJ335">
        <f>AH335/Y335</f>
        <v>0.2251702408477842</v>
      </c>
    </row>
    <row r="336">
      <c r="F336" t="str">
        <v>White / Grey / AL</v>
      </c>
      <c r="W336">
        <f>ROUND(IF(R336&gt;0,0,(S336+T336)*0.5),-2)</f>
        <v>0</v>
      </c>
      <c r="Y336">
        <f>IF(R336&gt;0,SUM(S336:T336),SUM(S336:U336)+W336)</f>
        <v>0</v>
      </c>
      <c r="AC336">
        <f>Y336*0.1</f>
        <v>0</v>
      </c>
      <c r="AE336">
        <f>Y336-AC336</f>
        <v>0</v>
      </c>
      <c r="AH336">
        <f>AE336-Q336-AF336-T336</f>
        <v>0</v>
      </c>
      <c r="AI336" t="e">
        <f>AG336/X336</f>
        <v>#DIV/0!</v>
      </c>
      <c r="AJ336" t="e">
        <f>AH336/Y336</f>
        <v>#DIV/0!</v>
      </c>
    </row>
    <row r="337">
      <c r="F337" t="str">
        <v>White / Black / AL</v>
      </c>
      <c r="W337">
        <f>ROUND(IF(R337&gt;0,0,(S337+T337)*0.5),-2)</f>
        <v>0</v>
      </c>
      <c r="Y337">
        <f>IF(R337&gt;0,SUM(S337:T337),SUM(S337:U337)+W337)</f>
        <v>0</v>
      </c>
      <c r="AC337">
        <f>Y337*0.1</f>
        <v>0</v>
      </c>
      <c r="AE337">
        <f>Y337-AC337</f>
        <v>0</v>
      </c>
      <c r="AH337">
        <f>AE337-Q337-AF337-T337</f>
        <v>0</v>
      </c>
      <c r="AI337" t="e">
        <f>AG337/X337</f>
        <v>#DIV/0!</v>
      </c>
      <c r="AJ337" t="e">
        <f>AH337/Y337</f>
        <v>#DIV/0!</v>
      </c>
    </row>
    <row r="338">
      <c r="F338" t="str">
        <v>White / Grey / PL</v>
      </c>
      <c r="W338">
        <f>ROUND(IF(R338&gt;0,0,(S338+T338)*0.5),-2)</f>
        <v>0</v>
      </c>
      <c r="Y338">
        <f>IF(R338&gt;0,SUM(S338:T338),SUM(S338:U338)+W338)</f>
        <v>0</v>
      </c>
      <c r="AC338">
        <f>Y338*0.1</f>
        <v>0</v>
      </c>
      <c r="AE338">
        <f>Y338-AC338</f>
        <v>0</v>
      </c>
      <c r="AH338">
        <f>AE338-Q338-AF338-T338</f>
        <v>0</v>
      </c>
      <c r="AI338" t="e">
        <f>AG338/X338</f>
        <v>#DIV/0!</v>
      </c>
      <c r="AJ338" t="e">
        <f>AH338/Y338</f>
        <v>#DIV/0!</v>
      </c>
    </row>
    <row r="339">
      <c r="F339" t="str">
        <v>White / Black / PL</v>
      </c>
      <c r="W339">
        <f>ROUND(IF(R339&gt;0,0,(S339+T339)*0.5),-2)</f>
        <v>0</v>
      </c>
      <c r="Y339">
        <f>IF(R339&gt;0,SUM(S339:T339),SUM(S339:U339)+W339)</f>
        <v>0</v>
      </c>
      <c r="AC339">
        <f>Y339*0.1</f>
        <v>0</v>
      </c>
      <c r="AE339">
        <f>Y339-AC339</f>
        <v>0</v>
      </c>
      <c r="AH339">
        <f>AE339-Q339-AF339-T339</f>
        <v>0</v>
      </c>
      <c r="AI339" t="e">
        <f>AG339/X339</f>
        <v>#DIV/0!</v>
      </c>
      <c r="AJ339" t="e">
        <f>AH339/Y339</f>
        <v>#DIV/0!</v>
      </c>
    </row>
    <row r="340">
      <c r="A340">
        <f>HYPERLINK("https://smartstore.naver.com/brickstore2019/products/4669395416",AW:AW)</f>
        <v>4669395416</v>
      </c>
      <c r="C340" t="str">
        <v>키크론 K2 무선 기계식 키보드 게이트론 갈축 텐키리스 Keychron K2</v>
      </c>
      <c r="E340" t="str">
        <v>Keychron K2 RGB Wireless Mechanical Gaming Keyboard with Gateron Brown Switch/USB Wired/Anti Ghosting /84 Key N-Key Rollover, Bluetooth Computer Keyboard for Mac Windows PC Gamer</v>
      </c>
      <c r="F340" t="str">
        <v>RGB / Grey / AL</v>
      </c>
      <c r="W340">
        <f>ROUND(IF(R340&gt;0,0,(S340+T340)*0.5),-2)</f>
        <v>0</v>
      </c>
      <c r="Y340">
        <f>IF(R340&gt;0,SUM(S340:T340),SUM(S340:U340)+W340)</f>
        <v>0</v>
      </c>
      <c r="AC340">
        <f>Y340*0.1</f>
        <v>0</v>
      </c>
      <c r="AE340">
        <f>Y340-AC340</f>
        <v>0</v>
      </c>
      <c r="AH340">
        <f>AE340-Q340-AF340-T340</f>
        <v>0</v>
      </c>
      <c r="AI340" t="e">
        <f>AG340/X340</f>
        <v>#DIV/0!</v>
      </c>
      <c r="AJ340" t="e">
        <f>AH340/Y340</f>
        <v>#DIV/0!</v>
      </c>
      <c r="AW340">
        <v>4669395416</v>
      </c>
    </row>
    <row r="341">
      <c r="F341" t="str">
        <v>RGB / Black / AL</v>
      </c>
      <c r="W341">
        <f>ROUND(IF(R341&gt;0,0,(S341+T341)*0.5),-2)</f>
        <v>0</v>
      </c>
      <c r="Y341">
        <f>IF(R341&gt;0,SUM(S341:T341),SUM(S341:U341)+W341)</f>
        <v>0</v>
      </c>
      <c r="AC341">
        <f>Y341*0.1</f>
        <v>0</v>
      </c>
      <c r="AE341">
        <f>Y341-AC341</f>
        <v>0</v>
      </c>
      <c r="AH341">
        <f>AE341-Q341-AF341-T341</f>
        <v>0</v>
      </c>
      <c r="AI341" t="e">
        <f>AG341/X341</f>
        <v>#DIV/0!</v>
      </c>
      <c r="AJ341" t="e">
        <f>AH341/Y341</f>
        <v>#DIV/0!</v>
      </c>
    </row>
    <row r="342">
      <c r="F342" t="str">
        <v>RGB / Mix Grey / AL</v>
      </c>
      <c r="G342" t="str">
        <f>HYPERLINK("https://www.amazon.com/Keychron-Wireless-Bluetooth-Mechanical-Keyboard/dp/B07YB32H52?ref_=ast_sto_dp","A")</f>
        <v>A</v>
      </c>
      <c r="J342">
        <v>100</v>
      </c>
      <c r="K342">
        <v>2.2</v>
      </c>
      <c r="L342">
        <f>IF(K342&gt;0,K342*16,)</f>
        <v>35.2</v>
      </c>
      <c r="M342">
        <f>IF(K342&gt;0,K342*0.453592,IF(L342&gt;0,L342*0.02835,))</f>
        <v>0.9979024000000001</v>
      </c>
      <c r="N342">
        <v>0</v>
      </c>
      <c r="O342">
        <v>0</v>
      </c>
      <c r="P342">
        <f>J342+O342+N342</f>
        <v>100</v>
      </c>
      <c r="Q342">
        <f>P342*C$3</f>
        <v>125000</v>
      </c>
      <c r="R342">
        <v>0</v>
      </c>
      <c r="S342">
        <f>ROUND(SUM(Q342:R342), -2)</f>
        <v>125000</v>
      </c>
      <c r="T342">
        <f>ROUNDUP(HLOOKUP(ROUNDUP(K342,0),'배송비 조회'!A$10:U$22,7,0)*C$3,-2)</f>
        <v>13400</v>
      </c>
      <c r="U342">
        <v>0</v>
      </c>
      <c r="V342">
        <f>ROUND(IF(R342&gt;0,0,(S342+T342)*0.3),-2)</f>
        <v>41500</v>
      </c>
      <c r="W342">
        <f>ROUND(IF(R342&gt;0,0,(S342+T342)*0.5),-2)</f>
        <v>69200</v>
      </c>
      <c r="X342">
        <f>IF(R342&gt;0,SUM(S342:T342),SUM(S342:V342))</f>
        <v>179900</v>
      </c>
      <c r="Y342">
        <f>IF(R342&gt;0,SUM(S342:T342),SUM(S342:U342)+W342)</f>
        <v>207600</v>
      </c>
      <c r="Z342">
        <v>0</v>
      </c>
      <c r="AA342">
        <f>X342*0.038</f>
        <v>6836.2</v>
      </c>
      <c r="AB342">
        <f>X342*0.02</f>
        <v>3598</v>
      </c>
      <c r="AC342">
        <f>Y342*0.1</f>
        <v>20760</v>
      </c>
      <c r="AD342">
        <f>X342-AA342-AB342</f>
        <v>169465.8</v>
      </c>
      <c r="AE342">
        <f>Y342-AC342</f>
        <v>186840</v>
      </c>
      <c r="AF342">
        <f>AD342*0.01</f>
        <v>1694.658</v>
      </c>
      <c r="AG342">
        <f>AD342-Q342-AF342-T342</f>
        <v>29371.141999999985</v>
      </c>
      <c r="AH342">
        <f>AE342-Q342-AF342-T342</f>
        <v>46745.342</v>
      </c>
      <c r="AI342">
        <f>AG342/X342</f>
        <v>0.16326371317398547</v>
      </c>
      <c r="AJ342">
        <f>AH342/Y342</f>
        <v>0.2251702408477842</v>
      </c>
      <c r="AK342">
        <f>X342-X347</f>
        <v>32500</v>
      </c>
    </row>
    <row r="343">
      <c r="F343" t="str">
        <v>RGB / Grey / PL</v>
      </c>
      <c r="W343">
        <f>ROUND(IF(R343&gt;0,0,(S343+T343)*0.5),-2)</f>
        <v>0</v>
      </c>
      <c r="Y343">
        <f>IF(R343&gt;0,SUM(S343:T343),SUM(S343:U343)+W343)</f>
        <v>0</v>
      </c>
      <c r="AC343">
        <f>Y343*0.1</f>
        <v>0</v>
      </c>
      <c r="AE343">
        <f>Y343-AC343</f>
        <v>0</v>
      </c>
      <c r="AH343">
        <f>AE343-Q343-AF343-T343</f>
        <v>0</v>
      </c>
      <c r="AI343" t="e">
        <f>AG343/X343</f>
        <v>#DIV/0!</v>
      </c>
      <c r="AJ343" t="e">
        <f>AH343/Y343</f>
        <v>#DIV/0!</v>
      </c>
    </row>
    <row r="344">
      <c r="F344" t="str">
        <v>RGB / Black / PL</v>
      </c>
      <c r="W344">
        <f>ROUND(IF(R344&gt;0,0,(S344+T344)*0.5),-2)</f>
        <v>0</v>
      </c>
      <c r="Y344">
        <f>IF(R344&gt;0,SUM(S344:T344),SUM(S344:U344)+W344)</f>
        <v>0</v>
      </c>
      <c r="AC344">
        <f>Y344*0.1</f>
        <v>0</v>
      </c>
      <c r="AE344">
        <f>Y344-AC344</f>
        <v>0</v>
      </c>
      <c r="AH344">
        <f>AE344-Q344-AF344-T344</f>
        <v>0</v>
      </c>
      <c r="AI344" t="e">
        <f>AG344/X344</f>
        <v>#DIV/0!</v>
      </c>
      <c r="AJ344" t="e">
        <f>AH344/Y344</f>
        <v>#DIV/0!</v>
      </c>
    </row>
    <row r="345">
      <c r="F345" t="str">
        <v>White / Grey / AL</v>
      </c>
      <c r="W345">
        <f>ROUND(IF(R345&gt;0,0,(S345+T345)*0.5),-2)</f>
        <v>0</v>
      </c>
      <c r="Y345">
        <f>IF(R345&gt;0,SUM(S345:T345),SUM(S345:U345)+W345)</f>
        <v>0</v>
      </c>
      <c r="AC345">
        <f>Y345*0.1</f>
        <v>0</v>
      </c>
      <c r="AE345">
        <f>Y345-AC345</f>
        <v>0</v>
      </c>
      <c r="AH345">
        <f>AE345-Q345-AF345-T345</f>
        <v>0</v>
      </c>
      <c r="AI345" t="e">
        <f>AG345/X345</f>
        <v>#DIV/0!</v>
      </c>
      <c r="AJ345" t="e">
        <f>AH345/Y345</f>
        <v>#DIV/0!</v>
      </c>
    </row>
    <row r="346">
      <c r="F346" t="str">
        <v>White / Black / AL</v>
      </c>
      <c r="W346">
        <f>ROUND(IF(R346&gt;0,0,(S346+T346)*0.5),-2)</f>
        <v>0</v>
      </c>
      <c r="Y346">
        <f>IF(R346&gt;0,SUM(S346:T346),SUM(S346:U346)+W346)</f>
        <v>0</v>
      </c>
      <c r="AC346">
        <f>Y346*0.1</f>
        <v>0</v>
      </c>
      <c r="AE346">
        <f>Y346-AC346</f>
        <v>0</v>
      </c>
      <c r="AH346">
        <f>AE346-Q346-AF346-T346</f>
        <v>0</v>
      </c>
      <c r="AI346" t="e">
        <f>AG346/X346</f>
        <v>#DIV/0!</v>
      </c>
      <c r="AJ346" t="e">
        <f>AH346/Y346</f>
        <v>#DIV/0!</v>
      </c>
    </row>
    <row r="347">
      <c r="F347" t="str">
        <v>White / Grey / PL</v>
      </c>
      <c r="G347" t="str">
        <f>HYPERLINK("https://www.amazon.com/Keychron-Wireless-Mechanical-Keyboard-Bluetooth/dp/B07QCP1M8F?ref_=ast_sto_dp","A")</f>
        <v>A</v>
      </c>
      <c r="J347">
        <v>80</v>
      </c>
      <c r="K347">
        <v>2.2</v>
      </c>
      <c r="L347">
        <f>IF(K347&gt;0,K347*16,)</f>
        <v>35.2</v>
      </c>
      <c r="M347">
        <f>IF(K347&gt;0,K347*0.453592,IF(L347&gt;0,L347*0.02835,))</f>
        <v>0.9979024000000001</v>
      </c>
      <c r="N347">
        <v>0</v>
      </c>
      <c r="O347">
        <v>0</v>
      </c>
      <c r="P347">
        <f>J347+O347+N347</f>
        <v>80</v>
      </c>
      <c r="Q347">
        <f>P347*C$3</f>
        <v>100000</v>
      </c>
      <c r="R347">
        <v>0</v>
      </c>
      <c r="S347">
        <f>ROUND(SUM(Q347:R347), -2)</f>
        <v>100000</v>
      </c>
      <c r="T347">
        <f>ROUNDUP(HLOOKUP(ROUNDUP(K347,0),'배송비 조회'!A$10:U$22,7,0)*C$3,-2)</f>
        <v>13400</v>
      </c>
      <c r="U347">
        <v>0</v>
      </c>
      <c r="V347">
        <f>ROUND(IF(R347&gt;0,0,(S347+T347)*0.3),-2)</f>
        <v>34000</v>
      </c>
      <c r="W347">
        <f>ROUND(IF(R347&gt;0,0,(S347+T347)*0.5),-2)</f>
        <v>56700</v>
      </c>
      <c r="X347">
        <f>IF(R347&gt;0,SUM(S347:T347),SUM(S347:V347))</f>
        <v>147400</v>
      </c>
      <c r="Y347">
        <f>IF(R347&gt;0,SUM(S347:T347),SUM(S347:U347)+W347)</f>
        <v>170100</v>
      </c>
      <c r="Z347">
        <v>0</v>
      </c>
      <c r="AA347">
        <f>X347*0.038</f>
        <v>5601.2</v>
      </c>
      <c r="AB347">
        <f>X347*0.02</f>
        <v>2948</v>
      </c>
      <c r="AC347">
        <f>Y347*0.1</f>
        <v>17010</v>
      </c>
      <c r="AD347">
        <f>X347-AA347-AB347</f>
        <v>138850.8</v>
      </c>
      <c r="AE347">
        <f>Y347-AC347</f>
        <v>153090</v>
      </c>
      <c r="AF347">
        <f>AD347*0.01</f>
        <v>1388.5079999999998</v>
      </c>
      <c r="AG347">
        <f>AD347-Q347-AF347-T347</f>
        <v>24062.291999999987</v>
      </c>
      <c r="AH347">
        <f>AE347-Q347-AF347-T347</f>
        <v>38301.492</v>
      </c>
      <c r="AI347">
        <f>AG347/X347</f>
        <v>0.16324485753052909</v>
      </c>
      <c r="AJ347">
        <f>AH347/Y347</f>
        <v>0.22517044091710758</v>
      </c>
    </row>
    <row r="348">
      <c r="F348" t="str">
        <v>White / Black / PL</v>
      </c>
      <c r="W348">
        <f>ROUND(IF(R348&gt;0,0,(S348+T348)*0.5),-2)</f>
        <v>0</v>
      </c>
      <c r="Y348">
        <f>IF(R348&gt;0,SUM(S348:T348),SUM(S348:U348)+W348)</f>
        <v>0</v>
      </c>
      <c r="AC348">
        <f>Y348*0.1</f>
        <v>0</v>
      </c>
      <c r="AE348">
        <f>Y348-AC348</f>
        <v>0</v>
      </c>
      <c r="AH348">
        <f>AE348-Q348-AF348-T348</f>
        <v>0</v>
      </c>
      <c r="AI348" t="e">
        <f>AG348/X348</f>
        <v>#DIV/0!</v>
      </c>
      <c r="AJ348" t="e">
        <f>AH348/Y348</f>
        <v>#DIV/0!</v>
      </c>
    </row>
    <row r="349">
      <c r="A349">
        <f>HYPERLINK("https://smartstore.naver.com/brickstore2019/products/4688703934",AW:AW)</f>
        <v>4688703934</v>
      </c>
      <c r="C349" t="str">
        <v>키크론 K2 무선 기계식 키보드 게이트론 레드 스위치 적축 텐키리스 Keychron K2</v>
      </c>
      <c r="E349" t="str">
        <v>Keychron K2 Wireless Bluetooth/USB Wired TKL Mechanical Keyboard, 84 Keys RGB LED Backlit Red Switch N-Key Rollover, Aluminum Frame for Gaming and Typing</v>
      </c>
      <c r="F349" t="str">
        <v>RGB / Grey / AL</v>
      </c>
      <c r="G349" t="str">
        <f>HYPERLINK("https://www.amazon.com/Keychron-Wireless-Bluetooth-Mechanical-Keyboard/dp/B07WDBLPMS/ref=sr_1_3?crid=36WUWJ4C4G2AB&amp;keywords=keychron+k2&amp;qid=1571740162&amp;sprefix=keychron%2Caps%2C370&amp;sr=8-3","A")</f>
        <v>A</v>
      </c>
      <c r="J349">
        <v>100</v>
      </c>
      <c r="K349">
        <v>2.5</v>
      </c>
      <c r="L349">
        <f>IF(K349&gt;0,K349*16,)</f>
        <v>40</v>
      </c>
      <c r="M349">
        <f>IF(K349&gt;0,K349*0.453592,IF(L349&gt;0,L349*0.02835,))</f>
        <v>1.13398</v>
      </c>
      <c r="N349">
        <v>0</v>
      </c>
      <c r="O349">
        <v>0</v>
      </c>
      <c r="P349">
        <f>J349+O349+N349</f>
        <v>100</v>
      </c>
      <c r="Q349">
        <f>P349*C$3</f>
        <v>125000</v>
      </c>
      <c r="R349">
        <v>0</v>
      </c>
      <c r="S349">
        <f>ROUND(SUM(Q349:R349), -2)</f>
        <v>125000</v>
      </c>
      <c r="T349">
        <f>ROUNDUP(HLOOKUP(ROUNDUP(K349,0),'배송비 조회'!A$10:U$22,7,0)*C$3,-2)</f>
        <v>13400</v>
      </c>
      <c r="U349">
        <v>0</v>
      </c>
      <c r="V349">
        <f>ROUND(IF(R349&gt;0,0,(S349+T349)*0.3),-2)</f>
        <v>41500</v>
      </c>
      <c r="W349">
        <f>ROUND(IF(R349&gt;0,0,(S349+T349)*0.5),-2)</f>
        <v>69200</v>
      </c>
      <c r="X349">
        <f>IF(R349&gt;0,SUM(S349:T349),SUM(S349:V349))</f>
        <v>179900</v>
      </c>
      <c r="Y349">
        <f>IF(R349&gt;0,SUM(S349:T349),SUM(S349:U349)+W349)</f>
        <v>207600</v>
      </c>
      <c r="Z349">
        <v>0</v>
      </c>
      <c r="AA349">
        <f>X349*0.038</f>
        <v>6836.2</v>
      </c>
      <c r="AB349">
        <f>X349*0.02</f>
        <v>3598</v>
      </c>
      <c r="AC349">
        <f>Y349*0.1</f>
        <v>20760</v>
      </c>
      <c r="AD349">
        <f>X349-AA349-AB349</f>
        <v>169465.8</v>
      </c>
      <c r="AE349">
        <f>Y349-AC349</f>
        <v>186840</v>
      </c>
      <c r="AF349">
        <f>AD349*0.01</f>
        <v>1694.658</v>
      </c>
      <c r="AG349">
        <f>AD349-Q349-AF349-T349</f>
        <v>29371.141999999985</v>
      </c>
      <c r="AH349">
        <f>AE349-Q349-AF349-T349</f>
        <v>46745.342</v>
      </c>
      <c r="AI349">
        <f>AG349/X349</f>
        <v>0.16326371317398547</v>
      </c>
      <c r="AJ349">
        <f>AH349/Y349</f>
        <v>0.2251702408477842</v>
      </c>
      <c r="AW349">
        <v>4688703934</v>
      </c>
    </row>
    <row r="350">
      <c r="F350" t="str">
        <v>RGB / Black / AL</v>
      </c>
      <c r="G350" t="str">
        <f>HYPERLINK("https://www.amazon.com/Keychron-Wireless-Bluetooth-Mechanical-Keyboard/dp/B07YXP27Y3/ref=sr_1_3?crid=36WUWJ4C4G2AB&amp;keywords=keychron%2Bk2&amp;qid=1571740162&amp;sprefix=keychron%2Caps%2C370&amp;sr=8-3&amp;th=1","A")</f>
        <v>A</v>
      </c>
      <c r="J350">
        <v>100</v>
      </c>
      <c r="K350">
        <v>2.5</v>
      </c>
      <c r="L350">
        <f>IF(K350&gt;0,K350*16,)</f>
        <v>40</v>
      </c>
      <c r="M350">
        <f>IF(K350&gt;0,K350*0.453592,IF(L350&gt;0,L350*0.02835,))</f>
        <v>1.13398</v>
      </c>
      <c r="N350">
        <v>0</v>
      </c>
      <c r="O350">
        <v>0</v>
      </c>
      <c r="P350">
        <f>J350+O350+N350</f>
        <v>100</v>
      </c>
      <c r="Q350">
        <f>P350*C$3</f>
        <v>125000</v>
      </c>
      <c r="R350">
        <v>0</v>
      </c>
      <c r="S350">
        <f>ROUND(SUM(Q350:R350), -2)</f>
        <v>125000</v>
      </c>
      <c r="T350">
        <f>ROUNDUP(HLOOKUP(ROUNDUP(K350,0),'배송비 조회'!A$10:U$22,7,0)*C$3,-2)</f>
        <v>13400</v>
      </c>
      <c r="U350">
        <v>0</v>
      </c>
      <c r="V350">
        <f>ROUND(IF(R350&gt;0,0,(S350+T350)*0.3),-2)</f>
        <v>41500</v>
      </c>
      <c r="W350">
        <f>ROUND(IF(R350&gt;0,0,(S350+T350)*0.5),-2)</f>
        <v>69200</v>
      </c>
      <c r="X350">
        <f>IF(R350&gt;0,SUM(S350:T350),SUM(S350:V350))</f>
        <v>179900</v>
      </c>
      <c r="Y350">
        <f>IF(R350&gt;0,SUM(S350:T350),SUM(S350:U350)+W350)</f>
        <v>207600</v>
      </c>
      <c r="Z350">
        <v>0</v>
      </c>
      <c r="AA350">
        <f>X350*0.038</f>
        <v>6836.2</v>
      </c>
      <c r="AB350">
        <f>X350*0.02</f>
        <v>3598</v>
      </c>
      <c r="AC350">
        <f>Y350*0.1</f>
        <v>20760</v>
      </c>
      <c r="AD350">
        <f>X350-AA350-AB350</f>
        <v>169465.8</v>
      </c>
      <c r="AE350">
        <f>Y350-AC350</f>
        <v>186840</v>
      </c>
      <c r="AF350">
        <f>AD350*0.01</f>
        <v>1694.658</v>
      </c>
      <c r="AG350">
        <f>AD350-Q350-AF350-T350</f>
        <v>29371.141999999985</v>
      </c>
      <c r="AH350">
        <f>AE350-Q350-AF350-T350</f>
        <v>46745.342</v>
      </c>
      <c r="AI350">
        <f>AG350/X350</f>
        <v>0.16326371317398547</v>
      </c>
      <c r="AJ350">
        <f>AH350/Y350</f>
        <v>0.2251702408477842</v>
      </c>
    </row>
    <row r="351">
      <c r="F351" t="str">
        <v>RGB / Mix Grey / AL</v>
      </c>
      <c r="G351" t="str">
        <f>HYPERLINK("https://www.amazon.com/Keychron-Wireless-Bluetooth-Mechanical-Keyboard/dp/B07WDBLPMS?ref_=ast_sto_dp&amp;th=1","A")</f>
        <v>A</v>
      </c>
      <c r="J351">
        <v>100</v>
      </c>
      <c r="K351">
        <v>2.5</v>
      </c>
      <c r="L351">
        <f>IF(K351&gt;0,K351*16,)</f>
        <v>40</v>
      </c>
      <c r="M351">
        <f>IF(K351&gt;0,K351*0.453592,IF(L351&gt;0,L351*0.02835,))</f>
        <v>1.13398</v>
      </c>
      <c r="N351">
        <v>0</v>
      </c>
      <c r="O351">
        <v>0</v>
      </c>
      <c r="P351">
        <f>J351+O351+N351</f>
        <v>100</v>
      </c>
      <c r="Q351">
        <f>P351*C$3</f>
        <v>125000</v>
      </c>
      <c r="R351">
        <v>0</v>
      </c>
      <c r="S351">
        <f>ROUND(SUM(Q351:R351), -2)</f>
        <v>125000</v>
      </c>
      <c r="T351">
        <f>ROUNDUP(HLOOKUP(ROUNDUP(K351,0),'배송비 조회'!A$10:U$22,7,0)*C$3,-2)</f>
        <v>13400</v>
      </c>
      <c r="U351">
        <v>0</v>
      </c>
      <c r="V351">
        <f>ROUND(IF(R351&gt;0,0,(S351+T351)*0.3),-2)</f>
        <v>41500</v>
      </c>
      <c r="W351">
        <f>ROUND(IF(R351&gt;0,0,(S351+T351)*0.5),-2)</f>
        <v>69200</v>
      </c>
      <c r="X351">
        <f>IF(R351&gt;0,SUM(S351:T351),SUM(S351:V351))</f>
        <v>179900</v>
      </c>
      <c r="Y351">
        <f>IF(R351&gt;0,SUM(S351:T351),SUM(S351:U351)+W351)</f>
        <v>207600</v>
      </c>
      <c r="Z351">
        <v>0</v>
      </c>
      <c r="AA351">
        <f>X351*0.038</f>
        <v>6836.2</v>
      </c>
      <c r="AB351">
        <f>X351*0.02</f>
        <v>3598</v>
      </c>
      <c r="AC351">
        <f>Y351*0.1</f>
        <v>20760</v>
      </c>
      <c r="AD351">
        <f>X351-AA351-AB351</f>
        <v>169465.8</v>
      </c>
      <c r="AE351">
        <f>Y351-AC351</f>
        <v>186840</v>
      </c>
      <c r="AF351">
        <f>AD351*0.01</f>
        <v>1694.658</v>
      </c>
      <c r="AG351">
        <f>AD351-Q351-AF351-T351</f>
        <v>29371.141999999985</v>
      </c>
      <c r="AH351">
        <f>AE351-Q351-AF351-T351</f>
        <v>46745.342</v>
      </c>
      <c r="AI351">
        <f>AG351/X351</f>
        <v>0.16326371317398547</v>
      </c>
      <c r="AJ351">
        <f>AH351/Y351</f>
        <v>0.2251702408477842</v>
      </c>
    </row>
    <row r="352">
      <c r="F352" t="str">
        <v>RGB / Pure Grey / AL</v>
      </c>
      <c r="G352" t="str">
        <f>HYPERLINK("https://www.amazon.com/Keychron-Wireless-Bluetooth-Mechanical-Keyboard/dp/B07YXP27Y3?ref_=ast_sto_dp&amp;th=1","A")</f>
        <v>A</v>
      </c>
      <c r="J352">
        <v>100</v>
      </c>
      <c r="K352">
        <v>2.5</v>
      </c>
      <c r="L352">
        <f>IF(K352&gt;0,K352*16,)</f>
        <v>40</v>
      </c>
      <c r="M352">
        <f>IF(K352&gt;0,K352*0.453592,IF(L352&gt;0,L352*0.02835,))</f>
        <v>1.13398</v>
      </c>
      <c r="N352">
        <v>0</v>
      </c>
      <c r="O352">
        <v>0</v>
      </c>
      <c r="P352">
        <f>J352+O352+N352</f>
        <v>100</v>
      </c>
      <c r="Q352">
        <f>P352*C$3</f>
        <v>125000</v>
      </c>
      <c r="R352">
        <v>0</v>
      </c>
      <c r="S352">
        <f>ROUND(SUM(Q352:R352), -2)</f>
        <v>125000</v>
      </c>
      <c r="T352">
        <f>ROUNDUP(HLOOKUP(ROUNDUP(K352,0),'배송비 조회'!A$10:U$22,7,0)*C$3,-2)</f>
        <v>13400</v>
      </c>
      <c r="U352">
        <v>0</v>
      </c>
      <c r="V352">
        <f>ROUND(IF(R352&gt;0,0,(S352+T352)*0.3),-2)</f>
        <v>41500</v>
      </c>
      <c r="W352">
        <f>ROUND(IF(R352&gt;0,0,(S352+T352)*0.5),-2)</f>
        <v>69200</v>
      </c>
      <c r="X352">
        <f>IF(R352&gt;0,SUM(S352:T352),SUM(S352:V352))</f>
        <v>179900</v>
      </c>
      <c r="Y352">
        <f>IF(R352&gt;0,SUM(S352:T352),SUM(S352:U352)+W352)</f>
        <v>207600</v>
      </c>
      <c r="Z352">
        <v>0</v>
      </c>
      <c r="AA352">
        <f>X352*0.038</f>
        <v>6836.2</v>
      </c>
      <c r="AB352">
        <f>X352*0.02</f>
        <v>3598</v>
      </c>
      <c r="AC352">
        <f>Y352*0.1</f>
        <v>20760</v>
      </c>
      <c r="AD352">
        <f>X352-AA352-AB352</f>
        <v>169465.8</v>
      </c>
      <c r="AE352">
        <f>Y352-AC352</f>
        <v>186840</v>
      </c>
      <c r="AF352">
        <f>AD352*0.01</f>
        <v>1694.658</v>
      </c>
      <c r="AG352">
        <f>AD352-Q352-AF352-T352</f>
        <v>29371.141999999985</v>
      </c>
      <c r="AH352">
        <f>AE352-Q352-AF352-T352</f>
        <v>46745.342</v>
      </c>
      <c r="AI352">
        <f>AG352/X352</f>
        <v>0.16326371317398547</v>
      </c>
      <c r="AJ352">
        <f>AH352/Y352</f>
        <v>0.2251702408477842</v>
      </c>
      <c r="AK352">
        <f>X352-X353</f>
        <v>16200</v>
      </c>
    </row>
    <row r="353">
      <c r="F353" t="str">
        <v>RGB / Grey / PL</v>
      </c>
      <c r="G353" t="str">
        <f>HYPERLINK("https://www.amazon.com/Keychron-Wireless-Mechanical-Keyboard-Bluetooth/dp/B07QBPCW4J?ref_=ast_sto_dp&amp;th=1","A")</f>
        <v>A</v>
      </c>
      <c r="J353">
        <v>90</v>
      </c>
      <c r="K353">
        <v>2.5</v>
      </c>
      <c r="L353">
        <f>IF(K353&gt;0,K353*16,)</f>
        <v>40</v>
      </c>
      <c r="M353">
        <f>IF(K353&gt;0,K353*0.453592,IF(L353&gt;0,L353*0.02835,))</f>
        <v>1.13398</v>
      </c>
      <c r="N353">
        <v>0</v>
      </c>
      <c r="O353">
        <v>0</v>
      </c>
      <c r="P353">
        <f>J353+O353+N353</f>
        <v>90</v>
      </c>
      <c r="Q353">
        <f>P353*C$3</f>
        <v>112500</v>
      </c>
      <c r="R353">
        <v>0</v>
      </c>
      <c r="S353">
        <f>ROUND(SUM(Q353:R353), -2)</f>
        <v>112500</v>
      </c>
      <c r="T353">
        <f>ROUNDUP(HLOOKUP(ROUNDUP(K353,0),'배송비 조회'!A$10:U$22,7,0)*C$3,-2)</f>
        <v>13400</v>
      </c>
      <c r="U353">
        <v>0</v>
      </c>
      <c r="V353">
        <f>ROUND(IF(R353&gt;0,0,(S353+T353)*0.3),-2)</f>
        <v>37800</v>
      </c>
      <c r="W353">
        <f>ROUND(IF(R353&gt;0,0,(S353+T353)*0.5),-2)</f>
        <v>63000</v>
      </c>
      <c r="X353">
        <f>IF(R353&gt;0,SUM(S353:T353),SUM(S353:V353))</f>
        <v>163700</v>
      </c>
      <c r="Y353">
        <f>IF(R353&gt;0,SUM(S353:T353),SUM(S353:U353)+W353)</f>
        <v>188900</v>
      </c>
      <c r="Z353">
        <v>0</v>
      </c>
      <c r="AA353">
        <f>X353*0.038</f>
        <v>6220.599999999999</v>
      </c>
      <c r="AB353">
        <f>X353*0.02</f>
        <v>3274</v>
      </c>
      <c r="AC353">
        <f>Y353*0.1</f>
        <v>18890</v>
      </c>
      <c r="AD353">
        <f>X353-AA353-AB353</f>
        <v>154205.4</v>
      </c>
      <c r="AE353">
        <f>Y353-AC353</f>
        <v>170010</v>
      </c>
      <c r="AF353">
        <f>AD353*0.01</f>
        <v>1542.054</v>
      </c>
      <c r="AG353">
        <f>AD353-Q353-AF353-T353</f>
        <v>26763.34599999999</v>
      </c>
      <c r="AH353">
        <f>AE353-Q353-AF353-T353</f>
        <v>42567.945999999996</v>
      </c>
      <c r="AI353">
        <f>AG353/X353</f>
        <v>0.16349020158827116</v>
      </c>
      <c r="AJ353">
        <f>AH353/Y353</f>
        <v>0.22534645844362095</v>
      </c>
    </row>
    <row r="354">
      <c r="F354" t="str">
        <v>RGB / Black / PL</v>
      </c>
      <c r="W354">
        <f>ROUND(IF(R354&gt;0,0,(S354+T354)*0.5),-2)</f>
        <v>0</v>
      </c>
      <c r="Y354">
        <f>IF(R354&gt;0,SUM(S354:T354),SUM(S354:U354)+W354)</f>
        <v>0</v>
      </c>
      <c r="AC354">
        <f>Y354*0.1</f>
        <v>0</v>
      </c>
      <c r="AE354">
        <f>Y354-AC354</f>
        <v>0</v>
      </c>
      <c r="AH354">
        <f>AE354-Q354-AF354-T354</f>
        <v>0</v>
      </c>
      <c r="AI354" t="e">
        <f>AG354/X354</f>
        <v>#DIV/0!</v>
      </c>
      <c r="AJ354" t="e">
        <f>AH354/Y354</f>
        <v>#DIV/0!</v>
      </c>
    </row>
    <row r="355">
      <c r="F355" t="str">
        <v>White / Grey / AL</v>
      </c>
      <c r="W355">
        <f>ROUND(IF(R355&gt;0,0,(S355+T355)*0.5),-2)</f>
        <v>0</v>
      </c>
      <c r="Y355">
        <f>IF(R355&gt;0,SUM(S355:T355),SUM(S355:U355)+W355)</f>
        <v>0</v>
      </c>
      <c r="AC355">
        <f>Y355*0.1</f>
        <v>0</v>
      </c>
      <c r="AE355">
        <f>Y355-AC355</f>
        <v>0</v>
      </c>
      <c r="AH355">
        <f>AE355-Q355-AF355-T355</f>
        <v>0</v>
      </c>
      <c r="AI355" t="e">
        <f>AG355/X355</f>
        <v>#DIV/0!</v>
      </c>
      <c r="AJ355" t="e">
        <f>AH355/Y355</f>
        <v>#DIV/0!</v>
      </c>
    </row>
    <row r="356">
      <c r="F356" t="str">
        <v>White / Black / AL</v>
      </c>
      <c r="W356">
        <f>ROUND(IF(R356&gt;0,0,(S356+T356)*0.5),-2)</f>
        <v>0</v>
      </c>
      <c r="Y356">
        <f>IF(R356&gt;0,SUM(S356:T356),SUM(S356:U356)+W356)</f>
        <v>0</v>
      </c>
      <c r="AC356">
        <f>Y356*0.1</f>
        <v>0</v>
      </c>
      <c r="AE356">
        <f>Y356-AC356</f>
        <v>0</v>
      </c>
      <c r="AH356">
        <f>AE356-Q356-AF356-T356</f>
        <v>0</v>
      </c>
      <c r="AI356" t="e">
        <f>AG356/X356</f>
        <v>#DIV/0!</v>
      </c>
      <c r="AJ356" t="e">
        <f>AH356/Y356</f>
        <v>#DIV/0!</v>
      </c>
    </row>
    <row r="357">
      <c r="F357" t="str">
        <v>White / Grey / PL</v>
      </c>
      <c r="W357">
        <f>ROUND(IF(R357&gt;0,0,(S357+T357)*0.5),-2)</f>
        <v>0</v>
      </c>
      <c r="Y357">
        <f>IF(R357&gt;0,SUM(S357:T357),SUM(S357:U357)+W357)</f>
        <v>0</v>
      </c>
      <c r="AC357">
        <f>Y357*0.1</f>
        <v>0</v>
      </c>
      <c r="AE357">
        <f>Y357-AC357</f>
        <v>0</v>
      </c>
      <c r="AH357">
        <f>AE357-Q357-AF357-T357</f>
        <v>0</v>
      </c>
      <c r="AI357" t="e">
        <f>AG357/X357</f>
        <v>#DIV/0!</v>
      </c>
      <c r="AJ357" t="e">
        <f>AH357/Y357</f>
        <v>#DIV/0!</v>
      </c>
    </row>
    <row r="358">
      <c r="F358" t="str">
        <v>White / Black / PL</v>
      </c>
      <c r="W358">
        <f>ROUND(IF(R358&gt;0,0,(S358+T358)*0.5),-2)</f>
        <v>0</v>
      </c>
      <c r="Y358">
        <f>IF(R358&gt;0,SUM(S358:T358),SUM(S358:U358)+W358)</f>
        <v>0</v>
      </c>
      <c r="AC358">
        <f>Y358*0.1</f>
        <v>0</v>
      </c>
      <c r="AE358">
        <f>Y358-AC358</f>
        <v>0</v>
      </c>
      <c r="AH358">
        <f>AE358-Q358-AF358-T358</f>
        <v>0</v>
      </c>
      <c r="AI358" t="e">
        <f>AG358/X358</f>
        <v>#DIV/0!</v>
      </c>
      <c r="AJ358" t="e">
        <f>AH358/Y358</f>
        <v>#DIV/0!</v>
      </c>
    </row>
    <row r="359">
      <c r="A359">
        <f>HYPERLINK("https://smartstore.naver.com/brickstore2019/products/4669411067",AW:AW)</f>
        <v>4669411067</v>
      </c>
      <c r="C359" t="str">
        <v>아카소 액션캠 4K 방수 AKASO EK7000</v>
      </c>
      <c r="E359" t="str">
        <v>AKASO EK7000 4K WiFi Sports Action Camera Ultra HD Waterproof DV Camcorder 12MP 170 Degree Wide Angle</v>
      </c>
      <c r="F359" t="str">
        <v>Black</v>
      </c>
      <c r="G359" t="str">
        <f>HYPERLINK("https://www.amazon.com/AKASO-EK7000-Sports-Waterproof-Camcorder/dp/B01HGM33HG/ref=zg_bs_photo_12?_encoding=UTF8&amp;refRID=83G3Y943RPVWFEXRZXJ0&amp;th=1","A")</f>
        <v>A</v>
      </c>
      <c r="J359">
        <v>65</v>
      </c>
      <c r="K359">
        <v>1.5</v>
      </c>
      <c r="L359">
        <f>IF(K359&gt;0,K359*16,)</f>
        <v>24</v>
      </c>
      <c r="M359">
        <f>IF(K359&gt;0,K359*0.453592,IF(L359&gt;0,L359*0.02835,))</f>
        <v>0.680388</v>
      </c>
      <c r="N359">
        <v>0</v>
      </c>
      <c r="O359">
        <v>0</v>
      </c>
      <c r="P359">
        <f>J359+O359+N359</f>
        <v>65</v>
      </c>
      <c r="Q359">
        <f>P359*C$3</f>
        <v>81250</v>
      </c>
      <c r="R359">
        <v>0</v>
      </c>
      <c r="S359">
        <f>ROUND(SUM(Q359:R359), -2)</f>
        <v>81300</v>
      </c>
      <c r="T359">
        <f>ROUNDUP(HLOOKUP(ROUNDUP(K359,0),'배송비 조회'!A$10:U$22,7,0)*C$3,-2)</f>
        <v>11200</v>
      </c>
      <c r="U359">
        <v>0</v>
      </c>
      <c r="V359">
        <f>ROUND(IF(R359&gt;0,0,(S359+T359)*0.3),-2)</f>
        <v>27800</v>
      </c>
      <c r="W359">
        <f>ROUND(IF(R359&gt;0,0,(S359+T359)*0.5),-2)</f>
        <v>46300</v>
      </c>
      <c r="X359">
        <f>IF(R359&gt;0,SUM(S359:T359),SUM(S359:V359))</f>
        <v>120300</v>
      </c>
      <c r="Y359">
        <f>IF(R359&gt;0,SUM(S359:T359),SUM(S359:U359)+W359)</f>
        <v>138800</v>
      </c>
      <c r="Z359">
        <v>0</v>
      </c>
      <c r="AA359">
        <f>X359*0.038</f>
        <v>4571.4</v>
      </c>
      <c r="AB359">
        <f>X359*0.02</f>
        <v>2406</v>
      </c>
      <c r="AC359">
        <f>Y359*0.1</f>
        <v>13880</v>
      </c>
      <c r="AD359">
        <f>X359-AA359-AB359</f>
        <v>113322.6</v>
      </c>
      <c r="AE359">
        <f>Y359-AC359</f>
        <v>124920</v>
      </c>
      <c r="AF359">
        <f>AD359*0.01</f>
        <v>1133.226</v>
      </c>
      <c r="AG359">
        <f>AD359-Q359-AF359-T359</f>
        <v>19739.374000000007</v>
      </c>
      <c r="AH359">
        <f>AE359-Q359-AF359-T359</f>
        <v>31336.773999999998</v>
      </c>
      <c r="AI359">
        <f>AG359/X359</f>
        <v>0.16408457190357445</v>
      </c>
      <c r="AJ359">
        <f>AH359/Y359</f>
        <v>0.22576926512968298</v>
      </c>
      <c r="AW359">
        <v>4669411067</v>
      </c>
    </row>
    <row r="360">
      <c r="F360" t="str">
        <v>Royal Blue</v>
      </c>
      <c r="G360" t="str">
        <f>HYPERLINK("https://www.amazon.com/AKASO-EK7000-Sports-Waterproof-Camcorder/dp/B01LMVIS18/ref=zg_bs_photo_12?_encoding=UTF8&amp;refRID=83G3Y943RPVWFEXRZXJ0&amp;th=1","A")</f>
        <v>A</v>
      </c>
      <c r="J360">
        <v>65</v>
      </c>
      <c r="K360">
        <v>1.5</v>
      </c>
      <c r="L360">
        <f>IF(K360&gt;0,K360*16,)</f>
        <v>24</v>
      </c>
      <c r="M360">
        <f>IF(K360&gt;0,K360*0.453592,IF(L360&gt;0,L360*0.02835,))</f>
        <v>0.680388</v>
      </c>
      <c r="N360">
        <v>0</v>
      </c>
      <c r="O360">
        <v>0</v>
      </c>
      <c r="P360">
        <f>J360+O360+N360</f>
        <v>65</v>
      </c>
      <c r="Q360">
        <f>P360*C$3</f>
        <v>81250</v>
      </c>
      <c r="R360">
        <v>0</v>
      </c>
      <c r="S360">
        <f>ROUND(SUM(Q360:R360), -2)</f>
        <v>81300</v>
      </c>
      <c r="T360">
        <f>ROUNDUP(HLOOKUP(ROUNDUP(K360,0),'배송비 조회'!A$10:U$22,7,0)*C$3,-2)</f>
        <v>11200</v>
      </c>
      <c r="U360">
        <v>0</v>
      </c>
      <c r="V360">
        <f>ROUND(IF(R360&gt;0,0,(S360+T360)*0.3),-2)</f>
        <v>27800</v>
      </c>
      <c r="W360">
        <f>ROUND(IF(R360&gt;0,0,(S360+T360)*0.5),-2)</f>
        <v>46300</v>
      </c>
      <c r="X360">
        <f>IF(R360&gt;0,SUM(S360:T360),SUM(S360:V360))</f>
        <v>120300</v>
      </c>
      <c r="Y360">
        <f>IF(R360&gt;0,SUM(S360:T360),SUM(S360:U360)+W360)</f>
        <v>138800</v>
      </c>
      <c r="Z360">
        <v>0</v>
      </c>
      <c r="AA360">
        <f>X360*0.038</f>
        <v>4571.4</v>
      </c>
      <c r="AB360">
        <f>X360*0.02</f>
        <v>2406</v>
      </c>
      <c r="AC360">
        <f>Y360*0.1</f>
        <v>13880</v>
      </c>
      <c r="AD360">
        <f>X360-AA360-AB360</f>
        <v>113322.6</v>
      </c>
      <c r="AE360">
        <f>Y360-AC360</f>
        <v>124920</v>
      </c>
      <c r="AF360">
        <f>AD360*0.01</f>
        <v>1133.226</v>
      </c>
      <c r="AG360">
        <f>AD360-Q360-AF360-T360</f>
        <v>19739.374000000007</v>
      </c>
      <c r="AH360">
        <f>AE360-Q360-AF360-T360</f>
        <v>31336.773999999998</v>
      </c>
      <c r="AI360">
        <f>AG360/X360</f>
        <v>0.16408457190357445</v>
      </c>
      <c r="AJ360">
        <f>AH360/Y360</f>
        <v>0.22576926512968298</v>
      </c>
    </row>
    <row r="361">
      <c r="F361" t="str">
        <v>Sage/Silver</v>
      </c>
      <c r="G361" t="str">
        <f>HYPERLINK("https://www.amazon.com/AKASO-EK7000-Sports-Waterproof-Camcorder/dp/B01LMVITSA/ref=zg_bs_photo_12?_encoding=UTF8&amp;refRID=83G3Y943RPVWFEXRZXJ0&amp;th=1","A")</f>
        <v>A</v>
      </c>
      <c r="J361">
        <v>65</v>
      </c>
      <c r="K361">
        <v>1.5</v>
      </c>
      <c r="L361">
        <f>IF(K361&gt;0,K361*16,)</f>
        <v>24</v>
      </c>
      <c r="M361">
        <f>IF(K361&gt;0,K361*0.453592,IF(L361&gt;0,L361*0.02835,))</f>
        <v>0.680388</v>
      </c>
      <c r="N361">
        <v>0</v>
      </c>
      <c r="O361">
        <v>0</v>
      </c>
      <c r="P361">
        <f>J361+O361+N361</f>
        <v>65</v>
      </c>
      <c r="Q361">
        <f>P361*C$3</f>
        <v>81250</v>
      </c>
      <c r="R361">
        <v>0</v>
      </c>
      <c r="S361">
        <f>ROUND(SUM(Q361:R361), -2)</f>
        <v>81300</v>
      </c>
      <c r="T361">
        <f>ROUNDUP(HLOOKUP(ROUNDUP(K361,0),'배송비 조회'!A$10:U$22,7,0)*C$3,-2)</f>
        <v>11200</v>
      </c>
      <c r="U361">
        <v>0</v>
      </c>
      <c r="V361">
        <f>ROUND(IF(R361&gt;0,0,(S361+T361)*0.3),-2)</f>
        <v>27800</v>
      </c>
      <c r="W361">
        <f>ROUND(IF(R361&gt;0,0,(S361+T361)*0.5),-2)</f>
        <v>46300</v>
      </c>
      <c r="X361">
        <f>IF(R361&gt;0,SUM(S361:T361),SUM(S361:V361))</f>
        <v>120300</v>
      </c>
      <c r="Y361">
        <f>IF(R361&gt;0,SUM(S361:T361),SUM(S361:U361)+W361)</f>
        <v>138800</v>
      </c>
      <c r="Z361">
        <v>0</v>
      </c>
      <c r="AA361">
        <f>X361*0.038</f>
        <v>4571.4</v>
      </c>
      <c r="AB361">
        <f>X361*0.02</f>
        <v>2406</v>
      </c>
      <c r="AC361">
        <f>Y361*0.1</f>
        <v>13880</v>
      </c>
      <c r="AD361">
        <f>X361-AA361-AB361</f>
        <v>113322.6</v>
      </c>
      <c r="AE361">
        <f>Y361-AC361</f>
        <v>124920</v>
      </c>
      <c r="AF361">
        <f>AD361*0.01</f>
        <v>1133.226</v>
      </c>
      <c r="AG361">
        <f>AD361-Q361-AF361-T361</f>
        <v>19739.374000000007</v>
      </c>
      <c r="AH361">
        <f>AE361-Q361-AF361-T361</f>
        <v>31336.773999999998</v>
      </c>
      <c r="AI361">
        <f>AG361/X361</f>
        <v>0.16408457190357445</v>
      </c>
      <c r="AJ361">
        <f>AH361/Y361</f>
        <v>0.22576926512968298</v>
      </c>
    </row>
    <row r="362">
      <c r="A362">
        <f>HYPERLINK("https://smartstore.naver.com/brickstore2019/products/4669462424",AW:AW)</f>
        <v>4669462424</v>
      </c>
      <c r="C362" t="str">
        <v>Astro C40 TR 아스트로 커스터마이징 플스4 조이스틱 (무료배송)</v>
      </c>
      <c r="E362" t="str">
        <v>ASTRO Gaming C40 TR Controller - PlayStation 4</v>
      </c>
      <c r="G362" t="str">
        <f>HYPERLINK("https://www.amazon.com/ASTRO-Gaming-C40-TR-Controller-PlayStation/dp/B07KF1FB1F/ref=sr_1_3?keywords=ASTRO+Gaming+C40+TR+Controller+-+PlayStation+4&amp;qid=1567684076&amp;s=gateway&amp;sr=8-3","A")</f>
        <v>A</v>
      </c>
      <c r="J362">
        <v>200</v>
      </c>
      <c r="K362">
        <f>IF(L362&gt;0,L362*0.0625,)</f>
        <v>0.68125</v>
      </c>
      <c r="L362">
        <v>10.9</v>
      </c>
      <c r="M362">
        <f>IF(K362&gt;0,K362*0.453592,IF(L362&gt;0,L362*0.02835,))</f>
        <v>0.30900955</v>
      </c>
      <c r="N362">
        <v>0</v>
      </c>
      <c r="O362">
        <v>0</v>
      </c>
      <c r="P362">
        <f>J362+O362+N362</f>
        <v>200</v>
      </c>
      <c r="Q362">
        <f>P362*C$3</f>
        <v>250000</v>
      </c>
      <c r="R362">
        <v>0</v>
      </c>
      <c r="S362">
        <f>ROUND(SUM(Q362:R362), -2)</f>
        <v>250000</v>
      </c>
      <c r="T362">
        <f>ROUNDUP(HLOOKUP(ROUNDUP(K362,0),'배송비 조회'!A$10:U$22,7,0)*C$3,-2)</f>
        <v>9000</v>
      </c>
      <c r="U362">
        <v>0</v>
      </c>
      <c r="V362">
        <f>ROUND(IF(R362&gt;0,0,(S362+T362)*0.3),-2)</f>
        <v>77700</v>
      </c>
      <c r="W362">
        <f>ROUND(IF(R362&gt;0,0,(S362+T362)*0.5),-2)</f>
        <v>129500</v>
      </c>
      <c r="X362">
        <f>IF(R362&gt;0,SUM(S362:T362),SUM(S362:V362))</f>
        <v>336700</v>
      </c>
      <c r="Y362">
        <f>IF(R362&gt;0,SUM(S362:T362),SUM(S362:U362)+W362)</f>
        <v>388500</v>
      </c>
      <c r="Z362">
        <v>0</v>
      </c>
      <c r="AA362">
        <f>X362*0.038</f>
        <v>12794.6</v>
      </c>
      <c r="AB362">
        <f>X362*0.02</f>
        <v>6734</v>
      </c>
      <c r="AC362">
        <f>Y362*0.1</f>
        <v>38850</v>
      </c>
      <c r="AD362">
        <f>X362-AA362-AB362</f>
        <v>317171.4</v>
      </c>
      <c r="AE362">
        <f>Y362-AC362</f>
        <v>349650</v>
      </c>
      <c r="AF362">
        <f>AD362*0.01</f>
        <v>3171.7140000000004</v>
      </c>
      <c r="AG362">
        <f>AD362-Q362-AF362-T362</f>
        <v>54999.68600000002</v>
      </c>
      <c r="AH362">
        <f>AE362-Q362-AF362-T362</f>
        <v>87478.286</v>
      </c>
      <c r="AI362">
        <f>AG362/X362</f>
        <v>0.16334923076923083</v>
      </c>
      <c r="AJ362">
        <f>AH362/Y362</f>
        <v>0.2251693333333333</v>
      </c>
      <c r="AW362">
        <v>4669462424</v>
      </c>
    </row>
    <row r="363">
      <c r="A363">
        <f>HYPERLINK("https://www.amazon.com/Casio-Classic-Quartz-Plastic-Casual/dp/B07BQXXNQY?pf_rd_p=620603ad-0491-422c-a6dc-22dac9d7dad1&amp;pd_rd_wg=53kcL&amp;pf_rd_r=3HRYZWX62BQB0K9TVMRH&amp;ref_=pd_gw_srecs_l2ra&amp;pd_rd_w=FYupk&amp;pd_rd_r=6ebfc9ca-99bb-42a4-b1e2-07c64f8a733b",AW:AW)</f>
        <v>4669483595</v>
      </c>
      <c r="C363" t="str">
        <v>카시오 빈티지 쿼츠 플라스틱 손목시계 CASIO F-91WM-3ACF (무료배송)</v>
      </c>
      <c r="E363" t="str">
        <v>Casio Men's 'Vintage' Quartz Plastic and Resin Casual Watch, Color:Black (Model: F-91WM-3ACF)</v>
      </c>
      <c r="G363" t="str">
        <f>HYPERLINK("https://www.amazon.com/Casio-Classic-Quartz-Plastic-Casual/dp/B07BQXXNQY?pf_rd_p=620603ad-0491-422c-a6dc-22dac9d7dad1&amp;pd_rd_wg=53kcL&amp;pf_rd_r=3HRYZWX62BQB0K9TVMRH&amp;ref_=pd_gw_srecs_l2ra&amp;pd_rd_w=FYupk&amp;pd_rd_r=6ebfc9ca-99bb-42a4-b1e2-07c64f8a733b","A")</f>
        <v>A</v>
      </c>
      <c r="J363">
        <v>16.29</v>
      </c>
      <c r="K363">
        <f>IF(L363&gt;0,L363*0.0625,)</f>
        <v>0.2</v>
      </c>
      <c r="L363">
        <v>3.2</v>
      </c>
      <c r="M363">
        <f>IF(K363&gt;0,K363*0.453592,IF(L363&gt;0,L363*0.02835,))</f>
        <v>0.0907184</v>
      </c>
      <c r="N363">
        <v>0</v>
      </c>
      <c r="O363">
        <v>0</v>
      </c>
      <c r="P363">
        <f>J363+O363+N363</f>
        <v>16.29</v>
      </c>
      <c r="Q363">
        <f>P363*C$3</f>
        <v>20362.5</v>
      </c>
      <c r="R363">
        <v>0</v>
      </c>
      <c r="S363">
        <f>ROUND(SUM(Q363:R363), -2)</f>
        <v>20400</v>
      </c>
      <c r="T363">
        <f>ROUNDUP(HLOOKUP(ROUNDUP(K363,0),'배송비 조회'!A$10:U$22,7,0)*C$3,-2)</f>
        <v>9000</v>
      </c>
      <c r="U363">
        <v>0</v>
      </c>
      <c r="V363">
        <f>ROUND(IF(R363&gt;0,0,(S363+T363)*0.5),-2)</f>
        <v>14700</v>
      </c>
      <c r="W363">
        <f>ROUND(IF(R363&gt;0,0,(S363+T363)*0.5),-2)</f>
        <v>14700</v>
      </c>
      <c r="X363">
        <f>IF(R363&gt;0,SUM(S363:T363),SUM(S363:V363))</f>
        <v>44100</v>
      </c>
      <c r="Y363">
        <f>IF(R363&gt;0,SUM(S363:T363),SUM(S363:U363)+W363)</f>
        <v>44100</v>
      </c>
      <c r="Z363">
        <v>0</v>
      </c>
      <c r="AA363">
        <f>X363*0.038</f>
        <v>1675.8</v>
      </c>
      <c r="AB363">
        <f>X363*0.02</f>
        <v>882</v>
      </c>
      <c r="AC363">
        <f>Y363*0.1</f>
        <v>4410</v>
      </c>
      <c r="AD363">
        <f>X363-AA363-AB363</f>
        <v>41542.2</v>
      </c>
      <c r="AE363">
        <f>Y363-AC363</f>
        <v>39690</v>
      </c>
      <c r="AF363">
        <f>AD363*0.01</f>
        <v>415.42199999999997</v>
      </c>
      <c r="AG363">
        <f>AD363-Q363-AF363-T363</f>
        <v>11764.277999999998</v>
      </c>
      <c r="AH363">
        <f>AE363-Q363-AF363-T363</f>
        <v>9912.078000000001</v>
      </c>
      <c r="AI363">
        <f>AG363/X363</f>
        <v>0.26676367346938773</v>
      </c>
      <c r="AJ363">
        <f>AH363/Y363</f>
        <v>0.22476367346938778</v>
      </c>
      <c r="AW363">
        <v>4669483595</v>
      </c>
    </row>
    <row r="364">
      <c r="A364">
        <f>HYPERLINK("https://smartstore.naver.com/brickstore2019/products/4671065533",AW:AW)</f>
        <v>4671065533</v>
      </c>
      <c r="C364" t="str">
        <v>휴대용 구강세정기 치간세정기 여행용 파우치 포함 AquaSonic Aqua Flosser</v>
      </c>
      <c r="E364" t="str">
        <v>AquaSonic Aqua Flosser - Professional Cordless Oral Irrigator with 4 Tips and Travel Bag, IPX7 Waterproof with 3 Modes</v>
      </c>
      <c r="G364" t="str">
        <f>HYPERLINK("https://www.amazon.com/dp/B01MTLEKNA/ref=cm_sw_r_cp_api_i_vJ4FDbG8WCVV9","A")</f>
        <v>A</v>
      </c>
      <c r="J364">
        <v>30</v>
      </c>
      <c r="K364">
        <v>1.1</v>
      </c>
      <c r="L364">
        <f>IF(K364&gt;0,K364*16,)</f>
        <v>17.6</v>
      </c>
      <c r="M364">
        <f>IF(K364&gt;0,K364*0.453592,IF(L364&gt;0,L364*0.02835,))</f>
        <v>0.49895120000000004</v>
      </c>
      <c r="N364">
        <v>0</v>
      </c>
      <c r="O364">
        <v>0</v>
      </c>
      <c r="P364">
        <f>J364+O364+N364</f>
        <v>30</v>
      </c>
      <c r="Q364">
        <f>P364*C$3</f>
        <v>37500</v>
      </c>
      <c r="R364">
        <v>0</v>
      </c>
      <c r="S364">
        <f>ROUND(SUM(Q364:R364), -2)</f>
        <v>37500</v>
      </c>
      <c r="T364">
        <f>ROUNDUP(HLOOKUP(ROUNDUP(K364,0),'배송비 조회'!A$10:U$22,7,0)*C$3,-2)</f>
        <v>11200</v>
      </c>
      <c r="U364">
        <v>0</v>
      </c>
      <c r="V364">
        <f>ROUND(IF(R364&gt;0,0,(S364+T364)*0.3),-2)</f>
        <v>14600</v>
      </c>
      <c r="W364">
        <f>ROUND(IF(R364&gt;0,0,(S364+T364)*0.5),-2)</f>
        <v>24400</v>
      </c>
      <c r="X364">
        <f>IF(R364&gt;0,SUM(S364:T364),SUM(S364:V364))</f>
        <v>63300</v>
      </c>
      <c r="Y364">
        <f>IF(R364&gt;0,SUM(S364:T364),SUM(S364:U364)+W364)</f>
        <v>73100</v>
      </c>
      <c r="Z364">
        <v>0</v>
      </c>
      <c r="AA364">
        <f>X364*0.038</f>
        <v>2405.4</v>
      </c>
      <c r="AB364">
        <f>X364*0.02</f>
        <v>1266</v>
      </c>
      <c r="AC364">
        <f>Y364*0.1</f>
        <v>7310</v>
      </c>
      <c r="AD364">
        <f>X364-AA364-AB364</f>
        <v>59628.6</v>
      </c>
      <c r="AE364">
        <f>Y364-AC364</f>
        <v>65790</v>
      </c>
      <c r="AF364">
        <f>AD364*0.01</f>
        <v>596.286</v>
      </c>
      <c r="AG364">
        <f>AD364-Q364-AF364-T364</f>
        <v>10332.313999999998</v>
      </c>
      <c r="AH364">
        <f>AE364-Q364-AF364-T364</f>
        <v>16493.714</v>
      </c>
      <c r="AI364">
        <f>AG364/X364</f>
        <v>0.16322770932069508</v>
      </c>
      <c r="AJ364">
        <f>AH364/Y364</f>
        <v>0.2256322024623803</v>
      </c>
      <c r="AW364">
        <v>4671065533</v>
      </c>
    </row>
    <row r="365">
      <c r="A365">
        <f>HYPERLINK("https://smartstore.naver.com/brickstore2019/products/4671210974",AW:AW)</f>
        <v>4671210974</v>
      </c>
      <c r="C365" t="str">
        <v>Plantronics 플랜트로닉스 무선 노이즈켄슬링 헤드폰 Backbeat Pro 2 (무료배송)</v>
      </c>
      <c r="E365" t="str">
        <v>Plantronics Wireless Noise Cancelling Backbeat - Headphones (Black &amp; Tan) (Pro 2)</v>
      </c>
      <c r="G365" t="str">
        <f>HYPERLINK("https://www.amazon.com/dp/B01MY4P9EZ/ref=cm_sw_r_other_apa_i_5dEFDbCG912R2","A")</f>
        <v>A</v>
      </c>
      <c r="J365">
        <v>135</v>
      </c>
      <c r="K365">
        <v>1.37</v>
      </c>
      <c r="L365">
        <f>IF(K365&gt;0,K365*16,)</f>
        <v>21.92</v>
      </c>
      <c r="M365">
        <f>IF(K365&gt;0,K365*0.453592,IF(L365&gt;0,L365*0.02835,))</f>
        <v>0.6214210400000001</v>
      </c>
      <c r="N365">
        <v>0</v>
      </c>
      <c r="O365">
        <v>0</v>
      </c>
      <c r="P365">
        <f>J365+O365+N365</f>
        <v>135</v>
      </c>
      <c r="Q365">
        <f>P365*C$3</f>
        <v>168750</v>
      </c>
      <c r="R365">
        <v>0</v>
      </c>
      <c r="S365">
        <f>ROUND(SUM(Q365:R365), -2)</f>
        <v>168800</v>
      </c>
      <c r="T365">
        <f>ROUNDUP(HLOOKUP(ROUNDUP(K365,0),'배송비 조회'!A$10:U$22,7,0)*C$3,-2)</f>
        <v>11200</v>
      </c>
      <c r="U365">
        <v>0</v>
      </c>
      <c r="V365">
        <f>ROUND(IF(R365&gt;0,0,(S365+T365)*0.3),-2)</f>
        <v>54000</v>
      </c>
      <c r="W365">
        <f>ROUND(IF(R365&gt;0,0,(S365+T365)*0.5),-2)</f>
        <v>90000</v>
      </c>
      <c r="X365">
        <f>IF(R365&gt;0,SUM(S365:T365),SUM(S365:V365))</f>
        <v>234000</v>
      </c>
      <c r="Y365">
        <f>IF(R365&gt;0,SUM(S365:T365),SUM(S365:U365)+W365)</f>
        <v>270000</v>
      </c>
      <c r="Z365">
        <v>0</v>
      </c>
      <c r="AA365">
        <f>X365*0.038</f>
        <v>8892</v>
      </c>
      <c r="AB365">
        <f>X365*0.02</f>
        <v>4680</v>
      </c>
      <c r="AC365">
        <f>Y365*0.1</f>
        <v>27000</v>
      </c>
      <c r="AD365">
        <f>X365-AA365-AB365</f>
        <v>220428</v>
      </c>
      <c r="AE365">
        <f>Y365-AC365</f>
        <v>243000</v>
      </c>
      <c r="AF365">
        <f>AD365*0.01</f>
        <v>2204.28</v>
      </c>
      <c r="AG365">
        <f>AD365-Q365-AF365-T365</f>
        <v>38273.72</v>
      </c>
      <c r="AH365">
        <f>AE365-Q365-AF365-T365</f>
        <v>60845.72</v>
      </c>
      <c r="AI365">
        <f>AG365/X365</f>
        <v>0.163562905982906</v>
      </c>
      <c r="AJ365">
        <f>AH365/Y365</f>
        <v>0.2253545185185185</v>
      </c>
      <c r="AW365">
        <v>4671210974</v>
      </c>
    </row>
    <row r="366">
      <c r="A366">
        <f>HYPERLINK("https://smartstore.naver.com/brickstore2019/products/4681024862",AW:AW)</f>
        <v>4681024862</v>
      </c>
      <c r="C366" t="str">
        <v>Iridesce SmartHalo2 스마트할로2 자전거 스마트 네비 도난방지 속도계</v>
      </c>
      <c r="E366" t="str">
        <v>Iridesce™ - Make Your Bike Smarter</v>
      </c>
      <c r="G366" t="str">
        <f>HYPERLINK("https://iridesce.shop/products/make-your-bike-smarter?variant=30248373616689","I")</f>
        <v>I</v>
      </c>
      <c r="J366">
        <v>39.78</v>
      </c>
      <c r="K366" t="str">
        <f>IF(L366&gt;0,L366*0.0625,)</f>
        <v>#REF!</v>
      </c>
      <c r="L366" t="str">
        <f>IF(K366&gt;0,K366*16,)</f>
        <v>#REF!</v>
      </c>
      <c r="M366" t="str">
        <f>IF(K366&gt;0,K366*0.453592,IF(L366&gt;0,L366*0.02835,))</f>
        <v>#REF!</v>
      </c>
      <c r="N366">
        <v>0</v>
      </c>
      <c r="O366">
        <v>0</v>
      </c>
      <c r="P366">
        <f>J366+O366+N366</f>
        <v>39.78</v>
      </c>
      <c r="Q366">
        <f>P366*C$3</f>
        <v>49725</v>
      </c>
      <c r="R366">
        <v>0</v>
      </c>
      <c r="S366">
        <f>ROUND(SUM(Q366:R366), -2)</f>
        <v>49700</v>
      </c>
      <c r="T366">
        <f>ROUNDUP(14.06*C3,-2)</f>
        <v>17600</v>
      </c>
      <c r="U366">
        <v>0</v>
      </c>
      <c r="V366">
        <f>ROUND(IF(R366&gt;0,0,(S366+T366)*0.3),-2)</f>
        <v>20200</v>
      </c>
      <c r="W366">
        <f>ROUND(IF(R366&gt;0,0,(S366+T366)*0.5),-2)</f>
        <v>33700</v>
      </c>
      <c r="X366">
        <f>IF(R366&gt;0,SUM(S366:T366),SUM(S366:V366))</f>
        <v>87500</v>
      </c>
      <c r="Y366">
        <f>IF(R366&gt;0,SUM(S366:T366),SUM(S366:U366)+W366)</f>
        <v>101000</v>
      </c>
      <c r="Z366">
        <v>0</v>
      </c>
      <c r="AA366">
        <f>X366*0.038</f>
        <v>3325</v>
      </c>
      <c r="AB366">
        <f>X366*0.02</f>
        <v>1750</v>
      </c>
      <c r="AC366">
        <f>Y366*0.1</f>
        <v>10100</v>
      </c>
      <c r="AD366">
        <f>X366-AA366-AB366</f>
        <v>82425</v>
      </c>
      <c r="AE366">
        <f>Y366-AC366</f>
        <v>90900</v>
      </c>
      <c r="AF366">
        <f>AD366*0.01</f>
        <v>824.25</v>
      </c>
      <c r="AG366">
        <f>AD366-Q366-AF366-T366</f>
        <v>14275.75</v>
      </c>
      <c r="AH366">
        <f>AE366-Q366-AF366-T366</f>
        <v>22750.75</v>
      </c>
      <c r="AI366">
        <f>AG366/X366</f>
        <v>0.16315142857142856</v>
      </c>
      <c r="AJ366">
        <f>AH366/Y366</f>
        <v>0.2252549504950495</v>
      </c>
      <c r="AW366">
        <v>4681024862</v>
      </c>
    </row>
    <row r="367">
      <c r="A367">
        <f>HYPERLINK("https://smartstore.naver.com/brickstore2019/products/4681034913",AW:AW)</f>
        <v>4681034913</v>
      </c>
      <c r="C367" t="str">
        <v>로지텍 무선 게이밍 마우스 Logitech G604</v>
      </c>
      <c r="E367" t="str">
        <v>Logitech G604 Lightspeed Wireless Gaming Mouse</v>
      </c>
      <c r="G367" t="str">
        <f>HYPERLINK("https://www.amazon.com/dp/B07QN369XX/ref=cm_sw_r_cp_apa_i_2A0IDbJ1QN4QP","A")</f>
        <v>A</v>
      </c>
      <c r="J367">
        <v>100</v>
      </c>
      <c r="K367">
        <f>IF(L367&gt;0,L367*0.0625,)</f>
        <v>0.56875</v>
      </c>
      <c r="L367">
        <v>9.1</v>
      </c>
      <c r="M367">
        <f>IF(K367&gt;0,K367*0.453592,IF(L367&gt;0,L367*0.02835,))</f>
        <v>0.25798045</v>
      </c>
      <c r="N367">
        <v>0</v>
      </c>
      <c r="O367">
        <v>0</v>
      </c>
      <c r="P367">
        <f>J367+O367+N367</f>
        <v>100</v>
      </c>
      <c r="Q367">
        <f>P367*C$3</f>
        <v>125000</v>
      </c>
      <c r="R367">
        <v>0</v>
      </c>
      <c r="S367">
        <f>ROUND(SUM(Q367:R367), -2)</f>
        <v>125000</v>
      </c>
      <c r="T367">
        <f>ROUNDUP(HLOOKUP(ROUNDUP(K367,0),'배송비 조회'!A$10:U$22,7,0)*C$3,-2)</f>
        <v>9000</v>
      </c>
      <c r="U367">
        <v>0</v>
      </c>
      <c r="V367">
        <f>ROUND(IF(R367&gt;0,0,(S367+T367)*0.3),-2)</f>
        <v>40200</v>
      </c>
      <c r="W367">
        <f>ROUND(IF(R367&gt;0,0,(S367+T367)*0.5),-2)</f>
        <v>67000</v>
      </c>
      <c r="X367">
        <f>IF(R367&gt;0,SUM(S367:T367),SUM(S367:V367))</f>
        <v>174200</v>
      </c>
      <c r="Y367">
        <f>IF(R367&gt;0,SUM(S367:T367),SUM(S367:U367)+W367)</f>
        <v>201000</v>
      </c>
      <c r="Z367">
        <v>0</v>
      </c>
      <c r="AA367">
        <f>X367*0.038</f>
        <v>6619.599999999999</v>
      </c>
      <c r="AB367">
        <f>X367*0.02</f>
        <v>3484</v>
      </c>
      <c r="AC367">
        <f>Y367*0.1</f>
        <v>20100</v>
      </c>
      <c r="AD367">
        <f>X367-AA367-AB367</f>
        <v>164096.4</v>
      </c>
      <c r="AE367">
        <f>Y367-AC367</f>
        <v>180900</v>
      </c>
      <c r="AF367">
        <f>AD367*0.01</f>
        <v>1640.964</v>
      </c>
      <c r="AG367">
        <f>AD367-Q367-AF367-T367</f>
        <v>28455.435999999994</v>
      </c>
      <c r="AH367">
        <f>AE367-Q367-AF367-T367</f>
        <v>45259.036</v>
      </c>
      <c r="AI367">
        <f>AG367/X367</f>
        <v>0.16334923076923075</v>
      </c>
      <c r="AJ367">
        <f>AH367/Y367</f>
        <v>0.22516933333333333</v>
      </c>
      <c r="AW367">
        <v>4681034913</v>
      </c>
    </row>
    <row r="368">
      <c r="A368">
        <f>HYPERLINK("https://smartstore.naver.com/brickstore2019/products/4682140716",AW:AW)</f>
        <v>4682140716</v>
      </c>
      <c r="C368" t="str">
        <v>샘소나이트 테크토닉2 라지 여행용 백팩 Samsonite tectonic2</v>
      </c>
      <c r="E368" t="str">
        <v>Samsonite Tectonic 2 Large Backpack, Black</v>
      </c>
      <c r="F368" t="str">
        <v>Black</v>
      </c>
      <c r="G368" t="str">
        <f>HYPERLINK("https://www.amazon.com/Samsonite-Tectonic-Large-Backpack-Black/dp/B00ZDFWDP2?ref_=ast_sto_dp","A")</f>
        <v>A</v>
      </c>
      <c r="J368">
        <v>65</v>
      </c>
      <c r="K368">
        <v>3.48</v>
      </c>
      <c r="L368">
        <f>IF(K368&gt;0,K368*16,)</f>
        <v>55.68</v>
      </c>
      <c r="M368">
        <f>IF(K368&gt;0,K368*0.453592,IF(L368&gt;0,L368*0.02835,))</f>
        <v>1.57850016</v>
      </c>
      <c r="N368">
        <v>0</v>
      </c>
      <c r="O368">
        <v>0</v>
      </c>
      <c r="P368">
        <f>J368+O368+N368</f>
        <v>65</v>
      </c>
      <c r="Q368">
        <f>P368*C$3</f>
        <v>81250</v>
      </c>
      <c r="R368">
        <v>0</v>
      </c>
      <c r="S368">
        <f>ROUND(SUM(Q368:R368), -2)</f>
        <v>81300</v>
      </c>
      <c r="T368">
        <f>ROUNDUP(HLOOKUP(ROUNDUP(K368,0),'배송비 조회'!A$10:U$22,7,0)*C$3,-2)</f>
        <v>15600</v>
      </c>
      <c r="U368">
        <v>0</v>
      </c>
      <c r="V368">
        <f>ROUND(IF(R368&gt;0,0,(S368+T368)*0.3),-2)</f>
        <v>29100</v>
      </c>
      <c r="W368">
        <f>ROUND(IF(R368&gt;0,0,(S368+T368)*0.5),-2)</f>
        <v>48500</v>
      </c>
      <c r="X368">
        <f>IF(R368&gt;0,SUM(S368:T368),SUM(S368:V368))</f>
        <v>126000</v>
      </c>
      <c r="Y368">
        <f>IF(R368&gt;0,SUM(S368:T368),SUM(S368:U368)+W368)</f>
        <v>145400</v>
      </c>
      <c r="Z368">
        <v>0</v>
      </c>
      <c r="AA368">
        <f>X368*0.038</f>
        <v>4788</v>
      </c>
      <c r="AB368">
        <f>X368*0.02</f>
        <v>2520</v>
      </c>
      <c r="AC368">
        <f>Y368*0.1</f>
        <v>14540</v>
      </c>
      <c r="AD368">
        <f>X368-AA368-AB368</f>
        <v>118692</v>
      </c>
      <c r="AE368">
        <f>Y368-AC368</f>
        <v>130860</v>
      </c>
      <c r="AF368">
        <f>AD368*0.01</f>
        <v>1186.92</v>
      </c>
      <c r="AG368">
        <f>AD368-Q368-AF368-T368</f>
        <v>20655.08</v>
      </c>
      <c r="AH368">
        <f>AE368-Q368-AF368-T368</f>
        <v>32823.08</v>
      </c>
      <c r="AI368">
        <f>AG368/X368</f>
        <v>0.16392920634920635</v>
      </c>
      <c r="AJ368">
        <f>AH368/Y368</f>
        <v>0.22574332874828063</v>
      </c>
      <c r="AK368">
        <f>X368-X369</f>
        <v>24500</v>
      </c>
      <c r="AW368">
        <v>4682140716</v>
      </c>
    </row>
    <row r="369">
      <c r="F369" t="str">
        <v>Black/Orange</v>
      </c>
      <c r="G369" t="str">
        <f>HYPERLINK("https://www.amazon.com/dp/B00ZDFVQ3C/ref=twister_B013BDLH4A?_encoding=UTF8&amp;th=1","A")</f>
        <v>A</v>
      </c>
      <c r="J369">
        <v>50</v>
      </c>
      <c r="K369">
        <v>3.48</v>
      </c>
      <c r="L369">
        <f>IF(K369&gt;0,K369*16,)</f>
        <v>55.68</v>
      </c>
      <c r="M369">
        <f>IF(K369&gt;0,K369*0.453592,IF(L369&gt;0,L369*0.02835,))</f>
        <v>1.57850016</v>
      </c>
      <c r="N369">
        <v>0</v>
      </c>
      <c r="O369">
        <v>0</v>
      </c>
      <c r="P369">
        <f>J369+O369+N369</f>
        <v>50</v>
      </c>
      <c r="Q369">
        <f>P369*C$3</f>
        <v>62500</v>
      </c>
      <c r="R369">
        <v>0</v>
      </c>
      <c r="S369">
        <f>ROUND(SUM(Q369:R369), -2)</f>
        <v>62500</v>
      </c>
      <c r="T369">
        <f>ROUNDUP(HLOOKUP(ROUNDUP(K369,0),'배송비 조회'!A$10:U$22,7,0)*C$3,-2)</f>
        <v>15600</v>
      </c>
      <c r="U369">
        <v>0</v>
      </c>
      <c r="V369">
        <f>ROUND(IF(R369&gt;0,0,(S369+T369)*0.3),-2)</f>
        <v>23400</v>
      </c>
      <c r="W369">
        <f>ROUND(IF(R369&gt;0,0,(S369+T369)*0.5),-2)</f>
        <v>39100</v>
      </c>
      <c r="X369">
        <f>IF(R369&gt;0,SUM(S369:T369),SUM(S369:V369))</f>
        <v>101500</v>
      </c>
      <c r="Y369">
        <f>IF(R369&gt;0,SUM(S369:T369),SUM(S369:U369)+W369)</f>
        <v>117200</v>
      </c>
      <c r="Z369">
        <v>0</v>
      </c>
      <c r="AA369">
        <f>X369*0.038</f>
        <v>3857</v>
      </c>
      <c r="AB369">
        <f>X369*0.02</f>
        <v>2030</v>
      </c>
      <c r="AC369">
        <f>Y369*0.1</f>
        <v>11720</v>
      </c>
      <c r="AD369">
        <f>X369-AA369-AB369</f>
        <v>95613</v>
      </c>
      <c r="AE369">
        <f>Y369-AC369</f>
        <v>105480</v>
      </c>
      <c r="AF369">
        <f>AD369*0.01</f>
        <v>956.13</v>
      </c>
      <c r="AG369">
        <f>AD369-Q369-AF369-T369</f>
        <v>16556.87</v>
      </c>
      <c r="AH369">
        <f>AE369-Q369-AF369-T369</f>
        <v>26423.870000000003</v>
      </c>
      <c r="AI369">
        <f>AG369/X369</f>
        <v>0.16312187192118224</v>
      </c>
      <c r="AJ369">
        <f>AH369/Y369</f>
        <v>0.22545964163822527</v>
      </c>
    </row>
    <row r="370">
      <c r="A370">
        <f>HYPERLINK("https://smartstore.naver.com/brickstore2019/products/4681055526",AW:AW)</f>
        <v>4681055526</v>
      </c>
      <c r="C370" t="str">
        <v>아마존 에코쇼 5 알렉사 스마트 홈 디스플레이 Echo Show 5</v>
      </c>
      <c r="E370" t="str">
        <v>Introducing Echo Show 5 – Compact smart display with Alexa - Charcoal</v>
      </c>
      <c r="F370" t="str">
        <v>Charcoal</v>
      </c>
      <c r="G370" t="str">
        <f>HYPERLINK("https://www.amazon.com/dp/B07HZLHPKP/ref=cm_sw_r_cp_apa_i_Ar0IDbHVKHM2Z","A")</f>
        <v>A</v>
      </c>
      <c r="J370">
        <v>90</v>
      </c>
      <c r="K370">
        <f>IF(L370&gt;0,L370*0.0625,)</f>
        <v>0.90625</v>
      </c>
      <c r="L370">
        <v>14.5</v>
      </c>
      <c r="M370">
        <f>IF(K370&gt;0,K370*0.453592,IF(L370&gt;0,L370*0.02835,))</f>
        <v>0.41106775</v>
      </c>
      <c r="N370">
        <v>0</v>
      </c>
      <c r="O370">
        <v>0</v>
      </c>
      <c r="P370">
        <f>J370+O370+N370</f>
        <v>90</v>
      </c>
      <c r="Q370">
        <f>P370*C$3</f>
        <v>112500</v>
      </c>
      <c r="R370">
        <v>0</v>
      </c>
      <c r="S370">
        <f>ROUND(SUM(Q370:R370), -2)</f>
        <v>112500</v>
      </c>
      <c r="T370">
        <f>ROUNDUP(HLOOKUP(ROUNDUP(K370,0),'배송비 조회'!A$10:U$22,7,0)*C$3,-2)</f>
        <v>9000</v>
      </c>
      <c r="U370">
        <v>0</v>
      </c>
      <c r="V370">
        <f>ROUND(IF(R370&gt;0,0,(S370+T370)*0.2),-2)</f>
        <v>24300</v>
      </c>
      <c r="W370">
        <f>ROUND(IF(R370&gt;0,0,(S370+T370)*0.5),-2)</f>
        <v>60800</v>
      </c>
      <c r="X370">
        <f>IF(R370&gt;0,SUM(S370:T370),SUM(S370:V370))</f>
        <v>145800</v>
      </c>
      <c r="Y370">
        <f>IF(R370&gt;0,SUM(S370:T370),SUM(S370:U370)+W370)</f>
        <v>182300</v>
      </c>
      <c r="Z370">
        <v>0</v>
      </c>
      <c r="AA370">
        <f>X370*0.038</f>
        <v>5540.4</v>
      </c>
      <c r="AB370">
        <f>X370*0.02</f>
        <v>2916</v>
      </c>
      <c r="AC370">
        <f>Y370*0.1</f>
        <v>18230</v>
      </c>
      <c r="AD370">
        <f>X370-AA370-AB370</f>
        <v>137343.6</v>
      </c>
      <c r="AE370">
        <f>Y370-AC370</f>
        <v>164070</v>
      </c>
      <c r="AF370">
        <f>AD370*0.01</f>
        <v>1373.4360000000001</v>
      </c>
      <c r="AG370">
        <f>AD370-Q370-AF370-T370</f>
        <v>14470.164000000004</v>
      </c>
      <c r="AH370">
        <f>AE370-Q370-AF370-T370</f>
        <v>41196.564</v>
      </c>
      <c r="AI370">
        <f>AG370/X370</f>
        <v>0.09924666666666669</v>
      </c>
      <c r="AJ370">
        <f>AH370/Y370</f>
        <v>0.22598224904004388</v>
      </c>
      <c r="AW370">
        <v>4681055526</v>
      </c>
    </row>
    <row r="371">
      <c r="F371" t="str">
        <v>Sandstone</v>
      </c>
      <c r="G371" t="str">
        <f>HYPERLINK("https://www.amazon.com/dp/B07HZJ64WD/ref=cm_sw_r_cp_apa_i_Ar0IDbHVKHM2Z?th=1","A")</f>
        <v>A</v>
      </c>
      <c r="J371">
        <v>90</v>
      </c>
      <c r="K371">
        <f>IF(L371&gt;0,L371*0.0625,)</f>
        <v>0.90625</v>
      </c>
      <c r="L371">
        <v>14.5</v>
      </c>
      <c r="M371">
        <f>IF(K371&gt;0,K371*0.453592,IF(L371&gt;0,L371*0.02835,))</f>
        <v>0.41106775</v>
      </c>
      <c r="N371">
        <v>0</v>
      </c>
      <c r="O371">
        <v>0</v>
      </c>
      <c r="P371">
        <f>J371+O371+N371</f>
        <v>90</v>
      </c>
      <c r="Q371">
        <f>P371*C$3</f>
        <v>112500</v>
      </c>
      <c r="R371">
        <v>0</v>
      </c>
      <c r="S371">
        <f>ROUND(SUM(Q371:R371), -2)</f>
        <v>112500</v>
      </c>
      <c r="T371">
        <f>ROUNDUP(HLOOKUP(ROUNDUP(K371,0),'배송비 조회'!A$10:U$22,7,0)*C$3,-2)</f>
        <v>9000</v>
      </c>
      <c r="U371">
        <v>0</v>
      </c>
      <c r="V371">
        <f>ROUND(IF(R371&gt;0,0,(S371+T371)*0.2),-2)</f>
        <v>24300</v>
      </c>
      <c r="W371">
        <f>ROUND(IF(R371&gt;0,0,(S371+T371)*0.5),-2)</f>
        <v>60800</v>
      </c>
      <c r="X371">
        <f>IF(R371&gt;0,SUM(S371:T371),SUM(S371:V371))</f>
        <v>145800</v>
      </c>
      <c r="Y371">
        <f>IF(R371&gt;0,SUM(S371:T371),SUM(S371:U371)+W371)</f>
        <v>182300</v>
      </c>
      <c r="Z371">
        <v>0</v>
      </c>
      <c r="AA371">
        <f>X371*0.038</f>
        <v>5540.4</v>
      </c>
      <c r="AB371">
        <f>X371*0.02</f>
        <v>2916</v>
      </c>
      <c r="AC371">
        <f>Y371*0.1</f>
        <v>18230</v>
      </c>
      <c r="AD371">
        <f>X371-AA371-AB371</f>
        <v>137343.6</v>
      </c>
      <c r="AE371">
        <f>Y371-AC371</f>
        <v>164070</v>
      </c>
      <c r="AF371">
        <f>AD371*0.01</f>
        <v>1373.4360000000001</v>
      </c>
      <c r="AG371">
        <f>AD371-Q371-AF371-T371</f>
        <v>14470.164000000004</v>
      </c>
      <c r="AH371">
        <f>AE371-Q371-AF371-T371</f>
        <v>41196.564</v>
      </c>
      <c r="AI371">
        <f>AG371/X371</f>
        <v>0.09924666666666669</v>
      </c>
      <c r="AJ371">
        <f>AH371/Y371</f>
        <v>0.22598224904004388</v>
      </c>
    </row>
    <row r="372">
      <c r="C372" t="str">
        <v>L 추가상품 : 전용스탠드</v>
      </c>
      <c r="E372" t="str">
        <v>Configuration: with Adjustable Stand</v>
      </c>
      <c r="G372" t="str">
        <f>HYPERLINK("https://www.amazon.com/dp/B07SW188FP/ref=cm_sw_r_cp_apa_i_Ar0IDbHVKHM2Z?th=1","A")</f>
        <v>A</v>
      </c>
      <c r="J372">
        <v>20</v>
      </c>
      <c r="K372">
        <f>IF(L372&gt;0,L372*0.0625,)</f>
        <v>0.90625</v>
      </c>
      <c r="L372">
        <v>14.5</v>
      </c>
      <c r="M372">
        <f>IF(K372&gt;0,K372*0.453592,IF(L372&gt;0,L372*0.02835,))</f>
        <v>0.41106775</v>
      </c>
      <c r="N372">
        <v>0</v>
      </c>
      <c r="O372">
        <v>0</v>
      </c>
      <c r="P372">
        <f>J372+O372+N372</f>
        <v>20</v>
      </c>
      <c r="Q372">
        <f>P372*C$3</f>
        <v>25000</v>
      </c>
      <c r="R372">
        <v>0</v>
      </c>
      <c r="S372">
        <f>ROUND(SUM(Q372:R372), -2)</f>
        <v>25000</v>
      </c>
      <c r="T372">
        <f>ROUNDUP(HLOOKUP(ROUNDUP(K372,0),'배송비 조회'!A$10:U$22,7,0)*C$3,-2)</f>
        <v>9000</v>
      </c>
      <c r="U372">
        <v>0</v>
      </c>
      <c r="V372">
        <f>ROUND(IF(R372&gt;0,0,(S372+T372)*0.3),-2)</f>
        <v>10200</v>
      </c>
      <c r="W372">
        <f>ROUND(IF(R372&gt;0,0,(S372+T372)*0.5),-2)</f>
        <v>17000</v>
      </c>
      <c r="X372">
        <f>IF(R372&gt;0,SUM(S372:T372),SUM(S372:V372))</f>
        <v>44200</v>
      </c>
      <c r="Y372">
        <f>IF(R372&gt;0,SUM(S372:T372),SUM(S372:U372)+W372)</f>
        <v>51000</v>
      </c>
      <c r="Z372">
        <v>0</v>
      </c>
      <c r="AA372">
        <f>X372*0.038</f>
        <v>1679.6</v>
      </c>
      <c r="AB372">
        <f>X372*0.02</f>
        <v>884</v>
      </c>
      <c r="AC372">
        <f>Y372*0.1</f>
        <v>5100</v>
      </c>
      <c r="AD372">
        <f>X372-AA372-AB372</f>
        <v>41636.4</v>
      </c>
      <c r="AE372">
        <f>Y372-AC372</f>
        <v>45900</v>
      </c>
      <c r="AF372">
        <f>AD372*0.01</f>
        <v>416.36400000000003</v>
      </c>
      <c r="AG372">
        <f>AD372-Q372-AF372-T372</f>
        <v>7220.036000000002</v>
      </c>
      <c r="AH372">
        <f>AE372-Q372-AF372-T372</f>
        <v>11483.635999999999</v>
      </c>
      <c r="AI372">
        <f>AG372/X372</f>
        <v>0.1633492307692308</v>
      </c>
      <c r="AJ372">
        <f>AH372/Y372</f>
        <v>0.2251693333333333</v>
      </c>
    </row>
    <row r="373">
      <c r="A373">
        <f>HYPERLINK("https://smartstore.naver.com/brickstore2019/products/4681073657",AW:AW)</f>
        <v>4681073657</v>
      </c>
      <c r="C373" t="str">
        <v>휴대용 돋보기 안경 Nooz Armless Reading Glasses (무료배송)</v>
      </c>
      <c r="E373" t="str">
        <v>Nooz - Armless Reading Glasses - Wherever you go - Rectangular 6 Colours 5 diopters</v>
      </c>
      <c r="F373" t="str">
        <v>Black</v>
      </c>
      <c r="G373" t="str">
        <v>A</v>
      </c>
      <c r="J373">
        <v>20</v>
      </c>
      <c r="K373">
        <f>IF(L373&gt;0,L373*0.0625,)</f>
        <v>0.04</v>
      </c>
      <c r="L373">
        <v>0.64</v>
      </c>
      <c r="M373">
        <f>IF(K373&gt;0,K373*0.453592,IF(L373&gt;0,L373*0.02835,))</f>
        <v>0.01814368</v>
      </c>
      <c r="N373">
        <v>0</v>
      </c>
      <c r="O373">
        <v>0</v>
      </c>
      <c r="P373">
        <f>J373+O373+N373</f>
        <v>20</v>
      </c>
      <c r="Q373">
        <f>P373*C$3</f>
        <v>25000</v>
      </c>
      <c r="R373">
        <v>0</v>
      </c>
      <c r="S373">
        <f>ROUND(SUM(Q373:R373), -2)</f>
        <v>25000</v>
      </c>
      <c r="T373">
        <f>ROUNDUP(HLOOKUP(ROUNDUP(K373,0),'배송비 조회'!A$10:U$22,7,0)*C$3,-2)</f>
        <v>9000</v>
      </c>
      <c r="U373">
        <v>0</v>
      </c>
      <c r="V373">
        <f>ROUND(IF(R373&gt;0,0,(S373+T373)*0.4),-2)</f>
        <v>13600</v>
      </c>
      <c r="W373">
        <f>ROUND(IF(R373&gt;0,0,(S373+T373)*0.5),-2)</f>
        <v>17000</v>
      </c>
      <c r="X373">
        <f>IF(R373&gt;0,SUM(S373:T373),SUM(S373:V373))</f>
        <v>47600</v>
      </c>
      <c r="Y373">
        <f>IF(R373&gt;0,SUM(S373:T373),SUM(S373:U373)+W373)</f>
        <v>51000</v>
      </c>
      <c r="Z373">
        <v>0</v>
      </c>
      <c r="AA373">
        <f>X373*0.038</f>
        <v>1808.8</v>
      </c>
      <c r="AB373">
        <f>X373*0.02</f>
        <v>952</v>
      </c>
      <c r="AC373">
        <f>Y373*0.1</f>
        <v>5100</v>
      </c>
      <c r="AD373">
        <f>X373-AA373-AB373</f>
        <v>44839.2</v>
      </c>
      <c r="AE373">
        <f>Y373-AC373</f>
        <v>45900</v>
      </c>
      <c r="AF373">
        <f>AD373*0.01</f>
        <v>448.392</v>
      </c>
      <c r="AG373">
        <f>AD373-Q373-AF373-T373</f>
        <v>10390.807999999997</v>
      </c>
      <c r="AH373">
        <f>AE373-Q373-AF373-T373</f>
        <v>11451.608</v>
      </c>
      <c r="AI373">
        <f>AG373/X373</f>
        <v>0.21829428571428566</v>
      </c>
      <c r="AJ373">
        <f>AH373/Y373</f>
        <v>0.22454133333333334</v>
      </c>
      <c r="AW373">
        <v>4681073657</v>
      </c>
    </row>
    <row r="374">
      <c r="F374" t="str">
        <v>Red</v>
      </c>
      <c r="G374" t="str">
        <v>A</v>
      </c>
      <c r="J374">
        <v>20</v>
      </c>
      <c r="K374">
        <f>IF(L374&gt;0,L374*0.0625,)</f>
        <v>0.04</v>
      </c>
      <c r="L374">
        <v>0.64</v>
      </c>
      <c r="M374">
        <f>IF(K374&gt;0,K374*0.453592,IF(L374&gt;0,L374*0.02835,))</f>
        <v>0.01814368</v>
      </c>
      <c r="N374">
        <v>0</v>
      </c>
      <c r="O374">
        <v>0</v>
      </c>
      <c r="P374">
        <f>J374+O374+N374</f>
        <v>20</v>
      </c>
      <c r="Q374">
        <f>P374*C$3</f>
        <v>25000</v>
      </c>
      <c r="R374">
        <v>0</v>
      </c>
      <c r="S374">
        <f>ROUND(SUM(Q374:R374), -2)</f>
        <v>25000</v>
      </c>
      <c r="T374">
        <f>ROUNDUP(HLOOKUP(ROUNDUP(K374,0),'배송비 조회'!A$10:U$22,7,0)*C$3,-2)</f>
        <v>9000</v>
      </c>
      <c r="U374">
        <v>0</v>
      </c>
      <c r="V374">
        <f>ROUND(IF(R374&gt;0,0,(S374+T374)*0.4),-2)</f>
        <v>13600</v>
      </c>
      <c r="W374">
        <f>ROUND(IF(R374&gt;0,0,(S374+T374)*0.5),-2)</f>
        <v>17000</v>
      </c>
      <c r="X374">
        <f>IF(R374&gt;0,SUM(S374:T374),SUM(S374:V374))</f>
        <v>47600</v>
      </c>
      <c r="Y374">
        <f>IF(R374&gt;0,SUM(S374:T374),SUM(S374:U374)+W374)</f>
        <v>51000</v>
      </c>
      <c r="Z374">
        <v>0</v>
      </c>
      <c r="AA374">
        <f>X374*0.038</f>
        <v>1808.8</v>
      </c>
      <c r="AB374">
        <f>X374*0.02</f>
        <v>952</v>
      </c>
      <c r="AC374">
        <f>Y374*0.1</f>
        <v>5100</v>
      </c>
      <c r="AD374">
        <f>X374-AA374-AB374</f>
        <v>44839.2</v>
      </c>
      <c r="AE374">
        <f>Y374-AC374</f>
        <v>45900</v>
      </c>
      <c r="AF374">
        <f>AD374*0.01</f>
        <v>448.392</v>
      </c>
      <c r="AG374">
        <f>AD374-Q374-AF374-T374</f>
        <v>10390.807999999997</v>
      </c>
      <c r="AH374">
        <f>AE374-Q374-AF374-T374</f>
        <v>11451.608</v>
      </c>
      <c r="AI374">
        <f>AG374/X374</f>
        <v>0.21829428571428566</v>
      </c>
      <c r="AJ374">
        <f>AH374/Y374</f>
        <v>0.22454133333333334</v>
      </c>
    </row>
    <row r="375">
      <c r="F375" t="str">
        <v>Silver</v>
      </c>
      <c r="G375" t="str">
        <v>A</v>
      </c>
      <c r="J375">
        <v>20</v>
      </c>
      <c r="K375">
        <f>IF(L375&gt;0,L375*0.0625,)</f>
        <v>0.04</v>
      </c>
      <c r="L375">
        <v>0.64</v>
      </c>
      <c r="M375">
        <f>IF(K375&gt;0,K375*0.453592,IF(L375&gt;0,L375*0.02835,))</f>
        <v>0.01814368</v>
      </c>
      <c r="N375">
        <v>0</v>
      </c>
      <c r="O375">
        <v>0</v>
      </c>
      <c r="P375">
        <f>J375+O375+N375</f>
        <v>20</v>
      </c>
      <c r="Q375">
        <f>P375*C$3</f>
        <v>25000</v>
      </c>
      <c r="R375">
        <v>0</v>
      </c>
      <c r="S375">
        <f>ROUND(SUM(Q375:R375), -2)</f>
        <v>25000</v>
      </c>
      <c r="T375">
        <f>ROUNDUP(HLOOKUP(ROUNDUP(K375,0),'배송비 조회'!A$10:U$22,7,0)*C$3,-2)</f>
        <v>9000</v>
      </c>
      <c r="U375">
        <v>0</v>
      </c>
      <c r="V375">
        <f>ROUND(IF(R375&gt;0,0,(S375+T375)*0.4),-2)</f>
        <v>13600</v>
      </c>
      <c r="W375">
        <f>ROUND(IF(R375&gt;0,0,(S375+T375)*0.5),-2)</f>
        <v>17000</v>
      </c>
      <c r="X375">
        <f>IF(R375&gt;0,SUM(S375:T375),SUM(S375:V375))</f>
        <v>47600</v>
      </c>
      <c r="Y375">
        <f>IF(R375&gt;0,SUM(S375:T375),SUM(S375:U375)+W375)</f>
        <v>51000</v>
      </c>
      <c r="Z375">
        <v>0</v>
      </c>
      <c r="AA375">
        <f>X375*0.038</f>
        <v>1808.8</v>
      </c>
      <c r="AB375">
        <f>X375*0.02</f>
        <v>952</v>
      </c>
      <c r="AC375">
        <f>Y375*0.1</f>
        <v>5100</v>
      </c>
      <c r="AD375">
        <f>X375-AA375-AB375</f>
        <v>44839.2</v>
      </c>
      <c r="AE375">
        <f>Y375-AC375</f>
        <v>45900</v>
      </c>
      <c r="AF375">
        <f>AD375*0.01</f>
        <v>448.392</v>
      </c>
      <c r="AG375">
        <f>AD375-Q375-AF375-T375</f>
        <v>10390.807999999997</v>
      </c>
      <c r="AH375">
        <f>AE375-Q375-AF375-T375</f>
        <v>11451.608</v>
      </c>
      <c r="AI375">
        <f>AG375/X375</f>
        <v>0.21829428571428566</v>
      </c>
      <c r="AJ375">
        <f>AH375/Y375</f>
        <v>0.22454133333333334</v>
      </c>
    </row>
    <row r="376">
      <c r="F376" t="str">
        <v>Navy Blue</v>
      </c>
      <c r="G376" t="str">
        <v>A</v>
      </c>
      <c r="J376">
        <v>20</v>
      </c>
      <c r="K376">
        <f>IF(L376&gt;0,L376*0.0625,)</f>
        <v>0.04</v>
      </c>
      <c r="L376">
        <v>0.64</v>
      </c>
      <c r="M376">
        <f>IF(K376&gt;0,K376*0.453592,IF(L376&gt;0,L376*0.02835,))</f>
        <v>0.01814368</v>
      </c>
      <c r="N376">
        <v>0</v>
      </c>
      <c r="O376">
        <v>0</v>
      </c>
      <c r="P376">
        <f>J376+O376+N376</f>
        <v>20</v>
      </c>
      <c r="Q376">
        <f>P376*C$3</f>
        <v>25000</v>
      </c>
      <c r="R376">
        <v>0</v>
      </c>
      <c r="S376">
        <f>ROUND(SUM(Q376:R376), -2)</f>
        <v>25000</v>
      </c>
      <c r="T376">
        <f>ROUNDUP(HLOOKUP(ROUNDUP(K376,0),'배송비 조회'!A$10:U$22,7,0)*C$3,-2)</f>
        <v>9000</v>
      </c>
      <c r="U376">
        <v>0</v>
      </c>
      <c r="V376">
        <f>ROUND(IF(R376&gt;0,0,(S376+T376)*0.4),-2)</f>
        <v>13600</v>
      </c>
      <c r="W376">
        <f>ROUND(IF(R376&gt;0,0,(S376+T376)*0.5),-2)</f>
        <v>17000</v>
      </c>
      <c r="X376">
        <f>IF(R376&gt;0,SUM(S376:T376),SUM(S376:V376))</f>
        <v>47600</v>
      </c>
      <c r="Y376">
        <f>IF(R376&gt;0,SUM(S376:T376),SUM(S376:U376)+W376)</f>
        <v>51000</v>
      </c>
      <c r="Z376">
        <v>0</v>
      </c>
      <c r="AA376">
        <f>X376*0.038</f>
        <v>1808.8</v>
      </c>
      <c r="AB376">
        <f>X376*0.02</f>
        <v>952</v>
      </c>
      <c r="AC376">
        <f>Y376*0.1</f>
        <v>5100</v>
      </c>
      <c r="AD376">
        <f>X376-AA376-AB376</f>
        <v>44839.2</v>
      </c>
      <c r="AE376">
        <f>Y376-AC376</f>
        <v>45900</v>
      </c>
      <c r="AF376">
        <f>AD376*0.01</f>
        <v>448.392</v>
      </c>
      <c r="AG376">
        <f>AD376-Q376-AF376-T376</f>
        <v>10390.807999999997</v>
      </c>
      <c r="AH376">
        <f>AE376-Q376-AF376-T376</f>
        <v>11451.608</v>
      </c>
      <c r="AI376">
        <f>AG376/X376</f>
        <v>0.21829428571428566</v>
      </c>
      <c r="AJ376">
        <f>AH376/Y376</f>
        <v>0.22454133333333334</v>
      </c>
    </row>
    <row r="377">
      <c r="F377" t="str">
        <v>Orange</v>
      </c>
      <c r="G377" t="str">
        <v>A</v>
      </c>
      <c r="J377">
        <v>20</v>
      </c>
      <c r="K377">
        <f>IF(L377&gt;0,L377*0.0625,)</f>
        <v>0.04</v>
      </c>
      <c r="L377">
        <v>0.64</v>
      </c>
      <c r="M377">
        <f>IF(K377&gt;0,K377*0.453592,IF(L377&gt;0,L377*0.02835,))</f>
        <v>0.01814368</v>
      </c>
      <c r="N377">
        <v>0</v>
      </c>
      <c r="O377">
        <v>0</v>
      </c>
      <c r="P377">
        <f>J377+O377+N377</f>
        <v>20</v>
      </c>
      <c r="Q377">
        <f>P377*C$3</f>
        <v>25000</v>
      </c>
      <c r="R377">
        <v>0</v>
      </c>
      <c r="S377">
        <f>ROUND(SUM(Q377:R377), -2)</f>
        <v>25000</v>
      </c>
      <c r="T377">
        <f>ROUNDUP(HLOOKUP(ROUNDUP(K377,0),'배송비 조회'!A$10:U$22,7,0)*C$3,-2)</f>
        <v>9000</v>
      </c>
      <c r="U377">
        <v>0</v>
      </c>
      <c r="V377">
        <f>ROUND(IF(R377&gt;0,0,(S377+T377)*0.4),-2)</f>
        <v>13600</v>
      </c>
      <c r="W377">
        <f>ROUND(IF(R377&gt;0,0,(S377+T377)*0.5),-2)</f>
        <v>17000</v>
      </c>
      <c r="X377">
        <f>IF(R377&gt;0,SUM(S377:T377),SUM(S377:V377))</f>
        <v>47600</v>
      </c>
      <c r="Y377">
        <f>IF(R377&gt;0,SUM(S377:T377),SUM(S377:U377)+W377)</f>
        <v>51000</v>
      </c>
      <c r="Z377">
        <v>0</v>
      </c>
      <c r="AA377">
        <f>X377*0.038</f>
        <v>1808.8</v>
      </c>
      <c r="AB377">
        <f>X377*0.02</f>
        <v>952</v>
      </c>
      <c r="AC377">
        <f>Y377*0.1</f>
        <v>5100</v>
      </c>
      <c r="AD377">
        <f>X377-AA377-AB377</f>
        <v>44839.2</v>
      </c>
      <c r="AE377">
        <f>Y377-AC377</f>
        <v>45900</v>
      </c>
      <c r="AF377">
        <f>AD377*0.01</f>
        <v>448.392</v>
      </c>
      <c r="AG377">
        <f>AD377-Q377-AF377-T377</f>
        <v>10390.807999999997</v>
      </c>
      <c r="AH377">
        <f>AE377-Q377-AF377-T377</f>
        <v>11451.608</v>
      </c>
      <c r="AI377">
        <f>AG377/X377</f>
        <v>0.21829428571428566</v>
      </c>
      <c r="AJ377">
        <f>AH377/Y377</f>
        <v>0.22454133333333334</v>
      </c>
    </row>
    <row r="378">
      <c r="F378" t="str">
        <v>Gray</v>
      </c>
      <c r="G378" t="str">
        <v>A</v>
      </c>
      <c r="J378">
        <v>20</v>
      </c>
      <c r="K378">
        <f>IF(L378&gt;0,L378*0.0625,)</f>
        <v>0.04</v>
      </c>
      <c r="L378">
        <v>0.64</v>
      </c>
      <c r="M378">
        <f>IF(K378&gt;0,K378*0.453592,IF(L378&gt;0,L378*0.02835,))</f>
        <v>0.01814368</v>
      </c>
      <c r="N378">
        <v>0</v>
      </c>
      <c r="O378">
        <v>0</v>
      </c>
      <c r="P378">
        <f>J378+O378+N378</f>
        <v>20</v>
      </c>
      <c r="Q378">
        <f>P378*C$3</f>
        <v>25000</v>
      </c>
      <c r="R378">
        <v>0</v>
      </c>
      <c r="S378">
        <f>ROUND(SUM(Q378:R378), -2)</f>
        <v>25000</v>
      </c>
      <c r="T378">
        <f>ROUNDUP(HLOOKUP(ROUNDUP(K378,0),'배송비 조회'!A$10:U$22,7,0)*C$3,-2)</f>
        <v>9000</v>
      </c>
      <c r="U378">
        <v>0</v>
      </c>
      <c r="V378">
        <f>ROUND(IF(R378&gt;0,0,(S378+T378)*0.4),-2)</f>
        <v>13600</v>
      </c>
      <c r="W378">
        <f>ROUND(IF(R378&gt;0,0,(S378+T378)*0.5),-2)</f>
        <v>17000</v>
      </c>
      <c r="X378">
        <f>IF(R378&gt;0,SUM(S378:T378),SUM(S378:V378))</f>
        <v>47600</v>
      </c>
      <c r="Y378">
        <f>IF(R378&gt;0,SUM(S378:T378),SUM(S378:U378)+W378)</f>
        <v>51000</v>
      </c>
      <c r="Z378">
        <v>0</v>
      </c>
      <c r="AA378">
        <f>X378*0.038</f>
        <v>1808.8</v>
      </c>
      <c r="AB378">
        <f>X378*0.02</f>
        <v>952</v>
      </c>
      <c r="AC378">
        <f>Y378*0.1</f>
        <v>5100</v>
      </c>
      <c r="AD378">
        <f>X378-AA378-AB378</f>
        <v>44839.2</v>
      </c>
      <c r="AE378">
        <f>Y378-AC378</f>
        <v>45900</v>
      </c>
      <c r="AF378">
        <f>AD378*0.01</f>
        <v>448.392</v>
      </c>
      <c r="AG378">
        <f>AD378-Q378-AF378-T378</f>
        <v>10390.807999999997</v>
      </c>
      <c r="AH378">
        <f>AE378-Q378-AF378-T378</f>
        <v>11451.608</v>
      </c>
      <c r="AI378">
        <f>AG378/X378</f>
        <v>0.21829428571428566</v>
      </c>
      <c r="AJ378">
        <f>AH378/Y378</f>
        <v>0.22454133333333334</v>
      </c>
    </row>
    <row r="379">
      <c r="A379">
        <f>HYPERLINK("https://smartstore.naver.com/brickstore2019/products/4682158333",AW:AW)</f>
        <v>4682158333</v>
      </c>
      <c r="C379" t="str">
        <v>Fitdom 테크닉 남성용 아웃도어 대용량 슬링백 크로스백</v>
      </c>
      <c r="E379" t="str">
        <v>Fitdom Tactical Sling Bag for Men. Made from Heavy Duty Nylon &amp; Built Tough for Outdoor. Also Use As EDC, Backpack, Fanny Waist Pack, Crossbody, Shoulder or Chest Bag for Travel Cycling</v>
      </c>
      <c r="G379" t="str">
        <f>HYPERLINK("https://www.amazon.com/dp/B07K8CZ5WT/ref=cm_sw_r_other_apa_i_ufdJDbVSR03BX","A")</f>
        <v>A</v>
      </c>
      <c r="J379">
        <v>30</v>
      </c>
      <c r="K379">
        <v>1.1</v>
      </c>
      <c r="L379">
        <v>14.4</v>
      </c>
      <c r="M379">
        <f>IF(K379&gt;0,K379*0.453592,IF(L379&gt;0,L379*0.02835,))</f>
        <v>0.49895120000000004</v>
      </c>
      <c r="N379">
        <v>0</v>
      </c>
      <c r="O379">
        <v>0</v>
      </c>
      <c r="P379">
        <f>J379+O379+N379</f>
        <v>30</v>
      </c>
      <c r="Q379">
        <f>P379*C$3</f>
        <v>37500</v>
      </c>
      <c r="R379">
        <v>0</v>
      </c>
      <c r="S379">
        <f>ROUND(SUM(Q379:R379), -2)</f>
        <v>37500</v>
      </c>
      <c r="T379">
        <f>ROUNDUP(HLOOKUP(ROUNDUP(K379,0),'배송비 조회'!A$10:U$22,7,0)*C$3,-2)</f>
        <v>11200</v>
      </c>
      <c r="U379">
        <v>0</v>
      </c>
      <c r="V379">
        <f>ROUND(IF(R379&gt;0,0,(S379+T379)*0.4),-2)</f>
        <v>19500</v>
      </c>
      <c r="W379">
        <f>ROUND(IF(R379&gt;0,0,(S379+T379)*0.5),-2)</f>
        <v>24400</v>
      </c>
      <c r="X379">
        <f>IF(R379&gt;0,SUM(S379:T379),SUM(S379:V379))</f>
        <v>68200</v>
      </c>
      <c r="Y379">
        <f>IF(R379&gt;0,SUM(S379:T379),SUM(S379:U379)+W379)</f>
        <v>73100</v>
      </c>
      <c r="Z379">
        <v>0</v>
      </c>
      <c r="AA379">
        <f>X379*0.038</f>
        <v>2591.6</v>
      </c>
      <c r="AB379">
        <f>X379*0.02</f>
        <v>1364</v>
      </c>
      <c r="AC379">
        <f>Y379*0.1</f>
        <v>7310</v>
      </c>
      <c r="AD379">
        <f>X379-AA379-AB379</f>
        <v>64244.399999999994</v>
      </c>
      <c r="AE379">
        <f>Y379-AC379</f>
        <v>65790</v>
      </c>
      <c r="AF379">
        <f>AD379*0.01</f>
        <v>642.444</v>
      </c>
      <c r="AG379">
        <f>AD379-Q379-AF379-T379</f>
        <v>14901.955999999995</v>
      </c>
      <c r="AH379">
        <f>AE379-Q379-AF379-T379</f>
        <v>16447.556</v>
      </c>
      <c r="AI379">
        <f>AG379/X379</f>
        <v>0.21850375366568908</v>
      </c>
      <c r="AJ379">
        <f>AH379/Y379</f>
        <v>0.22500076607387143</v>
      </c>
      <c r="AW379">
        <v>4682158333</v>
      </c>
    </row>
    <row r="380">
      <c r="A380">
        <f>HYPERLINK("https://smartstore.naver.com/brickstore2019/products/4682159939",AW:AW)</f>
        <v>4682159939</v>
      </c>
      <c r="C380" t="str">
        <v xml:space="preserve">샘소나이트 서류가방 회사원가방 바체타레더2 Vachetta Leather 2 </v>
      </c>
      <c r="E380" t="str">
        <v>Samsonite Vachetta Leather 2 Pocket Business Case Black</v>
      </c>
      <c r="G380" t="str">
        <f>HYPERLINK("https://www.amazon.com/Samsonite-Vachetta-Leather-Pocket-Business/dp/B008KN0AA4?ref_=ast_sto_dp&amp;th=1","A")</f>
        <v>A</v>
      </c>
      <c r="J380">
        <v>143</v>
      </c>
      <c r="K380">
        <v>5</v>
      </c>
      <c r="L380">
        <f>IF(K380&gt;0,K380*16,)</f>
        <v>80</v>
      </c>
      <c r="M380">
        <f>IF(K380&gt;0,K380*0.453592,IF(L380&gt;0,L380*0.02835,))</f>
        <v>2.26796</v>
      </c>
      <c r="N380">
        <v>0</v>
      </c>
      <c r="O380">
        <v>0</v>
      </c>
      <c r="P380">
        <f>J380+O380+N380</f>
        <v>143</v>
      </c>
      <c r="Q380">
        <f>P380*C$3</f>
        <v>178750</v>
      </c>
      <c r="R380">
        <v>0</v>
      </c>
      <c r="S380">
        <f>ROUND(SUM(Q380:R380), -2)</f>
        <v>178800</v>
      </c>
      <c r="T380">
        <f>ROUNDUP(HLOOKUP(ROUNDUP(K380,0),'배송비 조회'!A$10:U$22,7,0)*C$3,-2)</f>
        <v>17800</v>
      </c>
      <c r="U380">
        <v>0</v>
      </c>
      <c r="V380">
        <f>ROUND(IF(R380&gt;0,0,(S380+T380)*0.2),-2)</f>
        <v>39300</v>
      </c>
      <c r="W380">
        <f>ROUND(IF(R380&gt;0,0,(S380+T380)*0.5),-2)</f>
        <v>98300</v>
      </c>
      <c r="X380">
        <f>IF(R380&gt;0,SUM(S380:T380),SUM(S380:V380))</f>
        <v>235900</v>
      </c>
      <c r="Y380">
        <f>IF(R380&gt;0,SUM(S380:T380),SUM(S380:U380)+W380)</f>
        <v>294900</v>
      </c>
      <c r="Z380">
        <v>0</v>
      </c>
      <c r="AA380">
        <f>X380*0.038</f>
        <v>8964.199999999999</v>
      </c>
      <c r="AB380">
        <f>X380*0.02</f>
        <v>4718</v>
      </c>
      <c r="AC380">
        <f>Y380*0.1</f>
        <v>29490</v>
      </c>
      <c r="AD380">
        <f>X380-AA380-AB380</f>
        <v>222217.8</v>
      </c>
      <c r="AE380">
        <f>Y380-AC380</f>
        <v>265410</v>
      </c>
      <c r="AF380">
        <f>AD380*0.01</f>
        <v>2222.178</v>
      </c>
      <c r="AG380">
        <f>AD380-Q380-AF380-T380</f>
        <v>23445.62199999999</v>
      </c>
      <c r="AH380">
        <f>AE380-Q380-AF380-T380</f>
        <v>66637.822</v>
      </c>
      <c r="AI380">
        <f>AG380/X380</f>
        <v>0.09938796947859257</v>
      </c>
      <c r="AJ380">
        <f>AH380/Y380</f>
        <v>0.22596752119362495</v>
      </c>
      <c r="AW380">
        <v>4682159939</v>
      </c>
    </row>
    <row r="381">
      <c r="A381">
        <f>HYPERLINK("https://smartstore.naver.com/brickstore2019/products/4682178335",AW:AW)</f>
        <v>4682178335</v>
      </c>
      <c r="C381" t="str">
        <v>갤럭시 노트 10 가죽 지갑형 휴대폰 케이스 거치대 케이스(무료배송)</v>
      </c>
      <c r="E381" t="str">
        <v>Maxboost mWallet Designed for Galaxy Note 10 Case [Folio Cover] [Stand Feature] Premium Samsung Note10 Wallet Case Credit Card Holder [Black] PU Leather Wallet + Side Pocket Magnetic Closure</v>
      </c>
      <c r="G381" t="str">
        <f>HYPERLINK("https://www.amazon.com/Maxboost-mWallet-Designed-Folio-Cover-Magnetic/dp/B07V39DQ87/ref=sr_1_9?keywords=galaxy+note+10&amp;qid=1566574124&amp;s=gateway&amp;sr=8-9#customerReviews","A")</f>
        <v>A</v>
      </c>
      <c r="J381">
        <v>10</v>
      </c>
      <c r="K381">
        <f>IF(L381&gt;0,L381*0.0625,)</f>
        <v>0.09</v>
      </c>
      <c r="L381">
        <v>1.44</v>
      </c>
      <c r="M381">
        <f>IF(K381&gt;0,K381*0.453592,IF(L381&gt;0,L381*0.02835,))</f>
        <v>0.040823279999999997</v>
      </c>
      <c r="N381">
        <v>0</v>
      </c>
      <c r="O381">
        <v>0</v>
      </c>
      <c r="P381">
        <f>J381+O381+N381</f>
        <v>10</v>
      </c>
      <c r="Q381">
        <f>P381*C$3</f>
        <v>12500</v>
      </c>
      <c r="R381">
        <v>0</v>
      </c>
      <c r="S381">
        <f>ROUND(SUM(Q381:R381), -2)</f>
        <v>12500</v>
      </c>
      <c r="T381">
        <f>ROUNDUP(HLOOKUP(ROUNDUP(K381,0),'배송비 조회'!A$10:U$22,7,0)*C$3,-2)</f>
        <v>9000</v>
      </c>
      <c r="U381">
        <v>0</v>
      </c>
      <c r="V381">
        <f>ROUND(IF(R381&gt;0,0,(S381+T381)*0.6),-2)</f>
        <v>12900</v>
      </c>
      <c r="W381">
        <f>ROUND(IF(R381&gt;0,0,(S381+T381)*0.5),-2)</f>
        <v>10800</v>
      </c>
      <c r="X381">
        <f>IF(R381&gt;0,SUM(S381:T381),SUM(S381:V381))</f>
        <v>34400</v>
      </c>
      <c r="Y381">
        <f>IF(R381&gt;0,SUM(S381:T381),SUM(S381:U381)+W381)</f>
        <v>32300</v>
      </c>
      <c r="Z381">
        <v>0</v>
      </c>
      <c r="AA381">
        <f>X381*0.038</f>
        <v>1307.2</v>
      </c>
      <c r="AB381">
        <f>X381*0.02</f>
        <v>688</v>
      </c>
      <c r="AC381">
        <f>Y381*0.1</f>
        <v>3230</v>
      </c>
      <c r="AD381">
        <f>X381-AA381-AB381</f>
        <v>32404.800000000003</v>
      </c>
      <c r="AE381">
        <f>Y381-AC381</f>
        <v>29070</v>
      </c>
      <c r="AF381">
        <f>AD381*0.01</f>
        <v>324.04800000000006</v>
      </c>
      <c r="AG381">
        <f>AD381-Q381-AF381-T381</f>
        <v>10580.752000000004</v>
      </c>
      <c r="AH381">
        <f>AE381-Q381-AF381-T381</f>
        <v>7245.951999999999</v>
      </c>
      <c r="AI381">
        <f>AG381/X381</f>
        <v>0.30758000000000013</v>
      </c>
      <c r="AJ381">
        <f>AH381/Y381</f>
        <v>0.22433287925696593</v>
      </c>
      <c r="AW381">
        <v>4682178335</v>
      </c>
    </row>
    <row r="382">
      <c r="A382">
        <f>HYPERLINK("https://smartstore.naver.com/brickstore2019/products/4682186344",AW:AW)</f>
        <v>4682186344</v>
      </c>
      <c r="C382" t="str">
        <v>갤럭시 노트 10 플러스 가죽 지갑형 휴대폰 케이스 거치대 케이스(무료배송)</v>
      </c>
      <c r="E382" t="str">
        <v>Maxboost mWallet Designed for Galaxy Note 10 Plus/Note 10 Plus 5G Case - Premium Note10+ / Note10+ 5G Wallet Case Credit Card Holder [Black] PU Leather Wallet + Side Pocket Magnetic Closure</v>
      </c>
      <c r="G382" t="str">
        <v>A</v>
      </c>
      <c r="J382">
        <v>12</v>
      </c>
      <c r="K382">
        <f>IF(L382&gt;0,L382*0.0625,)</f>
        <v>0.2</v>
      </c>
      <c r="L382">
        <v>3.2</v>
      </c>
      <c r="M382">
        <f>IF(K382&gt;0,K382*0.453592,IF(L382&gt;0,L382*0.02835,))</f>
        <v>0.0907184</v>
      </c>
      <c r="N382">
        <v>0</v>
      </c>
      <c r="O382">
        <v>0</v>
      </c>
      <c r="P382">
        <f>J382+O382+N382</f>
        <v>12</v>
      </c>
      <c r="Q382">
        <f>P382*C$3</f>
        <v>15000</v>
      </c>
      <c r="R382">
        <v>0</v>
      </c>
      <c r="S382">
        <f>ROUND(SUM(Q382:R382), -2)</f>
        <v>15000</v>
      </c>
      <c r="T382">
        <f>ROUNDUP(HLOOKUP(ROUNDUP(K382,0),'배송비 조회'!A$10:U$22,7,0)*C$3,-2)</f>
        <v>9000</v>
      </c>
      <c r="U382">
        <v>0</v>
      </c>
      <c r="V382">
        <f>ROUND(IF(R382&gt;0,0,(S382+T382)*0.6),-2)</f>
        <v>14400</v>
      </c>
      <c r="W382">
        <f>ROUND(IF(R382&gt;0,0,(S382+T382)*0.5),-2)</f>
        <v>12000</v>
      </c>
      <c r="X382">
        <f>IF(R382&gt;0,SUM(S382:T382),SUM(S382:V382))</f>
        <v>38400</v>
      </c>
      <c r="Y382">
        <f>IF(R382&gt;0,SUM(S382:T382),SUM(S382:U382)+W382)</f>
        <v>36000</v>
      </c>
      <c r="Z382">
        <v>0</v>
      </c>
      <c r="AA382">
        <f>X382*0.038</f>
        <v>1459.2</v>
      </c>
      <c r="AB382">
        <f>X382*0.02</f>
        <v>768</v>
      </c>
      <c r="AC382">
        <f>Y382*0.1</f>
        <v>3600</v>
      </c>
      <c r="AD382">
        <f>X382-AA382-AB382</f>
        <v>36172.8</v>
      </c>
      <c r="AE382">
        <f>Y382-AC382</f>
        <v>32400</v>
      </c>
      <c r="AF382">
        <f>AD382*0.01</f>
        <v>361.728</v>
      </c>
      <c r="AG382">
        <f>AD382-Q382-AF382-T382</f>
        <v>11811.072000000004</v>
      </c>
      <c r="AH382">
        <f>AE382-Q382-AF382-T382</f>
        <v>8038.272000000001</v>
      </c>
      <c r="AI382">
        <f>AG382/X382</f>
        <v>0.3075800000000001</v>
      </c>
      <c r="AJ382">
        <f>AH382/Y382</f>
        <v>0.22328533333333336</v>
      </c>
      <c r="AW382">
        <v>4682186344</v>
      </c>
    </row>
    <row r="383">
      <c r="A383">
        <f>HYPERLINK("https://smartstore.naver.com/brickstore2019/products/4682199660",AW:AW)</f>
        <v>4682199660</v>
      </c>
      <c r="C383" t="str">
        <v>아이폰 11 가죽 지갑형 케이스 카드 케이스 iPhone 11 Leather Case</v>
      </c>
      <c r="E383" t="str">
        <v>iPhone 11 Leather Wallet Case, Ansiwee Leather Slim Back Wallet Phone Case Cover with Credit Card Holder for Apple iPhone 11</v>
      </c>
      <c r="F383" t="str">
        <v>Black</v>
      </c>
      <c r="G383" t="str">
        <v>A</v>
      </c>
      <c r="J383">
        <v>10</v>
      </c>
      <c r="K383">
        <f>IF(L383&gt;0,L383*0.0625,)</f>
        <v>0.04</v>
      </c>
      <c r="L383">
        <v>0.64</v>
      </c>
      <c r="M383">
        <f>IF(K383&gt;0,K383*0.453592,IF(L383&gt;0,L383*0.02835,))</f>
        <v>0.01814368</v>
      </c>
      <c r="N383">
        <v>0</v>
      </c>
      <c r="O383">
        <v>0</v>
      </c>
      <c r="P383">
        <f>J383+O383+N383</f>
        <v>10</v>
      </c>
      <c r="Q383">
        <f>P383*C$3</f>
        <v>12500</v>
      </c>
      <c r="R383">
        <v>0</v>
      </c>
      <c r="S383">
        <f>ROUND(SUM(Q383:R383), -2)</f>
        <v>12500</v>
      </c>
      <c r="T383">
        <f>ROUNDUP(HLOOKUP(ROUNDUP(K383,0),'배송비 조회'!A$10:U$22,7,0)*C$3,-2)</f>
        <v>9000</v>
      </c>
      <c r="U383">
        <v>0</v>
      </c>
      <c r="V383">
        <f>ROUND(IF(R383&gt;0,0,(S383+T383)*0.6),-2)</f>
        <v>12900</v>
      </c>
      <c r="W383">
        <f>ROUND(IF(R383&gt;0,0,(S383+T383)*0.5),-2)</f>
        <v>10800</v>
      </c>
      <c r="X383">
        <f>IF(R383&gt;0,SUM(S383:T383),SUM(S383:V383))</f>
        <v>34400</v>
      </c>
      <c r="Y383">
        <f>IF(R383&gt;0,SUM(S383:T383),SUM(S383:U383)+W383)</f>
        <v>32300</v>
      </c>
      <c r="Z383">
        <v>0</v>
      </c>
      <c r="AA383">
        <f>X383*0.038</f>
        <v>1307.2</v>
      </c>
      <c r="AB383">
        <f>X383*0.02</f>
        <v>688</v>
      </c>
      <c r="AC383">
        <f>Y383*0.1</f>
        <v>3230</v>
      </c>
      <c r="AD383">
        <f>X383-AA383-AB383</f>
        <v>32404.800000000003</v>
      </c>
      <c r="AE383">
        <f>Y383-AC383</f>
        <v>29070</v>
      </c>
      <c r="AF383">
        <f>AD383*0.01</f>
        <v>324.04800000000006</v>
      </c>
      <c r="AG383">
        <f>AD383-Q383-AF383-T383</f>
        <v>10580.752000000004</v>
      </c>
      <c r="AH383">
        <f>AE383-Q383-AF383-T383</f>
        <v>7245.951999999999</v>
      </c>
      <c r="AI383">
        <f>AG383/X383</f>
        <v>0.30758000000000013</v>
      </c>
      <c r="AJ383">
        <f>AH383/Y383</f>
        <v>0.22433287925696593</v>
      </c>
      <c r="AW383">
        <v>4682199660</v>
      </c>
    </row>
    <row r="384">
      <c r="F384" t="str">
        <v>Blue</v>
      </c>
      <c r="G384" t="str">
        <v>A</v>
      </c>
      <c r="J384">
        <v>10</v>
      </c>
      <c r="K384">
        <f>IF(L384&gt;0,L384*0.0625,)</f>
        <v>0.04</v>
      </c>
      <c r="L384">
        <v>0.64</v>
      </c>
      <c r="M384">
        <f>IF(K384&gt;0,K384*0.453592,IF(L384&gt;0,L384*0.02835,))</f>
        <v>0.01814368</v>
      </c>
      <c r="N384">
        <v>0</v>
      </c>
      <c r="O384">
        <v>0</v>
      </c>
      <c r="P384">
        <f>J384+O384+N384</f>
        <v>10</v>
      </c>
      <c r="Q384">
        <f>P384*C$3</f>
        <v>12500</v>
      </c>
      <c r="R384">
        <v>0</v>
      </c>
      <c r="S384">
        <f>ROUND(SUM(Q384:R384), -2)</f>
        <v>12500</v>
      </c>
      <c r="T384">
        <f>ROUNDUP(HLOOKUP(ROUNDUP(K384,0),'배송비 조회'!A$10:U$22,7,0)*C$3,-2)</f>
        <v>9000</v>
      </c>
      <c r="U384">
        <v>0</v>
      </c>
      <c r="V384">
        <f>ROUND(IF(R384&gt;0,0,(S384+T384)*0.6),-2)</f>
        <v>12900</v>
      </c>
      <c r="W384">
        <f>ROUND(IF(R384&gt;0,0,(S384+T384)*0.5),-2)</f>
        <v>10800</v>
      </c>
      <c r="X384">
        <f>IF(R384&gt;0,SUM(S384:T384),SUM(S384:V384))</f>
        <v>34400</v>
      </c>
      <c r="Y384">
        <f>IF(R384&gt;0,SUM(S384:T384),SUM(S384:U384)+W384)</f>
        <v>32300</v>
      </c>
      <c r="Z384">
        <v>0</v>
      </c>
      <c r="AA384">
        <f>X384*0.038</f>
        <v>1307.2</v>
      </c>
      <c r="AB384">
        <f>X384*0.02</f>
        <v>688</v>
      </c>
      <c r="AC384">
        <f>Y384*0.1</f>
        <v>3230</v>
      </c>
      <c r="AD384">
        <f>X384-AA384-AB384</f>
        <v>32404.800000000003</v>
      </c>
      <c r="AE384">
        <f>Y384-AC384</f>
        <v>29070</v>
      </c>
      <c r="AF384">
        <f>AD384*0.01</f>
        <v>324.04800000000006</v>
      </c>
      <c r="AG384">
        <f>AD384-Q384-AF384-T384</f>
        <v>10580.752000000004</v>
      </c>
      <c r="AH384">
        <f>AE384-Q384-AF384-T384</f>
        <v>7245.951999999999</v>
      </c>
      <c r="AI384">
        <f>AG384/X384</f>
        <v>0.30758000000000013</v>
      </c>
      <c r="AJ384">
        <f>AH384/Y384</f>
        <v>0.22433287925696593</v>
      </c>
    </row>
    <row r="385">
      <c r="F385" t="str">
        <v>Red</v>
      </c>
      <c r="G385" t="str">
        <v>A</v>
      </c>
      <c r="J385">
        <v>10</v>
      </c>
      <c r="K385">
        <f>IF(L385&gt;0,L385*0.0625,)</f>
        <v>0.04</v>
      </c>
      <c r="L385">
        <v>0.64</v>
      </c>
      <c r="M385">
        <f>IF(K385&gt;0,K385*0.453592,IF(L385&gt;0,L385*0.02835,))</f>
        <v>0.01814368</v>
      </c>
      <c r="N385">
        <v>0</v>
      </c>
      <c r="O385">
        <v>0</v>
      </c>
      <c r="P385">
        <f>J385+O385+N385</f>
        <v>10</v>
      </c>
      <c r="Q385">
        <f>P385*C$3</f>
        <v>12500</v>
      </c>
      <c r="R385">
        <v>0</v>
      </c>
      <c r="S385">
        <f>ROUND(SUM(Q385:R385), -2)</f>
        <v>12500</v>
      </c>
      <c r="T385">
        <f>ROUNDUP(HLOOKUP(ROUNDUP(K385,0),'배송비 조회'!A$10:U$22,7,0)*C$3,-2)</f>
        <v>9000</v>
      </c>
      <c r="U385">
        <v>0</v>
      </c>
      <c r="V385">
        <f>ROUND(IF(R385&gt;0,0,(S385+T385)*0.6),-2)</f>
        <v>12900</v>
      </c>
      <c r="W385">
        <f>ROUND(IF(R385&gt;0,0,(S385+T385)*0.5),-2)</f>
        <v>10800</v>
      </c>
      <c r="X385">
        <f>IF(R385&gt;0,SUM(S385:T385),SUM(S385:V385))</f>
        <v>34400</v>
      </c>
      <c r="Y385">
        <f>IF(R385&gt;0,SUM(S385:T385),SUM(S385:U385)+W385)</f>
        <v>32300</v>
      </c>
      <c r="Z385">
        <v>0</v>
      </c>
      <c r="AA385">
        <f>X385*0.038</f>
        <v>1307.2</v>
      </c>
      <c r="AB385">
        <f>X385*0.02</f>
        <v>688</v>
      </c>
      <c r="AC385">
        <f>Y385*0.1</f>
        <v>3230</v>
      </c>
      <c r="AD385">
        <f>X385-AA385-AB385</f>
        <v>32404.800000000003</v>
      </c>
      <c r="AE385">
        <f>Y385-AC385</f>
        <v>29070</v>
      </c>
      <c r="AF385">
        <f>AD385*0.01</f>
        <v>324.04800000000006</v>
      </c>
      <c r="AG385">
        <f>AD385-Q385-AF385-T385</f>
        <v>10580.752000000004</v>
      </c>
      <c r="AH385">
        <f>AE385-Q385-AF385-T385</f>
        <v>7245.951999999999</v>
      </c>
      <c r="AI385">
        <f>AG385/X385</f>
        <v>0.30758000000000013</v>
      </c>
      <c r="AJ385">
        <f>AH385/Y385</f>
        <v>0.22433287925696593</v>
      </c>
    </row>
    <row r="386">
      <c r="A386">
        <f>HYPERLINK("https://smartstore.naver.com/brickstore2019/products/4682681962",AW:AW)</f>
        <v>4682681962</v>
      </c>
      <c r="C386" t="str">
        <v>Infiland 갤럭시 탭 S6 10.5 케이스 각도조절 케이스 (무료배송)</v>
      </c>
      <c r="E386" t="str">
        <v>Infiland Galaxy Tab S6 10.5 Case, Multiple Angle Stand Case Fit Samsung Galaxy Tab S6 10.5 Inch Model SM-T860/T865/T867 2019 Release, Support S Pen Wireless Charging, Auto Wake/Sleep</v>
      </c>
      <c r="F386" t="str">
        <v>Black</v>
      </c>
      <c r="G386" t="str">
        <v>A</v>
      </c>
      <c r="J386">
        <v>18</v>
      </c>
      <c r="K386">
        <f>IF(L386&gt;0,L386*0.0625,)</f>
        <v>0.75</v>
      </c>
      <c r="L386">
        <v>12</v>
      </c>
      <c r="M386">
        <f>IF(K386&gt;0,K386*0.453592,IF(L386&gt;0,L386*0.02835,))</f>
        <v>0.340194</v>
      </c>
      <c r="N386">
        <v>0</v>
      </c>
      <c r="O386">
        <v>0</v>
      </c>
      <c r="P386">
        <f>J386+O386+N386</f>
        <v>18</v>
      </c>
      <c r="Q386">
        <f>P386*C$3</f>
        <v>22500</v>
      </c>
      <c r="R386">
        <v>0</v>
      </c>
      <c r="S386">
        <f>ROUND(SUM(Q386:R386), -2)</f>
        <v>22500</v>
      </c>
      <c r="T386">
        <f>ROUNDUP(HLOOKUP(ROUNDUP(K386,0),'배송비 조회'!A$10:U$22,7,0)*C$3,-2)</f>
        <v>9000</v>
      </c>
      <c r="U386">
        <v>0</v>
      </c>
      <c r="V386">
        <f>ROUND(IF(R386&gt;0,0,(S386+T386)*0.5),-2)</f>
        <v>15800</v>
      </c>
      <c r="W386">
        <f>ROUND(IF(R386&gt;0,0,(S386+T386)*0.5),-2)</f>
        <v>15800</v>
      </c>
      <c r="X386">
        <f>IF(R386&gt;0,SUM(S386:T386),SUM(S386:V386))</f>
        <v>47300</v>
      </c>
      <c r="Y386">
        <f>IF(R386&gt;0,SUM(S386:T386),SUM(S386:U386)+W386)</f>
        <v>47300</v>
      </c>
      <c r="Z386">
        <v>0</v>
      </c>
      <c r="AA386">
        <f>X386*0.038</f>
        <v>1797.3999999999999</v>
      </c>
      <c r="AB386">
        <f>X386*0.02</f>
        <v>946</v>
      </c>
      <c r="AC386">
        <f>Y386*0.1</f>
        <v>4730</v>
      </c>
      <c r="AD386">
        <f>X386-AA386-AB386</f>
        <v>44556.6</v>
      </c>
      <c r="AE386">
        <f>Y386-AC386</f>
        <v>42570</v>
      </c>
      <c r="AF386">
        <f>AD386*0.01</f>
        <v>445.566</v>
      </c>
      <c r="AG386">
        <f>AD386-Q386-AF386-T386</f>
        <v>12611.034</v>
      </c>
      <c r="AH386">
        <f>AE386-Q386-AF386-T386</f>
        <v>10624.434000000001</v>
      </c>
      <c r="AI386">
        <f>AG386/X386</f>
        <v>0.2666180549682875</v>
      </c>
      <c r="AJ386">
        <f>AH386/Y386</f>
        <v>0.22461805496828754</v>
      </c>
      <c r="AW386">
        <v>4682681962</v>
      </c>
    </row>
    <row r="387">
      <c r="F387" t="str">
        <v>Gray</v>
      </c>
      <c r="G387" t="str">
        <v>A</v>
      </c>
      <c r="J387">
        <v>18</v>
      </c>
      <c r="K387">
        <f>IF(L387&gt;0,L387*0.0625,)</f>
        <v>0.75</v>
      </c>
      <c r="L387">
        <v>12</v>
      </c>
      <c r="M387">
        <f>IF(K387&gt;0,K387*0.453592,IF(L387&gt;0,L387*0.02835,))</f>
        <v>0.340194</v>
      </c>
      <c r="N387">
        <v>0</v>
      </c>
      <c r="O387">
        <v>0</v>
      </c>
      <c r="P387">
        <f>J387+O387+N387</f>
        <v>18</v>
      </c>
      <c r="Q387">
        <f>P387*C$3</f>
        <v>22500</v>
      </c>
      <c r="R387">
        <v>0</v>
      </c>
      <c r="S387">
        <f>ROUND(SUM(Q387:R387), -2)</f>
        <v>22500</v>
      </c>
      <c r="T387">
        <f>ROUNDUP(HLOOKUP(ROUNDUP(K387,0),'배송비 조회'!A$10:U$22,7,0)*C$3,-2)</f>
        <v>9000</v>
      </c>
      <c r="U387">
        <v>0</v>
      </c>
      <c r="V387">
        <f>ROUND(IF(R387&gt;0,0,(S387+T387)*0.5),-2)</f>
        <v>15800</v>
      </c>
      <c r="W387">
        <f>ROUND(IF(R387&gt;0,0,(S387+T387)*0.5),-2)</f>
        <v>15800</v>
      </c>
      <c r="X387">
        <f>IF(R387&gt;0,SUM(S387:T387),SUM(S387:V387))</f>
        <v>47300</v>
      </c>
      <c r="Y387">
        <f>IF(R387&gt;0,SUM(S387:T387),SUM(S387:U387)+W387)</f>
        <v>47300</v>
      </c>
      <c r="Z387">
        <v>0</v>
      </c>
      <c r="AA387">
        <f>X387*0.038</f>
        <v>1797.3999999999999</v>
      </c>
      <c r="AB387">
        <f>X387*0.02</f>
        <v>946</v>
      </c>
      <c r="AC387">
        <f>Y387*0.1</f>
        <v>4730</v>
      </c>
      <c r="AD387">
        <f>X387-AA387-AB387</f>
        <v>44556.6</v>
      </c>
      <c r="AE387">
        <f>Y387-AC387</f>
        <v>42570</v>
      </c>
      <c r="AF387">
        <f>AD387*0.01</f>
        <v>445.566</v>
      </c>
      <c r="AG387">
        <f>AD387-Q387-AF387-T387</f>
        <v>12611.034</v>
      </c>
      <c r="AH387">
        <f>AE387-Q387-AF387-T387</f>
        <v>10624.434000000001</v>
      </c>
      <c r="AI387">
        <f>AG387/X387</f>
        <v>0.2666180549682875</v>
      </c>
      <c r="AJ387">
        <f>AH387/Y387</f>
        <v>0.22461805496828754</v>
      </c>
    </row>
    <row r="388">
      <c r="F388" t="str">
        <v>Navy</v>
      </c>
      <c r="G388" t="str">
        <v>A</v>
      </c>
      <c r="J388">
        <v>18</v>
      </c>
      <c r="K388">
        <f>IF(L388&gt;0,L388*0.0625,)</f>
        <v>0.75</v>
      </c>
      <c r="L388">
        <v>12</v>
      </c>
      <c r="M388">
        <f>IF(K388&gt;0,K388*0.453592,IF(L388&gt;0,L388*0.02835,))</f>
        <v>0.340194</v>
      </c>
      <c r="N388">
        <v>0</v>
      </c>
      <c r="O388">
        <v>0</v>
      </c>
      <c r="P388">
        <f>J388+O388+N388</f>
        <v>18</v>
      </c>
      <c r="Q388">
        <f>P388*C$3</f>
        <v>22500</v>
      </c>
      <c r="R388">
        <v>0</v>
      </c>
      <c r="S388">
        <f>ROUND(SUM(Q388:R388), -2)</f>
        <v>22500</v>
      </c>
      <c r="T388">
        <f>ROUNDUP(HLOOKUP(ROUNDUP(K388,0),'배송비 조회'!A$10:U$22,7,0)*C$3,-2)</f>
        <v>9000</v>
      </c>
      <c r="U388">
        <v>0</v>
      </c>
      <c r="V388">
        <f>ROUND(IF(R388&gt;0,0,(S388+T388)*0.5),-2)</f>
        <v>15800</v>
      </c>
      <c r="W388">
        <f>ROUND(IF(R388&gt;0,0,(S388+T388)*0.5),-2)</f>
        <v>15800</v>
      </c>
      <c r="X388">
        <f>IF(R388&gt;0,SUM(S388:T388),SUM(S388:V388))</f>
        <v>47300</v>
      </c>
      <c r="Y388">
        <f>IF(R388&gt;0,SUM(S388:T388),SUM(S388:U388)+W388)</f>
        <v>47300</v>
      </c>
      <c r="Z388">
        <v>0</v>
      </c>
      <c r="AA388">
        <f>X388*0.038</f>
        <v>1797.3999999999999</v>
      </c>
      <c r="AB388">
        <f>X388*0.02</f>
        <v>946</v>
      </c>
      <c r="AC388">
        <f>Y388*0.1</f>
        <v>4730</v>
      </c>
      <c r="AD388">
        <f>X388-AA388-AB388</f>
        <v>44556.6</v>
      </c>
      <c r="AE388">
        <f>Y388-AC388</f>
        <v>42570</v>
      </c>
      <c r="AF388">
        <f>AD388*0.01</f>
        <v>445.566</v>
      </c>
      <c r="AG388">
        <f>AD388-Q388-AF388-T388</f>
        <v>12611.034</v>
      </c>
      <c r="AH388">
        <f>AE388-Q388-AF388-T388</f>
        <v>10624.434000000001</v>
      </c>
      <c r="AI388">
        <f>AG388/X388</f>
        <v>0.2666180549682875</v>
      </c>
      <c r="AJ388">
        <f>AH388/Y388</f>
        <v>0.22461805496828754</v>
      </c>
    </row>
    <row r="389">
      <c r="F389" t="str">
        <v>Rose Gold</v>
      </c>
      <c r="G389" t="str">
        <v>A</v>
      </c>
      <c r="J389">
        <v>18</v>
      </c>
      <c r="K389">
        <f>IF(L389&gt;0,L389*0.0625,)</f>
        <v>0.75</v>
      </c>
      <c r="L389">
        <v>12</v>
      </c>
      <c r="M389">
        <f>IF(K389&gt;0,K389*0.453592,IF(L389&gt;0,L389*0.02835,))</f>
        <v>0.340194</v>
      </c>
      <c r="N389">
        <v>0</v>
      </c>
      <c r="O389">
        <v>0</v>
      </c>
      <c r="P389">
        <f>J389+O389+N389</f>
        <v>18</v>
      </c>
      <c r="Q389">
        <f>P389*C$3</f>
        <v>22500</v>
      </c>
      <c r="R389">
        <v>0</v>
      </c>
      <c r="S389">
        <f>ROUND(SUM(Q389:R389), -2)</f>
        <v>22500</v>
      </c>
      <c r="T389">
        <f>ROUNDUP(HLOOKUP(ROUNDUP(K389,0),'배송비 조회'!A$10:U$22,7,0)*C$3,-2)</f>
        <v>9000</v>
      </c>
      <c r="U389">
        <v>0</v>
      </c>
      <c r="V389">
        <f>ROUND(IF(R389&gt;0,0,(S389+T389)*0.5),-2)</f>
        <v>15800</v>
      </c>
      <c r="W389">
        <f>ROUND(IF(R389&gt;0,0,(S389+T389)*0.5),-2)</f>
        <v>15800</v>
      </c>
      <c r="X389">
        <f>IF(R389&gt;0,SUM(S389:T389),SUM(S389:V389))</f>
        <v>47300</v>
      </c>
      <c r="Y389">
        <f>IF(R389&gt;0,SUM(S389:T389),SUM(S389:U389)+W389)</f>
        <v>47300</v>
      </c>
      <c r="Z389">
        <v>0</v>
      </c>
      <c r="AA389">
        <f>X389*0.038</f>
        <v>1797.3999999999999</v>
      </c>
      <c r="AB389">
        <f>X389*0.02</f>
        <v>946</v>
      </c>
      <c r="AC389">
        <f>Y389*0.1</f>
        <v>4730</v>
      </c>
      <c r="AD389">
        <f>X389-AA389-AB389</f>
        <v>44556.6</v>
      </c>
      <c r="AE389">
        <f>Y389-AC389</f>
        <v>42570</v>
      </c>
      <c r="AF389">
        <f>AD389*0.01</f>
        <v>445.566</v>
      </c>
      <c r="AG389">
        <f>AD389-Q389-AF389-T389</f>
        <v>12611.034</v>
      </c>
      <c r="AH389">
        <f>AE389-Q389-AF389-T389</f>
        <v>10624.434000000001</v>
      </c>
      <c r="AI389">
        <f>AG389/X389</f>
        <v>0.2666180549682875</v>
      </c>
      <c r="AJ389">
        <f>AH389/Y389</f>
        <v>0.22461805496828754</v>
      </c>
    </row>
    <row r="390">
      <c r="F390" t="str">
        <v>Mint Green</v>
      </c>
      <c r="G390" t="str">
        <v>A</v>
      </c>
      <c r="J390">
        <v>18</v>
      </c>
      <c r="K390">
        <f>IF(L390&gt;0,L390*0.0625,)</f>
        <v>0.75</v>
      </c>
      <c r="L390">
        <v>12</v>
      </c>
      <c r="M390">
        <f>IF(K390&gt;0,K390*0.453592,IF(L390&gt;0,L390*0.02835,))</f>
        <v>0.340194</v>
      </c>
      <c r="N390">
        <v>0</v>
      </c>
      <c r="O390">
        <v>0</v>
      </c>
      <c r="P390">
        <f>J390+O390+N390</f>
        <v>18</v>
      </c>
      <c r="Q390">
        <f>P390*C$3</f>
        <v>22500</v>
      </c>
      <c r="R390">
        <v>0</v>
      </c>
      <c r="S390">
        <f>ROUND(SUM(Q390:R390), -2)</f>
        <v>22500</v>
      </c>
      <c r="T390">
        <f>ROUNDUP(HLOOKUP(ROUNDUP(K390,0),'배송비 조회'!A$10:U$22,7,0)*C$3,-2)</f>
        <v>9000</v>
      </c>
      <c r="U390">
        <v>0</v>
      </c>
      <c r="V390">
        <f>ROUND(IF(R390&gt;0,0,(S390+T390)*0.5),-2)</f>
        <v>15800</v>
      </c>
      <c r="W390">
        <f>ROUND(IF(R390&gt;0,0,(S390+T390)*0.5),-2)</f>
        <v>15800</v>
      </c>
      <c r="X390">
        <f>IF(R390&gt;0,SUM(S390:T390),SUM(S390:V390))</f>
        <v>47300</v>
      </c>
      <c r="Y390">
        <f>IF(R390&gt;0,SUM(S390:T390),SUM(S390:U390)+W390)</f>
        <v>47300</v>
      </c>
      <c r="Z390">
        <v>0</v>
      </c>
      <c r="AA390">
        <f>X390*0.038</f>
        <v>1797.3999999999999</v>
      </c>
      <c r="AB390">
        <f>X390*0.02</f>
        <v>946</v>
      </c>
      <c r="AC390">
        <f>Y390*0.1</f>
        <v>4730</v>
      </c>
      <c r="AD390">
        <f>X390-AA390-AB390</f>
        <v>44556.6</v>
      </c>
      <c r="AE390">
        <f>Y390-AC390</f>
        <v>42570</v>
      </c>
      <c r="AF390">
        <f>AD390*0.01</f>
        <v>445.566</v>
      </c>
      <c r="AG390">
        <f>AD390-Q390-AF390-T390</f>
        <v>12611.034</v>
      </c>
      <c r="AH390">
        <f>AE390-Q390-AF390-T390</f>
        <v>10624.434000000001</v>
      </c>
      <c r="AI390">
        <f>AG390/X390</f>
        <v>0.2666180549682875</v>
      </c>
      <c r="AJ390">
        <f>AH390/Y390</f>
        <v>0.22461805496828754</v>
      </c>
    </row>
    <row r="391">
      <c r="F391" t="str">
        <v>Dark Red</v>
      </c>
      <c r="G391" t="str">
        <v>A</v>
      </c>
      <c r="J391">
        <v>18</v>
      </c>
      <c r="K391">
        <f>IF(L391&gt;0,L391*0.0625,)</f>
        <v>0.75</v>
      </c>
      <c r="L391">
        <v>12</v>
      </c>
      <c r="M391">
        <f>IF(K391&gt;0,K391*0.453592,IF(L391&gt;0,L391*0.02835,))</f>
        <v>0.340194</v>
      </c>
      <c r="N391">
        <v>0</v>
      </c>
      <c r="O391">
        <v>0</v>
      </c>
      <c r="P391">
        <f>J391+O391+N391</f>
        <v>18</v>
      </c>
      <c r="Q391">
        <f>P391*C$3</f>
        <v>22500</v>
      </c>
      <c r="R391">
        <v>0</v>
      </c>
      <c r="S391">
        <f>ROUND(SUM(Q391:R391), -2)</f>
        <v>22500</v>
      </c>
      <c r="T391">
        <f>ROUNDUP(HLOOKUP(ROUNDUP(K391,0),'배송비 조회'!A$10:U$22,7,0)*C$3,-2)</f>
        <v>9000</v>
      </c>
      <c r="U391">
        <v>0</v>
      </c>
      <c r="V391">
        <f>ROUND(IF(R391&gt;0,0,(S391+T391)*0.5),-2)</f>
        <v>15800</v>
      </c>
      <c r="W391">
        <f>ROUND(IF(R391&gt;0,0,(S391+T391)*0.5),-2)</f>
        <v>15800</v>
      </c>
      <c r="X391">
        <f>IF(R391&gt;0,SUM(S391:T391),SUM(S391:V391))</f>
        <v>47300</v>
      </c>
      <c r="Y391">
        <f>IF(R391&gt;0,SUM(S391:T391),SUM(S391:U391)+W391)</f>
        <v>47300</v>
      </c>
      <c r="Z391">
        <v>0</v>
      </c>
      <c r="AA391">
        <f>X391*0.038</f>
        <v>1797.3999999999999</v>
      </c>
      <c r="AB391">
        <f>X391*0.02</f>
        <v>946</v>
      </c>
      <c r="AC391">
        <f>Y391*0.1</f>
        <v>4730</v>
      </c>
      <c r="AD391">
        <f>X391-AA391-AB391</f>
        <v>44556.6</v>
      </c>
      <c r="AE391">
        <f>Y391-AC391</f>
        <v>42570</v>
      </c>
      <c r="AF391">
        <f>AD391*0.01</f>
        <v>445.566</v>
      </c>
      <c r="AG391">
        <f>AD391-Q391-AF391-T391</f>
        <v>12611.034</v>
      </c>
      <c r="AH391">
        <f>AE391-Q391-AF391-T391</f>
        <v>10624.434000000001</v>
      </c>
      <c r="AI391">
        <f>AG391/X391</f>
        <v>0.2666180549682875</v>
      </c>
      <c r="AJ391">
        <f>AH391/Y391</f>
        <v>0.22461805496828754</v>
      </c>
    </row>
    <row r="392">
      <c r="F392" t="str">
        <v>Galaxy</v>
      </c>
      <c r="G392" t="str">
        <v>A</v>
      </c>
      <c r="J392">
        <v>18</v>
      </c>
      <c r="K392">
        <f>IF(L392&gt;0,L392*0.0625,)</f>
        <v>0.75</v>
      </c>
      <c r="L392">
        <v>12</v>
      </c>
      <c r="M392">
        <f>IF(K392&gt;0,K392*0.453592,IF(L392&gt;0,L392*0.02835,))</f>
        <v>0.340194</v>
      </c>
      <c r="N392">
        <v>0</v>
      </c>
      <c r="O392">
        <v>0</v>
      </c>
      <c r="P392">
        <f>J392+O392+N392</f>
        <v>18</v>
      </c>
      <c r="Q392">
        <f>P392*C$3</f>
        <v>22500</v>
      </c>
      <c r="R392">
        <v>0</v>
      </c>
      <c r="S392">
        <f>ROUND(SUM(Q392:R392), -2)</f>
        <v>22500</v>
      </c>
      <c r="T392">
        <f>ROUNDUP(HLOOKUP(ROUNDUP(K392,0),'배송비 조회'!A$10:U$22,7,0)*C$3,-2)</f>
        <v>9000</v>
      </c>
      <c r="U392">
        <v>0</v>
      </c>
      <c r="V392">
        <f>ROUND(IF(R392&gt;0,0,(S392+T392)*0.5),-2)</f>
        <v>15800</v>
      </c>
      <c r="W392">
        <f>ROUND(IF(R392&gt;0,0,(S392+T392)*0.5),-2)</f>
        <v>15800</v>
      </c>
      <c r="X392">
        <f>IF(R392&gt;0,SUM(S392:T392),SUM(S392:V392))</f>
        <v>47300</v>
      </c>
      <c r="Y392">
        <f>IF(R392&gt;0,SUM(S392:T392),SUM(S392:U392)+W392)</f>
        <v>47300</v>
      </c>
      <c r="Z392">
        <v>0</v>
      </c>
      <c r="AA392">
        <f>X392*0.038</f>
        <v>1797.3999999999999</v>
      </c>
      <c r="AB392">
        <f>X392*0.02</f>
        <v>946</v>
      </c>
      <c r="AC392">
        <f>Y392*0.1</f>
        <v>4730</v>
      </c>
      <c r="AD392">
        <f>X392-AA392-AB392</f>
        <v>44556.6</v>
      </c>
      <c r="AE392">
        <f>Y392-AC392</f>
        <v>42570</v>
      </c>
      <c r="AF392">
        <f>AD392*0.01</f>
        <v>445.566</v>
      </c>
      <c r="AG392">
        <f>AD392-Q392-AF392-T392</f>
        <v>12611.034</v>
      </c>
      <c r="AH392">
        <f>AE392-Q392-AF392-T392</f>
        <v>10624.434000000001</v>
      </c>
      <c r="AI392">
        <f>AG392/X392</f>
        <v>0.2666180549682875</v>
      </c>
      <c r="AJ392">
        <f>AH392/Y392</f>
        <v>0.22461805496828754</v>
      </c>
    </row>
    <row r="393">
      <c r="F393" t="str">
        <v>Blossom</v>
      </c>
      <c r="G393" t="str">
        <v>A</v>
      </c>
      <c r="J393">
        <v>18</v>
      </c>
      <c r="K393">
        <f>IF(L393&gt;0,L393*0.0625,)</f>
        <v>0.75</v>
      </c>
      <c r="L393">
        <v>12</v>
      </c>
      <c r="M393">
        <f>IF(K393&gt;0,K393*0.453592,IF(L393&gt;0,L393*0.02835,))</f>
        <v>0.340194</v>
      </c>
      <c r="N393">
        <v>0</v>
      </c>
      <c r="O393">
        <v>0</v>
      </c>
      <c r="P393">
        <f>J393+O393+N393</f>
        <v>18</v>
      </c>
      <c r="Q393">
        <f>P393*C$3</f>
        <v>22500</v>
      </c>
      <c r="R393">
        <v>0</v>
      </c>
      <c r="S393">
        <f>ROUND(SUM(Q393:R393), -2)</f>
        <v>22500</v>
      </c>
      <c r="T393">
        <f>ROUNDUP(HLOOKUP(ROUNDUP(K393,0),'배송비 조회'!A$10:U$22,7,0)*C$3,-2)</f>
        <v>9000</v>
      </c>
      <c r="U393">
        <v>0</v>
      </c>
      <c r="V393">
        <f>ROUND(IF(R393&gt;0,0,(S393+T393)*0.5),-2)</f>
        <v>15800</v>
      </c>
      <c r="W393">
        <f>ROUND(IF(R393&gt;0,0,(S393+T393)*0.5),-2)</f>
        <v>15800</v>
      </c>
      <c r="X393">
        <f>IF(R393&gt;0,SUM(S393:T393),SUM(S393:V393))</f>
        <v>47300</v>
      </c>
      <c r="Y393">
        <f>IF(R393&gt;0,SUM(S393:T393),SUM(S393:U393)+W393)</f>
        <v>47300</v>
      </c>
      <c r="Z393">
        <v>0</v>
      </c>
      <c r="AA393">
        <f>X393*0.038</f>
        <v>1797.3999999999999</v>
      </c>
      <c r="AB393">
        <f>X393*0.02</f>
        <v>946</v>
      </c>
      <c r="AC393">
        <f>Y393*0.1</f>
        <v>4730</v>
      </c>
      <c r="AD393">
        <f>X393-AA393-AB393</f>
        <v>44556.6</v>
      </c>
      <c r="AE393">
        <f>Y393-AC393</f>
        <v>42570</v>
      </c>
      <c r="AF393">
        <f>AD393*0.01</f>
        <v>445.566</v>
      </c>
      <c r="AG393">
        <f>AD393-Q393-AF393-T393</f>
        <v>12611.034</v>
      </c>
      <c r="AH393">
        <f>AE393-Q393-AF393-T393</f>
        <v>10624.434000000001</v>
      </c>
      <c r="AI393">
        <f>AG393/X393</f>
        <v>0.2666180549682875</v>
      </c>
      <c r="AJ393">
        <f>AH393/Y393</f>
        <v>0.22461805496828754</v>
      </c>
    </row>
    <row r="394">
      <c r="A394">
        <f>HYPERLINK("https://smartstore.naver.com/brickstore2019/products/4684251010",AW:AW)</f>
        <v>4684251010</v>
      </c>
      <c r="C394" t="str">
        <v>Jabra Elite 65t 자브라 엘리트 65t 블루투스 코드리스 이어폰</v>
      </c>
      <c r="E394" t="str">
        <v>Jabra Elite 65t Earbuds – Alexa Enabled, True Wireless Earbuds with Charging Case, Titanium Black – Bluetooth Earbuds Engineered for The Best True Wireless Calls and Music Experience</v>
      </c>
      <c r="F394" t="str">
        <v>Black</v>
      </c>
      <c r="G394" t="str">
        <f>HYPERLINK("https://www.amazon.com/Jabra-Enabled-Wireless-Earbuds-Charging/dp/B077ZGRVRX/ref=sr_1_3?keywords=jabra%2Belite%2B75t&amp;qid=1569845611&amp;s=gateway&amp;sr=8-3&amp;th=1","A")</f>
        <v>A</v>
      </c>
      <c r="J394">
        <v>140</v>
      </c>
      <c r="K394">
        <v>1</v>
      </c>
      <c r="L394">
        <v>11.2</v>
      </c>
      <c r="M394">
        <f>IF(K394&gt;0,K394*0.453592,IF(L394&gt;0,L394*0.02835,))</f>
        <v>0.453592</v>
      </c>
      <c r="N394">
        <v>0</v>
      </c>
      <c r="O394">
        <v>0</v>
      </c>
      <c r="P394">
        <f>J394+O394+N394</f>
        <v>140</v>
      </c>
      <c r="Q394">
        <f>P394*C$3</f>
        <v>175000</v>
      </c>
      <c r="R394">
        <v>0</v>
      </c>
      <c r="S394">
        <f>ROUND(SUM(Q394:R394), -2)</f>
        <v>175000</v>
      </c>
      <c r="T394">
        <f>ROUNDUP(HLOOKUP(ROUNDUP(K394,0),'배송비 조회'!A$10:U$22,7,0)*C$3,-2)</f>
        <v>9000</v>
      </c>
      <c r="U394">
        <v>0</v>
      </c>
      <c r="V394">
        <f>ROUND(IF(R394&gt;0,0,(S394+T394)*0.3),-2)</f>
        <v>55200</v>
      </c>
      <c r="W394">
        <f>ROUND(IF(R394&gt;0,0,(S394+T394)*0.5),-2)</f>
        <v>92000</v>
      </c>
      <c r="X394">
        <f>IF(R394&gt;0,SUM(S394:T394),SUM(S394:V394))</f>
        <v>239200</v>
      </c>
      <c r="Y394">
        <f>IF(R394&gt;0,SUM(S394:T394),SUM(S394:U394)+W394)</f>
        <v>276000</v>
      </c>
      <c r="Z394">
        <v>0</v>
      </c>
      <c r="AA394">
        <f>X394*0.038</f>
        <v>9089.6</v>
      </c>
      <c r="AB394">
        <f>X394*0.02</f>
        <v>4784</v>
      </c>
      <c r="AC394">
        <f>Y394*0.1</f>
        <v>27600</v>
      </c>
      <c r="AD394">
        <f>X394-AA394-AB394</f>
        <v>225326.4</v>
      </c>
      <c r="AE394">
        <f>Y394-AC394</f>
        <v>248400</v>
      </c>
      <c r="AF394">
        <f>AD394*0.01</f>
        <v>2253.264</v>
      </c>
      <c r="AG394">
        <f>AD394-Q394-AF394-T394</f>
        <v>39073.13599999999</v>
      </c>
      <c r="AH394">
        <f>AE394-Q394-AF394-T394</f>
        <v>62146.736000000004</v>
      </c>
      <c r="AI394">
        <f>AG394/X394</f>
        <v>0.16334923076923075</v>
      </c>
      <c r="AJ394">
        <f>AH394/Y394</f>
        <v>0.22516933333333336</v>
      </c>
      <c r="AW394">
        <v>4684251010</v>
      </c>
    </row>
    <row r="395">
      <c r="F395" t="str">
        <v>Gold Beige</v>
      </c>
      <c r="G395" t="str">
        <f>HYPERLINK("https://www.amazon.com/Jabra-Enabled-Wireless-Earbuds-Charging/dp/B07FFD3DG5/ref=sr_1_3?keywords=jabra%2Belite%2B75t&amp;qid=1569845611&amp;s=gateway&amp;sr=8-3&amp;th=1","A")</f>
        <v>A</v>
      </c>
      <c r="J395">
        <v>170</v>
      </c>
      <c r="K395">
        <v>1</v>
      </c>
      <c r="L395">
        <v>11.2</v>
      </c>
      <c r="M395">
        <f>IF(K395&gt;0,K395*0.453592,IF(L395&gt;0,L395*0.02835,))</f>
        <v>0.453592</v>
      </c>
      <c r="N395">
        <v>0</v>
      </c>
      <c r="O395">
        <v>0</v>
      </c>
      <c r="P395">
        <f>J395+O395+N395</f>
        <v>170</v>
      </c>
      <c r="Q395">
        <f>P395*C$3</f>
        <v>212500</v>
      </c>
      <c r="R395">
        <v>0</v>
      </c>
      <c r="S395">
        <f>ROUND(SUM(Q395:R395), -2)</f>
        <v>212500</v>
      </c>
      <c r="T395">
        <f>ROUNDUP(HLOOKUP(ROUNDUP(K395,0),'배송비 조회'!A$10:U$22,7,0)*C$3,-2)</f>
        <v>9000</v>
      </c>
      <c r="U395">
        <v>0</v>
      </c>
      <c r="V395">
        <f>ROUND(IF(R395&gt;0,0,(S395+T395)*0.3),-2)</f>
        <v>66500</v>
      </c>
      <c r="W395">
        <f>ROUND(IF(R395&gt;0,0,(S395+T395)*0.5),-2)</f>
        <v>110800</v>
      </c>
      <c r="X395">
        <f>IF(R395&gt;0,SUM(S395:T395),SUM(S395:V395))</f>
        <v>288000</v>
      </c>
      <c r="Y395">
        <f>IF(R395&gt;0,SUM(S395:T395),SUM(S395:U395)+W395)</f>
        <v>332300</v>
      </c>
      <c r="Z395">
        <v>0</v>
      </c>
      <c r="AA395">
        <f>X395*0.038</f>
        <v>10944</v>
      </c>
      <c r="AB395">
        <f>X395*0.02</f>
        <v>5760</v>
      </c>
      <c r="AC395">
        <f>Y395*0.1</f>
        <v>33230</v>
      </c>
      <c r="AD395">
        <f>X395-AA395-AB395</f>
        <v>271296</v>
      </c>
      <c r="AE395">
        <f>Y395-AC395</f>
        <v>299070</v>
      </c>
      <c r="AF395">
        <f>AD395*0.01</f>
        <v>2712.96</v>
      </c>
      <c r="AG395">
        <f>AD395-Q395-AF395-T395</f>
        <v>47083.04</v>
      </c>
      <c r="AH395">
        <f>AE395-Q395-AF395-T395</f>
        <v>74857.04</v>
      </c>
      <c r="AI395">
        <f>AG395/X395</f>
        <v>0.16348277777777778</v>
      </c>
      <c r="AJ395">
        <f>AH395/Y395</f>
        <v>0.22526945531146553</v>
      </c>
      <c r="AK395">
        <f>X395-X394</f>
        <v>48800</v>
      </c>
    </row>
    <row r="396">
      <c r="A396">
        <f>HYPERLINK("https://smartstore.naver.com/brickstore2019/products/4684288085",AW:AW)</f>
        <v>4684288085</v>
      </c>
      <c r="C396" t="str">
        <v>Jabra Elite Active 65t 자브라 엘리트 엑티브 65t 블루투스 코드리스 이어폰</v>
      </c>
      <c r="E396" t="str">
        <v>Jabra Elite Active 65t Earbuds – True Wireless Earbuds with Charging Case – Bluetooth Earbuds with a Secure Fit and Superior Sound, Long Battery Life and More</v>
      </c>
      <c r="F396" t="str">
        <v>Copper Black</v>
      </c>
      <c r="G396" t="str">
        <f>HYPERLINK("https://www.amazon.com/dp/B07H3DJXHZ/ref=twister_B07DVJQ7N4?_encoding=UTF8&amp;th=1","A")</f>
        <v>A</v>
      </c>
      <c r="J396">
        <v>190</v>
      </c>
      <c r="K396">
        <v>1</v>
      </c>
      <c r="L396">
        <v>11.2</v>
      </c>
      <c r="M396">
        <f>IF(K396&gt;0,K396*0.453592,IF(L396&gt;0,L396*0.02835,))</f>
        <v>0.453592</v>
      </c>
      <c r="N396">
        <v>0</v>
      </c>
      <c r="O396">
        <v>0</v>
      </c>
      <c r="P396">
        <f>J396+O396+N396</f>
        <v>190</v>
      </c>
      <c r="Q396">
        <f>P396*C$3</f>
        <v>237500</v>
      </c>
      <c r="R396">
        <v>0</v>
      </c>
      <c r="S396">
        <f>ROUND(SUM(Q396:R396), -2)</f>
        <v>237500</v>
      </c>
      <c r="T396">
        <f>ROUNDUP(HLOOKUP(ROUNDUP(K396,0),'배송비 조회'!A$10:U$22,7,0)*C$3,-2)</f>
        <v>9000</v>
      </c>
      <c r="U396">
        <v>0</v>
      </c>
      <c r="V396">
        <f>ROUND(IF(R396&gt;0,0,(S396+T396)*0.3),-2)</f>
        <v>74000</v>
      </c>
      <c r="W396">
        <f>ROUND(IF(R396&gt;0,0,(S396+T396)*0.5),-2)</f>
        <v>123300</v>
      </c>
      <c r="X396">
        <f>IF(R396&gt;0,SUM(S396:T396),SUM(S396:V396))</f>
        <v>320500</v>
      </c>
      <c r="Y396">
        <f>IF(R396&gt;0,SUM(S396:T396),SUM(S396:U396)+W396)</f>
        <v>369800</v>
      </c>
      <c r="Z396">
        <v>0</v>
      </c>
      <c r="AA396">
        <f>X396*0.038</f>
        <v>12179</v>
      </c>
      <c r="AB396">
        <f>X396*0.02</f>
        <v>6410</v>
      </c>
      <c r="AC396">
        <f>Y396*0.1</f>
        <v>36980</v>
      </c>
      <c r="AD396">
        <f>X396-AA396-AB396</f>
        <v>301911</v>
      </c>
      <c r="AE396">
        <f>Y396-AC396</f>
        <v>332820</v>
      </c>
      <c r="AF396">
        <f>AD396*0.01</f>
        <v>3019.11</v>
      </c>
      <c r="AG396">
        <f>AD396-Q396-AF396-T396</f>
        <v>52391.89</v>
      </c>
      <c r="AH396">
        <f>AE396-Q396-AF396-T396</f>
        <v>83300.89</v>
      </c>
      <c r="AI396">
        <f>AG396/X396</f>
        <v>0.16346923556942278</v>
      </c>
      <c r="AJ396">
        <f>AH396/Y396</f>
        <v>0.2252593023255814</v>
      </c>
      <c r="AW396">
        <v>4684288085</v>
      </c>
    </row>
    <row r="397">
      <c r="F397" t="str">
        <v>Copper Blue</v>
      </c>
      <c r="G397" t="str">
        <f>HYPERLINK("https://www.amazon.com/dp/B07BHF993Q/ref=twister_B07DVJQ7N4?_encoding=UTF8&amp;th=1","A")</f>
        <v>A</v>
      </c>
      <c r="J397">
        <v>185</v>
      </c>
      <c r="K397">
        <v>1</v>
      </c>
      <c r="L397">
        <v>11.2</v>
      </c>
      <c r="M397">
        <f>IF(K397&gt;0,K397*0.453592,IF(L397&gt;0,L397*0.02835,))</f>
        <v>0.453592</v>
      </c>
      <c r="N397">
        <v>0</v>
      </c>
      <c r="O397">
        <v>0</v>
      </c>
      <c r="P397">
        <f>J397+O397+N397</f>
        <v>185</v>
      </c>
      <c r="Q397">
        <f>P397*C$3</f>
        <v>231250</v>
      </c>
      <c r="R397">
        <v>0</v>
      </c>
      <c r="S397">
        <f>ROUND(SUM(Q397:R397), -2)</f>
        <v>231300</v>
      </c>
      <c r="T397">
        <f>ROUNDUP(HLOOKUP(ROUNDUP(K397,0),'배송비 조회'!A$10:U$22,7,0)*C$3,-2)</f>
        <v>9000</v>
      </c>
      <c r="U397">
        <v>0</v>
      </c>
      <c r="V397">
        <f>ROUND(IF(R397&gt;0,0,(S397+T397)*0.3),-2)</f>
        <v>72100</v>
      </c>
      <c r="W397">
        <f>ROUND(IF(R397&gt;0,0,(S397+T397)*0.5),-2)</f>
        <v>120200</v>
      </c>
      <c r="X397">
        <f>IF(R397&gt;0,SUM(S397:T397),SUM(S397:V397))</f>
        <v>312400</v>
      </c>
      <c r="Y397">
        <f>IF(R397&gt;0,SUM(S397:T397),SUM(S397:U397)+W397)</f>
        <v>360500</v>
      </c>
      <c r="Z397">
        <v>0</v>
      </c>
      <c r="AA397">
        <f>X397*0.038</f>
        <v>11871.199999999999</v>
      </c>
      <c r="AB397">
        <f>X397*0.02</f>
        <v>6248</v>
      </c>
      <c r="AC397">
        <f>Y397*0.1</f>
        <v>36050</v>
      </c>
      <c r="AD397">
        <f>X397-AA397-AB397</f>
        <v>294280.8</v>
      </c>
      <c r="AE397">
        <f>Y397-AC397</f>
        <v>324450</v>
      </c>
      <c r="AF397">
        <f>AD397*0.01</f>
        <v>2942.808</v>
      </c>
      <c r="AG397">
        <f>AD397-Q397-AF397-T397</f>
        <v>51087.99199999999</v>
      </c>
      <c r="AH397">
        <f>AE397-Q397-AF397-T397</f>
        <v>81257.192</v>
      </c>
      <c r="AI397">
        <f>AG397/X397</f>
        <v>0.16353390524967987</v>
      </c>
      <c r="AJ397">
        <f>AH397/Y397</f>
        <v>0.22540136477115116</v>
      </c>
    </row>
    <row r="398">
      <c r="F398" t="str">
        <v>Copper Red</v>
      </c>
      <c r="G398" t="str">
        <f>HYPERLINK("https://www.amazon.com/dp/B07G7QK8PH/ref=twister_B07DVJQ7N4?_encoding=UTF8&amp;th=1","A")</f>
        <v>A</v>
      </c>
      <c r="J398">
        <v>190</v>
      </c>
      <c r="K398">
        <v>1</v>
      </c>
      <c r="L398">
        <v>11.2</v>
      </c>
      <c r="M398">
        <f>IF(K398&gt;0,K398*0.453592,IF(L398&gt;0,L398*0.02835,))</f>
        <v>0.453592</v>
      </c>
      <c r="N398">
        <v>0</v>
      </c>
      <c r="O398">
        <v>0</v>
      </c>
      <c r="P398">
        <f>J398+O398+N398</f>
        <v>190</v>
      </c>
      <c r="Q398">
        <f>P398*C$3</f>
        <v>237500</v>
      </c>
      <c r="R398">
        <v>0</v>
      </c>
      <c r="S398">
        <f>ROUND(SUM(Q398:R398), -2)</f>
        <v>237500</v>
      </c>
      <c r="T398">
        <f>ROUNDUP(HLOOKUP(ROUNDUP(K398,0),'배송비 조회'!A$10:U$22,7,0)*C$3,-2)</f>
        <v>9000</v>
      </c>
      <c r="U398">
        <v>0</v>
      </c>
      <c r="V398">
        <f>ROUND(IF(R398&gt;0,0,(S398+T398)*0.3),-2)</f>
        <v>74000</v>
      </c>
      <c r="W398">
        <f>ROUND(IF(R398&gt;0,0,(S398+T398)*0.5),-2)</f>
        <v>123300</v>
      </c>
      <c r="X398">
        <f>IF(R398&gt;0,SUM(S398:T398),SUM(S398:V398))</f>
        <v>320500</v>
      </c>
      <c r="Y398">
        <f>IF(R398&gt;0,SUM(S398:T398),SUM(S398:U398)+W398)</f>
        <v>369800</v>
      </c>
      <c r="Z398">
        <v>0</v>
      </c>
      <c r="AA398">
        <f>X398*0.038</f>
        <v>12179</v>
      </c>
      <c r="AB398">
        <f>X398*0.02</f>
        <v>6410</v>
      </c>
      <c r="AC398">
        <f>Y398*0.1</f>
        <v>36980</v>
      </c>
      <c r="AD398">
        <f>X398-AA398-AB398</f>
        <v>301911</v>
      </c>
      <c r="AE398">
        <f>Y398-AC398</f>
        <v>332820</v>
      </c>
      <c r="AF398">
        <f>AD398*0.01</f>
        <v>3019.11</v>
      </c>
      <c r="AG398">
        <f>AD398-Q398-AF398-T398</f>
        <v>52391.89</v>
      </c>
      <c r="AH398">
        <f>AE398-Q398-AF398-T398</f>
        <v>83300.89</v>
      </c>
      <c r="AI398">
        <f>AG398/X398</f>
        <v>0.16346923556942278</v>
      </c>
      <c r="AJ398">
        <f>AH398/Y398</f>
        <v>0.2252593023255814</v>
      </c>
      <c r="AK398">
        <f>X398-X397</f>
        <v>8100</v>
      </c>
    </row>
    <row r="399">
      <c r="A399">
        <f>HYPERLINK("https://smartstore.naver.com/brickstore2019/products/4684311779",AW:AW)</f>
        <v>4684311779</v>
      </c>
      <c r="C399" t="str">
        <v>캐스퍼 강아지 매트리스 메모리폼 침대</v>
      </c>
      <c r="E399" t="str">
        <v>Casper Dog Bed, Plush Memory Foam</v>
      </c>
      <c r="F399" t="str">
        <v>small</v>
      </c>
      <c r="G399" t="str">
        <f>HYPERLINK("https://www.amazon.com/dp/B07BMKYRHV/ref=cm_sw_r_cp_apa_i_lsgKDbB05JAD4?th=1","A")</f>
        <v>A</v>
      </c>
      <c r="J399">
        <v>125</v>
      </c>
      <c r="K399">
        <v>17.5</v>
      </c>
      <c r="L399">
        <f>IF(K399&gt;0,K399*16,)</f>
        <v>280</v>
      </c>
      <c r="M399">
        <f>IF(K399&gt;0,K399*0.453592,IF(L399&gt;0,L399*0.02835,))</f>
        <v>7.93786</v>
      </c>
      <c r="N399">
        <v>0</v>
      </c>
      <c r="O399">
        <v>0</v>
      </c>
      <c r="P399">
        <f>J399+O399+N399</f>
        <v>125</v>
      </c>
      <c r="Q399">
        <f>P399*C$3</f>
        <v>156250</v>
      </c>
      <c r="R399">
        <v>0</v>
      </c>
      <c r="S399">
        <f>ROUND(SUM(Q399:R399), -2)</f>
        <v>156300</v>
      </c>
      <c r="T399">
        <f>ROUNDUP(HLOOKUP(ROUNDUP(K399,0),'배송비 조회'!A$10:U$22,7,0)*C$3,-2)</f>
        <v>46200</v>
      </c>
      <c r="U399">
        <v>0</v>
      </c>
      <c r="V399">
        <f>ROUND(IF(R399&gt;0,0,(S399+T399)*0.2),-2)</f>
        <v>40500</v>
      </c>
      <c r="W399">
        <f>ROUND(IF(R399&gt;0,0,(S399+T399)*0.5),-2)</f>
        <v>101300</v>
      </c>
      <c r="X399">
        <f>IF(R399&gt;0,SUM(S399:T399),SUM(S399:V399))</f>
        <v>243000</v>
      </c>
      <c r="Y399">
        <f>IF(R399&gt;0,SUM(S399:T399),SUM(S399:U399)+W399)</f>
        <v>303800</v>
      </c>
      <c r="Z399">
        <v>0</v>
      </c>
      <c r="AA399">
        <f>X399*0.038</f>
        <v>9234</v>
      </c>
      <c r="AB399">
        <f>X399*0.02</f>
        <v>4860</v>
      </c>
      <c r="AC399">
        <f>Y399*0.1</f>
        <v>30380</v>
      </c>
      <c r="AD399">
        <f>X399-AA399-AB399</f>
        <v>228906</v>
      </c>
      <c r="AE399">
        <f>Y399-AC399</f>
        <v>273420</v>
      </c>
      <c r="AF399">
        <f>AD399*0.01</f>
        <v>2289.06</v>
      </c>
      <c r="AG399">
        <f>AD399-Q399-AF399-T399</f>
        <v>24166.940000000002</v>
      </c>
      <c r="AH399">
        <f>AE399-Q399-AF399-T399</f>
        <v>68680.94</v>
      </c>
      <c r="AI399">
        <f>AG399/X399</f>
        <v>0.09945242798353911</v>
      </c>
      <c r="AJ399">
        <f>AH399/Y399</f>
        <v>0.22607287689269256</v>
      </c>
      <c r="AW399">
        <v>4684311779</v>
      </c>
    </row>
    <row r="400">
      <c r="F400" t="str">
        <v>medium</v>
      </c>
      <c r="G400" t="str">
        <f>HYPERLINK("https://www.amazon.com/dp/B07BMKYZ59/ref=cm_sw_r_cp_apa_i_lsgKDbB05JAD4?th=1","A")</f>
        <v>A</v>
      </c>
      <c r="J400">
        <v>150</v>
      </c>
      <c r="K400">
        <v>20</v>
      </c>
      <c r="L400">
        <f>IF(K400&gt;0,K400*16,)</f>
        <v>320</v>
      </c>
      <c r="M400">
        <f>IF(K400&gt;0,K400*0.453592,IF(L400&gt;0,L400*0.02835,))</f>
        <v>9.07184</v>
      </c>
      <c r="N400">
        <v>0</v>
      </c>
      <c r="O400">
        <v>0</v>
      </c>
      <c r="P400">
        <f>J400+O400+N400</f>
        <v>150</v>
      </c>
      <c r="Q400">
        <f>P400*C$3</f>
        <v>187500</v>
      </c>
      <c r="R400">
        <v>0</v>
      </c>
      <c r="S400">
        <f>ROUND(SUM(Q400:R400), -2)</f>
        <v>187500</v>
      </c>
      <c r="T400">
        <f>ROUNDUP(HLOOKUP(ROUNDUP(K400,0),'배송비 조회'!A$10:U$22,7,0)*C$3,-2)</f>
        <v>50600</v>
      </c>
      <c r="U400">
        <v>0</v>
      </c>
      <c r="V400">
        <f>ROUND(IF(R400&gt;0,0,(S400+T400)*0.2),-2)</f>
        <v>47600</v>
      </c>
      <c r="W400">
        <f>ROUND(IF(R400&gt;0,0,(S400+T400)*0.5),-2)</f>
        <v>119100</v>
      </c>
      <c r="X400">
        <f>IF(R400&gt;0,SUM(S400:T400),SUM(S400:V400))</f>
        <v>285700</v>
      </c>
      <c r="Y400">
        <f>IF(R400&gt;0,SUM(S400:T400),SUM(S400:U400)+W400)</f>
        <v>357200</v>
      </c>
      <c r="Z400">
        <v>0</v>
      </c>
      <c r="AA400">
        <f>X400*0.038</f>
        <v>10856.6</v>
      </c>
      <c r="AB400">
        <f>X400*0.02</f>
        <v>5714</v>
      </c>
      <c r="AC400">
        <f>Y400*0.1</f>
        <v>35720</v>
      </c>
      <c r="AD400">
        <f>X400-AA400-AB400</f>
        <v>269129.4</v>
      </c>
      <c r="AE400">
        <f>Y400-AC400</f>
        <v>321480</v>
      </c>
      <c r="AF400">
        <f>AD400*0.01</f>
        <v>2691.2940000000003</v>
      </c>
      <c r="AG400">
        <f>AD400-Q400-AF400-T400</f>
        <v>28338.10600000003</v>
      </c>
      <c r="AH400">
        <f>AE400-Q400-AF400-T400</f>
        <v>80688.706</v>
      </c>
      <c r="AI400">
        <f>AG400/X400</f>
        <v>0.09918833041652093</v>
      </c>
      <c r="AJ400">
        <f>AH400/Y400</f>
        <v>0.2258922340425532</v>
      </c>
      <c r="AK400">
        <f>X400-X399</f>
        <v>42700</v>
      </c>
    </row>
    <row r="401">
      <c r="A401">
        <f>HYPERLINK("https://smartstore.naver.com/brickstore2019/products/4684341952",AW:AW)</f>
        <v>4684341952</v>
      </c>
      <c r="C401" t="str">
        <v>캐스퍼 중독 배게 쿨링 배게 (무료배송)</v>
      </c>
      <c r="E401" t="str">
        <v>Casper Sleep Pillow for Sleeping, Standard, White</v>
      </c>
      <c r="F401" t="str">
        <v>standard</v>
      </c>
      <c r="G401" t="str">
        <f>HYPERLINK("https://www.amazon.com/Casper-Pillow-Sleeping-Standard-White/dp/B07KRKFLCT?ref_=ast_sto_dp&amp;th=1","A")</f>
        <v>A</v>
      </c>
      <c r="J401">
        <v>65</v>
      </c>
      <c r="K401">
        <v>5</v>
      </c>
      <c r="L401">
        <f>IF(K401&gt;0,K401*16,)</f>
        <v>80</v>
      </c>
      <c r="M401">
        <f>IF(K401&gt;0,K401*0.453592,IF(L401&gt;0,L401*0.02835,))</f>
        <v>2.26796</v>
      </c>
      <c r="N401">
        <v>0</v>
      </c>
      <c r="O401">
        <v>0</v>
      </c>
      <c r="P401">
        <f>J401+O401+N401</f>
        <v>65</v>
      </c>
      <c r="Q401">
        <f>P401*C$3</f>
        <v>81250</v>
      </c>
      <c r="R401">
        <v>0</v>
      </c>
      <c r="S401">
        <f>ROUND(SUM(Q401:R401), -2)</f>
        <v>81300</v>
      </c>
      <c r="T401">
        <f>ROUNDUP(HLOOKUP(ROUNDUP(K401,0),'배송비 조회'!A$10:U$22,7,0)*C$3,-2)</f>
        <v>17800</v>
      </c>
      <c r="U401">
        <v>0</v>
      </c>
      <c r="V401">
        <f>ROUND(IF(R401&gt;0,0,(S401+T401)*0.3),-2)</f>
        <v>29700</v>
      </c>
      <c r="W401">
        <f>ROUND(IF(R401&gt;0,0,(S401+T401)*0.5),-2)</f>
        <v>49600</v>
      </c>
      <c r="X401">
        <f>IF(R401&gt;0,SUM(S401:T401),SUM(S401:V401))</f>
        <v>128800</v>
      </c>
      <c r="Y401">
        <f>IF(R401&gt;0,SUM(S401:T401),SUM(S401:U401)+W401)</f>
        <v>148700</v>
      </c>
      <c r="Z401">
        <v>0</v>
      </c>
      <c r="AA401">
        <f>X401*0.038</f>
        <v>4894.4</v>
      </c>
      <c r="AB401">
        <f>X401*0.02</f>
        <v>2576</v>
      </c>
      <c r="AC401">
        <f>Y401*0.1</f>
        <v>14870</v>
      </c>
      <c r="AD401">
        <f>X401-AA401-AB401</f>
        <v>121329.6</v>
      </c>
      <c r="AE401">
        <f>Y401-AC401</f>
        <v>133830</v>
      </c>
      <c r="AF401">
        <f>AD401*0.01</f>
        <v>1213.296</v>
      </c>
      <c r="AG401">
        <f>AD401-Q401-AF401-T401</f>
        <v>21066.304000000004</v>
      </c>
      <c r="AH401">
        <f>AE401-Q401-AF401-T401</f>
        <v>33566.704</v>
      </c>
      <c r="AI401">
        <f>AG401/X401</f>
        <v>0.16355826086956524</v>
      </c>
      <c r="AJ401">
        <f>AH401/Y401</f>
        <v>0.22573439139206455</v>
      </c>
      <c r="AW401">
        <v>4684341952</v>
      </c>
    </row>
    <row r="402">
      <c r="F402" t="str">
        <v>king</v>
      </c>
      <c r="G402" t="str">
        <f>HYPERLINK("https://www.amazon.com/Casper-Pillow-Sleeping-Standard-White/dp/B07NHZGKKF?ref_=ast_sto_dp&amp;th=1","A")</f>
        <v>A</v>
      </c>
      <c r="J402">
        <v>85</v>
      </c>
      <c r="K402">
        <v>7</v>
      </c>
      <c r="L402">
        <f>IF(K402&gt;0,K402*16,)</f>
        <v>112</v>
      </c>
      <c r="M402">
        <f>IF(K402&gt;0,K402*0.453592,IF(L402&gt;0,L402*0.02835,))</f>
        <v>3.175144</v>
      </c>
      <c r="N402">
        <v>0</v>
      </c>
      <c r="O402">
        <v>0</v>
      </c>
      <c r="P402">
        <f>J402+O402+N402</f>
        <v>85</v>
      </c>
      <c r="Q402">
        <f>P402*C$3</f>
        <v>106250</v>
      </c>
      <c r="R402">
        <v>0</v>
      </c>
      <c r="S402">
        <f>ROUND(SUM(Q402:R402), -2)</f>
        <v>106300</v>
      </c>
      <c r="T402">
        <f>ROUNDUP(HLOOKUP(ROUNDUP(K402,0),'배송비 조회'!A$10:U$22,7,0)*C$3,-2)</f>
        <v>22200</v>
      </c>
      <c r="U402">
        <v>0</v>
      </c>
      <c r="V402">
        <f>ROUND(IF(R402&gt;0,0,(S402+T402)*0.3),-2)</f>
        <v>38600</v>
      </c>
      <c r="W402">
        <f>ROUND(IF(R402&gt;0,0,(S402+T402)*0.5),-2)</f>
        <v>64300</v>
      </c>
      <c r="X402">
        <f>IF(R402&gt;0,SUM(S402:T402),SUM(S402:V402))</f>
        <v>167100</v>
      </c>
      <c r="Y402">
        <f>IF(R402&gt;0,SUM(S402:T402),SUM(S402:U402)+W402)</f>
        <v>192800</v>
      </c>
      <c r="Z402">
        <v>0</v>
      </c>
      <c r="AA402">
        <f>X402*0.038</f>
        <v>6349.8</v>
      </c>
      <c r="AB402">
        <f>X402*0.02</f>
        <v>3342</v>
      </c>
      <c r="AC402">
        <f>Y402*0.1</f>
        <v>19280</v>
      </c>
      <c r="AD402">
        <f>X402-AA402-AB402</f>
        <v>157408.2</v>
      </c>
      <c r="AE402">
        <f>Y402-AC402</f>
        <v>173520</v>
      </c>
      <c r="AF402">
        <f>AD402*0.01</f>
        <v>1574.082</v>
      </c>
      <c r="AG402">
        <f>AD402-Q402-AF402-T402</f>
        <v>27384.11800000001</v>
      </c>
      <c r="AH402">
        <f>AE402-Q402-AF402-T402</f>
        <v>43495.918000000005</v>
      </c>
      <c r="AI402">
        <f>AG402/X402</f>
        <v>0.16387862357869545</v>
      </c>
      <c r="AJ402">
        <f>AH402/Y402</f>
        <v>0.22560123443983404</v>
      </c>
      <c r="AK402">
        <f>X402-X401</f>
        <v>38300</v>
      </c>
    </row>
    <row r="403">
      <c r="A403">
        <f>HYPERLINK("https://smartstore.naver.com/brickstore2019/products/4684353859",AW:AW)</f>
        <v>4684353859</v>
      </c>
      <c r="C403" t="str">
        <v>롯지 무쇠팬 무쇠웍 14인치 Lodge Iron Wok</v>
      </c>
      <c r="E403" t="str">
        <v>Lodge P14W3 Pro-Logic Cast Iron Wok, 14-inch, Black</v>
      </c>
      <c r="G403" t="str">
        <f>HYPERLINK("https://www.amazon.com/dp/B00063RXQK/ref=cm_sw_r_cp_apa_i_wLfKDbN4ZB75Y","A")</f>
        <v>A</v>
      </c>
      <c r="J403">
        <v>50</v>
      </c>
      <c r="K403">
        <v>13</v>
      </c>
      <c r="L403">
        <f>IF(K403&gt;0,K403*16,)</f>
        <v>208</v>
      </c>
      <c r="M403">
        <f>IF(K403&gt;0,K403*0.453592,IF(L403&gt;0,L403*0.02835,))</f>
        <v>5.896696</v>
      </c>
      <c r="N403">
        <v>0</v>
      </c>
      <c r="O403">
        <v>0</v>
      </c>
      <c r="P403">
        <f>J403+O403+N403</f>
        <v>50</v>
      </c>
      <c r="Q403">
        <f>P403*C$3</f>
        <v>62500</v>
      </c>
      <c r="R403">
        <v>0</v>
      </c>
      <c r="S403">
        <f>ROUND(SUM(Q403:R403), -2)</f>
        <v>62500</v>
      </c>
      <c r="T403">
        <f>ROUNDUP(HLOOKUP(ROUNDUP(K403,0),'배송비 조회'!A$10:U$22,7,0)*C$3,-2)</f>
        <v>35300</v>
      </c>
      <c r="U403">
        <v>0</v>
      </c>
      <c r="V403">
        <f>ROUND(IF(R403&gt;0,0,(S403+T403)*0.3),-2)</f>
        <v>29300</v>
      </c>
      <c r="W403">
        <f>ROUND(IF(R403&gt;0,0,(S403+T403)*0.5),-2)</f>
        <v>48900</v>
      </c>
      <c r="X403">
        <f>IF(R403&gt;0,SUM(S403:T403),SUM(S403:V403))</f>
        <v>127100</v>
      </c>
      <c r="Y403">
        <f>IF(R403&gt;0,SUM(S403:T403),SUM(S403:U403)+W403)</f>
        <v>146700</v>
      </c>
      <c r="Z403">
        <v>0</v>
      </c>
      <c r="AA403">
        <f>X403*0.038</f>
        <v>4829.8</v>
      </c>
      <c r="AB403">
        <f>X403*0.02</f>
        <v>2542</v>
      </c>
      <c r="AC403">
        <f>Y403*0.1</f>
        <v>14670</v>
      </c>
      <c r="AD403">
        <f>X403-AA403-AB403</f>
        <v>119728.2</v>
      </c>
      <c r="AE403">
        <f>Y403-AC403</f>
        <v>132030</v>
      </c>
      <c r="AF403">
        <f>AD403*0.01</f>
        <v>1197.282</v>
      </c>
      <c r="AG403">
        <f>AD403-Q403-AF403-T403</f>
        <v>20730.917999999998</v>
      </c>
      <c r="AH403">
        <f>AE403-Q403-AF403-T403</f>
        <v>33032.71799999999</v>
      </c>
      <c r="AI403">
        <f>AG403/X403</f>
        <v>0.16310714398111723</v>
      </c>
      <c r="AJ403">
        <f>AH403/Y403</f>
        <v>0.22517190184049074</v>
      </c>
      <c r="AW403">
        <v>4684353859</v>
      </c>
    </row>
    <row r="404">
      <c r="A404">
        <f>HYPERLINK("https://smartstore.naver.com/brickstore2019/products/4684369901",AW:AW)</f>
        <v>4684369901</v>
      </c>
      <c r="C404" t="str">
        <v>IKANZI 블루투스 무선 이어폰 iPX7 방수 72H 블랙, 화이트</v>
      </c>
      <c r="E404" t="str">
        <v>[Updated Version] Wireless Earbuds Bluetooth Headphones IKANZI iPX7 Waterproof 72H Cycle Play Time, 2200mAh Bluetooth 5.0 Auto Pairing Wireless Earphones Bluetooth Headset with Charging (Bright Black)</v>
      </c>
      <c r="F404" t="str">
        <v>Bright Black</v>
      </c>
      <c r="G404" t="str">
        <f>HYPERLINK("https://www.amazon.com/dp/B07G9YJ8GD/ref=cm_sw_r_cp_apa_i_68fKDbEPCM79E?th=1","A")</f>
        <v>A</v>
      </c>
      <c r="J404">
        <v>44</v>
      </c>
      <c r="K404">
        <f>IF(L404&gt;0,L404*0.0625,)</f>
        <v>0.5</v>
      </c>
      <c r="L404">
        <v>8</v>
      </c>
      <c r="M404">
        <f>IF(K404&gt;0,K404*0.453592,IF(L404&gt;0,L404*0.02835,))</f>
        <v>0.226796</v>
      </c>
      <c r="N404">
        <v>0</v>
      </c>
      <c r="O404">
        <v>0</v>
      </c>
      <c r="P404">
        <f>J404+O404+N404</f>
        <v>44</v>
      </c>
      <c r="Q404">
        <f>P404*C$3</f>
        <v>55000</v>
      </c>
      <c r="R404">
        <v>0</v>
      </c>
      <c r="S404">
        <f>ROUND(SUM(Q404:R404), -2)</f>
        <v>55000</v>
      </c>
      <c r="T404">
        <f>ROUNDUP(HLOOKUP(ROUNDUP(K404,0),'배송비 조회'!A$10:U$22,7,0)*C$3,-2)</f>
        <v>9000</v>
      </c>
      <c r="U404">
        <v>0</v>
      </c>
      <c r="V404">
        <f>ROUND(IF(R404&gt;0,0,(S404+T404)*0.3),-2)</f>
        <v>19200</v>
      </c>
      <c r="W404">
        <f>ROUND(IF(R404&gt;0,0,(S404+T404)*0.5),-2)</f>
        <v>32000</v>
      </c>
      <c r="X404">
        <f>IF(R404&gt;0,SUM(S404:T404),SUM(S404:V404))</f>
        <v>83200</v>
      </c>
      <c r="Y404">
        <f>IF(R404&gt;0,SUM(S404:T404),SUM(S404:U404)+W404)</f>
        <v>96000</v>
      </c>
      <c r="Z404">
        <v>0</v>
      </c>
      <c r="AA404">
        <f>X404*0.038</f>
        <v>3161.6</v>
      </c>
      <c r="AB404">
        <f>X404*0.02</f>
        <v>1664</v>
      </c>
      <c r="AC404">
        <f>Y404*0.1</f>
        <v>9600</v>
      </c>
      <c r="AD404">
        <f>X404-AA404-AB404</f>
        <v>78374.4</v>
      </c>
      <c r="AE404">
        <f>Y404-AC404</f>
        <v>86400</v>
      </c>
      <c r="AF404">
        <f>AD404*0.01</f>
        <v>783.7439999999999</v>
      </c>
      <c r="AG404">
        <f>AD404-Q404-AF404-T404</f>
        <v>13590.655999999995</v>
      </c>
      <c r="AH404">
        <f>AE404-Q404-AF404-T404</f>
        <v>21616.256</v>
      </c>
      <c r="AI404">
        <f>AG404/X404</f>
        <v>0.16334923076923072</v>
      </c>
      <c r="AJ404">
        <f>AH404/Y404</f>
        <v>0.22516933333333333</v>
      </c>
      <c r="AW404">
        <v>4684369901</v>
      </c>
    </row>
    <row r="405">
      <c r="F405" t="str">
        <v>White</v>
      </c>
      <c r="G405" t="str">
        <f>HYPERLINK("https://www.amazon.com/dp/B07JWC9G6X/ref=cm_sw_r_cp_apa_i_68fKDbEPCM79E?th=1","A")</f>
        <v>A</v>
      </c>
      <c r="J405">
        <v>44</v>
      </c>
      <c r="K405">
        <f>IF(L405&gt;0,L405*0.0625,)</f>
        <v>0.5</v>
      </c>
      <c r="L405">
        <v>8</v>
      </c>
      <c r="M405">
        <f>IF(K405&gt;0,K405*0.453592,IF(L405&gt;0,L405*0.02835,))</f>
        <v>0.226796</v>
      </c>
      <c r="N405">
        <v>0</v>
      </c>
      <c r="O405">
        <v>0</v>
      </c>
      <c r="P405">
        <f>J405+O405+N405</f>
        <v>44</v>
      </c>
      <c r="Q405">
        <f>P405*C$3</f>
        <v>55000</v>
      </c>
      <c r="R405">
        <v>0</v>
      </c>
      <c r="S405">
        <f>ROUND(SUM(Q405:R405), -2)</f>
        <v>55000</v>
      </c>
      <c r="T405">
        <f>ROUNDUP(HLOOKUP(ROUNDUP(K405,0),'배송비 조회'!A$10:U$22,7,0)*C$3,-2)</f>
        <v>9000</v>
      </c>
      <c r="U405">
        <v>0</v>
      </c>
      <c r="V405">
        <f>ROUND(IF(R405&gt;0,0,(S405+T405)*0.3),-2)</f>
        <v>19200</v>
      </c>
      <c r="W405">
        <f>ROUND(IF(R405&gt;0,0,(S405+T405)*0.5),-2)</f>
        <v>32000</v>
      </c>
      <c r="X405">
        <f>IF(R405&gt;0,SUM(S405:T405),SUM(S405:V405))</f>
        <v>83200</v>
      </c>
      <c r="Y405">
        <f>IF(R405&gt;0,SUM(S405:T405),SUM(S405:U405)+W405)</f>
        <v>96000</v>
      </c>
      <c r="Z405">
        <v>0</v>
      </c>
      <c r="AA405">
        <f>X405*0.038</f>
        <v>3161.6</v>
      </c>
      <c r="AB405">
        <f>X405*0.02</f>
        <v>1664</v>
      </c>
      <c r="AC405">
        <f>Y405*0.1</f>
        <v>9600</v>
      </c>
      <c r="AD405">
        <f>X405-AA405-AB405</f>
        <v>78374.4</v>
      </c>
      <c r="AE405">
        <f>Y405-AC405</f>
        <v>86400</v>
      </c>
      <c r="AF405">
        <f>AD405*0.01</f>
        <v>783.7439999999999</v>
      </c>
      <c r="AG405">
        <f>AD405-Q405-AF405-T405</f>
        <v>13590.655999999995</v>
      </c>
      <c r="AH405">
        <f>AE405-Q405-AF405-T405</f>
        <v>21616.256</v>
      </c>
      <c r="AI405">
        <f>AG405/X405</f>
        <v>0.16334923076923072</v>
      </c>
      <c r="AJ405">
        <f>AH405/Y405</f>
        <v>0.22516933333333333</v>
      </c>
    </row>
    <row r="406">
      <c r="A406">
        <f>HYPERLINK("https://smartstore.naver.com/brickstore2019/products/4685215187",AW:AW)</f>
        <v>4685215187</v>
      </c>
      <c r="C406" t="str">
        <v>TOZO T1 무선 블루투스5.0 IPX8 방수 무선충전 이어폰</v>
      </c>
      <c r="E406" t="str">
        <v>TOZO T10 Bluetooth 5.0 Wireless Earbuds with 【Wireless Charging Case】 IPX8 Waterproof TWS Stereo Headphones in-Ear Built-in Mic Headset Premium Sound with Deep Bass for Sport</v>
      </c>
      <c r="F406" t="str">
        <v>Black</v>
      </c>
      <c r="G406" t="str">
        <f>HYPERLINK("https://www.amazon.com/TOZO-Bluetooth-Wireless-Headphones-Waterproof/dp/B07J2Z5DBM?ref_=ast_sto_dp&amp;th=1","A")</f>
        <v>A</v>
      </c>
      <c r="J406">
        <v>50</v>
      </c>
      <c r="K406">
        <f>IF(L406&gt;0,L406*0.0625,)</f>
        <v>0.4125</v>
      </c>
      <c r="L406">
        <v>6.6</v>
      </c>
      <c r="M406">
        <f>IF(K406&gt;0,K406*0.453592,IF(L406&gt;0,L406*0.02835,))</f>
        <v>0.1871067</v>
      </c>
      <c r="N406">
        <v>0</v>
      </c>
      <c r="O406">
        <v>0</v>
      </c>
      <c r="P406">
        <f>J406+O406+N406</f>
        <v>50</v>
      </c>
      <c r="Q406">
        <f>P406*C$3</f>
        <v>62500</v>
      </c>
      <c r="R406">
        <v>0</v>
      </c>
      <c r="S406">
        <f>ROUND(SUM(Q406:R406), -2)</f>
        <v>62500</v>
      </c>
      <c r="T406">
        <f>ROUNDUP(HLOOKUP(ROUNDUP(K406,0),'배송비 조회'!A$10:U$22,7,0)*C$3,-2)</f>
        <v>9000</v>
      </c>
      <c r="U406">
        <v>0</v>
      </c>
      <c r="V406">
        <f>ROUND(IF(R406&gt;0,0,(S406+T406)*0.3),-2)</f>
        <v>21500</v>
      </c>
      <c r="W406">
        <f>ROUND(IF(R406&gt;0,0,(S406+T406)*0.5),-2)</f>
        <v>35800</v>
      </c>
      <c r="X406">
        <f>IF(R406&gt;0,SUM(S406:T406),SUM(S406:V406))</f>
        <v>93000</v>
      </c>
      <c r="Y406">
        <f>IF(R406&gt;0,SUM(S406:T406),SUM(S406:U406)+W406)</f>
        <v>107300</v>
      </c>
      <c r="Z406">
        <v>0</v>
      </c>
      <c r="AA406">
        <f>X406*0.038</f>
        <v>3534</v>
      </c>
      <c r="AB406">
        <f>X406*0.02</f>
        <v>1860</v>
      </c>
      <c r="AC406">
        <f>Y406*0.1</f>
        <v>10730</v>
      </c>
      <c r="AD406">
        <f>X406-AA406-AB406</f>
        <v>87606</v>
      </c>
      <c r="AE406">
        <f>Y406-AC406</f>
        <v>96570</v>
      </c>
      <c r="AF406">
        <f>AD406*0.01</f>
        <v>876.0600000000001</v>
      </c>
      <c r="AG406">
        <f>AD406-Q406-AF406-T406</f>
        <v>15229.939999999999</v>
      </c>
      <c r="AH406">
        <f>AE406-Q406-AF406-T406</f>
        <v>24193.940000000002</v>
      </c>
      <c r="AI406">
        <f>AG406/X406</f>
        <v>0.1637627956989247</v>
      </c>
      <c r="AJ406">
        <f>AH406/Y406</f>
        <v>0.22547940354147253</v>
      </c>
      <c r="AW406">
        <v>4685215187</v>
      </c>
    </row>
    <row r="407">
      <c r="F407" t="str">
        <v>Blue</v>
      </c>
      <c r="G407" t="str">
        <f>HYPERLINK("https://www.amazon.com/TOZO-Bluetooth-Wireless-Headphones-Waterproof/dp/B07VT7DD48?ref_=ast_sto_dp&amp;th=1","A")</f>
        <v>A</v>
      </c>
      <c r="J407">
        <v>50</v>
      </c>
      <c r="K407">
        <f>IF(L407&gt;0,L407*0.0625,)</f>
        <v>0.4125</v>
      </c>
      <c r="L407">
        <v>6.6</v>
      </c>
      <c r="M407">
        <f>IF(K407&gt;0,K407*0.453592,IF(L407&gt;0,L407*0.02835,))</f>
        <v>0.1871067</v>
      </c>
      <c r="N407">
        <v>0</v>
      </c>
      <c r="O407">
        <v>0</v>
      </c>
      <c r="P407">
        <f>J407+O407+N407</f>
        <v>50</v>
      </c>
      <c r="Q407">
        <f>P407*C$3</f>
        <v>62500</v>
      </c>
      <c r="R407">
        <v>0</v>
      </c>
      <c r="S407">
        <f>ROUND(SUM(Q407:R407), -2)</f>
        <v>62500</v>
      </c>
      <c r="T407">
        <f>ROUNDUP(HLOOKUP(ROUNDUP(K407,0),'배송비 조회'!A$10:U$22,7,0)*C$3,-2)</f>
        <v>9000</v>
      </c>
      <c r="U407">
        <v>0</v>
      </c>
      <c r="V407">
        <f>ROUND(IF(R407&gt;0,0,(S407+T407)*0.3),-2)</f>
        <v>21500</v>
      </c>
      <c r="W407">
        <f>ROUND(IF(R407&gt;0,0,(S407+T407)*0.5),-2)</f>
        <v>35800</v>
      </c>
      <c r="X407">
        <f>IF(R407&gt;0,SUM(S407:T407),SUM(S407:V407))</f>
        <v>93000</v>
      </c>
      <c r="Y407">
        <f>IF(R407&gt;0,SUM(S407:T407),SUM(S407:U407)+W407)</f>
        <v>107300</v>
      </c>
      <c r="Z407">
        <v>0</v>
      </c>
      <c r="AA407">
        <f>X407*0.038</f>
        <v>3534</v>
      </c>
      <c r="AB407">
        <f>X407*0.02</f>
        <v>1860</v>
      </c>
      <c r="AC407">
        <f>Y407*0.1</f>
        <v>10730</v>
      </c>
      <c r="AD407">
        <f>X407-AA407-AB407</f>
        <v>87606</v>
      </c>
      <c r="AE407">
        <f>Y407-AC407</f>
        <v>96570</v>
      </c>
      <c r="AF407">
        <f>AD407*0.01</f>
        <v>876.0600000000001</v>
      </c>
      <c r="AG407">
        <f>AD407-Q407-AF407-T407</f>
        <v>15229.939999999999</v>
      </c>
      <c r="AH407">
        <f>AE407-Q407-AF407-T407</f>
        <v>24193.940000000002</v>
      </c>
      <c r="AI407">
        <f>AG407/X407</f>
        <v>0.1637627956989247</v>
      </c>
      <c r="AJ407">
        <f>AH407/Y407</f>
        <v>0.22547940354147253</v>
      </c>
    </row>
    <row r="408">
      <c r="F408" t="str">
        <v>Gray</v>
      </c>
      <c r="G408" t="str">
        <f>HYPERLINK("https://www.amazon.com/TOZO-Bluetooth-Wireless-Headphones-Waterproof/dp/B07VSGLBLZ?ref_=ast_sto_dp&amp;th=1","A")</f>
        <v>A</v>
      </c>
      <c r="J408">
        <v>50</v>
      </c>
      <c r="K408">
        <f>IF(L408&gt;0,L408*0.0625,)</f>
        <v>0.4125</v>
      </c>
      <c r="L408">
        <v>6.6</v>
      </c>
      <c r="M408">
        <f>IF(K408&gt;0,K408*0.453592,IF(L408&gt;0,L408*0.02835,))</f>
        <v>0.1871067</v>
      </c>
      <c r="N408">
        <v>0</v>
      </c>
      <c r="O408">
        <v>0</v>
      </c>
      <c r="P408">
        <f>J408+O408+N408</f>
        <v>50</v>
      </c>
      <c r="Q408">
        <f>P408*C$3</f>
        <v>62500</v>
      </c>
      <c r="R408">
        <v>0</v>
      </c>
      <c r="S408">
        <f>ROUND(SUM(Q408:R408), -2)</f>
        <v>62500</v>
      </c>
      <c r="T408">
        <f>ROUNDUP(HLOOKUP(ROUNDUP(K408,0),'배송비 조회'!A$10:U$22,7,0)*C$3,-2)</f>
        <v>9000</v>
      </c>
      <c r="U408">
        <v>0</v>
      </c>
      <c r="V408">
        <f>ROUND(IF(R408&gt;0,0,(S408+T408)*0.3),-2)</f>
        <v>21500</v>
      </c>
      <c r="W408">
        <f>ROUND(IF(R408&gt;0,0,(S408+T408)*0.5),-2)</f>
        <v>35800</v>
      </c>
      <c r="X408">
        <f>IF(R408&gt;0,SUM(S408:T408),SUM(S408:V408))</f>
        <v>93000</v>
      </c>
      <c r="Y408">
        <f>IF(R408&gt;0,SUM(S408:T408),SUM(S408:U408)+W408)</f>
        <v>107300</v>
      </c>
      <c r="Z408">
        <v>0</v>
      </c>
      <c r="AA408">
        <f>X408*0.038</f>
        <v>3534</v>
      </c>
      <c r="AB408">
        <f>X408*0.02</f>
        <v>1860</v>
      </c>
      <c r="AC408">
        <f>Y408*0.1</f>
        <v>10730</v>
      </c>
      <c r="AD408">
        <f>X408-AA408-AB408</f>
        <v>87606</v>
      </c>
      <c r="AE408">
        <f>Y408-AC408</f>
        <v>96570</v>
      </c>
      <c r="AF408">
        <f>AD408*0.01</f>
        <v>876.0600000000001</v>
      </c>
      <c r="AG408">
        <f>AD408-Q408-AF408-T408</f>
        <v>15229.939999999999</v>
      </c>
      <c r="AH408">
        <f>AE408-Q408-AF408-T408</f>
        <v>24193.940000000002</v>
      </c>
      <c r="AI408">
        <f>AG408/X408</f>
        <v>0.1637627956989247</v>
      </c>
      <c r="AJ408">
        <f>AH408/Y408</f>
        <v>0.22547940354147253</v>
      </c>
    </row>
    <row r="409">
      <c r="F409" t="str">
        <v>White</v>
      </c>
      <c r="G409" t="str">
        <f>HYPERLINK("https://www.amazon.com/TOZO-Bluetooth-Wireless-Headphones-Waterproof/dp/B07RP6NF5J?ref_=ast_sto_dp&amp;th=1","A")</f>
        <v>A</v>
      </c>
      <c r="J409">
        <v>50</v>
      </c>
      <c r="K409">
        <f>IF(L409&gt;0,L409*0.0625,)</f>
        <v>0.4125</v>
      </c>
      <c r="L409">
        <v>6.6</v>
      </c>
      <c r="M409">
        <f>IF(K409&gt;0,K409*0.453592,IF(L409&gt;0,L409*0.02835,))</f>
        <v>0.1871067</v>
      </c>
      <c r="N409">
        <v>0</v>
      </c>
      <c r="O409">
        <v>0</v>
      </c>
      <c r="P409">
        <f>J409+O409+N409</f>
        <v>50</v>
      </c>
      <c r="Q409">
        <f>P409*C$3</f>
        <v>62500</v>
      </c>
      <c r="R409">
        <v>0</v>
      </c>
      <c r="S409">
        <f>ROUND(SUM(Q409:R409), -2)</f>
        <v>62500</v>
      </c>
      <c r="T409">
        <f>ROUNDUP(HLOOKUP(ROUNDUP(K409,0),'배송비 조회'!A$10:U$22,7,0)*C$3,-2)</f>
        <v>9000</v>
      </c>
      <c r="U409">
        <v>0</v>
      </c>
      <c r="V409">
        <f>ROUND(IF(R409&gt;0,0,(S409+T409)*0.3),-2)</f>
        <v>21500</v>
      </c>
      <c r="W409">
        <f>ROUND(IF(R409&gt;0,0,(S409+T409)*0.5),-2)</f>
        <v>35800</v>
      </c>
      <c r="X409">
        <f>IF(R409&gt;0,SUM(S409:T409),SUM(S409:V409))</f>
        <v>93000</v>
      </c>
      <c r="Y409">
        <f>IF(R409&gt;0,SUM(S409:T409),SUM(S409:U409)+W409)</f>
        <v>107300</v>
      </c>
      <c r="Z409">
        <v>0</v>
      </c>
      <c r="AA409">
        <f>X409*0.038</f>
        <v>3534</v>
      </c>
      <c r="AB409">
        <f>X409*0.02</f>
        <v>1860</v>
      </c>
      <c r="AC409">
        <f>Y409*0.1</f>
        <v>10730</v>
      </c>
      <c r="AD409">
        <f>X409-AA409-AB409</f>
        <v>87606</v>
      </c>
      <c r="AE409">
        <f>Y409-AC409</f>
        <v>96570</v>
      </c>
      <c r="AF409">
        <f>AD409*0.01</f>
        <v>876.0600000000001</v>
      </c>
      <c r="AG409">
        <f>AD409-Q409-AF409-T409</f>
        <v>15229.939999999999</v>
      </c>
      <c r="AH409">
        <f>AE409-Q409-AF409-T409</f>
        <v>24193.940000000002</v>
      </c>
      <c r="AI409">
        <f>AG409/X409</f>
        <v>0.1637627956989247</v>
      </c>
      <c r="AJ409">
        <f>AH409/Y409</f>
        <v>0.22547940354147253</v>
      </c>
    </row>
    <row r="410">
      <c r="F410" t="str">
        <v>Khaki</v>
      </c>
      <c r="G410" t="str">
        <f>HYPERLINK("https://www.amazon.com/TOZO-Bluetooth-Wireless-Headphones-Waterproof/dp/B07VQ82393?ref_=ast_sto_dp&amp;th=1","A")</f>
        <v>A</v>
      </c>
      <c r="J410">
        <v>50</v>
      </c>
      <c r="K410">
        <f>IF(L410&gt;0,L410*0.0625,)</f>
        <v>0.4125</v>
      </c>
      <c r="L410">
        <v>6.6</v>
      </c>
      <c r="M410">
        <f>IF(K410&gt;0,K410*0.453592,IF(L410&gt;0,L410*0.02835,))</f>
        <v>0.1871067</v>
      </c>
      <c r="N410">
        <v>0</v>
      </c>
      <c r="O410">
        <v>0</v>
      </c>
      <c r="P410">
        <f>J410+O410+N410</f>
        <v>50</v>
      </c>
      <c r="Q410">
        <f>P410*C$3</f>
        <v>62500</v>
      </c>
      <c r="R410">
        <v>0</v>
      </c>
      <c r="S410">
        <f>ROUND(SUM(Q410:R410), -2)</f>
        <v>62500</v>
      </c>
      <c r="T410">
        <f>ROUNDUP(HLOOKUP(ROUNDUP(K410,0),'배송비 조회'!A$10:U$22,7,0)*C$3,-2)</f>
        <v>9000</v>
      </c>
      <c r="U410">
        <v>0</v>
      </c>
      <c r="V410">
        <f>ROUND(IF(R410&gt;0,0,(S410+T410)*0.3),-2)</f>
        <v>21500</v>
      </c>
      <c r="W410">
        <f>ROUND(IF(R410&gt;0,0,(S410+T410)*0.5),-2)</f>
        <v>35800</v>
      </c>
      <c r="X410">
        <f>IF(R410&gt;0,SUM(S410:T410),SUM(S410:V410))</f>
        <v>93000</v>
      </c>
      <c r="Y410">
        <f>IF(R410&gt;0,SUM(S410:T410),SUM(S410:U410)+W410)</f>
        <v>107300</v>
      </c>
      <c r="Z410">
        <v>0</v>
      </c>
      <c r="AA410">
        <f>X410*0.038</f>
        <v>3534</v>
      </c>
      <c r="AB410">
        <f>X410*0.02</f>
        <v>1860</v>
      </c>
      <c r="AC410">
        <f>Y410*0.1</f>
        <v>10730</v>
      </c>
      <c r="AD410">
        <f>X410-AA410-AB410</f>
        <v>87606</v>
      </c>
      <c r="AE410">
        <f>Y410-AC410</f>
        <v>96570</v>
      </c>
      <c r="AF410">
        <f>AD410*0.01</f>
        <v>876.0600000000001</v>
      </c>
      <c r="AG410">
        <f>AD410-Q410-AF410-T410</f>
        <v>15229.939999999999</v>
      </c>
      <c r="AH410">
        <f>AE410-Q410-AF410-T410</f>
        <v>24193.940000000002</v>
      </c>
      <c r="AI410">
        <f>AG410/X410</f>
        <v>0.1637627956989247</v>
      </c>
      <c r="AJ410">
        <f>AH410/Y410</f>
        <v>0.22547940354147253</v>
      </c>
    </row>
    <row r="411">
      <c r="A411">
        <f>HYPERLINK("https://smartstore.naver.com/brickstore2019/products/4685207116",AW:AW)</f>
        <v>4685207116</v>
      </c>
      <c r="C411" t="str">
        <v xml:space="preserve">커세어 헤드셋 거치대 USB 포트 CORSAIR ST100 </v>
      </c>
      <c r="E411" t="str">
        <v>CORSAIR ST100 RGB Premium Headset Stand with 7.1 Surround Sound - 3.5mm and 2xUSB 3.0</v>
      </c>
      <c r="G411" t="str">
        <f>HYPERLINK("https://www.amazon.com/CORSAIR-ST100-Premium-Headset-Surround/dp/B074ZQJW9R/ref=as_li_ss_tl?keywords=Corsair&amp;qid=1569378343&amp;s=gateway&amp;sr=8-5&amp;linkCode=sl1&amp;tag=sj0876-20&amp;linkId=728c1704e8f6c54871cb55d7e85cd11b&amp;language=ko_KR","A")</f>
        <v>A</v>
      </c>
      <c r="J411">
        <v>68</v>
      </c>
      <c r="K411">
        <v>2.5</v>
      </c>
      <c r="L411">
        <f>IF(K411&gt;0,K411*16,)</f>
        <v>40</v>
      </c>
      <c r="M411">
        <f>IF(K411&gt;0,K411*0.453592,IF(L411&gt;0,L411*0.02835,))</f>
        <v>1.13398</v>
      </c>
      <c r="N411">
        <v>0</v>
      </c>
      <c r="O411">
        <v>0</v>
      </c>
      <c r="P411">
        <f>J411+O411+N411</f>
        <v>68</v>
      </c>
      <c r="Q411">
        <f>P411*C$3</f>
        <v>85000</v>
      </c>
      <c r="R411">
        <v>0</v>
      </c>
      <c r="S411">
        <f>ROUND(SUM(Q411:R411), -2)</f>
        <v>85000</v>
      </c>
      <c r="T411">
        <f>ROUNDUP(HLOOKUP(ROUNDUP(K411,0),'배송비 조회'!A$10:U$22,7,0)*C$3,-2)</f>
        <v>13400</v>
      </c>
      <c r="U411">
        <v>0</v>
      </c>
      <c r="V411">
        <f>ROUND(IF(R411&gt;0,0,(S411+T411)*0.2),-2)</f>
        <v>19700</v>
      </c>
      <c r="W411">
        <f>ROUND(IF(R411&gt;0,0,(S411+T411)*0.5),-2)</f>
        <v>49200</v>
      </c>
      <c r="X411">
        <f>IF(R411&gt;0,SUM(S411:T411),SUM(S411:V411))</f>
        <v>118100</v>
      </c>
      <c r="Y411">
        <f>IF(R411&gt;0,SUM(S411:T411),SUM(S411:U411)+W411)</f>
        <v>147600</v>
      </c>
      <c r="Z411">
        <v>0</v>
      </c>
      <c r="AA411">
        <f>X411*0.038</f>
        <v>4487.8</v>
      </c>
      <c r="AB411">
        <f>X411*0.02</f>
        <v>2362</v>
      </c>
      <c r="AC411">
        <f>Y411*0.1</f>
        <v>14760</v>
      </c>
      <c r="AD411">
        <f>X411-AA411-AB411</f>
        <v>111250.2</v>
      </c>
      <c r="AE411">
        <f>Y411-AC411</f>
        <v>132840</v>
      </c>
      <c r="AF411">
        <f>AD411*0.01</f>
        <v>1112.502</v>
      </c>
      <c r="AG411">
        <f>AD411-Q411-AF411-T411</f>
        <v>11737.697999999997</v>
      </c>
      <c r="AH411">
        <f>AE411-Q411-AF411-T411</f>
        <v>33327.498</v>
      </c>
      <c r="AI411">
        <f>AG411/X411</f>
        <v>0.09938779000846737</v>
      </c>
      <c r="AJ411">
        <f>AH411/Y411</f>
        <v>0.22579605691056912</v>
      </c>
      <c r="AW411">
        <v>4685207116</v>
      </c>
    </row>
    <row r="412">
      <c r="A412">
        <f>HYPERLINK("https://smartstore.naver.com/brickstore2019/products/4685260309",AW:AW)</f>
        <v>4685260309</v>
      </c>
      <c r="C412" t="str">
        <v>다초점 렌즈 돋보기 안경 블루라이트 차단</v>
      </c>
      <c r="E412" t="str">
        <v>Progressive Multifocus Computer Reading Glasses Blue Light Blocking Titanium Alloy Spring Hinge Multifocal Readers Eyeglasses Anti Glare Eye Strain Light Weight for Men and Women</v>
      </c>
      <c r="F412" t="str">
        <v>Black</v>
      </c>
      <c r="G412" t="str">
        <f>HYPERLINK("https://www.amazon.com/Progressive-Multifocus-Computer-Multifocal-Eyeglasses/dp/B07WNLFSW1/ref=sr_1_1?keywords=multi-focus%2Beyeglasses&amp;qid=1569916860&amp;refinements=p_72%3A2661618011&amp;rnid=2661617011&amp;s=gateway&amp;sr=8-1&amp;th=1","A")</f>
        <v>A</v>
      </c>
      <c r="J412">
        <v>22</v>
      </c>
      <c r="K412">
        <f>IF(L412&gt;0,L412*0.0625,)</f>
        <v>0.3125</v>
      </c>
      <c r="L412">
        <v>5</v>
      </c>
      <c r="M412">
        <f>IF(K412&gt;0,K412*0.453592,IF(L412&gt;0,L412*0.02835,))</f>
        <v>0.1417475</v>
      </c>
      <c r="N412">
        <v>0</v>
      </c>
      <c r="O412">
        <v>0</v>
      </c>
      <c r="P412">
        <f>J412+O412+N412</f>
        <v>22</v>
      </c>
      <c r="Q412">
        <f>P412*C$3</f>
        <v>27500</v>
      </c>
      <c r="R412">
        <v>0</v>
      </c>
      <c r="S412">
        <f>ROUND(SUM(Q412:R412), -2)</f>
        <v>27500</v>
      </c>
      <c r="T412">
        <f>ROUNDUP(HLOOKUP(ROUNDUP(K412,0),'배송비 조회'!A$10:U$22,7,0)*C$3,-2)</f>
        <v>9000</v>
      </c>
      <c r="U412">
        <v>0</v>
      </c>
      <c r="V412">
        <f>ROUND(IF(R412&gt;0,0,(S412+T412)*0.5),-2)</f>
        <v>18300</v>
      </c>
      <c r="W412">
        <f>ROUND(IF(R412&gt;0,0,(S412+T412)*0.5),-2)</f>
        <v>18300</v>
      </c>
      <c r="X412">
        <f>IF(R412&gt;0,SUM(S412:T412),SUM(S412:V412))</f>
        <v>54800</v>
      </c>
      <c r="Y412">
        <f>IF(R412&gt;0,SUM(S412:T412),SUM(S412:U412)+W412)</f>
        <v>54800</v>
      </c>
      <c r="Z412">
        <v>0</v>
      </c>
      <c r="AA412">
        <f>X412*0.038</f>
        <v>2082.4</v>
      </c>
      <c r="AB412">
        <f>X412*0.02</f>
        <v>1096</v>
      </c>
      <c r="AC412">
        <f>Y412*0.1</f>
        <v>5480</v>
      </c>
      <c r="AD412">
        <f>X412-AA412-AB412</f>
        <v>51621.6</v>
      </c>
      <c r="AE412">
        <f>Y412-AC412</f>
        <v>49320</v>
      </c>
      <c r="AF412">
        <f>AD412*0.01</f>
        <v>516.216</v>
      </c>
      <c r="AG412">
        <f>AD412-Q412-AF412-T412</f>
        <v>14605.383999999998</v>
      </c>
      <c r="AH412">
        <f>AE412-Q412-AF412-T412</f>
        <v>12303.784</v>
      </c>
      <c r="AI412">
        <f>AG412/X412</f>
        <v>0.26652160583941603</v>
      </c>
      <c r="AJ412">
        <f>AH412/Y412</f>
        <v>0.22452160583941605</v>
      </c>
      <c r="AW412">
        <v>4685260309</v>
      </c>
    </row>
    <row r="413">
      <c r="F413" t="str">
        <v>Gold</v>
      </c>
      <c r="G413" t="str">
        <f>HYPERLINK("https://www.amazon.com/Progressive-Multifocus-Computer-Multifocal-Eyeglasses/dp/B07WRH6DDJ/ref=sr_1_1?keywords=multi-focus%2Beyeglasses&amp;qid=1569916860&amp;refinements=p_72%3A2661618011&amp;rnid=2661617011&amp;s=gateway&amp;sr=8-1&amp;th=1","A")</f>
        <v>A</v>
      </c>
      <c r="J413">
        <v>22</v>
      </c>
      <c r="K413">
        <f>IF(L413&gt;0,L413*0.0625,)</f>
        <v>0.3125</v>
      </c>
      <c r="L413">
        <v>5</v>
      </c>
      <c r="M413">
        <f>IF(K413&gt;0,K413*0.453592,IF(L413&gt;0,L413*0.02835,))</f>
        <v>0.1417475</v>
      </c>
      <c r="N413">
        <v>0</v>
      </c>
      <c r="O413">
        <v>0</v>
      </c>
      <c r="P413">
        <f>J413+O413+N413</f>
        <v>22</v>
      </c>
      <c r="Q413">
        <f>P413*C$3</f>
        <v>27500</v>
      </c>
      <c r="R413">
        <v>0</v>
      </c>
      <c r="S413">
        <f>ROUND(SUM(Q413:R413), -2)</f>
        <v>27500</v>
      </c>
      <c r="T413">
        <f>ROUNDUP(HLOOKUP(ROUNDUP(K413,0),'배송비 조회'!A$10:U$22,7,0)*C$3,-2)</f>
        <v>9000</v>
      </c>
      <c r="U413">
        <v>0</v>
      </c>
      <c r="V413">
        <f>ROUND(IF(R413&gt;0,0,(S413+T413)*0.5),-2)</f>
        <v>18300</v>
      </c>
      <c r="W413">
        <f>ROUND(IF(R413&gt;0,0,(S413+T413)*0.5),-2)</f>
        <v>18300</v>
      </c>
      <c r="X413">
        <f>IF(R413&gt;0,SUM(S413:T413),SUM(S413:V413))</f>
        <v>54800</v>
      </c>
      <c r="Y413">
        <f>IF(R413&gt;0,SUM(S413:T413),SUM(S413:U413)+W413)</f>
        <v>54800</v>
      </c>
      <c r="Z413">
        <v>0</v>
      </c>
      <c r="AA413">
        <f>X413*0.038</f>
        <v>2082.4</v>
      </c>
      <c r="AB413">
        <f>X413*0.02</f>
        <v>1096</v>
      </c>
      <c r="AC413">
        <f>Y413*0.1</f>
        <v>5480</v>
      </c>
      <c r="AD413">
        <f>X413-AA413-AB413</f>
        <v>51621.6</v>
      </c>
      <c r="AE413">
        <f>Y413-AC413</f>
        <v>49320</v>
      </c>
      <c r="AF413">
        <f>AD413*0.01</f>
        <v>516.216</v>
      </c>
      <c r="AG413">
        <f>AD413-Q413-AF413-T413</f>
        <v>14605.383999999998</v>
      </c>
      <c r="AH413">
        <f>AE413-Q413-AF413-T413</f>
        <v>12303.784</v>
      </c>
      <c r="AI413">
        <f>AG413/X413</f>
        <v>0.26652160583941603</v>
      </c>
      <c r="AJ413">
        <f>AH413/Y413</f>
        <v>0.22452160583941605</v>
      </c>
    </row>
    <row r="414">
      <c r="A414">
        <f>HYPERLINK("https://smartstore.naver.com/brickstore2019/products/4685240947",AW:AW)</f>
        <v>4685240947</v>
      </c>
      <c r="C414" t="str">
        <v>Kuhn Rikon 쿤리콘 간편 안전 통조림 다용도 오프너 병따개</v>
      </c>
      <c r="E414" t="str">
        <v>Kuhn Rikon Auto Safety Smooth Touch Can Opener, No Sharp Edges, Lid Lifter</v>
      </c>
      <c r="F414" t="str">
        <v>Black</v>
      </c>
      <c r="G414" t="str">
        <f>HYPERLINK("https://www.amazon.com/gp/product/B007MASKF8/ref=s9_acsd_top_hd_bw_bD8RUrj_c_x_w?pf_rd_m=ATVPDKIKX0DER&amp;pf_rd_s=merchandised-search-19&amp;pf_rd_r=PKN2AMB5JC1Z5Q7Q49HT&amp;pf_rd_t=101&amp;pf_rd_p=b4123ca8-00d5-4b45-8b3c-d7822c2d2a10&amp;pf_rd_i=12034491011","A")</f>
        <v>A</v>
      </c>
      <c r="J414">
        <v>19</v>
      </c>
      <c r="K414">
        <f>IF(L414&gt;0,L414*0.0625,)</f>
        <v>0.18</v>
      </c>
      <c r="L414">
        <v>2.88</v>
      </c>
      <c r="M414">
        <f>IF(K414&gt;0,K414*0.453592,IF(L414&gt;0,L414*0.02835,))</f>
        <v>0.08164655999999999</v>
      </c>
      <c r="N414">
        <v>0</v>
      </c>
      <c r="O414">
        <v>0</v>
      </c>
      <c r="P414">
        <f>J414+O414+N414</f>
        <v>19</v>
      </c>
      <c r="Q414">
        <f>P414*C$3</f>
        <v>23750</v>
      </c>
      <c r="R414">
        <v>0</v>
      </c>
      <c r="S414">
        <f>ROUND(SUM(Q414:R414), -2)</f>
        <v>23800</v>
      </c>
      <c r="T414">
        <f>ROUNDUP(HLOOKUP(ROUNDUP(K414,0),'배송비 조회'!A$10:U$22,7,0)*C$3,-2)</f>
        <v>9000</v>
      </c>
      <c r="U414">
        <v>0</v>
      </c>
      <c r="V414">
        <f>ROUND(IF(R414&gt;0,0,(S414+T414)*0.5),-2)</f>
        <v>16400</v>
      </c>
      <c r="W414">
        <f>ROUND(IF(R414&gt;0,0,(S414+T414)*0.5),-2)</f>
        <v>16400</v>
      </c>
      <c r="X414">
        <f>IF(R414&gt;0,SUM(S414:T414),SUM(S414:V414))</f>
        <v>49200</v>
      </c>
      <c r="Y414">
        <f>IF(R414&gt;0,SUM(S414:T414),SUM(S414:U414)+W414)</f>
        <v>49200</v>
      </c>
      <c r="Z414">
        <v>0</v>
      </c>
      <c r="AA414">
        <f>X414*0.038</f>
        <v>1869.6</v>
      </c>
      <c r="AB414">
        <f>X414*0.02</f>
        <v>984</v>
      </c>
      <c r="AC414">
        <f>Y414*0.1</f>
        <v>4920</v>
      </c>
      <c r="AD414">
        <f>X414-AA414-AB414</f>
        <v>46346.4</v>
      </c>
      <c r="AE414">
        <f>Y414-AC414</f>
        <v>44280</v>
      </c>
      <c r="AF414">
        <f>AD414*0.01</f>
        <v>463.464</v>
      </c>
      <c r="AG414">
        <f>AD414-Q414-AF414-T414</f>
        <v>13132.936000000002</v>
      </c>
      <c r="AH414">
        <f>AE414-Q414-AF414-T414</f>
        <v>11066.536</v>
      </c>
      <c r="AI414">
        <f>AG414/X414</f>
        <v>0.266929593495935</v>
      </c>
      <c r="AJ414">
        <f>AH414/Y414</f>
        <v>0.22492959349593497</v>
      </c>
      <c r="AW414">
        <v>4685240947</v>
      </c>
    </row>
    <row r="415">
      <c r="F415" t="str">
        <v>Red</v>
      </c>
      <c r="G415" t="str">
        <f>HYPERLINK("https://www.amazon.com/gp/product/B000I7GRUM/ref=s9_acsd_top_hd_bw_bD8RUrj_c_x_w?pf_rd_m=ATVPDKIKX0DER&amp;pf_rd_s=merchandised-search-19&amp;pf_rd_r=PKN2AMB5JC1Z5Q7Q49HT&amp;pf_rd_t=101&amp;pf_rd_p=b4123ca8-00d5-4b45-8b3c-d7822c2d2a10&amp;pf_rd_i=12034491011&amp;th=1","A")</f>
        <v>A</v>
      </c>
      <c r="J415">
        <v>28</v>
      </c>
      <c r="K415">
        <f>IF(L415&gt;0,L415*0.0625,)</f>
        <v>0.18</v>
      </c>
      <c r="L415">
        <v>2.88</v>
      </c>
      <c r="M415">
        <f>IF(K415&gt;0,K415*0.453592,IF(L415&gt;0,L415*0.02835,))</f>
        <v>0.08164655999999999</v>
      </c>
      <c r="N415">
        <v>0</v>
      </c>
      <c r="O415">
        <v>0</v>
      </c>
      <c r="P415">
        <f>J415+O415+N415</f>
        <v>28</v>
      </c>
      <c r="Q415">
        <f>P415*C$3</f>
        <v>35000</v>
      </c>
      <c r="R415">
        <v>0</v>
      </c>
      <c r="S415">
        <f>ROUND(SUM(Q415:R415), -2)</f>
        <v>35000</v>
      </c>
      <c r="T415">
        <f>ROUNDUP(HLOOKUP(ROUNDUP(K415,0),'배송비 조회'!A$10:U$22,7,0)*C$3,-2)</f>
        <v>9000</v>
      </c>
      <c r="U415">
        <v>0</v>
      </c>
      <c r="V415">
        <f>ROUND(IF(R415&gt;0,0,(S415+T415)*0.5),-2)</f>
        <v>22000</v>
      </c>
      <c r="W415">
        <f>ROUND(IF(R415&gt;0,0,(S415+T415)*0.5),-2)</f>
        <v>22000</v>
      </c>
      <c r="X415">
        <f>IF(R415&gt;0,SUM(S415:T415),SUM(S415:V415))</f>
        <v>66000</v>
      </c>
      <c r="Y415">
        <f>IF(R415&gt;0,SUM(S415:T415),SUM(S415:U415)+W415)</f>
        <v>66000</v>
      </c>
      <c r="Z415">
        <v>0</v>
      </c>
      <c r="AA415">
        <f>X415*0.038</f>
        <v>2508</v>
      </c>
      <c r="AB415">
        <f>X415*0.02</f>
        <v>1320</v>
      </c>
      <c r="AC415">
        <f>Y415*0.1</f>
        <v>6600</v>
      </c>
      <c r="AD415">
        <f>X415-AA415-AB415</f>
        <v>62172</v>
      </c>
      <c r="AE415">
        <f>Y415-AC415</f>
        <v>59400</v>
      </c>
      <c r="AF415">
        <f>AD415*0.01</f>
        <v>621.72</v>
      </c>
      <c r="AG415">
        <f>AD415-Q415-AF415-T415</f>
        <v>17550.28</v>
      </c>
      <c r="AH415">
        <f>AE415-Q415-AF415-T415</f>
        <v>14778.279999999999</v>
      </c>
      <c r="AI415">
        <f>AG415/X415</f>
        <v>0.26591333333333333</v>
      </c>
      <c r="AJ415">
        <f>AH415/Y415</f>
        <v>0.22391333333333333</v>
      </c>
      <c r="AK415">
        <f>X415-X414</f>
        <v>16800</v>
      </c>
    </row>
    <row r="416">
      <c r="F416" t="str">
        <v>White</v>
      </c>
      <c r="G416" t="str">
        <f>HYPERLINK("https://www.amazon.com/gp/product/B001UK1BM0/ref=s9_acsd_top_hd_bw_bD8RUrj_c_x_w?pf_rd_m=ATVPDKIKX0DER&amp;pf_rd_s=merchandised-search-19&amp;pf_rd_r=PKN2AMB5JC1Z5Q7Q49HT&amp;pf_rd_t=101&amp;pf_rd_p=b4123ca8-00d5-4b45-8b3c-d7822c2d2a10&amp;pf_rd_i=12034491011&amp;th=1","A")</f>
        <v>A</v>
      </c>
      <c r="J416">
        <v>19</v>
      </c>
      <c r="K416">
        <f>IF(L416&gt;0,L416*0.0625,)</f>
        <v>0.18</v>
      </c>
      <c r="L416">
        <v>2.88</v>
      </c>
      <c r="M416">
        <f>IF(K416&gt;0,K416*0.453592,IF(L416&gt;0,L416*0.02835,))</f>
        <v>0.08164655999999999</v>
      </c>
      <c r="N416">
        <v>0</v>
      </c>
      <c r="O416">
        <v>0</v>
      </c>
      <c r="P416">
        <f>J416+O416+N416</f>
        <v>19</v>
      </c>
      <c r="Q416">
        <f>P416*C$3</f>
        <v>23750</v>
      </c>
      <c r="R416">
        <v>0</v>
      </c>
      <c r="S416">
        <f>ROUND(SUM(Q416:R416), -2)</f>
        <v>23800</v>
      </c>
      <c r="T416">
        <f>ROUNDUP(HLOOKUP(ROUNDUP(K416,0),'배송비 조회'!A$10:U$22,7,0)*C$3,-2)</f>
        <v>9000</v>
      </c>
      <c r="U416">
        <v>0</v>
      </c>
      <c r="V416">
        <f>ROUND(IF(R416&gt;0,0,(S416+T416)*0.5),-2)</f>
        <v>16400</v>
      </c>
      <c r="W416">
        <f>ROUND(IF(R416&gt;0,0,(S416+T416)*0.5),-2)</f>
        <v>16400</v>
      </c>
      <c r="X416">
        <f>IF(R416&gt;0,SUM(S416:T416),SUM(S416:V416))</f>
        <v>49200</v>
      </c>
      <c r="Y416">
        <f>IF(R416&gt;0,SUM(S416:T416),SUM(S416:U416)+W416)</f>
        <v>49200</v>
      </c>
      <c r="Z416">
        <v>0</v>
      </c>
      <c r="AA416">
        <f>X416*0.038</f>
        <v>1869.6</v>
      </c>
      <c r="AB416">
        <f>X416*0.02</f>
        <v>984</v>
      </c>
      <c r="AC416">
        <f>Y416*0.1</f>
        <v>4920</v>
      </c>
      <c r="AD416">
        <f>X416-AA416-AB416</f>
        <v>46346.4</v>
      </c>
      <c r="AE416">
        <f>Y416-AC416</f>
        <v>44280</v>
      </c>
      <c r="AF416">
        <f>AD416*0.01</f>
        <v>463.464</v>
      </c>
      <c r="AG416">
        <f>AD416-Q416-AF416-T416</f>
        <v>13132.936000000002</v>
      </c>
      <c r="AH416">
        <f>AE416-Q416-AF416-T416</f>
        <v>11066.536</v>
      </c>
      <c r="AI416">
        <f>AG416/X416</f>
        <v>0.266929593495935</v>
      </c>
      <c r="AJ416">
        <f>AH416/Y416</f>
        <v>0.22492959349593497</v>
      </c>
    </row>
    <row r="417">
      <c r="A417">
        <f>HYPERLINK("https://smartstore.naver.com/brickstore2019/products/4685277297",AW:AW)</f>
        <v>4685277297</v>
      </c>
      <c r="C417" t="str">
        <v>조디박 이어폰 청소기 Jodi-Vac(무료배송)</v>
      </c>
      <c r="E417" t="str">
        <v>Jodi Consumer Hearing Aid Vacuum Cleaner</v>
      </c>
      <c r="G417" t="str">
        <f>HYPERLINK("https://www.amazon.com/Jodi-Consumer-Hearing-Vacuum-Cleaner/dp/B007ORQ01K/ref=sr_1_1?keywords=jodivac&amp;qid=1569918585&amp;s=gateway&amp;sr=8-1","A")</f>
        <v>A</v>
      </c>
      <c r="J417">
        <v>94</v>
      </c>
      <c r="K417">
        <v>2</v>
      </c>
      <c r="L417">
        <f>IF(K417&gt;0,K417*16,)</f>
        <v>32</v>
      </c>
      <c r="M417">
        <f>IF(K417&gt;0,K417*0.453592,IF(L417&gt;0,L417*0.02835,))</f>
        <v>0.907184</v>
      </c>
      <c r="N417">
        <v>0</v>
      </c>
      <c r="O417">
        <v>0</v>
      </c>
      <c r="P417">
        <f>J417+O417+N417</f>
        <v>94</v>
      </c>
      <c r="Q417">
        <f>P417*C$3</f>
        <v>117500</v>
      </c>
      <c r="R417">
        <v>0</v>
      </c>
      <c r="S417">
        <f>ROUND(SUM(Q417:R417), -2)</f>
        <v>117500</v>
      </c>
      <c r="T417">
        <f>ROUNDUP(HLOOKUP(ROUNDUP(K417,0),'배송비 조회'!A$10:U$22,7,0)*C$3,-2)</f>
        <v>11200</v>
      </c>
      <c r="U417">
        <v>0</v>
      </c>
      <c r="V417">
        <f>ROUND(IF(R417&gt;0,0,(S417+T417)*0.3),-2)</f>
        <v>38600</v>
      </c>
      <c r="W417">
        <f>ROUND(IF(R417&gt;0,0,(S417+T417)*0.5),-2)</f>
        <v>64400</v>
      </c>
      <c r="X417">
        <f>IF(R417&gt;0,SUM(S417:T417),SUM(S417:V417))</f>
        <v>167300</v>
      </c>
      <c r="Y417">
        <f>IF(R417&gt;0,SUM(S417:T417),SUM(S417:U417)+W417)</f>
        <v>193100</v>
      </c>
      <c r="Z417">
        <v>0</v>
      </c>
      <c r="AA417">
        <f>X417*0.038</f>
        <v>6357.4</v>
      </c>
      <c r="AB417">
        <f>X417*0.02</f>
        <v>3346</v>
      </c>
      <c r="AC417">
        <f>Y417*0.1</f>
        <v>19310</v>
      </c>
      <c r="AD417">
        <f>X417-AA417-AB417</f>
        <v>157596.6</v>
      </c>
      <c r="AE417">
        <f>Y417-AC417</f>
        <v>173790</v>
      </c>
      <c r="AF417">
        <f>AD417*0.01</f>
        <v>1575.9660000000001</v>
      </c>
      <c r="AG417">
        <f>AD417-Q417-AF417-T417</f>
        <v>27320.634000000005</v>
      </c>
      <c r="AH417">
        <f>AE417-Q417-AF417-T417</f>
        <v>43514.034</v>
      </c>
      <c r="AI417">
        <f>AG417/X417</f>
        <v>0.16330325164375376</v>
      </c>
      <c r="AJ417">
        <f>AH417/Y417</f>
        <v>0.22534455722423616</v>
      </c>
      <c r="AW417">
        <v>4685277297</v>
      </c>
    </row>
    <row r="418">
      <c r="A418">
        <f>HYPERLINK("https://smartstore.naver.com/brickstore2019/products/4685297191",AW:AW)</f>
        <v>4685297191</v>
      </c>
      <c r="C418" t="str">
        <v>메제 99 시리즈 2.5 밸런스 케이블 MEZE Balanced Cable</v>
      </c>
      <c r="E418" t="str">
        <v>99 Series 2.5 mm Balanced Cable</v>
      </c>
      <c r="G418" t="str">
        <f>HYPERLINK("https://www.amazon.com/99-Series-2-5-Balanced-Cable/dp/B07FQ2BCK5","A")</f>
        <v>A</v>
      </c>
      <c r="J418">
        <v>50</v>
      </c>
      <c r="K418">
        <f>IF(L418&gt;0,L418*0.0625,)</f>
        <v>0.125</v>
      </c>
      <c r="L418">
        <v>2</v>
      </c>
      <c r="M418">
        <f>IF(K418&gt;0,K418*0.453592,IF(L418&gt;0,L418*0.02835,))</f>
        <v>0.056699</v>
      </c>
      <c r="N418">
        <v>0</v>
      </c>
      <c r="O418">
        <v>0</v>
      </c>
      <c r="P418">
        <f>J418+O418+N418</f>
        <v>50</v>
      </c>
      <c r="Q418">
        <f>P418*C$3</f>
        <v>62500</v>
      </c>
      <c r="R418">
        <v>0</v>
      </c>
      <c r="S418">
        <f>ROUND(SUM(Q418:R418), -2)</f>
        <v>62500</v>
      </c>
      <c r="T418">
        <f>ROUNDUP(HLOOKUP(ROUNDUP(K418,0),'배송비 조회'!A$10:U$22,7,0)*C$3,-2)</f>
        <v>9000</v>
      </c>
      <c r="U418">
        <v>0</v>
      </c>
      <c r="V418">
        <f>ROUND(IF(R418&gt;0,0,(S418+T418)*0.3),-2)</f>
        <v>21500</v>
      </c>
      <c r="W418">
        <f>ROUND(IF(R418&gt;0,0,(S418+T418)*0.5),-2)</f>
        <v>35800</v>
      </c>
      <c r="X418">
        <f>IF(R418&gt;0,SUM(S418:T418),SUM(S418:V418))</f>
        <v>93000</v>
      </c>
      <c r="Y418">
        <f>IF(R418&gt;0,SUM(S418:T418),SUM(S418:U418)+W418)</f>
        <v>107300</v>
      </c>
      <c r="Z418">
        <v>0</v>
      </c>
      <c r="AA418">
        <f>X418*0.038</f>
        <v>3534</v>
      </c>
      <c r="AB418">
        <f>X418*0.02</f>
        <v>1860</v>
      </c>
      <c r="AC418">
        <f>Y418*0.1</f>
        <v>10730</v>
      </c>
      <c r="AD418">
        <f>X418-AA418-AB418</f>
        <v>87606</v>
      </c>
      <c r="AE418">
        <f>Y418-AC418</f>
        <v>96570</v>
      </c>
      <c r="AF418">
        <f>AD418*0.01</f>
        <v>876.0600000000001</v>
      </c>
      <c r="AG418">
        <f>AD418-Q418-AF418-T418</f>
        <v>15229.939999999999</v>
      </c>
      <c r="AH418">
        <f>AE418-Q418-AF418-T418</f>
        <v>24193.940000000002</v>
      </c>
      <c r="AI418">
        <f>AG418/X418</f>
        <v>0.1637627956989247</v>
      </c>
      <c r="AJ418">
        <f>AH418/Y418</f>
        <v>0.22547940354147253</v>
      </c>
      <c r="AW418">
        <v>4685297191</v>
      </c>
    </row>
    <row r="419">
      <c r="A419">
        <f>HYPERLINK("https://smartstore.naver.com/brickstore2019/products/4685309861",AW:AW)</f>
        <v>4685309861</v>
      </c>
      <c r="C419" t="str">
        <v>Plantronics BackBeat FIT 3100 플랜트로닉스 백비트 핏 3100 블루투스 이어폰</v>
      </c>
      <c r="E419" t="str">
        <v>Plantronics BackBeat FIT 3100 True Wireless Earbuds, Sweatproof and Waterproof in Ear Workout Headphones, Grey</v>
      </c>
      <c r="F419" t="str">
        <v>Black</v>
      </c>
      <c r="G419" t="str">
        <f>HYPERLINK("https://www.amazon.com/Plantronics-BackBeat-Sweatproof-Waterproof-Headphones/dp/B07FTK45WT/ref=sr_1_3?keywords=Plantronics%2BBackBeat%2BFit%2B3100%2BTrue%2BWireless%2BSports%2BEarbuds&amp;qid=1569917428&amp;s=gateway&amp;sr=8-3&amp;th=1","A")</f>
        <v>A</v>
      </c>
      <c r="J419">
        <v>110</v>
      </c>
      <c r="K419">
        <f>IF(L419&gt;0,L419*0.0625,)</f>
        <v>0.7</v>
      </c>
      <c r="L419">
        <v>11.2</v>
      </c>
      <c r="M419">
        <f>IF(K419&gt;0,K419*0.453592,IF(L419&gt;0,L419*0.02835,))</f>
        <v>0.3175144</v>
      </c>
      <c r="N419">
        <v>0</v>
      </c>
      <c r="O419">
        <v>0</v>
      </c>
      <c r="P419">
        <f>J419+O419+N419</f>
        <v>110</v>
      </c>
      <c r="Q419">
        <f>P419*C$3</f>
        <v>137500</v>
      </c>
      <c r="R419">
        <v>0</v>
      </c>
      <c r="S419">
        <f>ROUND(SUM(Q419:R419), -2)</f>
        <v>137500</v>
      </c>
      <c r="T419">
        <f>ROUNDUP(HLOOKUP(ROUNDUP(K419,0),'배송비 조회'!A$10:U$22,7,0)*C$3,-2)</f>
        <v>9000</v>
      </c>
      <c r="U419">
        <v>0</v>
      </c>
      <c r="V419">
        <f>ROUND(IF(R419&gt;0,0,(S419+T419)*0.3),-2)</f>
        <v>44000</v>
      </c>
      <c r="W419">
        <f>ROUND(IF(R419&gt;0,0,(S419+T419)*0.5),-2)</f>
        <v>73300</v>
      </c>
      <c r="X419">
        <f>IF(R419&gt;0,SUM(S419:T419),SUM(S419:V419))</f>
        <v>190500</v>
      </c>
      <c r="Y419">
        <f>IF(R419&gt;0,SUM(S419:T419),SUM(S419:U419)+W419)</f>
        <v>219800</v>
      </c>
      <c r="Z419">
        <v>0</v>
      </c>
      <c r="AA419">
        <f>X419*0.038</f>
        <v>7239</v>
      </c>
      <c r="AB419">
        <f>X419*0.02</f>
        <v>3810</v>
      </c>
      <c r="AC419">
        <f>Y419*0.1</f>
        <v>21980</v>
      </c>
      <c r="AD419">
        <f>X419-AA419-AB419</f>
        <v>179451</v>
      </c>
      <c r="AE419">
        <f>Y419-AC419</f>
        <v>197820</v>
      </c>
      <c r="AF419">
        <f>AD419*0.01</f>
        <v>1794.51</v>
      </c>
      <c r="AG419">
        <f>AD419-Q419-AF419-T419</f>
        <v>31156.489999999998</v>
      </c>
      <c r="AH419">
        <f>AE419-Q419-AF419-T419</f>
        <v>49525.49</v>
      </c>
      <c r="AI419">
        <f>AG419/X419</f>
        <v>0.16355112860892387</v>
      </c>
      <c r="AJ419">
        <f>AH419/Y419</f>
        <v>0.22532070063694268</v>
      </c>
      <c r="AW419">
        <v>4685309861</v>
      </c>
    </row>
    <row r="420">
      <c r="F420" t="str">
        <v>Gray</v>
      </c>
      <c r="G420" t="str">
        <f>HYPERLINK("https://www.amazon.com/Plantronics-BackBeat-Sweatproof-Waterproof-Headphones/dp/B07FTYGFR2/ref=sr_1_3?keywords=Plantronics%2BBackBeat%2BFit%2B3100%2BTrue%2BWireless%2BSports%2BEarbuds&amp;qid=1569917428&amp;s=gateway&amp;sr=8-3&amp;th=1","A")</f>
        <v>A</v>
      </c>
      <c r="J420">
        <v>110</v>
      </c>
      <c r="K420">
        <f>IF(L420&gt;0,L420*0.0625,)</f>
        <v>0.7</v>
      </c>
      <c r="L420">
        <v>11.2</v>
      </c>
      <c r="M420">
        <f>IF(K420&gt;0,K420*0.453592,IF(L420&gt;0,L420*0.02835,))</f>
        <v>0.3175144</v>
      </c>
      <c r="N420">
        <v>0</v>
      </c>
      <c r="O420">
        <v>0</v>
      </c>
      <c r="P420">
        <f>J420+O420+N420</f>
        <v>110</v>
      </c>
      <c r="Q420">
        <f>P420*C$3</f>
        <v>137500</v>
      </c>
      <c r="R420">
        <v>0</v>
      </c>
      <c r="S420">
        <f>ROUND(SUM(Q420:R420), -2)</f>
        <v>137500</v>
      </c>
      <c r="T420">
        <f>ROUNDUP(HLOOKUP(ROUNDUP(K420,0),'배송비 조회'!A$10:U$22,7,0)*C$3,-2)</f>
        <v>9000</v>
      </c>
      <c r="U420">
        <v>0</v>
      </c>
      <c r="V420">
        <f>ROUND(IF(R420&gt;0,0,(S420+T420)*0.3),-2)</f>
        <v>44000</v>
      </c>
      <c r="W420">
        <f>ROUND(IF(R420&gt;0,0,(S420+T420)*0.5),-2)</f>
        <v>73300</v>
      </c>
      <c r="X420">
        <f>IF(R420&gt;0,SUM(S420:T420),SUM(S420:V420))</f>
        <v>190500</v>
      </c>
      <c r="Y420">
        <f>IF(R420&gt;0,SUM(S420:T420),SUM(S420:U420)+W420)</f>
        <v>219800</v>
      </c>
      <c r="Z420">
        <v>0</v>
      </c>
      <c r="AA420">
        <f>X420*0.038</f>
        <v>7239</v>
      </c>
      <c r="AB420">
        <f>X420*0.02</f>
        <v>3810</v>
      </c>
      <c r="AC420">
        <f>Y420*0.1</f>
        <v>21980</v>
      </c>
      <c r="AD420">
        <f>X420-AA420-AB420</f>
        <v>179451</v>
      </c>
      <c r="AE420">
        <f>Y420-AC420</f>
        <v>197820</v>
      </c>
      <c r="AF420">
        <f>AD420*0.01</f>
        <v>1794.51</v>
      </c>
      <c r="AG420">
        <f>AD420-Q420-AF420-T420</f>
        <v>31156.489999999998</v>
      </c>
      <c r="AH420">
        <f>AE420-Q420-AF420-T420</f>
        <v>49525.49</v>
      </c>
      <c r="AI420">
        <f>AG420/X420</f>
        <v>0.16355112860892387</v>
      </c>
      <c r="AJ420">
        <f>AH420/Y420</f>
        <v>0.22532070063694268</v>
      </c>
      <c r="AK420">
        <f>X420-X419</f>
        <v>0</v>
      </c>
    </row>
    <row r="421">
      <c r="A421">
        <f>HYPERLINK("https://smartstore.naver.com/brickstore2019/products/4685310847",AW:AW)</f>
        <v>4685310847</v>
      </c>
      <c r="C421" t="str">
        <v>엔커 사운드코어 운동 블루투스 무선 이어폰 헤드폰</v>
      </c>
      <c r="E421" t="str">
        <v>Soundcore Wireless Headphones Anker Spirit Pro, Dual EQ, 10 Hour Playtime, IP68, SweatGuard Technology, aptX Hi-Fi Sound, Built-in Mic, Bluetooth Earphones, Earbuds for Running, Sports, Workout, Gym</v>
      </c>
      <c r="F421" t="str">
        <v>Black</v>
      </c>
      <c r="G421" t="str">
        <v>A</v>
      </c>
      <c r="J421">
        <v>40</v>
      </c>
      <c r="K421">
        <f>IF(L421&gt;0,L421*0.0625,)</f>
        <v>0.3125</v>
      </c>
      <c r="L421">
        <v>5</v>
      </c>
      <c r="M421">
        <f>IF(K421&gt;0,K421*0.453592,IF(L421&gt;0,L421*0.02835,))</f>
        <v>0.1417475</v>
      </c>
      <c r="N421">
        <v>0</v>
      </c>
      <c r="O421">
        <v>0</v>
      </c>
      <c r="P421">
        <f>J421+O421+N421</f>
        <v>40</v>
      </c>
      <c r="Q421">
        <f>P421*C$3</f>
        <v>50000</v>
      </c>
      <c r="R421">
        <v>0</v>
      </c>
      <c r="S421">
        <f>ROUND(SUM(Q421:R421), -2)</f>
        <v>50000</v>
      </c>
      <c r="T421">
        <f>ROUNDUP(HLOOKUP(ROUNDUP(K421,0),'배송비 조회'!A$10:U$22,7,0)*C$3,-2)</f>
        <v>9000</v>
      </c>
      <c r="U421">
        <v>0</v>
      </c>
      <c r="V421">
        <f>ROUND(IF(R421&gt;0,0,(S421+T421)*0.3),-2)</f>
        <v>17700</v>
      </c>
      <c r="W421">
        <f>ROUND(IF(R421&gt;0,0,(S421+T421)*0.5),-2)</f>
        <v>29500</v>
      </c>
      <c r="X421">
        <f>IF(R421&gt;0,SUM(S421:T421),SUM(S421:V421))</f>
        <v>76700</v>
      </c>
      <c r="Y421">
        <f>IF(R421&gt;0,SUM(S421:T421),SUM(S421:U421)+W421)</f>
        <v>88500</v>
      </c>
      <c r="Z421">
        <v>0</v>
      </c>
      <c r="AA421">
        <f>X421*0.038</f>
        <v>2914.6</v>
      </c>
      <c r="AB421">
        <f>X421*0.02</f>
        <v>1534</v>
      </c>
      <c r="AC421">
        <f>Y421*0.1</f>
        <v>8850</v>
      </c>
      <c r="AD421">
        <f>X421-AA421-AB421</f>
        <v>72251.4</v>
      </c>
      <c r="AE421">
        <f>Y421-AC421</f>
        <v>79650</v>
      </c>
      <c r="AF421">
        <f>AD421*0.01</f>
        <v>722.514</v>
      </c>
      <c r="AG421">
        <f>AD421-Q421-AF421-T421</f>
        <v>12528.885999999995</v>
      </c>
      <c r="AH421">
        <f>AE421-Q421-AF421-T421</f>
        <v>19927.486</v>
      </c>
      <c r="AI421">
        <f>AG421/X421</f>
        <v>0.1633492307692307</v>
      </c>
      <c r="AJ421">
        <f>AH421/Y421</f>
        <v>0.22516933333333333</v>
      </c>
      <c r="AW421">
        <v>4685310847</v>
      </c>
    </row>
    <row r="422">
      <c r="F422" t="str">
        <v>Blue</v>
      </c>
      <c r="G422" t="str">
        <v>A</v>
      </c>
      <c r="J422">
        <v>40</v>
      </c>
      <c r="K422">
        <f>IF(L422&gt;0,L422*0.0625,)</f>
        <v>0.3125</v>
      </c>
      <c r="L422">
        <v>5</v>
      </c>
      <c r="M422">
        <f>IF(K422&gt;0,K422*0.453592,IF(L422&gt;0,L422*0.02835,))</f>
        <v>0.1417475</v>
      </c>
      <c r="N422">
        <v>0</v>
      </c>
      <c r="O422">
        <v>0</v>
      </c>
      <c r="P422">
        <f>J422+O422+N422</f>
        <v>40</v>
      </c>
      <c r="Q422">
        <f>P422*C$3</f>
        <v>50000</v>
      </c>
      <c r="R422">
        <v>0</v>
      </c>
      <c r="S422">
        <f>ROUND(SUM(Q422:R422), -2)</f>
        <v>50000</v>
      </c>
      <c r="T422">
        <f>ROUNDUP(HLOOKUP(ROUNDUP(K422,0),'배송비 조회'!A$10:U$22,7,0)*C$3,-2)</f>
        <v>9000</v>
      </c>
      <c r="U422">
        <v>0</v>
      </c>
      <c r="V422">
        <f>ROUND(IF(R422&gt;0,0,(S422+T422)*0.3),-2)</f>
        <v>17700</v>
      </c>
      <c r="W422">
        <f>ROUND(IF(R422&gt;0,0,(S422+T422)*0.5),-2)</f>
        <v>29500</v>
      </c>
      <c r="X422">
        <f>IF(R422&gt;0,SUM(S422:T422),SUM(S422:V422))</f>
        <v>76700</v>
      </c>
      <c r="Y422">
        <f>IF(R422&gt;0,SUM(S422:T422),SUM(S422:U422)+W422)</f>
        <v>88500</v>
      </c>
      <c r="Z422">
        <v>0</v>
      </c>
      <c r="AA422">
        <f>X422*0.038</f>
        <v>2914.6</v>
      </c>
      <c r="AB422">
        <f>X422*0.02</f>
        <v>1534</v>
      </c>
      <c r="AC422">
        <f>Y422*0.1</f>
        <v>8850</v>
      </c>
      <c r="AD422">
        <f>X422-AA422-AB422</f>
        <v>72251.4</v>
      </c>
      <c r="AE422">
        <f>Y422-AC422</f>
        <v>79650</v>
      </c>
      <c r="AF422">
        <f>AD422*0.01</f>
        <v>722.514</v>
      </c>
      <c r="AG422">
        <f>AD422-Q422-AF422-T422</f>
        <v>12528.885999999995</v>
      </c>
      <c r="AH422">
        <f>AE422-Q422-AF422-T422</f>
        <v>19927.486</v>
      </c>
      <c r="AI422">
        <f>AG422/X422</f>
        <v>0.1633492307692307</v>
      </c>
      <c r="AJ422">
        <f>AH422/Y422</f>
        <v>0.22516933333333333</v>
      </c>
    </row>
    <row r="423">
      <c r="F423" t="str">
        <v>Red</v>
      </c>
      <c r="G423" t="str">
        <v>A</v>
      </c>
      <c r="J423">
        <v>40</v>
      </c>
      <c r="K423">
        <f>IF(L423&gt;0,L423*0.0625,)</f>
        <v>0.3125</v>
      </c>
      <c r="L423">
        <v>5</v>
      </c>
      <c r="M423">
        <f>IF(K423&gt;0,K423*0.453592,IF(L423&gt;0,L423*0.02835,))</f>
        <v>0.1417475</v>
      </c>
      <c r="N423">
        <v>0</v>
      </c>
      <c r="O423">
        <v>0</v>
      </c>
      <c r="P423">
        <f>J423+O423+N423</f>
        <v>40</v>
      </c>
      <c r="Q423">
        <f>P423*C$3</f>
        <v>50000</v>
      </c>
      <c r="R423">
        <v>0</v>
      </c>
      <c r="S423">
        <f>ROUND(SUM(Q423:R423), -2)</f>
        <v>50000</v>
      </c>
      <c r="T423">
        <f>ROUNDUP(HLOOKUP(ROUNDUP(K423,0),'배송비 조회'!A$10:U$22,7,0)*C$3,-2)</f>
        <v>9000</v>
      </c>
      <c r="U423">
        <v>0</v>
      </c>
      <c r="V423">
        <f>ROUND(IF(R423&gt;0,0,(S423+T423)*0.3),-2)</f>
        <v>17700</v>
      </c>
      <c r="W423">
        <f>ROUND(IF(R423&gt;0,0,(S423+T423)*0.5),-2)</f>
        <v>29500</v>
      </c>
      <c r="X423">
        <f>IF(R423&gt;0,SUM(S423:T423),SUM(S423:V423))</f>
        <v>76700</v>
      </c>
      <c r="Y423">
        <f>IF(R423&gt;0,SUM(S423:T423),SUM(S423:U423)+W423)</f>
        <v>88500</v>
      </c>
      <c r="Z423">
        <v>0</v>
      </c>
      <c r="AA423">
        <f>X423*0.038</f>
        <v>2914.6</v>
      </c>
      <c r="AB423">
        <f>X423*0.02</f>
        <v>1534</v>
      </c>
      <c r="AC423">
        <f>Y423*0.1</f>
        <v>8850</v>
      </c>
      <c r="AD423">
        <f>X423-AA423-AB423</f>
        <v>72251.4</v>
      </c>
      <c r="AE423">
        <f>Y423-AC423</f>
        <v>79650</v>
      </c>
      <c r="AF423">
        <f>AD423*0.01</f>
        <v>722.514</v>
      </c>
      <c r="AG423">
        <f>AD423-Q423-AF423-T423</f>
        <v>12528.885999999995</v>
      </c>
      <c r="AH423">
        <f>AE423-Q423-AF423-T423</f>
        <v>19927.486</v>
      </c>
      <c r="AI423">
        <f>AG423/X423</f>
        <v>0.1633492307692307</v>
      </c>
      <c r="AJ423">
        <f>AH423/Y423</f>
        <v>0.22516933333333333</v>
      </c>
    </row>
    <row r="424">
      <c r="A424">
        <f>HYPERLINK("https://smartstore.naver.com/brickstore2019/products/4686444780",AW:AW)</f>
        <v>4686444780</v>
      </c>
      <c r="C424" t="str">
        <v>소니 보이스 레코더 목소리 녹음 유튜버 장비 Sony ICD-TX650</v>
      </c>
      <c r="E424" t="str">
        <v>Sony ICD-TX650 IC Recorder (16GB) - Black</v>
      </c>
      <c r="G424" t="str">
        <f>HYPERLINK("https://www.amazon.com/dp/B00NUSPQIK/ref=cm_sw_r_cp_apa_i_1jiLDbF2RY7R5","A")</f>
        <v>A</v>
      </c>
      <c r="J424">
        <v>110</v>
      </c>
      <c r="K424">
        <f>IF(L424&gt;0,L424*0.0625,)</f>
        <v>0.375</v>
      </c>
      <c r="L424">
        <v>6</v>
      </c>
      <c r="M424">
        <f>IF(K424&gt;0,K424*0.453592,IF(L424&gt;0,L424*0.02835,))</f>
        <v>0.170097</v>
      </c>
      <c r="N424">
        <v>0</v>
      </c>
      <c r="O424">
        <v>0</v>
      </c>
      <c r="P424">
        <f>J424+O424+N424</f>
        <v>110</v>
      </c>
      <c r="Q424">
        <f>P424*C$3</f>
        <v>137500</v>
      </c>
      <c r="R424">
        <v>0</v>
      </c>
      <c r="S424">
        <f>ROUND(SUM(Q424:R424), -2)</f>
        <v>137500</v>
      </c>
      <c r="T424">
        <f>ROUNDUP(HLOOKUP(ROUNDUP(K424,0),'배송비 조회'!A$10:U$22,7,0)*C$3,-2)</f>
        <v>9000</v>
      </c>
      <c r="U424">
        <v>0</v>
      </c>
      <c r="V424">
        <f>ROUND(IF(R424&gt;0,0,(S424+T424)*0.2),-2)</f>
        <v>29300</v>
      </c>
      <c r="W424">
        <f>ROUND(IF(R424&gt;0,0,(S424+T424)*0.5),-2)</f>
        <v>73300</v>
      </c>
      <c r="X424">
        <f>IF(R424&gt;0,SUM(S424:T424),SUM(S424:V424))</f>
        <v>175800</v>
      </c>
      <c r="Y424">
        <f>IF(R424&gt;0,SUM(S424:T424),SUM(S424:U424)+W424)</f>
        <v>219800</v>
      </c>
      <c r="Z424">
        <v>0</v>
      </c>
      <c r="AA424">
        <f>X424*0.038</f>
        <v>6680.4</v>
      </c>
      <c r="AB424">
        <f>X424*0.02</f>
        <v>3516</v>
      </c>
      <c r="AC424">
        <f>Y424*0.1</f>
        <v>21980</v>
      </c>
      <c r="AD424">
        <f>X424-AA424-AB424</f>
        <v>165603.6</v>
      </c>
      <c r="AE424">
        <f>Y424-AC424</f>
        <v>197820</v>
      </c>
      <c r="AF424">
        <f>AD424*0.01</f>
        <v>1656.036</v>
      </c>
      <c r="AG424">
        <f>AD424-Q424-AF424-T424</f>
        <v>17447.564000000006</v>
      </c>
      <c r="AH424">
        <f>AE424-Q424-AF424-T424</f>
        <v>49663.964</v>
      </c>
      <c r="AI424">
        <f>AG424/X424</f>
        <v>0.0992466666666667</v>
      </c>
      <c r="AJ424">
        <f>AH424/Y424</f>
        <v>0.22595070063694267</v>
      </c>
      <c r="AK424">
        <f>X424-50000</f>
        <v>125800</v>
      </c>
      <c r="AW424">
        <v>4686444780</v>
      </c>
    </row>
    <row r="425">
      <c r="A425">
        <f>HYPERLINK("https://smartstore.naver.com/brickstore2019/products/4686457958",AW:AW)</f>
        <v>4686457958</v>
      </c>
      <c r="C425" t="str">
        <v>엔커 사운드코어 웨이키 블루투스 스피커 Anker Soundcore Wakey</v>
      </c>
      <c r="E425" t="str">
        <v>Soundcore Wakey Bluetooth Speakers Powered by Anker with Alarm Clock, Stereo Sound, FM Radio, White Noise, Qi Wireless Charger with 7.5W Charging for iPhone and 10W for Samsung</v>
      </c>
      <c r="F425" t="str">
        <v>Black</v>
      </c>
      <c r="G425" t="str">
        <f>HYPERLINK("https://www.amazon.com/dp/B07NNF7WH1/ref=cm_sw_r_cp_apa_i_KShLDb6JVF9XZ?th=1","A")</f>
        <v>A</v>
      </c>
      <c r="J425">
        <v>100</v>
      </c>
      <c r="K425">
        <v>2</v>
      </c>
      <c r="L425">
        <f>IF(K425&gt;0,K425*16,)</f>
        <v>32</v>
      </c>
      <c r="M425">
        <f>IF(K425&gt;0,K425*0.453592,IF(L425&gt;0,L425*0.02835,))</f>
        <v>0.907184</v>
      </c>
      <c r="N425">
        <v>0</v>
      </c>
      <c r="O425">
        <v>0</v>
      </c>
      <c r="P425">
        <f>J425+O425+N425</f>
        <v>100</v>
      </c>
      <c r="Q425">
        <f>P425*C$3</f>
        <v>125000</v>
      </c>
      <c r="R425">
        <v>0</v>
      </c>
      <c r="S425">
        <f>ROUND(SUM(Q425:R425), -2)</f>
        <v>125000</v>
      </c>
      <c r="T425">
        <f>ROUNDUP(HLOOKUP(ROUNDUP(K425,0),'배송비 조회'!A$10:U$22,7,0)*C$3,-2)</f>
        <v>11200</v>
      </c>
      <c r="U425">
        <v>0</v>
      </c>
      <c r="V425">
        <f>ROUND(IF(R425&gt;0,0,(S425+T425)*0.2),-2)</f>
        <v>27200</v>
      </c>
      <c r="W425">
        <f>ROUND(IF(R425&gt;0,0,(S425+T425)*0.5),-2)</f>
        <v>68100</v>
      </c>
      <c r="X425">
        <f>IF(R425&gt;0,SUM(S425:T425),SUM(S425:V425))</f>
        <v>163400</v>
      </c>
      <c r="Y425">
        <f>IF(R425&gt;0,SUM(S425:T425),SUM(S425:U425)+W425)</f>
        <v>204300</v>
      </c>
      <c r="Z425">
        <v>0</v>
      </c>
      <c r="AA425">
        <f>X425*0.038</f>
        <v>6209.2</v>
      </c>
      <c r="AB425">
        <f>X425*0.02</f>
        <v>3268</v>
      </c>
      <c r="AC425">
        <f>Y425*0.1</f>
        <v>20430</v>
      </c>
      <c r="AD425">
        <f>X425-AA425-AB425</f>
        <v>153922.8</v>
      </c>
      <c r="AE425">
        <f>Y425-AC425</f>
        <v>183870</v>
      </c>
      <c r="AF425">
        <f>AD425*0.01</f>
        <v>1539.2279999999998</v>
      </c>
      <c r="AG425">
        <f>AD425-Q425-AF425-T425</f>
        <v>16183.57199999999</v>
      </c>
      <c r="AH425">
        <f>AE425-Q425-AF425-T425</f>
        <v>46130.772</v>
      </c>
      <c r="AI425">
        <f>AG425/X425</f>
        <v>0.09904266829865355</v>
      </c>
      <c r="AJ425">
        <f>AH425/Y425</f>
        <v>0.2257991776798825</v>
      </c>
      <c r="AW425">
        <v>4686457958</v>
      </c>
    </row>
    <row r="426">
      <c r="F426" t="str">
        <v>White</v>
      </c>
      <c r="G426" t="str">
        <f>HYPERLINK("https://www.amazon.com/dp/B07NNR1JH5/ref=cm_sw_r_cp_apa_i_KShLDb6JVF9XZ?th=1","A")</f>
        <v>A</v>
      </c>
      <c r="J426">
        <v>100</v>
      </c>
      <c r="K426">
        <v>2</v>
      </c>
      <c r="L426">
        <f>IF(K426&gt;0,K426*16,)</f>
        <v>32</v>
      </c>
      <c r="M426">
        <f>IF(K426&gt;0,K426*0.453592,IF(L426&gt;0,L426*0.02835,))</f>
        <v>0.907184</v>
      </c>
      <c r="N426">
        <v>0</v>
      </c>
      <c r="O426">
        <v>0</v>
      </c>
      <c r="P426">
        <f>J426+O426+N426</f>
        <v>100</v>
      </c>
      <c r="Q426">
        <f>P426*C$3</f>
        <v>125000</v>
      </c>
      <c r="R426">
        <v>0</v>
      </c>
      <c r="S426">
        <f>ROUND(SUM(Q426:R426), -2)</f>
        <v>125000</v>
      </c>
      <c r="T426">
        <f>ROUNDUP(HLOOKUP(ROUNDUP(K426,0),'배송비 조회'!A$10:U$22,7,0)*C$3,-2)</f>
        <v>11200</v>
      </c>
      <c r="U426">
        <v>0</v>
      </c>
      <c r="V426">
        <f>ROUND(IF(R426&gt;0,0,(S426+T426)*0.2),-2)</f>
        <v>27200</v>
      </c>
      <c r="W426">
        <f>ROUND(IF(R426&gt;0,0,(S426+T426)*0.5),-2)</f>
        <v>68100</v>
      </c>
      <c r="X426">
        <f>IF(R426&gt;0,SUM(S426:T426),SUM(S426:V426))</f>
        <v>163400</v>
      </c>
      <c r="Y426">
        <f>IF(R426&gt;0,SUM(S426:T426),SUM(S426:U426)+W426)</f>
        <v>204300</v>
      </c>
      <c r="Z426">
        <v>0</v>
      </c>
      <c r="AA426">
        <f>X426*0.038</f>
        <v>6209.2</v>
      </c>
      <c r="AB426">
        <f>X426*0.02</f>
        <v>3268</v>
      </c>
      <c r="AC426">
        <f>Y426*0.1</f>
        <v>20430</v>
      </c>
      <c r="AD426">
        <f>X426-AA426-AB426</f>
        <v>153922.8</v>
      </c>
      <c r="AE426">
        <f>Y426-AC426</f>
        <v>183870</v>
      </c>
      <c r="AF426">
        <f>AD426*0.01</f>
        <v>1539.2279999999998</v>
      </c>
      <c r="AG426">
        <f>AD426-Q426-AF426-T426</f>
        <v>16183.57199999999</v>
      </c>
      <c r="AH426">
        <f>AE426-Q426-AF426-T426</f>
        <v>46130.772</v>
      </c>
      <c r="AI426">
        <f>AG426/X426</f>
        <v>0.09904266829865355</v>
      </c>
      <c r="AJ426">
        <f>AH426/Y426</f>
        <v>0.2257991776798825</v>
      </c>
    </row>
    <row r="427">
      <c r="A427">
        <f>HYPERLINK("https://smartstore.naver.com/brickstore2019/products/4686475163",AW:AW)</f>
        <v>4686475163</v>
      </c>
      <c r="C427" t="str">
        <v>SKG 휴대용 경추 목 마사지 무선 미니 안마기</v>
      </c>
      <c r="E427" t="str">
        <v>SKG Smart Neck Massager with Heating Function, Wireless 3D Travel Neck Massage Equipment</v>
      </c>
      <c r="F427" t="str">
        <v>White</v>
      </c>
      <c r="G427" t="str">
        <f>HYPERLINK("https://www.amazon.com/dp/B07P5D2TH8/ref=psdc_3767531_t1_B07RQS3T45?th=1","A")</f>
        <v>A</v>
      </c>
      <c r="J427">
        <v>100</v>
      </c>
      <c r="K427">
        <f>IF(L427&gt;0,L427*0.0625,)</f>
        <v>1</v>
      </c>
      <c r="L427">
        <v>16</v>
      </c>
      <c r="M427">
        <f>IF(K427&gt;0,K427*0.453592,IF(L427&gt;0,L427*0.02835,))</f>
        <v>0.453592</v>
      </c>
      <c r="N427">
        <v>0</v>
      </c>
      <c r="O427">
        <v>0</v>
      </c>
      <c r="P427">
        <f>J427+O427+N427</f>
        <v>100</v>
      </c>
      <c r="Q427">
        <f>P427*C$3</f>
        <v>125000</v>
      </c>
      <c r="R427">
        <v>0</v>
      </c>
      <c r="S427">
        <f>ROUND(SUM(Q427:R427), -2)</f>
        <v>125000</v>
      </c>
      <c r="T427">
        <f>ROUNDUP(HLOOKUP(ROUNDUP(K427,0),'배송비 조회'!A$10:U$22,7,0)*C$3,-2)</f>
        <v>9000</v>
      </c>
      <c r="U427">
        <v>0</v>
      </c>
      <c r="V427">
        <f>ROUND(IF(R427&gt;0,0,(S427+T427)*0.3),-2)</f>
        <v>40200</v>
      </c>
      <c r="W427">
        <f>ROUND(IF(R427&gt;0,0,(S427+T427)*0.5),-2)</f>
        <v>67000</v>
      </c>
      <c r="X427">
        <f>IF(R427&gt;0,SUM(S427:T427),SUM(S427:V427))</f>
        <v>174200</v>
      </c>
      <c r="Y427">
        <f>IF(R427&gt;0,SUM(S427:T427),SUM(S427:U427)+W427)</f>
        <v>201000</v>
      </c>
      <c r="Z427">
        <v>0</v>
      </c>
      <c r="AA427">
        <f>X427*0.038</f>
        <v>6619.599999999999</v>
      </c>
      <c r="AB427">
        <f>X427*0.02</f>
        <v>3484</v>
      </c>
      <c r="AC427">
        <f>Y427*0.1</f>
        <v>20100</v>
      </c>
      <c r="AD427">
        <f>X427-AA427-AB427</f>
        <v>164096.4</v>
      </c>
      <c r="AE427">
        <f>Y427-AC427</f>
        <v>180900</v>
      </c>
      <c r="AF427">
        <f>AD427*0.01</f>
        <v>1640.964</v>
      </c>
      <c r="AG427">
        <f>AD427-Q427-AF427-T427</f>
        <v>28455.435999999994</v>
      </c>
      <c r="AH427">
        <f>AE427-Q427-AF427-T427</f>
        <v>45259.036</v>
      </c>
      <c r="AI427">
        <f>AG427/X427</f>
        <v>0.16334923076923075</v>
      </c>
      <c r="AJ427">
        <f>AH427/Y427</f>
        <v>0.22516933333333333</v>
      </c>
      <c r="AW427">
        <v>4686475163</v>
      </c>
    </row>
    <row r="428">
      <c r="F428" t="str">
        <v>Red</v>
      </c>
      <c r="G428" t="str">
        <f>HYPERLINK("https://www.amazon.com/dp/B07P1QLP6V/ref=psdc_3767531_t1_B07RQS3T45?th=1","A")</f>
        <v>A</v>
      </c>
      <c r="J428">
        <v>130</v>
      </c>
      <c r="K428">
        <f>IF(L428&gt;0,L428*0.0625,)</f>
        <v>1</v>
      </c>
      <c r="L428">
        <v>16</v>
      </c>
      <c r="M428">
        <f>IF(K428&gt;0,K428*0.453592,IF(L428&gt;0,L428*0.02835,))</f>
        <v>0.453592</v>
      </c>
      <c r="N428">
        <v>0</v>
      </c>
      <c r="O428">
        <v>0</v>
      </c>
      <c r="P428">
        <f>J428+O428+N428</f>
        <v>130</v>
      </c>
      <c r="Q428">
        <f>P428*C$3</f>
        <v>162500</v>
      </c>
      <c r="R428">
        <v>0</v>
      </c>
      <c r="S428">
        <f>ROUND(SUM(Q428:R428), -2)</f>
        <v>162500</v>
      </c>
      <c r="T428">
        <f>ROUNDUP(HLOOKUP(ROUNDUP(K428,0),'배송비 조회'!A$10:U$22,7,0)*C$3,-2)</f>
        <v>9000</v>
      </c>
      <c r="U428">
        <v>0</v>
      </c>
      <c r="V428">
        <f>ROUND(IF(R428&gt;0,0,(S428+T428)*0.3),-2)</f>
        <v>51500</v>
      </c>
      <c r="W428">
        <f>ROUND(IF(R428&gt;0,0,(S428+T428)*0.5),-2)</f>
        <v>85800</v>
      </c>
      <c r="X428">
        <f>IF(R428&gt;0,SUM(S428:T428),SUM(S428:V428))</f>
        <v>223000</v>
      </c>
      <c r="Y428">
        <f>IF(R428&gt;0,SUM(S428:T428),SUM(S428:U428)+W428)</f>
        <v>257300</v>
      </c>
      <c r="Z428">
        <v>0</v>
      </c>
      <c r="AA428">
        <f>X428*0.038</f>
        <v>8474</v>
      </c>
      <c r="AB428">
        <f>X428*0.02</f>
        <v>4460</v>
      </c>
      <c r="AC428">
        <f>Y428*0.1</f>
        <v>25730</v>
      </c>
      <c r="AD428">
        <f>X428-AA428-AB428</f>
        <v>210066</v>
      </c>
      <c r="AE428">
        <f>Y428-AC428</f>
        <v>231570</v>
      </c>
      <c r="AF428">
        <f>AD428*0.01</f>
        <v>2100.66</v>
      </c>
      <c r="AG428">
        <f>AD428-Q428-AF428-T428</f>
        <v>36465.34</v>
      </c>
      <c r="AH428">
        <f>AE428-Q428-AF428-T428</f>
        <v>57969.34</v>
      </c>
      <c r="AI428">
        <f>AG428/X428</f>
        <v>0.16352170403587443</v>
      </c>
      <c r="AJ428">
        <f>AH428/Y428</f>
        <v>0.225298639720171</v>
      </c>
      <c r="AK428">
        <f>X428-X427</f>
        <v>48800</v>
      </c>
    </row>
    <row r="429">
      <c r="A429">
        <f>HYPERLINK("https://smartstore.naver.com/brickstore2019/products/4686586404",AW:AW)</f>
        <v>4686586404</v>
      </c>
      <c r="B429" t="str">
        <v>"https://www.coupang.com/vp/products/332583056","332583056")</v>
      </c>
      <c r="C429" t="str">
        <v>윌슨 어드벤티지 테니스 라켓 가방 Wilson Advantage Tennis(무료배송)</v>
      </c>
      <c r="D429" t="str">
        <v>윌슨 어드벤티지 테니스 라켓 가방 Wilson Advantage Tennis</v>
      </c>
      <c r="E429" t="str">
        <v>Wilson Advantage Tennis Bag Series</v>
      </c>
      <c r="F429" t="str">
        <v>Black/Red</v>
      </c>
      <c r="G429" t="str">
        <v>A</v>
      </c>
      <c r="J429">
        <v>25</v>
      </c>
      <c r="K429">
        <f>IF(L429&gt;0,L429*0.0625,)</f>
        <v>0.9375</v>
      </c>
      <c r="L429">
        <v>15</v>
      </c>
      <c r="M429">
        <f>IF(K429&gt;0,K429*0.453592,IF(L429&gt;0,L429*0.02835,))</f>
        <v>0.42524249999999997</v>
      </c>
      <c r="N429">
        <v>0</v>
      </c>
      <c r="O429">
        <v>0</v>
      </c>
      <c r="P429">
        <f>J429+O429+N429</f>
        <v>25</v>
      </c>
      <c r="Q429">
        <f>P429*C$3</f>
        <v>31250</v>
      </c>
      <c r="R429">
        <v>0</v>
      </c>
      <c r="S429">
        <f>ROUND(SUM(Q429:R429), -2)</f>
        <v>31300</v>
      </c>
      <c r="T429">
        <f>ROUNDUP(HLOOKUP(ROUNDUP(K429,0),'배송비 조회'!A$10:U$22,7,0)*C$3,-2)</f>
        <v>9000</v>
      </c>
      <c r="U429">
        <v>0</v>
      </c>
      <c r="V429">
        <f>ROUND(IF(R429&gt;0,0,(S429+T429)*0.4),-2)</f>
        <v>16100</v>
      </c>
      <c r="W429">
        <f>ROUND(IF(R429&gt;0,0,(S429+T429)*0.5),-2)</f>
        <v>20200</v>
      </c>
      <c r="X429">
        <f>IF(R429&gt;0,SUM(S429:T429),SUM(S429:V429))</f>
        <v>56400</v>
      </c>
      <c r="Y429">
        <f>IF(R429&gt;0,SUM(S429:T429),SUM(S429:U429)+W429)</f>
        <v>60500</v>
      </c>
      <c r="Z429">
        <v>0</v>
      </c>
      <c r="AA429">
        <f>X429*0.038</f>
        <v>2143.2</v>
      </c>
      <c r="AB429">
        <f>X429*0.02</f>
        <v>1128</v>
      </c>
      <c r="AC429">
        <f>Y429*0.1</f>
        <v>6050</v>
      </c>
      <c r="AD429">
        <f>X429-AA429-AB429</f>
        <v>53128.8</v>
      </c>
      <c r="AE429">
        <f>Y429-AC429</f>
        <v>54450</v>
      </c>
      <c r="AF429">
        <f>AD429*0.01</f>
        <v>531.288</v>
      </c>
      <c r="AG429">
        <f>AD429-Q429-AF429-T429</f>
        <v>12347.512000000002</v>
      </c>
      <c r="AH429">
        <f>AE429-Q429-AF429-T429</f>
        <v>13668.712</v>
      </c>
      <c r="AI429">
        <f>AG429/X429</f>
        <v>0.21892751773049648</v>
      </c>
      <c r="AJ429">
        <f>AH429/Y429</f>
        <v>0.22592912396694215</v>
      </c>
      <c r="AW429">
        <v>4686586404</v>
      </c>
    </row>
    <row r="430">
      <c r="F430" t="str">
        <v>Black/White</v>
      </c>
      <c r="G430" t="str">
        <v>A</v>
      </c>
      <c r="J430">
        <v>40</v>
      </c>
      <c r="K430">
        <f>IF(L430&gt;0,L430*0.0625,)</f>
        <v>0.9375</v>
      </c>
      <c r="L430">
        <v>15</v>
      </c>
      <c r="M430">
        <f>IF(K430&gt;0,K430*0.453592,IF(L430&gt;0,L430*0.02835,))</f>
        <v>0.42524249999999997</v>
      </c>
      <c r="N430">
        <v>0</v>
      </c>
      <c r="O430">
        <v>0</v>
      </c>
      <c r="P430">
        <f>J430+O430+N430</f>
        <v>40</v>
      </c>
      <c r="Q430">
        <f>P430*C$3</f>
        <v>50000</v>
      </c>
      <c r="R430">
        <v>0</v>
      </c>
      <c r="S430">
        <f>ROUND(SUM(Q430:R430), -2)</f>
        <v>50000</v>
      </c>
      <c r="T430">
        <f>ROUNDUP(HLOOKUP(ROUNDUP(K430,0),'배송비 조회'!A$10:U$22,7,0)*C$3,-2)</f>
        <v>9000</v>
      </c>
      <c r="U430">
        <v>0</v>
      </c>
      <c r="V430">
        <f>ROUND(IF(R430&gt;0,0,(S430+T430)*0.3),-2)</f>
        <v>17700</v>
      </c>
      <c r="W430">
        <f>ROUND(IF(R430&gt;0,0,(S430+T430)*0.5),-2)</f>
        <v>29500</v>
      </c>
      <c r="X430">
        <f>IF(R430&gt;0,SUM(S430:T430),SUM(S430:V430))</f>
        <v>76700</v>
      </c>
      <c r="Y430">
        <f>IF(R430&gt;0,SUM(S430:T430),SUM(S430:U430)+W430)</f>
        <v>88500</v>
      </c>
      <c r="Z430">
        <v>0</v>
      </c>
      <c r="AA430">
        <f>X430*0.038</f>
        <v>2914.6</v>
      </c>
      <c r="AB430">
        <f>X430*0.02</f>
        <v>1534</v>
      </c>
      <c r="AC430">
        <f>Y430*0.1</f>
        <v>8850</v>
      </c>
      <c r="AD430">
        <f>X430-AA430-AB430</f>
        <v>72251.4</v>
      </c>
      <c r="AE430">
        <f>Y430-AC430</f>
        <v>79650</v>
      </c>
      <c r="AF430">
        <f>AD430*0.01</f>
        <v>722.514</v>
      </c>
      <c r="AG430">
        <f>AD430-Q430-AF430-T430</f>
        <v>12528.885999999995</v>
      </c>
      <c r="AH430">
        <f>AE430-Q430-AF430-T430</f>
        <v>19927.486</v>
      </c>
      <c r="AI430">
        <f>AG430/X430</f>
        <v>0.1633492307692307</v>
      </c>
      <c r="AJ430">
        <f>AH430/Y430</f>
        <v>0.22516933333333333</v>
      </c>
    </row>
    <row r="431">
      <c r="F431" t="str">
        <v>Pink/White</v>
      </c>
      <c r="G431" t="str">
        <v>A</v>
      </c>
      <c r="J431">
        <v>40</v>
      </c>
      <c r="K431">
        <f>IF(L431&gt;0,L431*0.0625,)</f>
        <v>0.9375</v>
      </c>
      <c r="L431">
        <v>15</v>
      </c>
      <c r="M431">
        <f>IF(K431&gt;0,K431*0.453592,IF(L431&gt;0,L431*0.02835,))</f>
        <v>0.42524249999999997</v>
      </c>
      <c r="N431">
        <v>0</v>
      </c>
      <c r="O431">
        <v>0</v>
      </c>
      <c r="P431">
        <f>J431+O431+N431</f>
        <v>40</v>
      </c>
      <c r="Q431">
        <f>P431*C$3</f>
        <v>50000</v>
      </c>
      <c r="R431">
        <v>0</v>
      </c>
      <c r="S431">
        <f>ROUND(SUM(Q431:R431), -2)</f>
        <v>50000</v>
      </c>
      <c r="T431">
        <f>ROUNDUP(HLOOKUP(ROUNDUP(K431,0),'배송비 조회'!A$10:U$22,7,0)*C$3,-2)</f>
        <v>9000</v>
      </c>
      <c r="U431">
        <v>0</v>
      </c>
      <c r="V431">
        <f>ROUND(IF(R431&gt;0,0,(S431+T431)*0.3),-2)</f>
        <v>17700</v>
      </c>
      <c r="W431">
        <f>ROUND(IF(R431&gt;0,0,(S431+T431)*0.5),-2)</f>
        <v>29500</v>
      </c>
      <c r="X431">
        <f>IF(R431&gt;0,SUM(S431:T431),SUM(S431:V431))</f>
        <v>76700</v>
      </c>
      <c r="Y431">
        <f>IF(R431&gt;0,SUM(S431:T431),SUM(S431:U431)+W431)</f>
        <v>88500</v>
      </c>
      <c r="Z431">
        <v>0</v>
      </c>
      <c r="AA431">
        <f>X431*0.038</f>
        <v>2914.6</v>
      </c>
      <c r="AB431">
        <f>X431*0.02</f>
        <v>1534</v>
      </c>
      <c r="AC431">
        <f>Y431*0.1</f>
        <v>8850</v>
      </c>
      <c r="AD431">
        <f>X431-AA431-AB431</f>
        <v>72251.4</v>
      </c>
      <c r="AE431">
        <f>Y431-AC431</f>
        <v>79650</v>
      </c>
      <c r="AF431">
        <f>AD431*0.01</f>
        <v>722.514</v>
      </c>
      <c r="AG431">
        <f>AD431-Q431-AF431-T431</f>
        <v>12528.885999999995</v>
      </c>
      <c r="AH431">
        <f>AE431-Q431-AF431-T431</f>
        <v>19927.486</v>
      </c>
      <c r="AI431">
        <f>AG431/X431</f>
        <v>0.1633492307692307</v>
      </c>
      <c r="AJ431">
        <f>AH431/Y431</f>
        <v>0.22516933333333333</v>
      </c>
      <c r="AK431">
        <f>X431-X429</f>
        <v>20300</v>
      </c>
    </row>
    <row r="432">
      <c r="F432" t="str">
        <v>Red/White</v>
      </c>
      <c r="G432" t="str">
        <v>A</v>
      </c>
      <c r="J432">
        <v>40</v>
      </c>
      <c r="K432">
        <f>IF(L432&gt;0,L432*0.0625,)</f>
        <v>0.9375</v>
      </c>
      <c r="L432">
        <v>15</v>
      </c>
      <c r="M432">
        <f>IF(K432&gt;0,K432*0.453592,IF(L432&gt;0,L432*0.02835,))</f>
        <v>0.42524249999999997</v>
      </c>
      <c r="N432">
        <v>0</v>
      </c>
      <c r="O432">
        <v>0</v>
      </c>
      <c r="P432">
        <f>J432+O432+N432</f>
        <v>40</v>
      </c>
      <c r="Q432">
        <f>P432*C$3</f>
        <v>50000</v>
      </c>
      <c r="R432">
        <v>0</v>
      </c>
      <c r="S432">
        <f>ROUND(SUM(Q432:R432), -2)</f>
        <v>50000</v>
      </c>
      <c r="T432">
        <f>ROUNDUP(HLOOKUP(ROUNDUP(K432,0),'배송비 조회'!A$10:U$22,7,0)*C$3,-2)</f>
        <v>9000</v>
      </c>
      <c r="U432">
        <v>0</v>
      </c>
      <c r="V432">
        <f>ROUND(IF(R432&gt;0,0,(S432+T432)*0.3),-2)</f>
        <v>17700</v>
      </c>
      <c r="W432">
        <f>ROUND(IF(R432&gt;0,0,(S432+T432)*0.5),-2)</f>
        <v>29500</v>
      </c>
      <c r="X432">
        <f>IF(R432&gt;0,SUM(S432:T432),SUM(S432:V432))</f>
        <v>76700</v>
      </c>
      <c r="Y432">
        <f>IF(R432&gt;0,SUM(S432:T432),SUM(S432:U432)+W432)</f>
        <v>88500</v>
      </c>
      <c r="Z432">
        <v>0</v>
      </c>
      <c r="AA432">
        <f>X432*0.038</f>
        <v>2914.6</v>
      </c>
      <c r="AB432">
        <f>X432*0.02</f>
        <v>1534</v>
      </c>
      <c r="AC432">
        <f>Y432*0.1</f>
        <v>8850</v>
      </c>
      <c r="AD432">
        <f>X432-AA432-AB432</f>
        <v>72251.4</v>
      </c>
      <c r="AE432">
        <f>Y432-AC432</f>
        <v>79650</v>
      </c>
      <c r="AF432">
        <f>AD432*0.01</f>
        <v>722.514</v>
      </c>
      <c r="AG432">
        <f>AD432-Q432-AF432-T432</f>
        <v>12528.885999999995</v>
      </c>
      <c r="AH432">
        <f>AE432-Q432-AF432-T432</f>
        <v>19927.486</v>
      </c>
      <c r="AI432">
        <f>AG432/X432</f>
        <v>0.1633492307692307</v>
      </c>
      <c r="AJ432">
        <f>AH432/Y432</f>
        <v>0.22516933333333333</v>
      </c>
    </row>
    <row r="433">
      <c r="A433">
        <f>HYPERLINK("https://smartstore.naver.com/brickstore2019/products/4686898692",AW:AW)</f>
        <v>4686898692</v>
      </c>
      <c r="C433" t="str">
        <v xml:space="preserve">Dunlop Performance 8 던롭 퍼포먼스 8 테니스 라켓백 라켓가방 (무료배송) </v>
      </c>
      <c r="E433" t="str">
        <v>DUNLOP Performance 8 Racquet Bag</v>
      </c>
      <c r="G433" t="str">
        <v>A</v>
      </c>
      <c r="J433">
        <v>99.95</v>
      </c>
      <c r="K433">
        <v>3.2</v>
      </c>
      <c r="L433">
        <f>IF(K433&gt;0,K433*16,)</f>
        <v>51.2</v>
      </c>
      <c r="M433">
        <f>IF(K433&gt;0,K433*0.453592,IF(L433&gt;0,L433*0.02835,))</f>
        <v>1.4514944</v>
      </c>
      <c r="N433">
        <v>0</v>
      </c>
      <c r="O433">
        <v>0</v>
      </c>
      <c r="P433">
        <f>J433+O433+N433</f>
        <v>99.95</v>
      </c>
      <c r="Q433">
        <f>P433*C$3</f>
        <v>124937.5</v>
      </c>
      <c r="R433">
        <v>0</v>
      </c>
      <c r="S433">
        <f>ROUND(SUM(Q433:R433), -2)</f>
        <v>124900</v>
      </c>
      <c r="T433">
        <f>ROUNDUP(HLOOKUP(ROUNDUP(K433,0),'배송비 조회'!A$10:U$22,7,0)*C$3,-2)</f>
        <v>15600</v>
      </c>
      <c r="U433">
        <v>0</v>
      </c>
      <c r="V433">
        <f>ROUND(IF(R433&gt;0,0,(S433+T433)*0.3),-2)</f>
        <v>42200</v>
      </c>
      <c r="W433">
        <f>ROUND(IF(R433&gt;0,0,(S433+T433)*0.5),-2)</f>
        <v>70300</v>
      </c>
      <c r="X433">
        <f>IF(R433&gt;0,SUM(S433:T433),SUM(S433:V433))</f>
        <v>182700</v>
      </c>
      <c r="Y433">
        <f>IF(R433&gt;0,SUM(S433:T433),SUM(S433:U433)+W433)</f>
        <v>210800</v>
      </c>
      <c r="Z433">
        <v>0</v>
      </c>
      <c r="AA433">
        <f>X433*0.038</f>
        <v>6942.599999999999</v>
      </c>
      <c r="AB433">
        <f>X433*0.02</f>
        <v>3654</v>
      </c>
      <c r="AC433">
        <f>Y433*0.1</f>
        <v>21080</v>
      </c>
      <c r="AD433">
        <f>X433-AA433-AB433</f>
        <v>172103.4</v>
      </c>
      <c r="AE433">
        <f>Y433-AC433</f>
        <v>189720</v>
      </c>
      <c r="AF433">
        <f>AD433*0.01</f>
        <v>1721.0339999999999</v>
      </c>
      <c r="AG433">
        <f>AD433-Q433-AF433-T433</f>
        <v>29844.865999999995</v>
      </c>
      <c r="AH433">
        <f>AE433-Q433-AF433-T433</f>
        <v>47461.466</v>
      </c>
      <c r="AI433">
        <f>AG433/X433</f>
        <v>0.16335449370552815</v>
      </c>
      <c r="AJ433">
        <f>AH433/Y433</f>
        <v>0.22514926944971536</v>
      </c>
      <c r="AW433">
        <v>4686898692</v>
      </c>
    </row>
    <row r="434">
      <c r="A434">
        <f>HYPERLINK("https://smartstore.naver.com/brickstore2019/products/4686924301",AW:AW)</f>
        <v>4686924301</v>
      </c>
      <c r="C434" t="str">
        <v>Wilson 윌슨 여성용 테니스 백팩 (무료배송)</v>
      </c>
      <c r="E434" t="str">
        <v>Wilson Women's Tennis Bag</v>
      </c>
      <c r="F434" t="str">
        <v>Black</v>
      </c>
      <c r="G434" t="str">
        <f>HYPERLINK("https://www.amazon.com/Wilson-Womens-Fold-Backpack-Black/dp/B07HNP1VQH/ref=sr_1_3?keywords=Wilson%2BWomen%27s%2BFold%2BOver%2BBackpack%2BBag%2BBlack&amp;qid=1569990421&amp;s=gateway&amp;sr=8-3&amp;th=1","A")</f>
        <v>A</v>
      </c>
      <c r="J434">
        <v>89</v>
      </c>
      <c r="K434">
        <v>2</v>
      </c>
      <c r="L434">
        <f>IF(K434&gt;0,K434*16,)</f>
        <v>32</v>
      </c>
      <c r="M434">
        <f>IF(K434&gt;0,K434*0.453592,IF(L434&gt;0,L434*0.02835,))</f>
        <v>0.907184</v>
      </c>
      <c r="N434">
        <v>0</v>
      </c>
      <c r="O434">
        <v>0</v>
      </c>
      <c r="P434">
        <f>J434+O434+N434</f>
        <v>89</v>
      </c>
      <c r="Q434">
        <f>P434*C$3</f>
        <v>111250</v>
      </c>
      <c r="R434">
        <v>0</v>
      </c>
      <c r="S434">
        <f>ROUND(SUM(Q434:R434), -2)</f>
        <v>111300</v>
      </c>
      <c r="T434">
        <f>ROUNDUP(HLOOKUP(ROUNDUP(K434,0),'배송비 조회'!A$10:U$22,7,0)*C$3,-2)</f>
        <v>11200</v>
      </c>
      <c r="U434">
        <v>0</v>
      </c>
      <c r="V434">
        <f>ROUND(IF(R434&gt;0,0,(S434+T434)*0.3),-2)</f>
        <v>36800</v>
      </c>
      <c r="W434">
        <f>ROUND(IF(R434&gt;0,0,(S434+T434)*0.5),-2)</f>
        <v>61300</v>
      </c>
      <c r="X434">
        <f>IF(R434&gt;0,SUM(S434:T434),SUM(S434:V434))</f>
        <v>159300</v>
      </c>
      <c r="Y434">
        <f>IF(R434&gt;0,SUM(S434:T434),SUM(S434:U434)+W434)</f>
        <v>183800</v>
      </c>
      <c r="Z434">
        <v>0</v>
      </c>
      <c r="AA434">
        <f>X434*0.038</f>
        <v>6053.4</v>
      </c>
      <c r="AB434">
        <f>X434*0.02</f>
        <v>3186</v>
      </c>
      <c r="AC434">
        <f>Y434*0.1</f>
        <v>18380</v>
      </c>
      <c r="AD434">
        <f>X434-AA434-AB434</f>
        <v>150060.6</v>
      </c>
      <c r="AE434">
        <f>Y434-AC434</f>
        <v>165420</v>
      </c>
      <c r="AF434">
        <f>AD434*0.01</f>
        <v>1500.606</v>
      </c>
      <c r="AG434">
        <f>AD434-Q434-AF434-T434</f>
        <v>26109.994000000006</v>
      </c>
      <c r="AH434">
        <f>AE434-Q434-AF434-T434</f>
        <v>41469.394</v>
      </c>
      <c r="AI434">
        <f>AG434/X434</f>
        <v>0.16390454488386696</v>
      </c>
      <c r="AJ434">
        <f>AH434/Y434</f>
        <v>0.2256223830250272</v>
      </c>
      <c r="AW434">
        <v>4686924301</v>
      </c>
    </row>
    <row r="435">
      <c r="F435" t="str">
        <v>Green</v>
      </c>
      <c r="G435" t="str">
        <f>HYPERLINK("https://www.amazon.com/Wilson-Womens-Fold-Backpack-Black/dp/B07HNNY1N6/ref=sr_1_3?keywords=Wilson%2BWomen%27s%2BFold%2BOver%2BBackpack%2BBag%2BBlack&amp;qid=1569990421&amp;s=gateway&amp;sr=8-3&amp;th=1","A")</f>
        <v>A</v>
      </c>
      <c r="J435">
        <v>85</v>
      </c>
      <c r="K435">
        <v>2</v>
      </c>
      <c r="L435">
        <f>IF(K435&gt;0,K435*16,)</f>
        <v>32</v>
      </c>
      <c r="M435">
        <f>IF(K435&gt;0,K435*0.453592,IF(L435&gt;0,L435*0.02835,))</f>
        <v>0.907184</v>
      </c>
      <c r="N435">
        <v>0</v>
      </c>
      <c r="O435">
        <v>0</v>
      </c>
      <c r="P435">
        <f>J435+O435+N435</f>
        <v>85</v>
      </c>
      <c r="Q435">
        <f>P435*C$3</f>
        <v>106250</v>
      </c>
      <c r="R435">
        <v>0</v>
      </c>
      <c r="S435">
        <f>ROUND(SUM(Q435:R435), -2)</f>
        <v>106300</v>
      </c>
      <c r="T435">
        <f>ROUNDUP(HLOOKUP(ROUNDUP(K435,0),'배송비 조회'!A$10:U$22,7,0)*C$3,-2)</f>
        <v>11200</v>
      </c>
      <c r="U435">
        <v>0</v>
      </c>
      <c r="V435">
        <f>ROUND(IF(R435&gt;0,0,(S435+T435)*0.3),-2)</f>
        <v>35300</v>
      </c>
      <c r="W435">
        <f>ROUND(IF(R435&gt;0,0,(S435+T435)*0.5),-2)</f>
        <v>58800</v>
      </c>
      <c r="X435">
        <f>IF(R435&gt;0,SUM(S435:T435),SUM(S435:V435))</f>
        <v>152800</v>
      </c>
      <c r="Y435">
        <f>IF(R435&gt;0,SUM(S435:T435),SUM(S435:U435)+W435)</f>
        <v>176300</v>
      </c>
      <c r="Z435">
        <v>0</v>
      </c>
      <c r="AA435">
        <f>X435*0.038</f>
        <v>5806.4</v>
      </c>
      <c r="AB435">
        <f>X435*0.02</f>
        <v>3056</v>
      </c>
      <c r="AC435">
        <f>Y435*0.1</f>
        <v>17630</v>
      </c>
      <c r="AD435">
        <f>X435-AA435-AB435</f>
        <v>143937.6</v>
      </c>
      <c r="AE435">
        <f>Y435-AC435</f>
        <v>158670</v>
      </c>
      <c r="AF435">
        <f>AD435*0.01</f>
        <v>1439.376</v>
      </c>
      <c r="AG435">
        <f>AD435-Q435-AF435-T435</f>
        <v>25048.22400000001</v>
      </c>
      <c r="AH435">
        <f>AE435-Q435-AF435-T435</f>
        <v>39780.624</v>
      </c>
      <c r="AI435">
        <f>AG435/X435</f>
        <v>0.1639281675392671</v>
      </c>
      <c r="AJ435">
        <f>AH435/Y435</f>
        <v>0.22564165626772548</v>
      </c>
    </row>
    <row r="436">
      <c r="F436" t="str">
        <v>Purple</v>
      </c>
      <c r="G436" t="str">
        <f>HYPERLINK("https://www.amazon.com/Wilson-Womens-Fold-Backpack-Black/dp/B07HNNXF35/ref=sr_1_3?keywords=Wilson%2BWomen%27s%2BFold%2BOver%2BBackpack%2BBag%2BBlack&amp;qid=1569990421&amp;s=gateway&amp;sr=8-3&amp;th=1","A")</f>
        <v>A</v>
      </c>
      <c r="J436">
        <v>87</v>
      </c>
      <c r="K436">
        <v>2</v>
      </c>
      <c r="L436">
        <f>IF(K436&gt;0,K436*16,)</f>
        <v>32</v>
      </c>
      <c r="M436">
        <f>IF(K436&gt;0,K436*0.453592,IF(L436&gt;0,L436*0.02835,))</f>
        <v>0.907184</v>
      </c>
      <c r="N436">
        <v>0</v>
      </c>
      <c r="O436">
        <v>0</v>
      </c>
      <c r="P436">
        <f>J436+O436+N436</f>
        <v>87</v>
      </c>
      <c r="Q436">
        <f>P436*C$3</f>
        <v>108750</v>
      </c>
      <c r="R436">
        <v>0</v>
      </c>
      <c r="S436">
        <f>ROUND(SUM(Q436:R436), -2)</f>
        <v>108800</v>
      </c>
      <c r="T436">
        <f>ROUNDUP(HLOOKUP(ROUNDUP(K436,0),'배송비 조회'!A$10:U$22,7,0)*C$3,-2)</f>
        <v>11200</v>
      </c>
      <c r="U436">
        <v>0</v>
      </c>
      <c r="V436">
        <f>ROUND(IF(R436&gt;0,0,(S436+T436)*0.3),-2)</f>
        <v>36000</v>
      </c>
      <c r="W436">
        <f>ROUND(IF(R436&gt;0,0,(S436+T436)*0.5),-2)</f>
        <v>60000</v>
      </c>
      <c r="X436">
        <f>IF(R436&gt;0,SUM(S436:T436),SUM(S436:V436))</f>
        <v>156000</v>
      </c>
      <c r="Y436">
        <f>IF(R436&gt;0,SUM(S436:T436),SUM(S436:U436)+W436)</f>
        <v>180000</v>
      </c>
      <c r="Z436">
        <v>0</v>
      </c>
      <c r="AA436">
        <f>X436*0.038</f>
        <v>5928</v>
      </c>
      <c r="AB436">
        <f>X436*0.02</f>
        <v>3120</v>
      </c>
      <c r="AC436">
        <f>Y436*0.1</f>
        <v>18000</v>
      </c>
      <c r="AD436">
        <f>X436-AA436-AB436</f>
        <v>146952</v>
      </c>
      <c r="AE436">
        <f>Y436-AC436</f>
        <v>162000</v>
      </c>
      <c r="AF436">
        <f>AD436*0.01</f>
        <v>1469.52</v>
      </c>
      <c r="AG436">
        <f>AD436-Q436-AF436-T436</f>
        <v>25532.480000000003</v>
      </c>
      <c r="AH436">
        <f>AE436-Q436-AF436-T436</f>
        <v>40580.48</v>
      </c>
      <c r="AI436">
        <f>AG436/X436</f>
        <v>0.16366974358974362</v>
      </c>
      <c r="AJ436">
        <f>AH436/Y436</f>
        <v>0.22544711111111113</v>
      </c>
    </row>
    <row r="437">
      <c r="A437">
        <f>HYPERLINK("https://smartstore.naver.com/brickstore2019/products/4686972733",AW:AW)</f>
        <v>4686972733</v>
      </c>
      <c r="C437" t="str">
        <v>던롭 2019 테니스 백팩 라켓 수납 DUNLOP Backpack (무료배송)</v>
      </c>
      <c r="E437" t="str">
        <v>DUNLOP 2019 CX Performance Backpack (Black)</v>
      </c>
      <c r="G437" t="str">
        <f>HYPERLINK("https://www.amazon.com/DUNLOP-2019-Performance-Backpack-Black/dp/B07PZ4NS1L/ref=sr_1_2?keywords=Dunlop+tennis&amp;qid=1569990769&amp;refinements=p_89%3ADunlop%7CDunlop+Sports%2Cp_72%3A2661618011&amp;rnid=2661617011&amp;s=gateway&amp;sr=8-2","A")</f>
        <v>A</v>
      </c>
      <c r="J437">
        <v>70</v>
      </c>
      <c r="K437">
        <v>2</v>
      </c>
      <c r="L437">
        <f>IF(K437&gt;0,K437*16,)</f>
        <v>32</v>
      </c>
      <c r="M437">
        <f>IF(K437&gt;0,K437*0.453592,IF(L437&gt;0,L437*0.02835,))</f>
        <v>0.907184</v>
      </c>
      <c r="N437">
        <v>0</v>
      </c>
      <c r="O437">
        <v>0</v>
      </c>
      <c r="P437">
        <f>J437+O437+N437</f>
        <v>70</v>
      </c>
      <c r="Q437">
        <f>P437*C$3</f>
        <v>87500</v>
      </c>
      <c r="R437">
        <v>0</v>
      </c>
      <c r="S437">
        <f>ROUND(SUM(Q437:R437), -2)</f>
        <v>87500</v>
      </c>
      <c r="T437">
        <f>ROUNDUP(HLOOKUP(ROUNDUP(K437,0),'배송비 조회'!A$10:U$22,7,0)*C$3,-2)</f>
        <v>11200</v>
      </c>
      <c r="U437">
        <v>0</v>
      </c>
      <c r="V437">
        <f>ROUND(IF(R437&gt;0,0,(S437+T437)*0.3),-2)</f>
        <v>29600</v>
      </c>
      <c r="W437">
        <f>ROUND(IF(R437&gt;0,0,(S437+T437)*0.5),-2)</f>
        <v>49400</v>
      </c>
      <c r="X437">
        <f>IF(R437&gt;0,SUM(S437:T437),SUM(S437:V437))</f>
        <v>128300</v>
      </c>
      <c r="Y437">
        <f>IF(R437&gt;0,SUM(S437:T437),SUM(S437:U437)+W437)</f>
        <v>148100</v>
      </c>
      <c r="Z437">
        <v>0</v>
      </c>
      <c r="AA437">
        <f>X437*0.038</f>
        <v>4875.4</v>
      </c>
      <c r="AB437">
        <f>X437*0.02</f>
        <v>2566</v>
      </c>
      <c r="AC437">
        <f>Y437*0.1</f>
        <v>14810</v>
      </c>
      <c r="AD437">
        <f>X437-AA437-AB437</f>
        <v>120858.6</v>
      </c>
      <c r="AE437">
        <f>Y437-AC437</f>
        <v>133290</v>
      </c>
      <c r="AF437">
        <f>AD437*0.01</f>
        <v>1208.586</v>
      </c>
      <c r="AG437">
        <f>AD437-Q437-AF437-T437</f>
        <v>20950.014000000006</v>
      </c>
      <c r="AH437">
        <f>AE437-Q437-AF437-T437</f>
        <v>33381.414</v>
      </c>
      <c r="AI437">
        <f>AG437/X437</f>
        <v>0.16328927513639913</v>
      </c>
      <c r="AJ437">
        <f>AH437/Y437</f>
        <v>0.22539779878460497</v>
      </c>
      <c r="AW437">
        <v>4686972733</v>
      </c>
    </row>
    <row r="438">
      <c r="A438">
        <f>HYPERLINK("https://smartstore.naver.com/brickstore2019/products/4687003736",AW:AW)</f>
        <v>4687003736</v>
      </c>
      <c r="C438" t="str">
        <v>헤드 코어 콤비 테니스 라켓 가방 HEAD Core Combi(무료배송)</v>
      </c>
      <c r="E438" t="str">
        <v>HEAD Core Combi 6 Racquet Bag</v>
      </c>
      <c r="F438" t="str">
        <v>Black/Yellow</v>
      </c>
      <c r="G438" t="str">
        <f>HYPERLINK("https://www.amazon.com/HEAD-Tennis-Racquet-Squash-Racket/dp/B07PXM69MW/ref=sr_1_1?keywords=head%2Btennis%2Bbag&amp;qid=1569992370&amp;refinements=p_72%3A2661618011&amp;rnid=2661617011&amp;s=gateway&amp;sr=8-1&amp;th=1","A")</f>
        <v>A</v>
      </c>
      <c r="J438">
        <v>45</v>
      </c>
      <c r="K438">
        <v>3.5</v>
      </c>
      <c r="L438">
        <f>IF(K438&gt;0,K438*16,)</f>
        <v>56</v>
      </c>
      <c r="M438">
        <f>IF(K438&gt;0,K438*0.453592,IF(L438&gt;0,L438*0.02835,))</f>
        <v>1.587572</v>
      </c>
      <c r="N438">
        <v>0</v>
      </c>
      <c r="O438">
        <v>0</v>
      </c>
      <c r="P438">
        <f>J438+O438+N438</f>
        <v>45</v>
      </c>
      <c r="Q438">
        <f>P438*C$3</f>
        <v>56250</v>
      </c>
      <c r="R438">
        <v>0</v>
      </c>
      <c r="S438">
        <f>ROUND(SUM(Q438:R438), -2)</f>
        <v>56300</v>
      </c>
      <c r="T438">
        <f>ROUNDUP(HLOOKUP(ROUNDUP(K438,0),'배송비 조회'!A$10:U$22,7,0)*C$3,-2)</f>
        <v>15600</v>
      </c>
      <c r="U438">
        <v>0</v>
      </c>
      <c r="V438">
        <f>ROUND(IF(R438&gt;0,0,(S438+T438)*0.3),-2)</f>
        <v>21600</v>
      </c>
      <c r="W438">
        <f>ROUND(IF(R438&gt;0,0,(S438+T438)*0.5),-2)</f>
        <v>36000</v>
      </c>
      <c r="X438">
        <f>IF(R438&gt;0,SUM(S438:T438),SUM(S438:V438))</f>
        <v>93500</v>
      </c>
      <c r="Y438">
        <f>IF(R438&gt;0,SUM(S438:T438),SUM(S438:U438)+W438)</f>
        <v>107900</v>
      </c>
      <c r="Z438">
        <v>0</v>
      </c>
      <c r="AA438">
        <f>X438*0.038</f>
        <v>3553</v>
      </c>
      <c r="AB438">
        <f>X438*0.02</f>
        <v>1870</v>
      </c>
      <c r="AC438">
        <f>Y438*0.1</f>
        <v>10790</v>
      </c>
      <c r="AD438">
        <f>X438-AA438-AB438</f>
        <v>88077</v>
      </c>
      <c r="AE438">
        <f>Y438-AC438</f>
        <v>97110</v>
      </c>
      <c r="AF438">
        <f>AD438*0.01</f>
        <v>880.77</v>
      </c>
      <c r="AG438">
        <f>AD438-Q438-AF438-T438</f>
        <v>15346.23</v>
      </c>
      <c r="AH438">
        <f>AE438-Q438-AF438-T438</f>
        <v>24379.230000000003</v>
      </c>
      <c r="AI438">
        <f>AG438/X438</f>
        <v>0.16413080213903744</v>
      </c>
      <c r="AJ438">
        <f>AH438/Y438</f>
        <v>0.22594281742354033</v>
      </c>
      <c r="AK438">
        <f>X438-X439</f>
        <v>8200</v>
      </c>
      <c r="AW438">
        <v>4687003736</v>
      </c>
    </row>
    <row r="439">
      <c r="F439" t="str">
        <v>Blue/Orange</v>
      </c>
      <c r="G439" t="str">
        <f>HYPERLINK("https://www.amazon.com/HEAD-Tennis-Racquet-Squash-Racket/dp/B07JJVGWRK/ref=sr_1_1?keywords=head%2Btennis%2Bbag&amp;qid=1569992370&amp;refinements=p_72%3A2661618011&amp;rnid=2661617011&amp;s=gateway&amp;sr=8-1&amp;th=1","A")</f>
        <v>A</v>
      </c>
      <c r="J439">
        <v>40</v>
      </c>
      <c r="K439">
        <v>3.5</v>
      </c>
      <c r="L439">
        <f>IF(K439&gt;0,K439*16,)</f>
        <v>56</v>
      </c>
      <c r="M439">
        <f>IF(K439&gt;0,K439*0.453592,IF(L439&gt;0,L439*0.02835,))</f>
        <v>1.587572</v>
      </c>
      <c r="N439">
        <v>0</v>
      </c>
      <c r="O439">
        <v>0</v>
      </c>
      <c r="P439">
        <f>J439+O439+N439</f>
        <v>40</v>
      </c>
      <c r="Q439">
        <f>P439*C$3</f>
        <v>50000</v>
      </c>
      <c r="R439">
        <v>0</v>
      </c>
      <c r="S439">
        <f>ROUND(SUM(Q439:R439), -2)</f>
        <v>50000</v>
      </c>
      <c r="T439">
        <f>ROUNDUP(HLOOKUP(ROUNDUP(K439,0),'배송비 조회'!A$10:U$22,7,0)*C$3,-2)</f>
        <v>15600</v>
      </c>
      <c r="U439">
        <v>0</v>
      </c>
      <c r="V439">
        <f>ROUND(IF(R439&gt;0,0,(S439+T439)*0.3),-2)</f>
        <v>19700</v>
      </c>
      <c r="W439">
        <f>ROUND(IF(R439&gt;0,0,(S439+T439)*0.5),-2)</f>
        <v>32800</v>
      </c>
      <c r="X439">
        <f>IF(R439&gt;0,SUM(S439:T439),SUM(S439:V439))</f>
        <v>85300</v>
      </c>
      <c r="Y439">
        <f>IF(R439&gt;0,SUM(S439:T439),SUM(S439:U439)+W439)</f>
        <v>98400</v>
      </c>
      <c r="Z439">
        <v>0</v>
      </c>
      <c r="AA439">
        <f>X439*0.038</f>
        <v>3241.4</v>
      </c>
      <c r="AB439">
        <f>X439*0.02</f>
        <v>1706</v>
      </c>
      <c r="AC439">
        <f>Y439*0.1</f>
        <v>9840</v>
      </c>
      <c r="AD439">
        <f>X439-AA439-AB439</f>
        <v>80352.6</v>
      </c>
      <c r="AE439">
        <f>Y439-AC439</f>
        <v>88560</v>
      </c>
      <c r="AF439">
        <f>AD439*0.01</f>
        <v>803.5260000000001</v>
      </c>
      <c r="AG439">
        <f>AD439-Q439-AF439-T439</f>
        <v>13949.074000000004</v>
      </c>
      <c r="AH439">
        <f>AE439-Q439-AF439-T439</f>
        <v>22156.474000000002</v>
      </c>
      <c r="AI439">
        <f>AG439/X439</f>
        <v>0.16352958968347014</v>
      </c>
      <c r="AJ439">
        <f>AH439/Y439</f>
        <v>0.22516741869918702</v>
      </c>
    </row>
    <row r="440">
      <c r="F440" t="str">
        <v>Red/Black</v>
      </c>
      <c r="G440" t="str">
        <f>HYPERLINK("https://www.amazon.com/HEAD-Tennis-Racquet-Squash-Racket/dp/B07RMZGGRS/ref=sr_1_1?keywords=head%2Btennis%2Bbag&amp;qid=1569992370&amp;refinements=p_72%3A2661618011&amp;rnid=2661617011&amp;s=gateway&amp;sr=8-1&amp;th=1","A")</f>
        <v>A</v>
      </c>
      <c r="J440">
        <v>40</v>
      </c>
      <c r="K440">
        <v>3.5</v>
      </c>
      <c r="L440">
        <f>IF(K440&gt;0,K440*16,)</f>
        <v>56</v>
      </c>
      <c r="M440">
        <f>IF(K440&gt;0,K440*0.453592,IF(L440&gt;0,L440*0.02835,))</f>
        <v>1.587572</v>
      </c>
      <c r="N440">
        <v>0</v>
      </c>
      <c r="O440">
        <v>0</v>
      </c>
      <c r="P440">
        <f>J440+O440+N440</f>
        <v>40</v>
      </c>
      <c r="Q440">
        <f>P440*C$3</f>
        <v>50000</v>
      </c>
      <c r="R440">
        <v>0</v>
      </c>
      <c r="S440">
        <f>ROUND(SUM(Q440:R440), -2)</f>
        <v>50000</v>
      </c>
      <c r="T440">
        <f>ROUNDUP(HLOOKUP(ROUNDUP(K440,0),'배송비 조회'!A$10:U$22,7,0)*C$3,-2)</f>
        <v>15600</v>
      </c>
      <c r="U440">
        <v>0</v>
      </c>
      <c r="V440">
        <f>ROUND(IF(R440&gt;0,0,(S440+T440)*0.3),-2)</f>
        <v>19700</v>
      </c>
      <c r="W440">
        <f>ROUND(IF(R440&gt;0,0,(S440+T440)*0.5),-2)</f>
        <v>32800</v>
      </c>
      <c r="X440">
        <f>IF(R440&gt;0,SUM(S440:T440),SUM(S440:V440))</f>
        <v>85300</v>
      </c>
      <c r="Y440">
        <f>IF(R440&gt;0,SUM(S440:T440),SUM(S440:U440)+W440)</f>
        <v>98400</v>
      </c>
      <c r="Z440">
        <v>0</v>
      </c>
      <c r="AA440">
        <f>X440*0.038</f>
        <v>3241.4</v>
      </c>
      <c r="AB440">
        <f>X440*0.02</f>
        <v>1706</v>
      </c>
      <c r="AC440">
        <f>Y440*0.1</f>
        <v>9840</v>
      </c>
      <c r="AD440">
        <f>X440-AA440-AB440</f>
        <v>80352.6</v>
      </c>
      <c r="AE440">
        <f>Y440-AC440</f>
        <v>88560</v>
      </c>
      <c r="AF440">
        <f>AD440*0.01</f>
        <v>803.5260000000001</v>
      </c>
      <c r="AG440">
        <f>AD440-Q440-AF440-T440</f>
        <v>13949.074000000004</v>
      </c>
      <c r="AH440">
        <f>AE440-Q440-AF440-T440</f>
        <v>22156.474000000002</v>
      </c>
      <c r="AI440">
        <f>AG440/X440</f>
        <v>0.16352958968347014</v>
      </c>
      <c r="AJ440">
        <f>AH440/Y440</f>
        <v>0.22516741869918702</v>
      </c>
    </row>
    <row r="441">
      <c r="A441">
        <f>HYPERLINK("https://smartstore.naver.com/brickstore2019/products/4687018721",AW:AW)</f>
        <v>4687018721</v>
      </c>
      <c r="C441" t="str">
        <v>윌슨 여성용 테니스 라켓 백팩 Wilson Backpack WRZ863995(무료 배송)</v>
      </c>
      <c r="E441" t="str">
        <v>Wilson Women's Tennis Bag</v>
      </c>
      <c r="F441" t="str">
        <v>Black</v>
      </c>
      <c r="G441" t="str">
        <f>HYPERLINK("https://www.amazon.com/Wilson-Womens-Fold-Backpack-Black/dp/B07HNN7J5T/ref=sr_1_3?keywords=Wilson%2BWomen%27s%2BFold%2BOver%2BBackpack%2BBag%2BBlack&amp;qid=1569990421&amp;s=gateway&amp;sr=8-3&amp;th=1","A")</f>
        <v>A</v>
      </c>
      <c r="J441">
        <v>82</v>
      </c>
      <c r="K441">
        <v>1.5</v>
      </c>
      <c r="L441">
        <f>IF(K441&gt;0,K441*16,)</f>
        <v>24</v>
      </c>
      <c r="M441">
        <f>IF(K441&gt;0,K441*0.453592,IF(L441&gt;0,L441*0.02835,))</f>
        <v>0.680388</v>
      </c>
      <c r="N441">
        <v>0</v>
      </c>
      <c r="O441">
        <v>0</v>
      </c>
      <c r="P441">
        <f>J441+O441+N441</f>
        <v>82</v>
      </c>
      <c r="Q441">
        <f>P441*C$3</f>
        <v>102500</v>
      </c>
      <c r="R441">
        <v>0</v>
      </c>
      <c r="S441">
        <f>ROUND(SUM(Q441:R441), -2)</f>
        <v>102500</v>
      </c>
      <c r="T441">
        <f>ROUNDUP(HLOOKUP(ROUNDUP(K441,0),'배송비 조회'!A$10:U$22,7,0)*C$3,-2)</f>
        <v>11200</v>
      </c>
      <c r="U441">
        <v>0</v>
      </c>
      <c r="V441">
        <f>ROUND(IF(R441&gt;0,0,(S441+T441)*0.3),-2)</f>
        <v>34100</v>
      </c>
      <c r="W441">
        <f>ROUND(IF(R441&gt;0,0,(S441+T441)*0.5),-2)</f>
        <v>56900</v>
      </c>
      <c r="X441">
        <f>IF(R441&gt;0,SUM(S441:T441),SUM(S441:V441))</f>
        <v>147800</v>
      </c>
      <c r="Y441">
        <f>IF(R441&gt;0,SUM(S441:T441),SUM(S441:U441)+W441)</f>
        <v>170600</v>
      </c>
      <c r="Z441">
        <v>0</v>
      </c>
      <c r="AA441">
        <f>X441*0.038</f>
        <v>5616.4</v>
      </c>
      <c r="AB441">
        <f>X441*0.02</f>
        <v>2956</v>
      </c>
      <c r="AC441">
        <f>Y441*0.1</f>
        <v>17060</v>
      </c>
      <c r="AD441">
        <f>X441-AA441-AB441</f>
        <v>139227.6</v>
      </c>
      <c r="AE441">
        <f>Y441-AC441</f>
        <v>153540</v>
      </c>
      <c r="AF441">
        <f>AD441*0.01</f>
        <v>1392.276</v>
      </c>
      <c r="AG441">
        <f>AD441-Q441-AF441-T441</f>
        <v>24135.324000000008</v>
      </c>
      <c r="AH441">
        <f>AE441-Q441-AF441-T441</f>
        <v>38447.724</v>
      </c>
      <c r="AI441">
        <f>AG441/X441</f>
        <v>0.16329718538565635</v>
      </c>
      <c r="AJ441">
        <f>AH441/Y441</f>
        <v>0.22536766705744432</v>
      </c>
      <c r="AW441">
        <v>4687018721</v>
      </c>
    </row>
    <row r="442">
      <c r="F442" t="str">
        <v>Green</v>
      </c>
      <c r="G442" t="str">
        <f>HYPERLINK("https://www.amazon.com/Wilson-Womens-Fold-Backpack-Black/dp/B07HN9LMLG/ref=sr_1_3?keywords=Wilson%2BWomen%27s%2BFold%2BOver%2BBackpack%2BBag%2BBlack&amp;qid=1569990421&amp;s=gateway&amp;sr=8-3&amp;th=1","A")</f>
        <v>A</v>
      </c>
      <c r="J442">
        <v>80</v>
      </c>
      <c r="K442">
        <v>1.5</v>
      </c>
      <c r="L442">
        <f>IF(K442&gt;0,K442*16,)</f>
        <v>24</v>
      </c>
      <c r="M442">
        <f>IF(K442&gt;0,K442*0.453592,IF(L442&gt;0,L442*0.02835,))</f>
        <v>0.680388</v>
      </c>
      <c r="N442">
        <v>0</v>
      </c>
      <c r="O442">
        <v>0</v>
      </c>
      <c r="P442">
        <f>J442+O442+N442</f>
        <v>80</v>
      </c>
      <c r="Q442">
        <f>P442*C$3</f>
        <v>100000</v>
      </c>
      <c r="R442">
        <v>0</v>
      </c>
      <c r="S442">
        <f>ROUND(SUM(Q442:R442), -2)</f>
        <v>100000</v>
      </c>
      <c r="T442">
        <f>ROUNDUP(HLOOKUP(ROUNDUP(K442,0),'배송비 조회'!A$10:U$22,7,0)*C$3,-2)</f>
        <v>11200</v>
      </c>
      <c r="U442">
        <v>0</v>
      </c>
      <c r="V442">
        <f>ROUND(IF(R442&gt;0,0,(S442+T442)*0.3),-2)</f>
        <v>33400</v>
      </c>
      <c r="W442">
        <f>ROUND(IF(R442&gt;0,0,(S442+T442)*0.5),-2)</f>
        <v>55600</v>
      </c>
      <c r="X442">
        <f>IF(R442&gt;0,SUM(S442:T442),SUM(S442:V442))</f>
        <v>144600</v>
      </c>
      <c r="Y442">
        <f>IF(R442&gt;0,SUM(S442:T442),SUM(S442:U442)+W442)</f>
        <v>166800</v>
      </c>
      <c r="Z442">
        <v>0</v>
      </c>
      <c r="AA442">
        <f>X442*0.038</f>
        <v>5494.8</v>
      </c>
      <c r="AB442">
        <f>X442*0.02</f>
        <v>2892</v>
      </c>
      <c r="AC442">
        <f>Y442*0.1</f>
        <v>16680</v>
      </c>
      <c r="AD442">
        <f>X442-AA442-AB442</f>
        <v>136213.2</v>
      </c>
      <c r="AE442">
        <f>Y442-AC442</f>
        <v>150120</v>
      </c>
      <c r="AF442">
        <f>AD442*0.01</f>
        <v>1362.132</v>
      </c>
      <c r="AG442">
        <f>AD442-Q442-AF442-T442</f>
        <v>23651.068000000014</v>
      </c>
      <c r="AH442">
        <f>AE442-Q442-AF442-T442</f>
        <v>37557.868</v>
      </c>
      <c r="AI442">
        <f>AG442/X442</f>
        <v>0.1635620193637622</v>
      </c>
      <c r="AJ442">
        <f>AH442/Y442</f>
        <v>0.2251670743405276</v>
      </c>
    </row>
    <row r="443">
      <c r="F443" t="str">
        <v>Purple</v>
      </c>
      <c r="G443" t="str">
        <f>HYPERLINK("https://www.amazon.com/Wilson-Womens-Fold-Backpack-Black/dp/B07HNGGT13/ref=sr_1_3?keywords=Wilson%2BWomen%27s%2BFold%2BOver%2BBackpack%2BBag%2BBlack&amp;qid=1569990421&amp;s=gateway&amp;sr=8-3&amp;th=1","A")</f>
        <v>A</v>
      </c>
      <c r="J443">
        <v>80</v>
      </c>
      <c r="K443">
        <v>1.5</v>
      </c>
      <c r="L443">
        <f>IF(K443&gt;0,K443*16,)</f>
        <v>24</v>
      </c>
      <c r="M443">
        <f>IF(K443&gt;0,K443*0.453592,IF(L443&gt;0,L443*0.02835,))</f>
        <v>0.680388</v>
      </c>
      <c r="N443">
        <v>0</v>
      </c>
      <c r="O443">
        <v>0</v>
      </c>
      <c r="P443">
        <f>J443+O443+N443</f>
        <v>80</v>
      </c>
      <c r="Q443">
        <f>P443*C$3</f>
        <v>100000</v>
      </c>
      <c r="R443">
        <v>0</v>
      </c>
      <c r="S443">
        <f>ROUND(SUM(Q443:R443), -2)</f>
        <v>100000</v>
      </c>
      <c r="T443">
        <f>ROUNDUP(HLOOKUP(ROUNDUP(K443,0),'배송비 조회'!A$10:U$22,7,0)*C$3,-2)</f>
        <v>11200</v>
      </c>
      <c r="U443">
        <v>0</v>
      </c>
      <c r="V443">
        <f>ROUND(IF(R443&gt;0,0,(S443+T443)*0.3),-2)</f>
        <v>33400</v>
      </c>
      <c r="W443">
        <f>ROUND(IF(R443&gt;0,0,(S443+T443)*0.5),-2)</f>
        <v>55600</v>
      </c>
      <c r="X443">
        <f>IF(R443&gt;0,SUM(S443:T443),SUM(S443:V443))</f>
        <v>144600</v>
      </c>
      <c r="Y443">
        <f>IF(R443&gt;0,SUM(S443:T443),SUM(S443:U443)+W443)</f>
        <v>166800</v>
      </c>
      <c r="Z443">
        <v>0</v>
      </c>
      <c r="AA443">
        <f>X443*0.038</f>
        <v>5494.8</v>
      </c>
      <c r="AB443">
        <f>X443*0.02</f>
        <v>2892</v>
      </c>
      <c r="AC443">
        <f>Y443*0.1</f>
        <v>16680</v>
      </c>
      <c r="AD443">
        <f>X443-AA443-AB443</f>
        <v>136213.2</v>
      </c>
      <c r="AE443">
        <f>Y443-AC443</f>
        <v>150120</v>
      </c>
      <c r="AF443">
        <f>AD443*0.01</f>
        <v>1362.132</v>
      </c>
      <c r="AG443">
        <f>AD443-Q443-AF443-T443</f>
        <v>23651.068000000014</v>
      </c>
      <c r="AH443">
        <f>AE443-Q443-AF443-T443</f>
        <v>37557.868</v>
      </c>
      <c r="AI443">
        <f>AG443/X443</f>
        <v>0.1635620193637622</v>
      </c>
      <c r="AJ443">
        <f>AH443/Y443</f>
        <v>0.2251670743405276</v>
      </c>
    </row>
    <row r="444">
      <c r="A444">
        <f>HYPERLINK("https://smartstore.naver.com/brickstore2019/products/4687199192",AW:AW)</f>
        <v>4687199192</v>
      </c>
      <c r="C444" t="str">
        <v>윌슨 여성용 테니스 토트백 Wilson Women's Tennis Bag (무료배송)</v>
      </c>
      <c r="E444" t="str">
        <v>Wilson Women's Tennis Bag</v>
      </c>
      <c r="F444" t="str">
        <v>Black</v>
      </c>
      <c r="G444" t="str">
        <f>HYPERLINK("https://www.amazon.com/Wilson-Womens-Fold-Backpack-Black/dp/B07HNJYT67/ref=sr_1_3?keywords=Wilson%2BWomen%27s%2BFold%2BOver%2BBackpack%2BBag%2BBlack&amp;qid=1569990421&amp;s=gateway&amp;sr=8-3&amp;th=1","A")</f>
        <v>A</v>
      </c>
      <c r="J444">
        <v>82</v>
      </c>
      <c r="K444">
        <v>1.6</v>
      </c>
      <c r="L444">
        <f>IF(K444&gt;0,K444*16,)</f>
        <v>25.6</v>
      </c>
      <c r="M444">
        <f>IF(K444&gt;0,K444*0.453592,IF(L444&gt;0,L444*0.02835,))</f>
        <v>0.7257472</v>
      </c>
      <c r="N444">
        <v>0</v>
      </c>
      <c r="O444">
        <v>0</v>
      </c>
      <c r="P444">
        <f>J444+O444+N444</f>
        <v>82</v>
      </c>
      <c r="Q444">
        <f>P444*C$3</f>
        <v>102500</v>
      </c>
      <c r="R444">
        <v>0</v>
      </c>
      <c r="S444">
        <f>ROUND(SUM(Q444:R444), -2)</f>
        <v>102500</v>
      </c>
      <c r="T444">
        <f>ROUNDUP(HLOOKUP(ROUNDUP(K444,0),'배송비 조회'!A$10:U$22,7,0)*C$3,-2)</f>
        <v>11200</v>
      </c>
      <c r="U444">
        <v>0</v>
      </c>
      <c r="V444">
        <f>ROUND(IF(R444&gt;0,0,(S444+T444)*0.3),-2)</f>
        <v>34100</v>
      </c>
      <c r="W444">
        <f>ROUND(IF(R444&gt;0,0,(S444+T444)*0.5),-2)</f>
        <v>56900</v>
      </c>
      <c r="X444">
        <f>IF(R444&gt;0,SUM(S444:T444),SUM(S444:V444))</f>
        <v>147800</v>
      </c>
      <c r="Y444">
        <f>IF(R444&gt;0,SUM(S444:T444),SUM(S444:U444)+W444)</f>
        <v>170600</v>
      </c>
      <c r="Z444">
        <v>0</v>
      </c>
      <c r="AA444">
        <f>X444*0.038</f>
        <v>5616.4</v>
      </c>
      <c r="AB444">
        <f>X444*0.02</f>
        <v>2956</v>
      </c>
      <c r="AC444">
        <f>Y444*0.1</f>
        <v>17060</v>
      </c>
      <c r="AD444">
        <f>X444-AA444-AB444</f>
        <v>139227.6</v>
      </c>
      <c r="AE444">
        <f>Y444-AC444</f>
        <v>153540</v>
      </c>
      <c r="AF444">
        <f>AD444*0.01</f>
        <v>1392.276</v>
      </c>
      <c r="AG444">
        <f>AD444-Q444-AF444-T444</f>
        <v>24135.324000000008</v>
      </c>
      <c r="AH444">
        <f>AE444-Q444-AF444-T444</f>
        <v>38447.724</v>
      </c>
      <c r="AI444">
        <f>AG444/X444</f>
        <v>0.16329718538565635</v>
      </c>
      <c r="AJ444">
        <f>AH444/Y444</f>
        <v>0.22536766705744432</v>
      </c>
      <c r="AW444">
        <v>4687199192</v>
      </c>
    </row>
    <row r="445">
      <c r="F445" t="str">
        <v>Green</v>
      </c>
      <c r="G445" t="str">
        <f>HYPERLINK("https://www.amazon.com/Wilson-Womens-Fold-Backpack-Black/dp/B07HNDXLCQ/ref=sr_1_3?keywords=Wilson%2BWomen%27s%2BFold%2BOver%2BBackpack%2BBag%2BBlack&amp;qid=1569990421&amp;s=gateway&amp;sr=8-3&amp;th=1","A")</f>
        <v>A</v>
      </c>
      <c r="J445">
        <v>80</v>
      </c>
      <c r="K445">
        <v>1.6</v>
      </c>
      <c r="L445">
        <f>IF(K445&gt;0,K445*16,)</f>
        <v>25.6</v>
      </c>
      <c r="M445">
        <f>IF(K445&gt;0,K445*0.453592,IF(L445&gt;0,L445*0.02835,))</f>
        <v>0.7257472</v>
      </c>
      <c r="N445">
        <v>0</v>
      </c>
      <c r="O445">
        <v>0</v>
      </c>
      <c r="P445">
        <f>J445+O445+N445</f>
        <v>80</v>
      </c>
      <c r="Q445">
        <f>P445*C$3</f>
        <v>100000</v>
      </c>
      <c r="R445">
        <v>0</v>
      </c>
      <c r="S445">
        <f>ROUND(SUM(Q445:R445), -2)</f>
        <v>100000</v>
      </c>
      <c r="T445">
        <f>ROUNDUP(HLOOKUP(ROUNDUP(K445,0),'배송비 조회'!A$10:U$22,7,0)*C$3,-2)</f>
        <v>11200</v>
      </c>
      <c r="U445">
        <v>0</v>
      </c>
      <c r="V445">
        <f>ROUND(IF(R445&gt;0,0,(S445+T445)*0.3),-2)</f>
        <v>33400</v>
      </c>
      <c r="W445">
        <f>ROUND(IF(R445&gt;0,0,(S445+T445)*0.5),-2)</f>
        <v>55600</v>
      </c>
      <c r="X445">
        <f>IF(R445&gt;0,SUM(S445:T445),SUM(S445:V445))</f>
        <v>144600</v>
      </c>
      <c r="Y445">
        <f>IF(R445&gt;0,SUM(S445:T445),SUM(S445:U445)+W445)</f>
        <v>166800</v>
      </c>
      <c r="Z445">
        <v>0</v>
      </c>
      <c r="AA445">
        <f>X445*0.038</f>
        <v>5494.8</v>
      </c>
      <c r="AB445">
        <f>X445*0.02</f>
        <v>2892</v>
      </c>
      <c r="AC445">
        <f>Y445*0.1</f>
        <v>16680</v>
      </c>
      <c r="AD445">
        <f>X445-AA445-AB445</f>
        <v>136213.2</v>
      </c>
      <c r="AE445">
        <f>Y445-AC445</f>
        <v>150120</v>
      </c>
      <c r="AF445">
        <f>AD445*0.01</f>
        <v>1362.132</v>
      </c>
      <c r="AG445">
        <f>AD445-Q445-AF445-T445</f>
        <v>23651.068000000014</v>
      </c>
      <c r="AH445">
        <f>AE445-Q445-AF445-T445</f>
        <v>37557.868</v>
      </c>
      <c r="AI445">
        <f>AG445/X445</f>
        <v>0.1635620193637622</v>
      </c>
      <c r="AJ445">
        <f>AH445/Y445</f>
        <v>0.2251670743405276</v>
      </c>
    </row>
    <row r="446">
      <c r="F446" t="str">
        <v>Purple</v>
      </c>
      <c r="G446" t="str">
        <f>HYPERLINK("https://www.amazon.com/Wilson-Womens-Fold-Backpack-Black/dp/B07HNNR1H5/ref=sr_1_3?keywords=Wilson%2BWomen%27s%2BFold%2BOver%2BBackpack%2BBag%2BBlack&amp;qid=1569990421&amp;s=gateway&amp;sr=8-3&amp;th=1","A")</f>
        <v>A</v>
      </c>
      <c r="J446">
        <v>80</v>
      </c>
      <c r="K446">
        <v>1.6</v>
      </c>
      <c r="L446">
        <f>IF(K446&gt;0,K446*16,)</f>
        <v>25.6</v>
      </c>
      <c r="M446">
        <f>IF(K446&gt;0,K446*0.453592,IF(L446&gt;0,L446*0.02835,))</f>
        <v>0.7257472</v>
      </c>
      <c r="N446">
        <v>0</v>
      </c>
      <c r="O446">
        <v>0</v>
      </c>
      <c r="P446">
        <f>J446+O446+N446</f>
        <v>80</v>
      </c>
      <c r="Q446">
        <f>P446*C$3</f>
        <v>100000</v>
      </c>
      <c r="R446">
        <v>0</v>
      </c>
      <c r="S446">
        <f>ROUND(SUM(Q446:R446), -2)</f>
        <v>100000</v>
      </c>
      <c r="T446">
        <f>ROUNDUP(HLOOKUP(ROUNDUP(K446,0),'배송비 조회'!A$10:U$22,7,0)*C$3,-2)</f>
        <v>11200</v>
      </c>
      <c r="U446">
        <v>0</v>
      </c>
      <c r="V446">
        <f>ROUND(IF(R446&gt;0,0,(S446+T446)*0.3),-2)</f>
        <v>33400</v>
      </c>
      <c r="W446">
        <f>ROUND(IF(R446&gt;0,0,(S446+T446)*0.5),-2)</f>
        <v>55600</v>
      </c>
      <c r="X446">
        <f>IF(R446&gt;0,SUM(S446:T446),SUM(S446:V446))</f>
        <v>144600</v>
      </c>
      <c r="Y446">
        <f>IF(R446&gt;0,SUM(S446:T446),SUM(S446:U446)+W446)</f>
        <v>166800</v>
      </c>
      <c r="Z446">
        <v>0</v>
      </c>
      <c r="AA446">
        <f>X446*0.038</f>
        <v>5494.8</v>
      </c>
      <c r="AB446">
        <f>X446*0.02</f>
        <v>2892</v>
      </c>
      <c r="AC446">
        <f>Y446*0.1</f>
        <v>16680</v>
      </c>
      <c r="AD446">
        <f>X446-AA446-AB446</f>
        <v>136213.2</v>
      </c>
      <c r="AE446">
        <f>Y446-AC446</f>
        <v>150120</v>
      </c>
      <c r="AF446">
        <f>AD446*0.01</f>
        <v>1362.132</v>
      </c>
      <c r="AG446">
        <f>AD446-Q446-AF446-T446</f>
        <v>23651.068000000014</v>
      </c>
      <c r="AH446">
        <f>AE446-Q446-AF446-T446</f>
        <v>37557.868</v>
      </c>
      <c r="AI446">
        <f>AG446/X446</f>
        <v>0.1635620193637622</v>
      </c>
      <c r="AJ446">
        <f>AH446/Y446</f>
        <v>0.2251670743405276</v>
      </c>
      <c r="AK446">
        <f>X444-X445</f>
        <v>3200</v>
      </c>
    </row>
    <row r="447">
      <c r="A447">
        <f>HYPERLINK("https://smartstore.naver.com/brickstore2019/products/4687276843",AW:AW)</f>
        <v>4687276843</v>
      </c>
      <c r="C447" t="str">
        <v>이어스튜디오 고해상도 이어폰 HE100 선명한 사운드 3.5mm 인이어 이어폰</v>
      </c>
      <c r="E447" t="str">
        <v>New: HE100, EarStudio High-Resolution Earphones, 3.5mm in-Ear Headphones, Distinctive Clear Sound, Single Powerful Hi-Res Dynamic Driver, Comfort Fit, in-line Microphone</v>
      </c>
      <c r="G447" t="str">
        <f>HYPERLINK("https://www.amazon.com/New-High-Resolution-Ear-Distinctive-line/dp/B07VB2Q8S9?ref_=ast_sto_dp&amp;th=1","A")</f>
        <v>A</v>
      </c>
      <c r="J447">
        <v>75</v>
      </c>
      <c r="K447">
        <f>IF(L447&gt;0,L447*0.0625,)</f>
        <v>0.3125</v>
      </c>
      <c r="L447">
        <v>5</v>
      </c>
      <c r="M447">
        <f>IF(K447&gt;0,K447*0.453592,IF(L447&gt;0,L447*0.02835,))</f>
        <v>0.1417475</v>
      </c>
      <c r="N447">
        <v>0</v>
      </c>
      <c r="O447">
        <v>0</v>
      </c>
      <c r="P447">
        <f>J447+O447+N447</f>
        <v>75</v>
      </c>
      <c r="Q447">
        <f>P447*C$3</f>
        <v>93750</v>
      </c>
      <c r="R447">
        <v>0</v>
      </c>
      <c r="S447">
        <f>ROUND(SUM(Q447:R447), -2)</f>
        <v>93800</v>
      </c>
      <c r="T447">
        <f>ROUNDUP(HLOOKUP(ROUNDUP(K447,0),'배송비 조회'!A$10:U$22,7,0)*C$3,-2)</f>
        <v>9000</v>
      </c>
      <c r="U447">
        <v>0</v>
      </c>
      <c r="V447">
        <f>ROUND(IF(R447&gt;0,0,(S447+T447)*0.3),-2)</f>
        <v>30800</v>
      </c>
      <c r="W447">
        <f>ROUND(IF(R447&gt;0,0,(S447+T447)*0.5),-2)</f>
        <v>51400</v>
      </c>
      <c r="X447">
        <f>IF(R447&gt;0,SUM(S447:T447),SUM(S447:V447))</f>
        <v>133600</v>
      </c>
      <c r="Y447">
        <f>IF(R447&gt;0,SUM(S447:T447),SUM(S447:U447)+W447)</f>
        <v>154200</v>
      </c>
      <c r="Z447">
        <v>0</v>
      </c>
      <c r="AA447">
        <f>X447*0.038</f>
        <v>5076.8</v>
      </c>
      <c r="AB447">
        <f>X447*0.02</f>
        <v>2672</v>
      </c>
      <c r="AC447">
        <f>Y447*0.1</f>
        <v>15420</v>
      </c>
      <c r="AD447">
        <f>X447-AA447-AB447</f>
        <v>125851.2</v>
      </c>
      <c r="AE447">
        <f>Y447-AC447</f>
        <v>138780</v>
      </c>
      <c r="AF447">
        <f>AD447*0.01</f>
        <v>1258.512</v>
      </c>
      <c r="AG447">
        <f>AD447-Q447-AF447-T447</f>
        <v>21842.688</v>
      </c>
      <c r="AH447">
        <f>AE447-Q447-AF447-T447</f>
        <v>34771.488</v>
      </c>
      <c r="AI447">
        <f>AG447/X447</f>
        <v>0.16349317365269458</v>
      </c>
      <c r="AJ447">
        <f>AH447/Y447</f>
        <v>0.22549603112840466</v>
      </c>
      <c r="AW447">
        <v>4687276843</v>
      </c>
    </row>
    <row r="448">
      <c r="A448">
        <f>HYPERLINK("https://smartstore.naver.com/brickstore2019/products/4687850150",AW:AW)</f>
        <v>4687850150</v>
      </c>
      <c r="C448" t="str">
        <v>로지텍 크래프트 무선키보드 Logitech Craft (무료배송)</v>
      </c>
      <c r="E448" t="str">
        <v>Logitech Craft Advanced Wireless Keyboard with Creative Input Dial and Backlit Keys, Dark grey and aluminum</v>
      </c>
      <c r="G448" t="str">
        <f>HYPERLINK("https://www.amazon.com/Logitech-Advanced-Wireless-Keyboard-Creative/dp/B0768LTVCQ/ref=sr_1_6?keywords=mx+keys&amp;qid=1570160032&amp;sr=8-6","A")</f>
        <v>A</v>
      </c>
      <c r="J448">
        <v>169.99</v>
      </c>
      <c r="K448">
        <v>3.5</v>
      </c>
      <c r="L448">
        <f>IF(K448&gt;0,K448*16,)</f>
        <v>56</v>
      </c>
      <c r="M448">
        <f>IF(K448&gt;0,K448*0.453592,IF(L448&gt;0,L448*0.02835,))</f>
        <v>1.587572</v>
      </c>
      <c r="N448">
        <v>0</v>
      </c>
      <c r="O448">
        <v>0</v>
      </c>
      <c r="P448">
        <f>J448+O448+N448</f>
        <v>169.99</v>
      </c>
      <c r="Q448">
        <f>P448*C$3</f>
        <v>212487.5</v>
      </c>
      <c r="R448">
        <v>0</v>
      </c>
      <c r="S448">
        <f>ROUND(SUM(Q448:R448), -2)</f>
        <v>212500</v>
      </c>
      <c r="T448">
        <f>ROUNDUP(HLOOKUP(ROUNDUP(K448,0),'배송비 조회'!A$10:U$22,7,0)*C$3,-2)</f>
        <v>15600</v>
      </c>
      <c r="U448">
        <v>0</v>
      </c>
      <c r="V448">
        <f>ROUND(IF(R448&gt;0,0,(S448+T448)*0.2),-2)</f>
        <v>45600</v>
      </c>
      <c r="W448">
        <f>ROUND(IF(R448&gt;0,0,(S448+T448)*0.5),-2)</f>
        <v>114100</v>
      </c>
      <c r="X448">
        <f>IF(R448&gt;0,SUM(S448:T448),SUM(S448:V448))</f>
        <v>273700</v>
      </c>
      <c r="Y448">
        <f>IF(R448&gt;0,SUM(S448:T448),SUM(S448:U448)+W448)</f>
        <v>342200</v>
      </c>
      <c r="Z448">
        <v>0</v>
      </c>
      <c r="AA448">
        <f>X448*0.038</f>
        <v>10400.6</v>
      </c>
      <c r="AB448">
        <f>X448*0.02</f>
        <v>5474</v>
      </c>
      <c r="AC448">
        <f>Y448*0.1</f>
        <v>34220</v>
      </c>
      <c r="AD448">
        <f>X448-AA448-AB448</f>
        <v>257825.40000000002</v>
      </c>
      <c r="AE448">
        <f>Y448-AC448</f>
        <v>307980</v>
      </c>
      <c r="AF448">
        <f>AD448*0.01</f>
        <v>2578.2540000000004</v>
      </c>
      <c r="AG448">
        <f>AD448-Q448-AF448-T448</f>
        <v>27159.646000000022</v>
      </c>
      <c r="AH448">
        <f>AE448-Q448-AF448-T448</f>
        <v>77314.246</v>
      </c>
      <c r="AI448">
        <f>AG448/X448</f>
        <v>0.09923144318597012</v>
      </c>
      <c r="AJ448">
        <f>AH448/Y448</f>
        <v>0.22593292226767972</v>
      </c>
      <c r="AW448">
        <v>4687850150</v>
      </c>
    </row>
    <row r="449">
      <c r="A449">
        <f>HYPERLINK("https://smartstore.naver.com/brickstore2019/products/4688810881",AW:AW)</f>
        <v>4688810881</v>
      </c>
      <c r="C449" t="str">
        <v>로지텍 슬림폴리오 아이패드 5세대 6세대 키보드 케이스 Logitech Slim Folio (무료배송)</v>
      </c>
      <c r="E449" t="str">
        <v>Logitech Slim Folio with Integrated Bluetooth Keyboard for iPad (5th and 6th Generation)</v>
      </c>
      <c r="G449" t="str">
        <f>HYPERLINK("https://www.amazon.com/Logitech-iPad-Slim-Folio-generation/dp/B07F2NTH91?ref_=ast_sto_dp&amp;th=1","A")</f>
        <v>A</v>
      </c>
      <c r="J449">
        <v>80</v>
      </c>
      <c r="K449">
        <v>1.5</v>
      </c>
      <c r="L449">
        <f>IF(K449&gt;0,K449*16,)</f>
        <v>24</v>
      </c>
      <c r="M449">
        <f>IF(K449&gt;0,K449*0.453592,IF(L449&gt;0,L449*0.02835,))</f>
        <v>0.680388</v>
      </c>
      <c r="N449">
        <v>0</v>
      </c>
      <c r="O449">
        <v>0</v>
      </c>
      <c r="P449">
        <f>J449+O449+N449</f>
        <v>80</v>
      </c>
      <c r="Q449">
        <f>P449*C$3</f>
        <v>100000</v>
      </c>
      <c r="R449">
        <v>0</v>
      </c>
      <c r="S449">
        <f>ROUND(SUM(Q449:R449), -2)</f>
        <v>100000</v>
      </c>
      <c r="T449">
        <f>ROUNDUP(HLOOKUP(ROUNDUP(K449,0),'배송비 조회'!A$10:U$22,7,0)*C$3,-2)</f>
        <v>11200</v>
      </c>
      <c r="U449">
        <v>0</v>
      </c>
      <c r="V449">
        <f>ROUND(IF(R449&gt;0,0,(S449+T449)*0.3),-2)</f>
        <v>33400</v>
      </c>
      <c r="W449">
        <f>ROUND(IF(R449&gt;0,0,(S449+T449)*0.5),-2)</f>
        <v>55600</v>
      </c>
      <c r="X449">
        <f>IF(R449&gt;0,SUM(S449:T449),SUM(S449:V449))</f>
        <v>144600</v>
      </c>
      <c r="Y449">
        <f>IF(R449&gt;0,SUM(S449:T449),SUM(S449:U449)+W449)</f>
        <v>166800</v>
      </c>
      <c r="Z449">
        <v>0</v>
      </c>
      <c r="AA449">
        <f>X449*0.038</f>
        <v>5494.8</v>
      </c>
      <c r="AB449">
        <f>X449*0.02</f>
        <v>2892</v>
      </c>
      <c r="AC449">
        <f>Y449*0.1</f>
        <v>16680</v>
      </c>
      <c r="AD449">
        <f>X449-AA449-AB449</f>
        <v>136213.2</v>
      </c>
      <c r="AE449">
        <f>Y449-AC449</f>
        <v>150120</v>
      </c>
      <c r="AF449">
        <f>AD449*0.01</f>
        <v>1362.132</v>
      </c>
      <c r="AG449">
        <f>AD449-Q449-AF449-T449</f>
        <v>23651.068000000014</v>
      </c>
      <c r="AH449">
        <f>AE449-Q449-AF449-T449</f>
        <v>37557.868</v>
      </c>
      <c r="AI449">
        <f>AG449/X449</f>
        <v>0.1635620193637622</v>
      </c>
      <c r="AJ449">
        <f>AH449/Y449</f>
        <v>0.2251670743405276</v>
      </c>
      <c r="AW449">
        <v>4688810881</v>
      </c>
    </row>
    <row r="450">
      <c r="A450">
        <f>HYPERLINK("https://smartstore.naver.com/brickstore2019/products/4689156217",AW:AW)</f>
        <v>4689156217</v>
      </c>
      <c r="C450" t="str">
        <v xml:space="preserve">피오 FiiO Q1 Mark II 휴대용 DAC 엠프  </v>
      </c>
      <c r="E450" t="str">
        <v>FiiO Q1 Mark II Native DSD DAC &amp; Amplifier for iPhone, iPod, iPad and Computers</v>
      </c>
      <c r="G450" t="str">
        <f>HYPERLINK("https://www.amazon.com/FiiO-Q1-Mark-II-Amplifier/dp/B0757MH46M?ref_=ast_sto_dp","A")</f>
        <v>A</v>
      </c>
      <c r="J450">
        <v>100</v>
      </c>
      <c r="K450">
        <f>IF(L450&gt;0,L450*0.0625,)</f>
        <v>0.625</v>
      </c>
      <c r="L450">
        <v>10</v>
      </c>
      <c r="M450">
        <f>IF(K450&gt;0,K450*0.453592,IF(L450&gt;0,L450*0.02835,))</f>
        <v>0.283495</v>
      </c>
      <c r="N450">
        <v>0</v>
      </c>
      <c r="O450">
        <v>0</v>
      </c>
      <c r="P450">
        <f>J450+O450+N450</f>
        <v>100</v>
      </c>
      <c r="Q450">
        <f>P450*C$3</f>
        <v>125000</v>
      </c>
      <c r="R450">
        <v>0</v>
      </c>
      <c r="S450">
        <f>ROUND(SUM(Q450:R450), -2)</f>
        <v>125000</v>
      </c>
      <c r="T450">
        <f>ROUNDUP(HLOOKUP(ROUNDUP(K450,0),'배송비 조회'!A$10:U$22,7,0)*C$3,-2)</f>
        <v>9000</v>
      </c>
      <c r="U450">
        <v>0</v>
      </c>
      <c r="V450">
        <f>ROUND(IF(R450&gt;0,0,(S450+T450)*0.2),-2)</f>
        <v>26800</v>
      </c>
      <c r="W450">
        <f>ROUND(IF(R450&gt;0,0,(S450+T450)*0.5),-2)</f>
        <v>67000</v>
      </c>
      <c r="X450">
        <f>IF(R450&gt;0,SUM(S450:T450),SUM(S450:V450))</f>
        <v>160800</v>
      </c>
      <c r="Y450">
        <f>IF(R450&gt;0,SUM(S450:T450),SUM(S450:U450)+W450)</f>
        <v>201000</v>
      </c>
      <c r="Z450">
        <v>0</v>
      </c>
      <c r="AA450">
        <f>X450*0.038</f>
        <v>6110.4</v>
      </c>
      <c r="AB450">
        <f>X450*0.02</f>
        <v>3216</v>
      </c>
      <c r="AC450">
        <f>Y450*0.1</f>
        <v>20100</v>
      </c>
      <c r="AD450">
        <f>X450-AA450-AB450</f>
        <v>151473.6</v>
      </c>
      <c r="AE450">
        <f>Y450-AC450</f>
        <v>180900</v>
      </c>
      <c r="AF450">
        <f>AD450*0.01</f>
        <v>1514.736</v>
      </c>
      <c r="AG450">
        <f>AD450-Q450-AF450-T450</f>
        <v>15958.864000000005</v>
      </c>
      <c r="AH450">
        <f>AE450-Q450-AF450-T450</f>
        <v>45385.264</v>
      </c>
      <c r="AI450">
        <f>AG450/X450</f>
        <v>0.09924666666666669</v>
      </c>
      <c r="AJ450">
        <f>AH450/Y450</f>
        <v>0.22579733333333335</v>
      </c>
      <c r="AW450">
        <v>4689156217</v>
      </c>
    </row>
    <row r="451">
      <c r="A451">
        <f>HYPERLINK("https://smartstore.naver.com/brickstore2019/products/4689164572",AW:AW)</f>
        <v>4689164572</v>
      </c>
      <c r="C451" t="str">
        <v xml:space="preserve">필로 FiiO K3 헤드폰 엠프 DAC </v>
      </c>
      <c r="E451" t="str">
        <v>FiiO K3 DSD256 | 384K/32Bit USB-C DAC and Headphone Amplifier for Home and Computer(3.5mm Single Ended/2.5mm Balanced/Coaxial and Optical Digital Outs)</v>
      </c>
      <c r="G451" t="str">
        <f>HYPERLINK("https://www.amazon.com/FiiO-Headphone-Amplifier-Computer-Balanced/dp/B07KR3RF4H?ref_=ast_sto_dp&amp;th=1","A")</f>
        <v>A</v>
      </c>
      <c r="J451">
        <v>110</v>
      </c>
      <c r="K451">
        <f>IF(L451&gt;0,L451*0.0625,)</f>
        <v>0.375</v>
      </c>
      <c r="L451">
        <v>6</v>
      </c>
      <c r="M451">
        <f>IF(K451&gt;0,K451*0.453592,IF(L451&gt;0,L451*0.02835,))</f>
        <v>0.170097</v>
      </c>
      <c r="N451">
        <v>0</v>
      </c>
      <c r="O451">
        <v>0</v>
      </c>
      <c r="P451">
        <f>J451+O451+N451</f>
        <v>110</v>
      </c>
      <c r="Q451">
        <f>P451*C$3</f>
        <v>137500</v>
      </c>
      <c r="R451">
        <v>0</v>
      </c>
      <c r="S451">
        <f>ROUND(SUM(Q451:R451), -2)</f>
        <v>137500</v>
      </c>
      <c r="T451">
        <f>ROUNDUP(HLOOKUP(ROUNDUP(K451,0),'배송비 조회'!A$10:U$22,7,0)*C$3,-2)</f>
        <v>9000</v>
      </c>
      <c r="U451">
        <v>0</v>
      </c>
      <c r="V451">
        <f>ROUND(IF(R451&gt;0,0,(S451+T451)*0.2),-2)</f>
        <v>29300</v>
      </c>
      <c r="W451">
        <f>ROUND(IF(R451&gt;0,0,(S451+T451)*0.5),-2)</f>
        <v>73300</v>
      </c>
      <c r="X451">
        <f>IF(R451&gt;0,SUM(S451:T451),SUM(S451:V451))</f>
        <v>175800</v>
      </c>
      <c r="Y451">
        <f>IF(R451&gt;0,SUM(S451:T451),SUM(S451:U451)+W451)</f>
        <v>219800</v>
      </c>
      <c r="Z451">
        <v>0</v>
      </c>
      <c r="AA451">
        <f>X451*0.038</f>
        <v>6680.4</v>
      </c>
      <c r="AB451">
        <f>X451*0.02</f>
        <v>3516</v>
      </c>
      <c r="AC451">
        <f>Y451*0.1</f>
        <v>21980</v>
      </c>
      <c r="AD451">
        <f>X451-AA451-AB451</f>
        <v>165603.6</v>
      </c>
      <c r="AE451">
        <f>Y451-AC451</f>
        <v>197820</v>
      </c>
      <c r="AF451">
        <f>AD451*0.01</f>
        <v>1656.036</v>
      </c>
      <c r="AG451">
        <f>AD451-Q451-AF451-T451</f>
        <v>17447.564000000006</v>
      </c>
      <c r="AH451">
        <f>AE451-Q451-AF451-T451</f>
        <v>49663.964</v>
      </c>
      <c r="AI451">
        <f>AG451/X451</f>
        <v>0.0992466666666667</v>
      </c>
      <c r="AJ451">
        <f>AH451/Y451</f>
        <v>0.22595070063694267</v>
      </c>
      <c r="AW451">
        <v>4689164572</v>
      </c>
    </row>
    <row r="452" xml:space="preserve">
      <c r="A452">
        <f>HYPERLINK("https://smartstore.naver.com/brickstore2019/products/4691044625",AW:AW)</f>
        <v>4691044625</v>
      </c>
      <c r="B452" t="str">
        <f>HYPERLINK("https://www.coupang.com/vp/products/330186026?vendorItemId=5527064798","330186026")</f>
        <v>330186026</v>
      </c>
      <c r="C452" t="str">
        <v>베놈 usb 케이블 선야타리서치 (1.5m,3m) (무료배송)</v>
      </c>
      <c r="D452" t="str" xml:space="preserve">
        <v xml:space="preserve">베놈 usb 케이블 선야타리서치_x000d_
</v>
      </c>
      <c r="E452" t="str">
        <v>Shunyata - Venom USB (1.5m)</v>
      </c>
      <c r="F452" t="str">
        <v>1.5m</v>
      </c>
      <c r="G452" t="str">
        <f>HYPERLINK("https://www.amazon.com/dp/B07BB4FFY7/ref=cm_sw_r_cp_apa_i_LDgMDbABT0AG8","A")</f>
        <v>A</v>
      </c>
      <c r="J452">
        <v>100</v>
      </c>
      <c r="K452">
        <f>IF(L452&gt;0,L452*0.0625,)</f>
        <v>0.625</v>
      </c>
      <c r="L452">
        <v>10</v>
      </c>
      <c r="M452">
        <f>IF(K452&gt;0,K452*0.453592,IF(L452&gt;0,L452*0.02835,))</f>
        <v>0.283495</v>
      </c>
      <c r="N452">
        <v>0</v>
      </c>
      <c r="O452">
        <v>0</v>
      </c>
      <c r="P452">
        <f>J452+O452+N452</f>
        <v>100</v>
      </c>
      <c r="Q452">
        <f>P452*C$3</f>
        <v>125000</v>
      </c>
      <c r="R452">
        <v>0</v>
      </c>
      <c r="S452">
        <f>ROUND(SUM(Q452:R452), -2)</f>
        <v>125000</v>
      </c>
      <c r="T452">
        <f>ROUNDUP(HLOOKUP(ROUNDUP(K452,0),'배송비 조회'!A$10:U$22,7,0)*C$3,-2)</f>
        <v>9000</v>
      </c>
      <c r="U452">
        <v>0</v>
      </c>
      <c r="V452">
        <f>ROUND(IF(R452&gt;0,0,(S452+T452)*0.3),-2)</f>
        <v>40200</v>
      </c>
      <c r="W452">
        <f>ROUND(IF(R452&gt;0,0,(S452+T452)*0.4),-2)</f>
        <v>53600</v>
      </c>
      <c r="X452">
        <f>IF(R452&gt;0,SUM(S452:T452),SUM(S452:V452))</f>
        <v>174200</v>
      </c>
      <c r="Y452">
        <f>IF(R452&gt;0,SUM(S452:T452),SUM(S452:U452)+W452)</f>
        <v>187600</v>
      </c>
      <c r="Z452">
        <v>0</v>
      </c>
      <c r="AA452">
        <f>X452*0.038</f>
        <v>6619.599999999999</v>
      </c>
      <c r="AB452">
        <f>X452*0.02</f>
        <v>3484</v>
      </c>
      <c r="AC452">
        <f>Y452*0.1</f>
        <v>18760</v>
      </c>
      <c r="AD452">
        <f>X452-AA452-AB452</f>
        <v>164096.4</v>
      </c>
      <c r="AE452">
        <f>Y452-AC452</f>
        <v>168840</v>
      </c>
      <c r="AF452">
        <f>AD452*0.01</f>
        <v>1640.964</v>
      </c>
      <c r="AG452">
        <f>AD452-Q452-AF452-T452</f>
        <v>28455.435999999994</v>
      </c>
      <c r="AH452">
        <f>AE452-Q452-AF452-T452</f>
        <v>33199.036</v>
      </c>
      <c r="AI452">
        <f>AG452/X452</f>
        <v>0.16334923076923075</v>
      </c>
      <c r="AJ452">
        <f>AH452/Y452</f>
        <v>0.17696714285714285</v>
      </c>
      <c r="AW452">
        <v>4691044625</v>
      </c>
    </row>
    <row r="453">
      <c r="F453" t="str">
        <v>3m</v>
      </c>
      <c r="G453" t="str">
        <v>A</v>
      </c>
      <c r="J453">
        <v>150</v>
      </c>
      <c r="K453">
        <f>IF(L453&gt;0,L453*0.0625,)</f>
        <v>0.625</v>
      </c>
      <c r="L453">
        <v>10</v>
      </c>
      <c r="M453">
        <f>IF(K453&gt;0,K453*0.453592,IF(L453&gt;0,L453*0.02835,))</f>
        <v>0.283495</v>
      </c>
      <c r="N453">
        <v>0</v>
      </c>
      <c r="O453">
        <v>0</v>
      </c>
      <c r="P453">
        <f>J453+O453+N453</f>
        <v>150</v>
      </c>
      <c r="Q453">
        <f>P453*C$3</f>
        <v>187500</v>
      </c>
      <c r="R453">
        <v>0</v>
      </c>
      <c r="S453">
        <f>ROUND(SUM(Q453:R453), -2)</f>
        <v>187500</v>
      </c>
      <c r="T453">
        <f>ROUNDUP(HLOOKUP(ROUNDUP(K453,0),'배송비 조회'!A$10:U$22,7,0)*C$3,-2)</f>
        <v>9000</v>
      </c>
      <c r="U453">
        <v>0</v>
      </c>
      <c r="V453">
        <f>ROUND(IF(R453&gt;0,0,(S453+T453)*0.2),-2)</f>
        <v>39300</v>
      </c>
      <c r="W453">
        <f>ROUND(IF(R453&gt;0,0,(S453+T453)*0.3),-2)</f>
        <v>59000</v>
      </c>
      <c r="X453">
        <f>IF(R453&gt;0,SUM(S453:T453),SUM(S453:V453))</f>
        <v>235800</v>
      </c>
      <c r="Y453">
        <f>IF(R453&gt;0,SUM(S453:T453),SUM(S453:U453)+W453)</f>
        <v>255500</v>
      </c>
      <c r="Z453">
        <v>0</v>
      </c>
      <c r="AA453">
        <f>X453*0.038</f>
        <v>8960.4</v>
      </c>
      <c r="AB453">
        <f>X453*0.02</f>
        <v>4716</v>
      </c>
      <c r="AC453">
        <f>Y453*0.1</f>
        <v>25550</v>
      </c>
      <c r="AD453">
        <f>X453-AA453-AB453</f>
        <v>222123.6</v>
      </c>
      <c r="AE453">
        <f>Y453-AC453</f>
        <v>229950</v>
      </c>
      <c r="AF453">
        <f>AD453*0.01</f>
        <v>2221.2360000000003</v>
      </c>
      <c r="AG453">
        <f>AD453-Q453-AF453-T453</f>
        <v>23402.364000000005</v>
      </c>
      <c r="AH453">
        <f>AE453-Q453-AF453-T453</f>
        <v>31228.764000000003</v>
      </c>
      <c r="AI453">
        <f>AG453/X453</f>
        <v>0.09924666666666669</v>
      </c>
      <c r="AJ453">
        <f>AH453/Y453</f>
        <v>0.12222608219178083</v>
      </c>
      <c r="AK453">
        <f>X453-X452</f>
        <v>61600</v>
      </c>
    </row>
    <row r="454">
      <c r="A454">
        <f>HYPERLINK("https://smartstore.naver.com/brickstore2019/products/4691059782",AW:AW)</f>
        <v>4691059782</v>
      </c>
      <c r="C454" t="str">
        <v>로데와이어리스고 무선마이크 유튜브마이크 Rode Wireless Go</v>
      </c>
      <c r="E454" t="str">
        <v>Rode Wireless Go - Compact Wireless Microphone System, Transmitter and Receiver</v>
      </c>
      <c r="G454" t="str">
        <f>HYPERLINK("https://www.amazon.com/Rode-Wireless-Go-Microphone-Transmitter/dp/B07QGGBNMN/ref=sr_1_3?keywords=Rode+Lavalier&amp;qid=1570284793&amp;refinements=p_89%3ARode&amp;rnid=2528832011&amp;sr=8-3","A")</f>
        <v>A</v>
      </c>
      <c r="J454">
        <v>200</v>
      </c>
      <c r="K454">
        <f>IF(L454&gt;0,L454*0.0625,)</f>
        <v>0.625</v>
      </c>
      <c r="L454">
        <v>10</v>
      </c>
      <c r="M454">
        <f>IF(K454&gt;0,K454*0.453592,IF(L454&gt;0,L454*0.02835,))</f>
        <v>0.283495</v>
      </c>
      <c r="N454">
        <v>0</v>
      </c>
      <c r="O454">
        <v>0</v>
      </c>
      <c r="P454">
        <f>J454+O454+N454</f>
        <v>200</v>
      </c>
      <c r="Q454">
        <f>P454*C$3</f>
        <v>250000</v>
      </c>
      <c r="R454">
        <v>0</v>
      </c>
      <c r="S454">
        <f>ROUND(SUM(Q454:R454), -2)</f>
        <v>250000</v>
      </c>
      <c r="T454">
        <f>ROUNDUP(HLOOKUP(ROUNDUP(K454,0),'배송비 조회'!A$10:U$22,7,0)*C$3,-2)</f>
        <v>9000</v>
      </c>
      <c r="U454">
        <v>0</v>
      </c>
      <c r="V454">
        <f>ROUND(IF(R454&gt;0,0,(S454+T454)*0.2),-2)</f>
        <v>51800</v>
      </c>
      <c r="W454">
        <f>ROUND(IF(R454&gt;0,0,(S454+T454)*0.5),-2)</f>
        <v>129500</v>
      </c>
      <c r="X454">
        <f>IF(R454&gt;0,SUM(S454:T454),SUM(S454:V454))</f>
        <v>310800</v>
      </c>
      <c r="Y454">
        <f>IF(R454&gt;0,SUM(S454:T454),SUM(S454:U454)+W454)</f>
        <v>388500</v>
      </c>
      <c r="Z454">
        <v>0</v>
      </c>
      <c r="AA454">
        <f>X454*0.038</f>
        <v>11810.4</v>
      </c>
      <c r="AB454">
        <f>X454*0.02</f>
        <v>6216</v>
      </c>
      <c r="AC454">
        <f>Y454*0.1</f>
        <v>38850</v>
      </c>
      <c r="AD454">
        <f>X454-AA454-AB454</f>
        <v>292773.6</v>
      </c>
      <c r="AE454">
        <f>Y454-AC454</f>
        <v>349650</v>
      </c>
      <c r="AF454">
        <f>AD454*0.01</f>
        <v>2927.736</v>
      </c>
      <c r="AG454">
        <f>AD454-Q454-AF454-T454</f>
        <v>30845.86399999998</v>
      </c>
      <c r="AH454">
        <f>AE454-Q454-AF454-T454</f>
        <v>87722.264</v>
      </c>
      <c r="AI454">
        <f>AG454/X454</f>
        <v>0.0992466666666666</v>
      </c>
      <c r="AJ454">
        <f>AH454/Y454</f>
        <v>0.22579733333333332</v>
      </c>
      <c r="AW454">
        <v>4691059782</v>
      </c>
    </row>
    <row r="455">
      <c r="A455">
        <f>HYPERLINK("https://smartstore.naver.com/brickstore2019/products/4691107375",AW:AW)</f>
        <v>4691107375</v>
      </c>
      <c r="C455" t="str">
        <v>슈어 MV88 아이폰 스테레오 마이크 Shure MV88</v>
      </c>
      <c r="E455" t="str">
        <v>Shure MV88 iOS Digital Stereo Condenser Microphone</v>
      </c>
      <c r="G455" t="str">
        <v>A</v>
      </c>
      <c r="J455">
        <v>150</v>
      </c>
      <c r="K455">
        <f>IF(L455&gt;0,L455*0.0625,)</f>
        <v>0.625</v>
      </c>
      <c r="L455">
        <v>10</v>
      </c>
      <c r="M455">
        <f>IF(K455&gt;0,K455*0.453592,IF(L455&gt;0,L455*0.02835,))</f>
        <v>0.283495</v>
      </c>
      <c r="N455">
        <v>0</v>
      </c>
      <c r="O455">
        <v>0</v>
      </c>
      <c r="P455">
        <f>J455+O455+N455</f>
        <v>150</v>
      </c>
      <c r="Q455">
        <f>P455*C$3</f>
        <v>187500</v>
      </c>
      <c r="R455">
        <v>0</v>
      </c>
      <c r="S455">
        <f>ROUND(SUM(Q455:R455), -2)</f>
        <v>187500</v>
      </c>
      <c r="T455">
        <f>ROUNDUP(HLOOKUP(ROUNDUP(K455,0),'배송비 조회'!A$10:U$22,7,0)*C$3,-2)</f>
        <v>9000</v>
      </c>
      <c r="U455">
        <v>0</v>
      </c>
      <c r="V455">
        <f>ROUND(IF(R455&gt;0,0,(S455+T455)*0.2),-2)</f>
        <v>39300</v>
      </c>
      <c r="W455">
        <f>ROUND(IF(R455&gt;0,0,(S455+T455)*0.5),-2)</f>
        <v>98300</v>
      </c>
      <c r="X455">
        <f>IF(R455&gt;0,SUM(S455:T455),SUM(S455:V455))</f>
        <v>235800</v>
      </c>
      <c r="Y455">
        <f>IF(R455&gt;0,SUM(S455:T455),SUM(S455:U455)+W455)</f>
        <v>294800</v>
      </c>
      <c r="Z455">
        <v>0</v>
      </c>
      <c r="AA455">
        <f>X455*0.038</f>
        <v>8960.4</v>
      </c>
      <c r="AB455">
        <f>X455*0.02</f>
        <v>4716</v>
      </c>
      <c r="AC455">
        <f>Y455*0.1</f>
        <v>29480</v>
      </c>
      <c r="AD455">
        <f>X455-AA455-AB455</f>
        <v>222123.6</v>
      </c>
      <c r="AE455">
        <f>Y455-AC455</f>
        <v>265320</v>
      </c>
      <c r="AF455">
        <f>AD455*0.01</f>
        <v>2221.2360000000003</v>
      </c>
      <c r="AG455">
        <f>AD455-Q455-AF455-T455</f>
        <v>23402.364000000005</v>
      </c>
      <c r="AH455">
        <f>AE455-Q455-AF455-T455</f>
        <v>66598.764</v>
      </c>
      <c r="AI455">
        <f>AG455/X455</f>
        <v>0.09924666666666669</v>
      </c>
      <c r="AJ455">
        <f>AH455/Y455</f>
        <v>0.22591168249660787</v>
      </c>
      <c r="AW455">
        <v>4691107375</v>
      </c>
    </row>
    <row r="456">
      <c r="A456">
        <f>HYPERLINK("https://smartstore.naver.com/brickstore2019/products/4691109269",AW:AW)</f>
        <v>4691109269</v>
      </c>
      <c r="C456" t="str">
        <v>로지텍 슬림폴리오 아이패드 프로 3세대 11인치 키보드 케이스 Logitech Slim Folio (무료배송)</v>
      </c>
      <c r="E456" t="str">
        <v>Logitech Slim Folio PRO for iPad Pro 11-inch</v>
      </c>
      <c r="G456" t="str">
        <f>HYPERLINK("https://www.amazon.com/gp/product/B07PGR9C8H/ref=ox_sc_act_title_1?smid=A1L9D0A8YQ4I2J&amp;psc=1","A")</f>
        <v>A</v>
      </c>
      <c r="H456" t="str">
        <f>HYPERLINK("https://www.logitech.com/en-us/product/slim-folio-pro","L")</f>
        <v>L</v>
      </c>
      <c r="J456">
        <v>130</v>
      </c>
      <c r="K456">
        <v>1.85</v>
      </c>
      <c r="L456">
        <f>IF(K456&gt;0,K456*16,)</f>
        <v>29.6</v>
      </c>
      <c r="M456">
        <f>IF(K456&gt;0,K456*0.453592,IF(L456&gt;0,L456*0.02835,))</f>
        <v>0.8391452</v>
      </c>
      <c r="N456">
        <v>0</v>
      </c>
      <c r="O456">
        <v>0</v>
      </c>
      <c r="P456">
        <f>J456+O456+N456</f>
        <v>130</v>
      </c>
      <c r="Q456">
        <f>P456*C$3</f>
        <v>162500</v>
      </c>
      <c r="R456">
        <v>0</v>
      </c>
      <c r="S456">
        <f>ROUND(SUM(Q456:R456), -2)</f>
        <v>162500</v>
      </c>
      <c r="T456">
        <f>ROUNDUP(HLOOKUP(ROUNDUP(K456,0),'배송비 조회'!A$10:U$22,7,0)*C$3,-2)</f>
        <v>11200</v>
      </c>
      <c r="U456">
        <v>0</v>
      </c>
      <c r="V456">
        <f>ROUND(IF(R456&gt;0,0,(S456+T456)*0.2),-2)</f>
        <v>34700</v>
      </c>
      <c r="W456">
        <f>ROUND(IF(R456&gt;0,0,(S456+T456)*0.5),-2)</f>
        <v>86900</v>
      </c>
      <c r="X456">
        <f>IF(R456&gt;0,SUM(S456:T456),SUM(S456:V456))</f>
        <v>208400</v>
      </c>
      <c r="Y456">
        <f>IF(R456&gt;0,SUM(S456:T456),SUM(S456:U456)+W456)</f>
        <v>260600</v>
      </c>
      <c r="Z456">
        <v>0</v>
      </c>
      <c r="AA456">
        <f>X456*0.038</f>
        <v>7919.2</v>
      </c>
      <c r="AB456">
        <f>X456*0.02</f>
        <v>4168</v>
      </c>
      <c r="AC456">
        <f>Y456*0.1</f>
        <v>26060</v>
      </c>
      <c r="AD456">
        <f>X456-AA456-AB456</f>
        <v>196312.8</v>
      </c>
      <c r="AE456">
        <f>Y456-AC456</f>
        <v>234540</v>
      </c>
      <c r="AF456">
        <f>AD456*0.01</f>
        <v>1963.128</v>
      </c>
      <c r="AG456">
        <f>AD456-Q456-AF456-T456</f>
        <v>20649.671999999988</v>
      </c>
      <c r="AH456">
        <f>AE456-Q456-AF456-T456</f>
        <v>58876.872</v>
      </c>
      <c r="AI456">
        <f>AG456/X456</f>
        <v>0.09908671785028784</v>
      </c>
      <c r="AJ456">
        <f>AH456/Y456</f>
        <v>0.22592813507290868</v>
      </c>
      <c r="AW456">
        <v>4691109269</v>
      </c>
    </row>
    <row r="457">
      <c r="A457">
        <f>HYPERLINK("https://smartstore.naver.com/brickstore2019/products/4691126621",AW:AW)</f>
        <v>4691126621</v>
      </c>
      <c r="C457" t="str">
        <v>브릿지프로 12.9인치 아이패드 무선 블루투스 키보드 Brydge Pro Keyboard</v>
      </c>
      <c r="E457" t="str">
        <v>Brydge Pro 12.9 Keyboard for iPad Pro 12.9 inch 3rd Generation 2018 Model | Aluminum Wireless Bluetooth Keyboard with Backlit Keys | Long Battery Life</v>
      </c>
      <c r="F457" t="str">
        <v>Space Gray</v>
      </c>
      <c r="G457" t="str">
        <v>A</v>
      </c>
      <c r="J457">
        <v>140</v>
      </c>
      <c r="K457">
        <v>3.5</v>
      </c>
      <c r="L457">
        <f>IF(K457&gt;0,K457*16,)</f>
        <v>56</v>
      </c>
      <c r="M457">
        <f>IF(K457&gt;0,K457*0.453592,IF(L457&gt;0,L457*0.02835,))</f>
        <v>1.587572</v>
      </c>
      <c r="N457">
        <v>0</v>
      </c>
      <c r="O457">
        <v>0</v>
      </c>
      <c r="P457">
        <f>J457+O457+N457</f>
        <v>140</v>
      </c>
      <c r="Q457">
        <f>P457*C$3</f>
        <v>175000</v>
      </c>
      <c r="R457">
        <v>0</v>
      </c>
      <c r="S457">
        <f>ROUND(SUM(Q457:R457), -2)</f>
        <v>175000</v>
      </c>
      <c r="T457">
        <f>ROUNDUP(HLOOKUP(ROUNDUP(K457,0),'배송비 조회'!A$10:U$22,7,0)*C$3,-2)</f>
        <v>15600</v>
      </c>
      <c r="U457">
        <v>0</v>
      </c>
      <c r="V457">
        <f>ROUND(IF(R457&gt;0,0,(S457+T457)*0.2),-2)</f>
        <v>38100</v>
      </c>
      <c r="W457">
        <f>ROUND(IF(R457&gt;0,0,(S457+T457)*0.5),-2)</f>
        <v>95300</v>
      </c>
      <c r="X457">
        <f>IF(R457&gt;0,SUM(S457:T457),SUM(S457:V457))</f>
        <v>228700</v>
      </c>
      <c r="Y457">
        <f>IF(R457&gt;0,SUM(S457:T457),SUM(S457:U457)+W457)</f>
        <v>285900</v>
      </c>
      <c r="Z457">
        <v>0</v>
      </c>
      <c r="AA457">
        <f>X457*0.038</f>
        <v>8690.6</v>
      </c>
      <c r="AB457">
        <f>X457*0.02</f>
        <v>4574</v>
      </c>
      <c r="AC457">
        <f>Y457*0.1</f>
        <v>28590</v>
      </c>
      <c r="AD457">
        <f>X457-AA457-AB457</f>
        <v>215435.4</v>
      </c>
      <c r="AE457">
        <f>Y457-AC457</f>
        <v>257310</v>
      </c>
      <c r="AF457">
        <f>AD457*0.01</f>
        <v>2154.354</v>
      </c>
      <c r="AG457">
        <f>AD457-Q457-AF457-T457</f>
        <v>22681.045999999995</v>
      </c>
      <c r="AH457">
        <f>AE457-Q457-AF457-T457</f>
        <v>64555.64599999999</v>
      </c>
      <c r="AI457">
        <f>AG457/X457</f>
        <v>0.09917379099256667</v>
      </c>
      <c r="AJ457">
        <f>AH457/Y457</f>
        <v>0.22579799230500172</v>
      </c>
      <c r="AW457">
        <v>4691126621</v>
      </c>
    </row>
    <row r="458">
      <c r="F458" t="str">
        <v>Sliver</v>
      </c>
      <c r="G458" t="str">
        <v>A</v>
      </c>
      <c r="J458">
        <v>140</v>
      </c>
      <c r="K458">
        <v>3.5</v>
      </c>
      <c r="L458">
        <f>IF(K458&gt;0,K458*16,)</f>
        <v>56</v>
      </c>
      <c r="M458">
        <f>IF(K458&gt;0,K458*0.453592,IF(L458&gt;0,L458*0.02835,))</f>
        <v>1.587572</v>
      </c>
      <c r="N458">
        <v>0</v>
      </c>
      <c r="O458">
        <v>0</v>
      </c>
      <c r="P458">
        <f>J458+O458+N458</f>
        <v>140</v>
      </c>
      <c r="Q458">
        <f>P458*C$3</f>
        <v>175000</v>
      </c>
      <c r="R458">
        <v>0</v>
      </c>
      <c r="S458">
        <f>ROUND(SUM(Q458:R458), -2)</f>
        <v>175000</v>
      </c>
      <c r="T458">
        <f>ROUNDUP(HLOOKUP(ROUNDUP(K458,0),'배송비 조회'!A$10:U$22,7,0)*C$3,-2)</f>
        <v>15600</v>
      </c>
      <c r="U458">
        <v>0</v>
      </c>
      <c r="V458">
        <f>ROUND(IF(R458&gt;0,0,(S458+T458)*0.2),-2)</f>
        <v>38100</v>
      </c>
      <c r="W458">
        <f>ROUND(IF(R458&gt;0,0,(S458+T458)*0.5),-2)</f>
        <v>95300</v>
      </c>
      <c r="X458">
        <f>IF(R458&gt;0,SUM(S458:T458),SUM(S458:V458))</f>
        <v>228700</v>
      </c>
      <c r="Y458">
        <f>IF(R458&gt;0,SUM(S458:T458),SUM(S458:U458)+W458)</f>
        <v>285900</v>
      </c>
      <c r="Z458">
        <v>0</v>
      </c>
      <c r="AA458">
        <f>X458*0.038</f>
        <v>8690.6</v>
      </c>
      <c r="AB458">
        <f>X458*0.02</f>
        <v>4574</v>
      </c>
      <c r="AC458">
        <f>Y458*0.1</f>
        <v>28590</v>
      </c>
      <c r="AD458">
        <f>X458-AA458-AB458</f>
        <v>215435.4</v>
      </c>
      <c r="AE458">
        <f>Y458-AC458</f>
        <v>257310</v>
      </c>
      <c r="AF458">
        <f>AD458*0.01</f>
        <v>2154.354</v>
      </c>
      <c r="AG458">
        <f>AD458-Q458-AF458-T458</f>
        <v>22681.045999999995</v>
      </c>
      <c r="AH458">
        <f>AE458-Q458-AF458-T458</f>
        <v>64555.64599999999</v>
      </c>
      <c r="AI458">
        <f>AG458/X458</f>
        <v>0.09917379099256667</v>
      </c>
      <c r="AJ458">
        <f>AH458/Y458</f>
        <v>0.22579799230500172</v>
      </c>
    </row>
    <row r="459">
      <c r="A459">
        <f>HYPERLINK("https://smartstore.naver.com/brickstore2019/products/4692115862",AW:AW)</f>
        <v>4692115862</v>
      </c>
      <c r="C459" t="str">
        <v>브릿지프로 11인치 아이패드 무선 블루투스 키보드 Brydge Pro Keyboard</v>
      </c>
      <c r="E459" t="str">
        <v>Brydge Pro 11.0 Keyboard for 11.0 inch iPad Pro 3rd Generation 2018 Model | Aluminum Wireless Bluetooth Keyboard with Backlit Keys | Long Battery Life</v>
      </c>
      <c r="F459" t="str">
        <v>Space Gray</v>
      </c>
      <c r="G459" t="str">
        <f>HYPERLINK("https://www.amazon.com/Brydge-Keyboard-11-0-inch-Generation-Bluetooth/dp/B07MTSF94C?ref_=ast_sto_dp&amp;th=1","A")</f>
        <v>A</v>
      </c>
      <c r="H459" t="str">
        <v>품절</v>
      </c>
      <c r="J459">
        <v>150</v>
      </c>
      <c r="K459">
        <v>3</v>
      </c>
      <c r="L459">
        <f>IF(K459&gt;0,K459*16,)</f>
        <v>48</v>
      </c>
      <c r="M459">
        <f>IF(K459&gt;0,K459*0.453592,IF(L459&gt;0,L459*0.02835,))</f>
        <v>1.360776</v>
      </c>
      <c r="N459">
        <v>0</v>
      </c>
      <c r="O459">
        <v>0</v>
      </c>
      <c r="P459">
        <f>J459+O459+N459</f>
        <v>150</v>
      </c>
      <c r="Q459">
        <f>P459*C$3</f>
        <v>187500</v>
      </c>
      <c r="R459">
        <v>0</v>
      </c>
      <c r="S459">
        <f>ROUND(SUM(Q459:R459), -2)</f>
        <v>187500</v>
      </c>
      <c r="T459">
        <f>ROUNDUP(HLOOKUP(ROUNDUP(K459,0),'배송비 조회'!A$10:U$22,7,0)*C$3,-2)</f>
        <v>13400</v>
      </c>
      <c r="U459">
        <v>0</v>
      </c>
      <c r="V459">
        <f>ROUND(IF(R459&gt;0,0,(S459+T459)*0.2),-2)</f>
        <v>40200</v>
      </c>
      <c r="W459">
        <f>ROUND(IF(R459&gt;0,0,(S459+T459)*0.5),-2)</f>
        <v>100500</v>
      </c>
      <c r="X459">
        <f>IF(R459&gt;0,SUM(S459:T459),SUM(S459:V459))</f>
        <v>241100</v>
      </c>
      <c r="Y459">
        <f>IF(R459&gt;0,SUM(S459:T459),SUM(S459:U459)+W459)</f>
        <v>301400</v>
      </c>
      <c r="Z459">
        <v>0</v>
      </c>
      <c r="AA459">
        <f>X459*0.038</f>
        <v>9161.8</v>
      </c>
      <c r="AB459">
        <f>X459*0.02</f>
        <v>4822</v>
      </c>
      <c r="AC459">
        <f>Y459*0.1</f>
        <v>30140</v>
      </c>
      <c r="AD459">
        <f>X459-AA459-AB459</f>
        <v>227116.2</v>
      </c>
      <c r="AE459">
        <f>Y459-AC459</f>
        <v>271260</v>
      </c>
      <c r="AF459">
        <f>AD459*0.01</f>
        <v>2271.1620000000003</v>
      </c>
      <c r="AG459">
        <f>AD459-Q459-AF459-T459</f>
        <v>23945.038000000015</v>
      </c>
      <c r="AH459">
        <f>AE459-Q459-AF459-T459</f>
        <v>68088.838</v>
      </c>
      <c r="AI459">
        <f>AG459/X459</f>
        <v>0.09931579427623399</v>
      </c>
      <c r="AJ459">
        <f>AH459/Y459</f>
        <v>0.22590855341738555</v>
      </c>
      <c r="AW459">
        <v>4692115862</v>
      </c>
    </row>
    <row r="460">
      <c r="F460" t="str">
        <v>Sliver</v>
      </c>
      <c r="G460" t="str">
        <f>HYPERLINK("https://www.amazon.com/Brydge-Keyboard-11-0-inch-Generation-Bluetooth/dp/B07MTV3T7T?ref_=ast_sto_dp&amp;th=1","A")</f>
        <v>A</v>
      </c>
      <c r="J460">
        <v>150</v>
      </c>
      <c r="K460">
        <v>3</v>
      </c>
      <c r="L460">
        <f>IF(K460&gt;0,K460*16,)</f>
        <v>48</v>
      </c>
      <c r="M460">
        <f>IF(K460&gt;0,K460*0.453592,IF(L460&gt;0,L460*0.02835,))</f>
        <v>1.360776</v>
      </c>
      <c r="N460">
        <v>0</v>
      </c>
      <c r="O460">
        <v>0</v>
      </c>
      <c r="P460">
        <f>J460+O460+N460</f>
        <v>150</v>
      </c>
      <c r="Q460">
        <f>P460*C$3</f>
        <v>187500</v>
      </c>
      <c r="R460">
        <v>0</v>
      </c>
      <c r="S460">
        <f>ROUND(SUM(Q460:R460), -2)</f>
        <v>187500</v>
      </c>
      <c r="T460">
        <f>ROUNDUP(HLOOKUP(ROUNDUP(K460,0),'배송비 조회'!A$10:U$22,7,0)*C$3,-2)</f>
        <v>13400</v>
      </c>
      <c r="U460">
        <v>0</v>
      </c>
      <c r="V460">
        <f>ROUND(IF(R460&gt;0,0,(S460+T460)*0.2),-2)</f>
        <v>40200</v>
      </c>
      <c r="W460">
        <f>ROUND(IF(R460&gt;0,0,(S460+T460)*0.5),-2)</f>
        <v>100500</v>
      </c>
      <c r="X460">
        <f>IF(R460&gt;0,SUM(S460:T460),SUM(S460:V460))</f>
        <v>241100</v>
      </c>
      <c r="Y460">
        <f>IF(R460&gt;0,SUM(S460:T460),SUM(S460:U460)+W460)</f>
        <v>301400</v>
      </c>
      <c r="Z460">
        <v>0</v>
      </c>
      <c r="AA460">
        <f>X460*0.038</f>
        <v>9161.8</v>
      </c>
      <c r="AB460">
        <f>X460*0.02</f>
        <v>4822</v>
      </c>
      <c r="AC460">
        <f>Y460*0.1</f>
        <v>30140</v>
      </c>
      <c r="AD460">
        <f>X460-AA460-AB460</f>
        <v>227116.2</v>
      </c>
      <c r="AE460">
        <f>Y460-AC460</f>
        <v>271260</v>
      </c>
      <c r="AF460">
        <f>AD460*0.01</f>
        <v>2271.1620000000003</v>
      </c>
      <c r="AG460">
        <f>AD460-Q460-AF460-T460</f>
        <v>23945.038000000015</v>
      </c>
      <c r="AH460">
        <f>AE460-Q460-AF460-T460</f>
        <v>68088.838</v>
      </c>
      <c r="AI460">
        <f>AG460/X460</f>
        <v>0.09931579427623399</v>
      </c>
      <c r="AJ460">
        <f>AH460/Y460</f>
        <v>0.22590855341738555</v>
      </c>
    </row>
    <row r="461">
      <c r="A461">
        <f>HYPERLINK("https://smartstore.naver.com/brickstore2019/products/4691125928",AW:AW)</f>
        <v>4691125928</v>
      </c>
      <c r="C461" t="str">
        <v>로지텍 슬림폴리오 아이패드 프로 3세대 12.9인치 키보드 케이스 Logitech Slim Folio (무료배송)</v>
      </c>
      <c r="E461" t="str">
        <v>Logitech Slim Folio PRO for iPad Pro 12.9-inch (3rd Generation)</v>
      </c>
      <c r="G461" t="str">
        <f>HYPERLINK("https://www.amazon.com/gp/product/B07PHVY3XM/ref=ox_sc_mini_detail?ie=UTF8&amp;psc=1&amp;smid=A2KN9K54F1HXTQ","A")</f>
        <v>A</v>
      </c>
      <c r="H461" t="str">
        <f>HYPERLINK("https://www.logitech.com/en-us/product/slim-folio-pro","L")</f>
        <v>L</v>
      </c>
      <c r="J461">
        <v>140</v>
      </c>
      <c r="K461">
        <v>2.1</v>
      </c>
      <c r="L461">
        <f>IF(K461&gt;0,K461*16,)</f>
        <v>33.6</v>
      </c>
      <c r="M461">
        <f>IF(K461&gt;0,K461*0.453592,IF(L461&gt;0,L461*0.02835,))</f>
        <v>0.9525432</v>
      </c>
      <c r="N461">
        <v>0</v>
      </c>
      <c r="O461">
        <v>0</v>
      </c>
      <c r="P461">
        <f>J461+O461+N461</f>
        <v>140</v>
      </c>
      <c r="Q461">
        <f>P461*C$3</f>
        <v>175000</v>
      </c>
      <c r="R461">
        <v>0</v>
      </c>
      <c r="S461">
        <f>ROUND(SUM(Q461:R461), -2)</f>
        <v>175000</v>
      </c>
      <c r="T461">
        <f>ROUNDUP(HLOOKUP(ROUNDUP(K461,0),'배송비 조회'!A$10:U$22,7,0)*C$3,-2)</f>
        <v>13400</v>
      </c>
      <c r="U461">
        <v>0</v>
      </c>
      <c r="V461">
        <f>ROUND(IF(R461&gt;0,0,(S461+T461)*0.2),-2)</f>
        <v>37700</v>
      </c>
      <c r="W461">
        <f>ROUND(IF(R461&gt;0,0,(S461+T461)*0.5),-2)</f>
        <v>94200</v>
      </c>
      <c r="X461">
        <f>IF(R461&gt;0,SUM(S461:T461),SUM(S461:V461))</f>
        <v>226100</v>
      </c>
      <c r="Y461">
        <f>IF(R461&gt;0,SUM(S461:T461),SUM(S461:U461)+W461)</f>
        <v>282600</v>
      </c>
      <c r="Z461">
        <v>0</v>
      </c>
      <c r="AA461">
        <f>X461*0.038</f>
        <v>8591.8</v>
      </c>
      <c r="AB461">
        <f>X461*0.02</f>
        <v>4522</v>
      </c>
      <c r="AC461">
        <f>Y461*0.1</f>
        <v>28260</v>
      </c>
      <c r="AD461">
        <f>X461-AA461-AB461</f>
        <v>212986.2</v>
      </c>
      <c r="AE461">
        <f>Y461-AC461</f>
        <v>254340</v>
      </c>
      <c r="AF461">
        <f>AD461*0.01</f>
        <v>2129.862</v>
      </c>
      <c r="AG461">
        <f>AD461-Q461-AF461-T461</f>
        <v>22456.33800000001</v>
      </c>
      <c r="AH461">
        <f>AE461-Q461-AF461-T461</f>
        <v>63810.138000000006</v>
      </c>
      <c r="AI461">
        <f>AG461/X461</f>
        <v>0.09932038036267143</v>
      </c>
      <c r="AJ461">
        <f>AH461/Y461</f>
        <v>0.2257966666666667</v>
      </c>
      <c r="AW461">
        <v>4691125928</v>
      </c>
    </row>
    <row r="462">
      <c r="A462">
        <f>HYPERLINK("https://smartstore.naver.com/brickstore2019/products/4692157468",AW:AW)</f>
        <v>4692157468</v>
      </c>
      <c r="C462" t="str">
        <v>마크라이든 회사원 백팩 15인치 노트북 가방 Markryden B07W6DQDZ1</v>
      </c>
      <c r="E462" t="str">
        <v>Markryden Laptop Backpack Business Bags with USB Charging Port Water-Resistant School Travel Work Bag Fits 15.6 Inch Laptop</v>
      </c>
      <c r="F462" t="str">
        <v>2-Pockets</v>
      </c>
      <c r="G462" t="str">
        <f>HYPERLINK("https://www.amazon.com/Markryden-Backpack-Business-Charging-Water-Resistant/dp/B07W6DQDZ1/ref=sr_1_11?dchild=1&amp;keywords=markryden&amp;m=A1IURDUXV2M5RT&amp;psc=1&amp;qid=1570526267&amp;refinements=p_6%3AA1IURDUXV2M5RT&amp;rnid=2661622011&amp;s=apparel&amp;sr=1-11","A")</f>
        <v>A</v>
      </c>
      <c r="J462">
        <v>47</v>
      </c>
      <c r="K462">
        <v>2.5</v>
      </c>
      <c r="L462">
        <f>IF(K462&gt;0,K462*16,)</f>
        <v>40</v>
      </c>
      <c r="M462">
        <f>IF(K462&gt;0,K462*0.453592,IF(L462&gt;0,L462*0.02835,))</f>
        <v>1.13398</v>
      </c>
      <c r="N462">
        <v>0</v>
      </c>
      <c r="O462">
        <v>0</v>
      </c>
      <c r="P462">
        <f>J462+O462+N462</f>
        <v>47</v>
      </c>
      <c r="Q462">
        <f>P462*C$3</f>
        <v>58750</v>
      </c>
      <c r="R462">
        <v>0</v>
      </c>
      <c r="S462">
        <f>ROUND(SUM(Q462:R462), -2)</f>
        <v>58800</v>
      </c>
      <c r="T462">
        <f>ROUNDUP(HLOOKUP(ROUNDUP(K462,0),'배송비 조회'!A$10:U$22,7,0)*C$3,-2)</f>
        <v>13400</v>
      </c>
      <c r="U462">
        <v>0</v>
      </c>
      <c r="V462">
        <f>ROUND(IF(R462&gt;0,0,(S462+T462)*0.3),-2)</f>
        <v>21700</v>
      </c>
      <c r="W462">
        <f>ROUND(IF(R462&gt;0,0,(S462+T462)*0.5),-2)</f>
        <v>36100</v>
      </c>
      <c r="X462">
        <f>IF(R462&gt;0,SUM(S462:T462),SUM(S462:V462))</f>
        <v>93900</v>
      </c>
      <c r="Y462">
        <f>IF(R462&gt;0,SUM(S462:T462),SUM(S462:U462)+W462)</f>
        <v>108300</v>
      </c>
      <c r="Z462">
        <v>0</v>
      </c>
      <c r="AA462">
        <f>X462*0.038</f>
        <v>3568.2</v>
      </c>
      <c r="AB462">
        <f>X462*0.02</f>
        <v>1878</v>
      </c>
      <c r="AC462">
        <f>Y462*0.1</f>
        <v>10830</v>
      </c>
      <c r="AD462">
        <f>X462-AA462-AB462</f>
        <v>88453.8</v>
      </c>
      <c r="AE462">
        <f>Y462-AC462</f>
        <v>97470</v>
      </c>
      <c r="AF462">
        <f>AD462*0.01</f>
        <v>884.538</v>
      </c>
      <c r="AG462">
        <f>AD462-Q462-AF462-T462</f>
        <v>15419.262000000002</v>
      </c>
      <c r="AH462">
        <f>AE462-Q462-AF462-T462</f>
        <v>24435.462</v>
      </c>
      <c r="AI462">
        <f>AG462/X462</f>
        <v>0.16420939297124604</v>
      </c>
      <c r="AJ462">
        <f>AH462/Y462</f>
        <v>0.22562753462603877</v>
      </c>
      <c r="AW462">
        <v>4692157468</v>
      </c>
    </row>
    <row r="463">
      <c r="F463" t="str">
        <v>3-Pockets</v>
      </c>
      <c r="G463" t="str">
        <f>HYPERLINK("https://www.amazon.com/Markryden-Backpack-Business-Charging-Water-Resistant/dp/B07WLCHCFX/ref=sr_1_11?dchild=1&amp;keywords=markryden&amp;m=A1IURDUXV2M5RT&amp;qid=1570526267&amp;refinements=p_6%3AA1IURDUXV2M5RT&amp;rnid=2661622011&amp;s=apparel&amp;sr=1-11&amp;th=1","A")</f>
        <v>A</v>
      </c>
      <c r="J463">
        <v>46</v>
      </c>
      <c r="K463">
        <v>2.5</v>
      </c>
      <c r="L463">
        <f>IF(K463&gt;0,K463*16,)</f>
        <v>40</v>
      </c>
      <c r="M463">
        <f>IF(K463&gt;0,K463*0.453592,IF(L463&gt;0,L463*0.02835,))</f>
        <v>1.13398</v>
      </c>
      <c r="N463">
        <v>0</v>
      </c>
      <c r="O463">
        <v>0</v>
      </c>
      <c r="P463">
        <f>J463+O463+N463</f>
        <v>46</v>
      </c>
      <c r="Q463">
        <f>P463*C$3</f>
        <v>57500</v>
      </c>
      <c r="R463">
        <v>0</v>
      </c>
      <c r="S463">
        <f>ROUND(SUM(Q463:R463), -2)</f>
        <v>57500</v>
      </c>
      <c r="T463">
        <f>ROUNDUP(HLOOKUP(ROUNDUP(K463,0),'배송비 조회'!A$10:U$22,7,0)*C$3,-2)</f>
        <v>13400</v>
      </c>
      <c r="U463">
        <v>0</v>
      </c>
      <c r="V463">
        <f>ROUND(IF(R463&gt;0,0,(S463+T463)*0.3),-2)</f>
        <v>21300</v>
      </c>
      <c r="W463">
        <f>ROUND(IF(R463&gt;0,0,(S463+T463)*0.5),-2)</f>
        <v>35500</v>
      </c>
      <c r="X463">
        <f>IF(R463&gt;0,SUM(S463:T463),SUM(S463:V463))</f>
        <v>92200</v>
      </c>
      <c r="Y463">
        <f>IF(R463&gt;0,SUM(S463:T463),SUM(S463:U463)+W463)</f>
        <v>106400</v>
      </c>
      <c r="Z463">
        <v>0</v>
      </c>
      <c r="AA463">
        <f>X463*0.038</f>
        <v>3503.6</v>
      </c>
      <c r="AB463">
        <f>X463*0.02</f>
        <v>1844</v>
      </c>
      <c r="AC463">
        <f>Y463*0.1</f>
        <v>10640</v>
      </c>
      <c r="AD463">
        <f>X463-AA463-AB463</f>
        <v>86852.4</v>
      </c>
      <c r="AE463">
        <f>Y463-AC463</f>
        <v>95760</v>
      </c>
      <c r="AF463">
        <f>AD463*0.01</f>
        <v>868.524</v>
      </c>
      <c r="AG463">
        <f>AD463-Q463-AF463-T463</f>
        <v>15083.875999999993</v>
      </c>
      <c r="AH463">
        <f>AE463-Q463-AF463-T463</f>
        <v>23991.476000000002</v>
      </c>
      <c r="AI463">
        <f>AG463/X463</f>
        <v>0.16359952277657258</v>
      </c>
      <c r="AJ463">
        <f>AH463/Y463</f>
        <v>0.22548379699248122</v>
      </c>
      <c r="AK463">
        <f>X463-X462</f>
        <v>-1700</v>
      </c>
    </row>
    <row r="464">
      <c r="A464">
        <f>HYPERLINK("https://smartstore.naver.com/brickstore2019/products/4692187196",AW:AW)</f>
        <v>4692187196</v>
      </c>
      <c r="C464" t="str">
        <v>마크라이든 회사원 백팩 15인치 노트북 가방 Markryden B07PMR1TG6</v>
      </c>
      <c r="E464" t="str">
        <v>Markryden 2019 Laptop Backpack Business Bags with USB Charging Port School Travel Pack Fits Under 15.6 Inch Laptop</v>
      </c>
      <c r="F464" t="str">
        <v>Black</v>
      </c>
      <c r="G464" t="str">
        <f>HYPERLINK("https://www.amazon.com/Markryden-Laptop-Backpack-Business-Charging/dp/B07PMR1TG6/ref=sr_1_10?dchild=1&amp;keywords=markryden&amp;m=A1IURDUXV2M5RT&amp;qid=1570526267&amp;refinements=p_6%3AA1IURDUXV2M5RT&amp;rnid=2661622011&amp;s=apparel&amp;sr=1-10&amp;th=1","A")</f>
        <v>A</v>
      </c>
      <c r="J464">
        <v>43</v>
      </c>
      <c r="K464">
        <v>2</v>
      </c>
      <c r="L464">
        <f>IF(K464&gt;0,K464*16,)</f>
        <v>32</v>
      </c>
      <c r="M464">
        <f>IF(K464&gt;0,K464*0.453592,IF(L464&gt;0,L464*0.02835,))</f>
        <v>0.907184</v>
      </c>
      <c r="N464">
        <v>0</v>
      </c>
      <c r="O464">
        <v>0</v>
      </c>
      <c r="P464">
        <f>J464+O464+N464</f>
        <v>43</v>
      </c>
      <c r="Q464">
        <f>P464*C$3</f>
        <v>53750</v>
      </c>
      <c r="R464">
        <v>0</v>
      </c>
      <c r="S464">
        <f>ROUND(SUM(Q464:R464), -2)</f>
        <v>53800</v>
      </c>
      <c r="T464">
        <f>ROUNDUP(HLOOKUP(ROUNDUP(K464,0),'배송비 조회'!A$10:U$22,7,0)*C$3,-2)</f>
        <v>11200</v>
      </c>
      <c r="U464">
        <v>0</v>
      </c>
      <c r="V464">
        <f>ROUND(IF(R464&gt;0,0,(S464+T464)*0.3),-2)</f>
        <v>19500</v>
      </c>
      <c r="W464">
        <f>ROUND(IF(R464&gt;0,0,(S464+T464)*0.5),-2)</f>
        <v>32500</v>
      </c>
      <c r="X464">
        <f>IF(R464&gt;0,SUM(S464:T464),SUM(S464:V464))</f>
        <v>84500</v>
      </c>
      <c r="Y464">
        <f>IF(R464&gt;0,SUM(S464:T464),SUM(S464:U464)+W464)</f>
        <v>97500</v>
      </c>
      <c r="Z464">
        <v>0</v>
      </c>
      <c r="AA464">
        <f>X464*0.038</f>
        <v>3211</v>
      </c>
      <c r="AB464">
        <f>X464*0.02</f>
        <v>1690</v>
      </c>
      <c r="AC464">
        <f>Y464*0.1</f>
        <v>9750</v>
      </c>
      <c r="AD464">
        <f>X464-AA464-AB464</f>
        <v>79599</v>
      </c>
      <c r="AE464">
        <f>Y464-AC464</f>
        <v>87750</v>
      </c>
      <c r="AF464">
        <f>AD464*0.01</f>
        <v>795.99</v>
      </c>
      <c r="AG464">
        <f>AD464-Q464-AF464-T464</f>
        <v>13853.009999999998</v>
      </c>
      <c r="AH464">
        <f>AE464-Q464-AF464-T464</f>
        <v>22004.010000000002</v>
      </c>
      <c r="AI464">
        <f>AG464/X464</f>
        <v>0.16394094674556212</v>
      </c>
      <c r="AJ464">
        <f>AH464/Y464</f>
        <v>0.22568215384615387</v>
      </c>
      <c r="AW464">
        <v>4692187196</v>
      </c>
    </row>
    <row r="465">
      <c r="F465" t="str">
        <v>Gray</v>
      </c>
      <c r="G465" t="str">
        <f>HYPERLINK("https://www.amazon.com/Markryden-Laptop-Backpack-Business-Charging/dp/B07PPSW9MZ/ref=sr_1_10?dchild=1&amp;keywords=markryden&amp;m=A1IURDUXV2M5RT&amp;qid=1570526267&amp;refinements=p_6%3AA1IURDUXV2M5RT&amp;rnid=2661622011&amp;s=apparel&amp;sr=1-10&amp;th=1","A")</f>
        <v>A</v>
      </c>
      <c r="J465">
        <v>43</v>
      </c>
      <c r="K465">
        <v>2</v>
      </c>
      <c r="L465">
        <f>IF(K465&gt;0,K465*16,)</f>
        <v>32</v>
      </c>
      <c r="M465">
        <f>IF(K465&gt;0,K465*0.453592,IF(L465&gt;0,L465*0.02835,))</f>
        <v>0.907184</v>
      </c>
      <c r="N465">
        <v>0</v>
      </c>
      <c r="O465">
        <v>0</v>
      </c>
      <c r="P465">
        <f>J465+O465+N465</f>
        <v>43</v>
      </c>
      <c r="Q465">
        <f>P465*C$3</f>
        <v>53750</v>
      </c>
      <c r="R465">
        <v>0</v>
      </c>
      <c r="S465">
        <f>ROUND(SUM(Q465:R465), -2)</f>
        <v>53800</v>
      </c>
      <c r="T465">
        <f>ROUNDUP(HLOOKUP(ROUNDUP(K465,0),'배송비 조회'!A$10:U$22,7,0)*C$3,-2)</f>
        <v>11200</v>
      </c>
      <c r="U465">
        <v>0</v>
      </c>
      <c r="V465">
        <f>ROUND(IF(R465&gt;0,0,(S465+T465)*0.3),-2)</f>
        <v>19500</v>
      </c>
      <c r="W465">
        <f>ROUND(IF(R465&gt;0,0,(S465+T465)*0.5),-2)</f>
        <v>32500</v>
      </c>
      <c r="X465">
        <f>IF(R465&gt;0,SUM(S465:T465),SUM(S465:V465))</f>
        <v>84500</v>
      </c>
      <c r="Y465">
        <f>IF(R465&gt;0,SUM(S465:T465),SUM(S465:U465)+W465)</f>
        <v>97500</v>
      </c>
      <c r="Z465">
        <v>0</v>
      </c>
      <c r="AA465">
        <f>X465*0.038</f>
        <v>3211</v>
      </c>
      <c r="AB465">
        <f>X465*0.02</f>
        <v>1690</v>
      </c>
      <c r="AC465">
        <f>Y465*0.1</f>
        <v>9750</v>
      </c>
      <c r="AD465">
        <f>X465-AA465-AB465</f>
        <v>79599</v>
      </c>
      <c r="AE465">
        <f>Y465-AC465</f>
        <v>87750</v>
      </c>
      <c r="AF465">
        <f>AD465*0.01</f>
        <v>795.99</v>
      </c>
      <c r="AG465">
        <f>AD465-Q465-AF465-T465</f>
        <v>13853.009999999998</v>
      </c>
      <c r="AH465">
        <f>AE465-Q465-AF465-T465</f>
        <v>22004.010000000002</v>
      </c>
      <c r="AI465">
        <f>AG465/X465</f>
        <v>0.16394094674556212</v>
      </c>
      <c r="AJ465">
        <f>AH465/Y465</f>
        <v>0.22568215384615387</v>
      </c>
    </row>
    <row r="466">
      <c r="A466">
        <f>HYPERLINK("https://smartstore.naver.com/brickstore2019/products/4692210449",AW:AW)</f>
        <v>4692210449</v>
      </c>
      <c r="C466" t="str">
        <v>TEWELL 클래식 빈티지 레트로록 블루투스 스피커 B06XT5R7CJ</v>
      </c>
      <c r="E466" t="str">
        <v>TEWELL Bluetooth Speaker with HD 24W Audio, Extended Bass and Treble, Knob for Volume Control, Toggle Switch and 3.5mm AUX Input</v>
      </c>
      <c r="G466" t="str">
        <v>A</v>
      </c>
      <c r="J466">
        <v>50</v>
      </c>
      <c r="K466">
        <v>6</v>
      </c>
      <c r="L466">
        <f>IF(K466&gt;0,K466*16,)</f>
        <v>96</v>
      </c>
      <c r="M466">
        <f>IF(K466&gt;0,K466*0.453592,IF(L466&gt;0,L466*0.02835,))</f>
        <v>2.721552</v>
      </c>
      <c r="N466">
        <v>0</v>
      </c>
      <c r="O466">
        <v>0</v>
      </c>
      <c r="P466">
        <f>J466+O466+N466</f>
        <v>50</v>
      </c>
      <c r="Q466">
        <f>P466*C$3</f>
        <v>62500</v>
      </c>
      <c r="R466">
        <v>0</v>
      </c>
      <c r="S466">
        <f>ROUND(SUM(Q466:R466), -2)</f>
        <v>62500</v>
      </c>
      <c r="T466">
        <f>ROUNDUP(HLOOKUP(ROUNDUP(K466,0),'배송비 조회'!A$10:U$22,7,0)*C$3,-2)</f>
        <v>20000</v>
      </c>
      <c r="U466">
        <v>0</v>
      </c>
      <c r="V466">
        <f>ROUND(IF(R466&gt;0,0,(S466+T466)*0.3),-2)</f>
        <v>24800</v>
      </c>
      <c r="W466">
        <f>ROUND(IF(R466&gt;0,0,(S466+T466)*0.5),-2)</f>
        <v>41300</v>
      </c>
      <c r="X466">
        <f>IF(R466&gt;0,SUM(S466:T466),SUM(S466:V466))</f>
        <v>107300</v>
      </c>
      <c r="Y466">
        <f>IF(R466&gt;0,SUM(S466:T466),SUM(S466:U466)+W466)</f>
        <v>123800</v>
      </c>
      <c r="Z466">
        <v>0</v>
      </c>
      <c r="AA466">
        <f>X466*0.038</f>
        <v>4077.4</v>
      </c>
      <c r="AB466">
        <f>X466*0.02</f>
        <v>2146</v>
      </c>
      <c r="AC466">
        <f>Y466*0.1</f>
        <v>12380</v>
      </c>
      <c r="AD466">
        <f>X466-AA466-AB466</f>
        <v>101076.6</v>
      </c>
      <c r="AE466">
        <f>Y466-AC466</f>
        <v>111420</v>
      </c>
      <c r="AF466">
        <f>AD466*0.01</f>
        <v>1010.7660000000001</v>
      </c>
      <c r="AG466">
        <f>AD466-Q466-AF466-T466</f>
        <v>17565.834000000003</v>
      </c>
      <c r="AH466">
        <f>AE466-Q466-AF466-T466</f>
        <v>27909.233999999997</v>
      </c>
      <c r="AI466">
        <f>AG466/X466</f>
        <v>0.1637076794035415</v>
      </c>
      <c r="AJ466">
        <f>AH466/Y466</f>
        <v>0.22543807754442646</v>
      </c>
      <c r="AW466">
        <v>4692210449</v>
      </c>
    </row>
    <row r="467">
      <c r="A467">
        <f>HYPERLINK("https://smartstore.naver.com/brickstore2019/products/4692392619",AW:AW)</f>
        <v>4692392619</v>
      </c>
      <c r="C467" t="str">
        <v xml:space="preserve">컴퓨터 모니터 스크린바 LED 램프 모니터 조명 LOFTer </v>
      </c>
      <c r="E467" t="str">
        <v>Computer Monitor Light, LOFTer Screen Light Bar e-Reading LED Task Lamp with No Glare on Screen, USB Powered Monitor Lamps for Office/Home, Adjustable Brightness/Color Temperature Reading Light</v>
      </c>
      <c r="G467" t="str">
        <f>HYPERLINK("https://www.amazon.com/Computer-LOFTer-Adjustable-Brightness-Temperature/dp/B07TCYBQGK/ref=sr_1_1?keywords=LOFTer+Screen+Light+Bar&amp;qid=1570422821&amp;sr=8-1","A")</f>
        <v>A</v>
      </c>
      <c r="J467">
        <v>40</v>
      </c>
      <c r="K467">
        <v>1.5</v>
      </c>
      <c r="L467">
        <f>IF(K467&gt;0,K467*16,)</f>
        <v>24</v>
      </c>
      <c r="M467">
        <f>IF(K467&gt;0,K467*0.453592,IF(L467&gt;0,L467*0.02835,))</f>
        <v>0.680388</v>
      </c>
      <c r="N467">
        <v>0</v>
      </c>
      <c r="O467">
        <v>0</v>
      </c>
      <c r="P467">
        <f>J467+O467+N467</f>
        <v>40</v>
      </c>
      <c r="Q467">
        <f>P467*C$3</f>
        <v>50000</v>
      </c>
      <c r="R467">
        <v>0</v>
      </c>
      <c r="S467">
        <f>ROUND(SUM(Q467:R467), -2)</f>
        <v>50000</v>
      </c>
      <c r="T467">
        <f>ROUNDUP(HLOOKUP(ROUNDUP(K467,0),'배송비 조회'!A$10:U$22,7,0)*C$3,-2)</f>
        <v>11200</v>
      </c>
      <c r="U467">
        <v>0</v>
      </c>
      <c r="V467">
        <f>ROUND(IF(R467&gt;0,0,(S467+T467)*0.3),-2)</f>
        <v>18400</v>
      </c>
      <c r="W467">
        <f>ROUND(IF(R467&gt;0,0,(S467+T467)*0.5),-2)</f>
        <v>30600</v>
      </c>
      <c r="X467">
        <f>IF(R467&gt;0,SUM(S467:T467),SUM(S467:V467))</f>
        <v>79600</v>
      </c>
      <c r="Y467">
        <f>IF(R467&gt;0,SUM(S467:T467),SUM(S467:U467)+W467)</f>
        <v>91800</v>
      </c>
      <c r="Z467">
        <v>0</v>
      </c>
      <c r="AA467">
        <f>X467*0.038</f>
        <v>3024.7999999999997</v>
      </c>
      <c r="AB467">
        <f>X467*0.02</f>
        <v>1592</v>
      </c>
      <c r="AC467">
        <f>Y467*0.1</f>
        <v>9180</v>
      </c>
      <c r="AD467">
        <f>X467-AA467-AB467</f>
        <v>74983.2</v>
      </c>
      <c r="AE467">
        <f>Y467-AC467</f>
        <v>82620</v>
      </c>
      <c r="AF467">
        <f>AD467*0.01</f>
        <v>749.832</v>
      </c>
      <c r="AG467">
        <f>AD467-Q467-AF467-T467</f>
        <v>13033.367999999999</v>
      </c>
      <c r="AH467">
        <f>AE467-Q467-AF467-T467</f>
        <v>20670.168</v>
      </c>
      <c r="AI467">
        <f>AG467/X467</f>
        <v>0.16373577889447236</v>
      </c>
      <c r="AJ467">
        <f>AH467/Y467</f>
        <v>0.22516522875816994</v>
      </c>
      <c r="AW467">
        <v>4692392619</v>
      </c>
    </row>
    <row r="468">
      <c r="A468">
        <f>HYPERLINK("https://smartstore.naver.com/brickstore2019/products/4692738755",AW:AW)</f>
        <v>4692738755</v>
      </c>
      <c r="C468" t="str">
        <v>로지텍 MX 마스터 3 무선 블루투스 마우스 Logitech MX Master 3 wireless (무료배송)</v>
      </c>
      <c r="E468" t="str">
        <v>Logitech MX Master 3 Advanced Wireless Mouse - Graphite</v>
      </c>
      <c r="F468" t="str">
        <v>Graphite</v>
      </c>
      <c r="G468" t="str">
        <f>HYPERLINK("https://www.amazon.com/Logitech-Master-Advanced-Wireless-Mouse/dp/B07S395RWD/ref=sr_1_12?keywords=logitech&amp;qid=1570271226&amp;sr=8-12&amp;th=1","A")</f>
        <v>A</v>
      </c>
      <c r="H468" t="str">
        <f>HYPERLINK("https://www.logitech.com/en-us/product/mx-master-3#section-product-hero","L")</f>
        <v>L</v>
      </c>
      <c r="J468">
        <v>100</v>
      </c>
      <c r="K468">
        <f>IF(L468&gt;0,L468*0.0625,)</f>
        <v>0.7125</v>
      </c>
      <c r="L468">
        <v>11.4</v>
      </c>
      <c r="M468">
        <f>IF(K468&gt;0,K468*0.453592,IF(L468&gt;0,L468*0.02835,))</f>
        <v>0.3231843</v>
      </c>
      <c r="N468">
        <v>0</v>
      </c>
      <c r="O468">
        <v>0</v>
      </c>
      <c r="P468">
        <f>J468+O468+N468</f>
        <v>100</v>
      </c>
      <c r="Q468">
        <f>P468*C$3</f>
        <v>125000</v>
      </c>
      <c r="R468">
        <v>0</v>
      </c>
      <c r="S468">
        <f>ROUND(SUM(Q468:R468), -2)</f>
        <v>125000</v>
      </c>
      <c r="T468">
        <f>ROUNDUP(HLOOKUP(ROUNDUP(K468,0),'배송비 조회'!A$10:U$22,7,0)*C$3,-2)</f>
        <v>9000</v>
      </c>
      <c r="U468">
        <v>0</v>
      </c>
      <c r="V468">
        <f>ROUND(IF(R468&gt;0,0,(S468+T468)*0.3),-2)</f>
        <v>40200</v>
      </c>
      <c r="W468">
        <f>ROUND(IF(R468&gt;0,0,(S468+T468)*0.5),-2)</f>
        <v>67000</v>
      </c>
      <c r="X468">
        <f>IF(R468&gt;0,SUM(S468:T468),SUM(S468:V468))</f>
        <v>174200</v>
      </c>
      <c r="Y468">
        <f>IF(R468&gt;0,SUM(S468:T468),SUM(S468:U468)+W468)</f>
        <v>201000</v>
      </c>
      <c r="Z468">
        <v>0</v>
      </c>
      <c r="AA468">
        <f>X468*0.038</f>
        <v>6619.599999999999</v>
      </c>
      <c r="AB468">
        <f>X468*0.02</f>
        <v>3484</v>
      </c>
      <c r="AC468">
        <f>Y468*0.1</f>
        <v>20100</v>
      </c>
      <c r="AD468">
        <f>X468-AA468-AB468</f>
        <v>164096.4</v>
      </c>
      <c r="AE468">
        <f>Y468-AC468</f>
        <v>180900</v>
      </c>
      <c r="AF468">
        <f>AD468*0.01</f>
        <v>1640.964</v>
      </c>
      <c r="AG468">
        <f>AD468-Q468-AF468-T468</f>
        <v>28455.435999999994</v>
      </c>
      <c r="AH468">
        <f>AE468-Q468-AF468-T468</f>
        <v>45259.036</v>
      </c>
      <c r="AI468">
        <f>AG468/X468</f>
        <v>0.16334923076923075</v>
      </c>
      <c r="AJ468">
        <f>AH468/Y468</f>
        <v>0.22516933333333333</v>
      </c>
      <c r="AW468">
        <v>4692738755</v>
      </c>
    </row>
    <row r="469">
      <c r="F469" t="str">
        <v>Mid Grey</v>
      </c>
      <c r="G469" t="str">
        <f>HYPERLINK("https://www.amazon.com/Logitech-Master-Advanced-Wireless-Mouse/dp/B07S5HZB69/ref=sr_1_12?keywords=logitech&amp;qid=1570271226&amp;sr=8-12&amp;th=1","A")</f>
        <v>A</v>
      </c>
      <c r="J469">
        <v>100</v>
      </c>
      <c r="K469">
        <f>IF(L469&gt;0,L469*0.0625,)</f>
        <v>0.7125</v>
      </c>
      <c r="L469">
        <v>11.4</v>
      </c>
      <c r="M469">
        <f>IF(K469&gt;0,K469*0.453592,IF(L469&gt;0,L469*0.02835,))</f>
        <v>0.3231843</v>
      </c>
      <c r="N469">
        <v>0</v>
      </c>
      <c r="O469">
        <v>0</v>
      </c>
      <c r="P469">
        <f>J469+O469+N469</f>
        <v>100</v>
      </c>
      <c r="Q469">
        <f>P469*C$3</f>
        <v>125000</v>
      </c>
      <c r="R469">
        <v>0</v>
      </c>
      <c r="S469">
        <f>ROUND(SUM(Q469:R469), -2)</f>
        <v>125000</v>
      </c>
      <c r="T469">
        <f>ROUNDUP(HLOOKUP(ROUNDUP(K469,0),'배송비 조회'!A$10:U$22,7,0)*C$3,-2)</f>
        <v>9000</v>
      </c>
      <c r="U469">
        <v>0</v>
      </c>
      <c r="V469">
        <f>ROUND(IF(R469&gt;0,0,(S469+T469)*0.3),-2)</f>
        <v>40200</v>
      </c>
      <c r="W469">
        <f>ROUND(IF(R469&gt;0,0,(S469+T469)*0.5),-2)</f>
        <v>67000</v>
      </c>
      <c r="X469">
        <f>IF(R469&gt;0,SUM(S469:T469),SUM(S469:V469))</f>
        <v>174200</v>
      </c>
      <c r="Y469">
        <f>IF(R469&gt;0,SUM(S469:T469),SUM(S469:U469)+W469)</f>
        <v>201000</v>
      </c>
      <c r="Z469">
        <v>0</v>
      </c>
      <c r="AA469">
        <f>X469*0.038</f>
        <v>6619.599999999999</v>
      </c>
      <c r="AB469">
        <f>X469*0.02</f>
        <v>3484</v>
      </c>
      <c r="AC469">
        <f>Y469*0.1</f>
        <v>20100</v>
      </c>
      <c r="AD469">
        <f>X469-AA469-AB469</f>
        <v>164096.4</v>
      </c>
      <c r="AE469">
        <f>Y469-AC469</f>
        <v>180900</v>
      </c>
      <c r="AF469">
        <f>AD469*0.01</f>
        <v>1640.964</v>
      </c>
      <c r="AG469">
        <f>AD469-Q469-AF469-T469</f>
        <v>28455.435999999994</v>
      </c>
      <c r="AH469">
        <f>AE469-Q469-AF469-T469</f>
        <v>45259.036</v>
      </c>
      <c r="AI469">
        <f>AG469/X469</f>
        <v>0.16334923076923075</v>
      </c>
      <c r="AJ469">
        <f>AH469/Y469</f>
        <v>0.22516933333333333</v>
      </c>
    </row>
    <row r="470">
      <c r="A470">
        <f>HYPERLINK("https://smartstore.naver.com/brickstore2019/products/4692928608",AW:AW)</f>
        <v>4692928608</v>
      </c>
      <c r="C470" t="str">
        <v>보스 사운드웨어 컴패니언 무선 웨어러블 스피커 Bose Soundwear(무료배송)</v>
      </c>
      <c r="E470" t="str">
        <v>Bose Soundwear Companion Wireless Wearable Speaker - Black</v>
      </c>
      <c r="G470" t="str">
        <f>HYPERLINK("https://www.amazon.com/gp/product/B0748KDJPS/ref=as_li_ss_tl?&amp;ascsub&amp;smid=ATVPDKIKX0DER&amp;psc=1&amp;linkCode=sl1&amp;tag=sj0876-20&amp;linkId=ef904c35647c8950e867a05b419ab3fc&amp;language=en_US#customerReviews","A")</f>
        <v>A</v>
      </c>
      <c r="J470">
        <v>300</v>
      </c>
      <c r="K470">
        <v>2</v>
      </c>
      <c r="L470">
        <f>IF(K470&gt;0,K470*16,)</f>
        <v>32</v>
      </c>
      <c r="M470">
        <f>IF(K470&gt;0,K470*0.453592,IF(L470&gt;0,L470*0.02835,))</f>
        <v>0.907184</v>
      </c>
      <c r="N470">
        <v>0</v>
      </c>
      <c r="O470">
        <v>0</v>
      </c>
      <c r="P470">
        <f>J470+O470+N470</f>
        <v>300</v>
      </c>
      <c r="Q470">
        <f>P470*C$3</f>
        <v>375000</v>
      </c>
      <c r="R470">
        <v>0</v>
      </c>
      <c r="S470">
        <f>ROUND(SUM(Q470:R470), -2)</f>
        <v>375000</v>
      </c>
      <c r="T470">
        <f>ROUNDUP(HLOOKUP(ROUNDUP(K470,0),'배송비 조회'!A$10:U$22,7,0)*C$3,-2)</f>
        <v>11200</v>
      </c>
      <c r="U470">
        <v>0</v>
      </c>
      <c r="V470">
        <f>ROUND(IF(R470&gt;0,0,(S470+T470)*0.2),-2)</f>
        <v>77200</v>
      </c>
      <c r="W470">
        <f>ROUND(IF(R470&gt;0,0,(S470+T470)*0.5),-2)</f>
        <v>193100</v>
      </c>
      <c r="X470">
        <f>IF(R470&gt;0,SUM(S470:T470),SUM(S470:V470))</f>
        <v>463400</v>
      </c>
      <c r="Y470">
        <f>IF(R470&gt;0,SUM(S470:T470),SUM(S470:U470)+W470)</f>
        <v>579300</v>
      </c>
      <c r="Z470">
        <v>0</v>
      </c>
      <c r="AA470">
        <f>X470*0.038</f>
        <v>17609.2</v>
      </c>
      <c r="AB470">
        <f>X470*0.02</f>
        <v>9268</v>
      </c>
      <c r="AC470">
        <f>Y470*0.1</f>
        <v>57930</v>
      </c>
      <c r="AD470">
        <f>X470-AA470-AB470</f>
        <v>436522.8</v>
      </c>
      <c r="AE470">
        <f>Y470-AC470</f>
        <v>521370</v>
      </c>
      <c r="AF470">
        <f>AD470*0.01</f>
        <v>4365.228</v>
      </c>
      <c r="AG470">
        <f>AD470-Q470-AF470-T470</f>
        <v>45957.571999999986</v>
      </c>
      <c r="AH470">
        <f>AE470-Q470-AF470-T470</f>
        <v>130804.772</v>
      </c>
      <c r="AI470">
        <f>AG470/X470</f>
        <v>0.09917473457056536</v>
      </c>
      <c r="AJ470">
        <f>AH470/Y470</f>
        <v>0.22579798377351976</v>
      </c>
      <c r="AW470">
        <v>4692928608</v>
      </c>
    </row>
    <row r="471">
      <c r="A471">
        <f>HYPERLINK("https://smartstore.naver.com/brickstore2019/products/4692954093",AW:AW)</f>
        <v>4692954093</v>
      </c>
      <c r="C471" t="str">
        <v xml:space="preserve">아소부 콜드부르 휴대용 커피메이커 40oz Asobu </v>
      </c>
      <c r="E471" t="str">
        <v>Asobu Coldbrew Portable Cold Brew Coffee Maker With a Vacuum Insulated 40oz Stainless Steel 18/8 Carafe Bpa Free</v>
      </c>
      <c r="F471" t="str">
        <v>black</v>
      </c>
      <c r="G471" t="str">
        <v>A</v>
      </c>
      <c r="J471">
        <v>52</v>
      </c>
      <c r="K471">
        <v>3</v>
      </c>
      <c r="L471">
        <f>IF(K471&gt;0,K471*16,)</f>
        <v>48</v>
      </c>
      <c r="M471">
        <f>IF(K471&gt;0,K471*0.453592,IF(L471&gt;0,L471*0.02835,))</f>
        <v>1.360776</v>
      </c>
      <c r="N471">
        <v>0</v>
      </c>
      <c r="O471">
        <v>0</v>
      </c>
      <c r="P471">
        <f>J471+O471+N471</f>
        <v>52</v>
      </c>
      <c r="Q471">
        <f>P471*C$3</f>
        <v>65000</v>
      </c>
      <c r="R471">
        <v>0</v>
      </c>
      <c r="S471">
        <f>ROUND(SUM(Q471:R471), -2)</f>
        <v>65000</v>
      </c>
      <c r="T471">
        <f>ROUNDUP(HLOOKUP(ROUNDUP(K471,0),'배송비 조회'!A$10:U$22,7,0)*C$3,-2)</f>
        <v>13400</v>
      </c>
      <c r="U471">
        <v>0</v>
      </c>
      <c r="V471">
        <f>ROUND(IF(R471&gt;0,0,(S471+T471)*0.3),-2)</f>
        <v>23500</v>
      </c>
      <c r="W471">
        <f>ROUND(IF(R471&gt;0,0,(S471+T471)*0.5),-2)</f>
        <v>39200</v>
      </c>
      <c r="X471">
        <f>IF(R471&gt;0,SUM(S471:T471),SUM(S471:V471))</f>
        <v>101900</v>
      </c>
      <c r="Y471">
        <f>IF(R471&gt;0,SUM(S471:T471),SUM(S471:U471)+W471)</f>
        <v>117600</v>
      </c>
      <c r="Z471">
        <v>0</v>
      </c>
      <c r="AA471">
        <f>X471*0.038</f>
        <v>3872.2</v>
      </c>
      <c r="AB471">
        <f>X471*0.02</f>
        <v>2038</v>
      </c>
      <c r="AC471">
        <f>Y471*0.1</f>
        <v>11760</v>
      </c>
      <c r="AD471">
        <f>X471-AA471-AB471</f>
        <v>95989.8</v>
      </c>
      <c r="AE471">
        <f>Y471-AC471</f>
        <v>105840</v>
      </c>
      <c r="AF471">
        <f>AD471*0.01</f>
        <v>959.898</v>
      </c>
      <c r="AG471">
        <f>AD471-Q471-AF471-T471</f>
        <v>16629.902000000002</v>
      </c>
      <c r="AH471">
        <f>AE471-Q471-AF471-T471</f>
        <v>26480.102</v>
      </c>
      <c r="AI471">
        <f>AG471/X471</f>
        <v>0.1631982531894014</v>
      </c>
      <c r="AJ471">
        <f>AH471/Y471</f>
        <v>0.22517093537414964</v>
      </c>
      <c r="AW471">
        <v>4692954093</v>
      </c>
    </row>
    <row r="472">
      <c r="F472" t="str">
        <v>copper</v>
      </c>
      <c r="G472" t="str">
        <v>A</v>
      </c>
      <c r="J472">
        <v>40</v>
      </c>
      <c r="K472">
        <v>3</v>
      </c>
      <c r="L472">
        <f>IF(K472&gt;0,K472*16,)</f>
        <v>48</v>
      </c>
      <c r="M472">
        <f>IF(K472&gt;0,K472*0.453592,IF(L472&gt;0,L472*0.02835,))</f>
        <v>1.360776</v>
      </c>
      <c r="N472">
        <v>0</v>
      </c>
      <c r="O472">
        <v>0</v>
      </c>
      <c r="P472">
        <f>J472+O472+N472</f>
        <v>40</v>
      </c>
      <c r="Q472">
        <f>P472*C$3</f>
        <v>50000</v>
      </c>
      <c r="R472">
        <v>0</v>
      </c>
      <c r="S472">
        <f>ROUND(SUM(Q472:R472), -2)</f>
        <v>50000</v>
      </c>
      <c r="T472">
        <f>ROUNDUP(HLOOKUP(ROUNDUP(K472,0),'배송비 조회'!A$10:U$22,7,0)*C$3,-2)</f>
        <v>13400</v>
      </c>
      <c r="U472">
        <v>0</v>
      </c>
      <c r="V472">
        <f>ROUND(IF(R472&gt;0,0,(S472+T472)*0.3),-2)</f>
        <v>19000</v>
      </c>
      <c r="W472">
        <f>ROUND(IF(R472&gt;0,0,(S472+T472)*0.5),-2)</f>
        <v>31700</v>
      </c>
      <c r="X472">
        <f>IF(R472&gt;0,SUM(S472:T472),SUM(S472:V472))</f>
        <v>82400</v>
      </c>
      <c r="Y472">
        <f>IF(R472&gt;0,SUM(S472:T472),SUM(S472:U472)+W472)</f>
        <v>95100</v>
      </c>
      <c r="Z472">
        <v>0</v>
      </c>
      <c r="AA472">
        <f>X472*0.038</f>
        <v>3131.2</v>
      </c>
      <c r="AB472">
        <f>X472*0.02</f>
        <v>1648</v>
      </c>
      <c r="AC472">
        <f>Y472*0.1</f>
        <v>9510</v>
      </c>
      <c r="AD472">
        <f>X472-AA472-AB472</f>
        <v>77620.8</v>
      </c>
      <c r="AE472">
        <f>Y472-AC472</f>
        <v>85590</v>
      </c>
      <c r="AF472">
        <f>AD472*0.01</f>
        <v>776.2080000000001</v>
      </c>
      <c r="AG472">
        <f>AD472-Q472-AF472-T472</f>
        <v>13444.592000000004</v>
      </c>
      <c r="AH472">
        <f>AE472-Q472-AF472-T472</f>
        <v>21413.792</v>
      </c>
      <c r="AI472">
        <f>AG472/X472</f>
        <v>0.16316252427184472</v>
      </c>
      <c r="AJ472">
        <f>AH472/Y472</f>
        <v>0.22517131440588856</v>
      </c>
      <c r="AK472">
        <f>X472-X473</f>
        <v>0</v>
      </c>
    </row>
    <row r="473">
      <c r="F473" t="str">
        <v>silver</v>
      </c>
      <c r="G473" t="str">
        <v>A</v>
      </c>
      <c r="J473">
        <v>40</v>
      </c>
      <c r="K473">
        <v>3</v>
      </c>
      <c r="L473">
        <f>IF(K473&gt;0,K473*16,)</f>
        <v>48</v>
      </c>
      <c r="M473">
        <f>IF(K473&gt;0,K473*0.453592,IF(L473&gt;0,L473*0.02835,))</f>
        <v>1.360776</v>
      </c>
      <c r="N473">
        <v>0</v>
      </c>
      <c r="O473">
        <v>0</v>
      </c>
      <c r="P473">
        <f>J473+O473+N473</f>
        <v>40</v>
      </c>
      <c r="Q473">
        <f>P473*C$3</f>
        <v>50000</v>
      </c>
      <c r="R473">
        <v>0</v>
      </c>
      <c r="S473">
        <f>ROUND(SUM(Q473:R473), -2)</f>
        <v>50000</v>
      </c>
      <c r="T473">
        <f>ROUNDUP(HLOOKUP(ROUNDUP(K473,0),'배송비 조회'!A$10:U$22,7,0)*C$3,-2)</f>
        <v>13400</v>
      </c>
      <c r="U473">
        <v>0</v>
      </c>
      <c r="V473">
        <f>ROUND(IF(R473&gt;0,0,(S473+T473)*0.3),-2)</f>
        <v>19000</v>
      </c>
      <c r="W473">
        <f>ROUND(IF(R473&gt;0,0,(S473+T473)*0.5),-2)</f>
        <v>31700</v>
      </c>
      <c r="X473">
        <f>IF(R473&gt;0,SUM(S473:T473),SUM(S473:V473))</f>
        <v>82400</v>
      </c>
      <c r="Y473">
        <f>IF(R473&gt;0,SUM(S473:T473),SUM(S473:U473)+W473)</f>
        <v>95100</v>
      </c>
      <c r="Z473">
        <v>0</v>
      </c>
      <c r="AA473">
        <f>X473*0.038</f>
        <v>3131.2</v>
      </c>
      <c r="AB473">
        <f>X473*0.02</f>
        <v>1648</v>
      </c>
      <c r="AC473">
        <f>Y473*0.1</f>
        <v>9510</v>
      </c>
      <c r="AD473">
        <f>X473-AA473-AB473</f>
        <v>77620.8</v>
      </c>
      <c r="AE473">
        <f>Y473-AC473</f>
        <v>85590</v>
      </c>
      <c r="AF473">
        <f>AD473*0.01</f>
        <v>776.2080000000001</v>
      </c>
      <c r="AG473">
        <f>AD473-Q473-AF473-T473</f>
        <v>13444.592000000004</v>
      </c>
      <c r="AH473">
        <f>AE473-Q473-AF473-T473</f>
        <v>21413.792</v>
      </c>
      <c r="AI473">
        <f>AG473/X473</f>
        <v>0.16316252427184472</v>
      </c>
      <c r="AJ473">
        <f>AH473/Y473</f>
        <v>0.22517131440588856</v>
      </c>
    </row>
    <row r="474">
      <c r="F474" t="str">
        <v>white</v>
      </c>
      <c r="G474" t="str">
        <v>A</v>
      </c>
      <c r="J474">
        <v>40</v>
      </c>
      <c r="K474">
        <v>3</v>
      </c>
      <c r="L474">
        <f>IF(K474&gt;0,K474*16,)</f>
        <v>48</v>
      </c>
      <c r="M474">
        <f>IF(K474&gt;0,K474*0.453592,IF(L474&gt;0,L474*0.02835,))</f>
        <v>1.360776</v>
      </c>
      <c r="N474">
        <v>0</v>
      </c>
      <c r="O474">
        <v>0</v>
      </c>
      <c r="P474">
        <f>J474+O474+N474</f>
        <v>40</v>
      </c>
      <c r="Q474">
        <f>P474*C$3</f>
        <v>50000</v>
      </c>
      <c r="R474">
        <v>0</v>
      </c>
      <c r="S474">
        <f>ROUND(SUM(Q474:R474), -2)</f>
        <v>50000</v>
      </c>
      <c r="T474">
        <f>ROUNDUP(HLOOKUP(ROUNDUP(K474,0),'배송비 조회'!A$10:U$22,7,0)*C$3,-2)</f>
        <v>13400</v>
      </c>
      <c r="U474">
        <v>0</v>
      </c>
      <c r="V474">
        <f>ROUND(IF(R474&gt;0,0,(S474+T474)*0.3),-2)</f>
        <v>19000</v>
      </c>
      <c r="W474">
        <f>ROUND(IF(R474&gt;0,0,(S474+T474)*0.5),-2)</f>
        <v>31700</v>
      </c>
      <c r="X474">
        <f>IF(R474&gt;0,SUM(S474:T474),SUM(S474:V474))</f>
        <v>82400</v>
      </c>
      <c r="Y474">
        <f>IF(R474&gt;0,SUM(S474:T474),SUM(S474:U474)+W474)</f>
        <v>95100</v>
      </c>
      <c r="Z474">
        <v>0</v>
      </c>
      <c r="AA474">
        <f>X474*0.038</f>
        <v>3131.2</v>
      </c>
      <c r="AB474">
        <f>X474*0.02</f>
        <v>1648</v>
      </c>
      <c r="AC474">
        <f>Y474*0.1</f>
        <v>9510</v>
      </c>
      <c r="AD474">
        <f>X474-AA474-AB474</f>
        <v>77620.8</v>
      </c>
      <c r="AE474">
        <f>Y474-AC474</f>
        <v>85590</v>
      </c>
      <c r="AF474">
        <f>AD474*0.01</f>
        <v>776.2080000000001</v>
      </c>
      <c r="AG474">
        <f>AD474-Q474-AF474-T474</f>
        <v>13444.592000000004</v>
      </c>
      <c r="AH474">
        <f>AE474-Q474-AF474-T474</f>
        <v>21413.792</v>
      </c>
      <c r="AI474">
        <f>AG474/X474</f>
        <v>0.16316252427184472</v>
      </c>
      <c r="AJ474">
        <f>AH474/Y474</f>
        <v>0.22517131440588856</v>
      </c>
      <c r="AK474">
        <f>X474-X473</f>
        <v>0</v>
      </c>
    </row>
    <row r="475">
      <c r="A475">
        <f>HYPERLINK("https://smartstore.naver.com/brickstore2019/products/4693071509",AW:AW)</f>
        <v>4693071509</v>
      </c>
      <c r="C475" t="str">
        <v>로지텍 Logitech MX keys 무선 키보드 (무료배송)</v>
      </c>
      <c r="E475" t="str">
        <v>Logitech MX Keys Advanced Wireless Illuminated Keyboard - Graphite</v>
      </c>
      <c r="G475" t="str">
        <f>HYPERLINK("https://www.amazon.com/Logitech-Advanced-Wireless-Illuminated-Keyboard/dp/B07S92QBCJ/ref=sr_1_2?keywords=mx+keys&amp;qid=1570160032&amp;sr=8-2","A")</f>
        <v>A</v>
      </c>
      <c r="H475" t="str">
        <f>HYPERLINK("https://www.logitech.com/en-us/product/mx-keys-wireless-keyboard#section-product-hero","L")</f>
        <v>L</v>
      </c>
      <c r="J475">
        <v>100</v>
      </c>
      <c r="K475">
        <v>2.57</v>
      </c>
      <c r="L475">
        <f>IF(K475&gt;0,K475*16,)</f>
        <v>41.12</v>
      </c>
      <c r="M475">
        <f>IF(K475&gt;0,K475*0.453592,IF(L475&gt;0,L475*0.02835,))</f>
        <v>1.1657314399999998</v>
      </c>
      <c r="N475">
        <v>0</v>
      </c>
      <c r="O475">
        <v>0</v>
      </c>
      <c r="P475">
        <f>J475+O475+N475</f>
        <v>100</v>
      </c>
      <c r="Q475">
        <f>P475*C$3</f>
        <v>125000</v>
      </c>
      <c r="R475">
        <v>0</v>
      </c>
      <c r="S475">
        <f>ROUND(SUM(Q475:R475), -2)</f>
        <v>125000</v>
      </c>
      <c r="T475">
        <f>ROUNDUP(HLOOKUP(ROUNDUP(K475,0),'배송비 조회'!A$10:U$22,7,0)*C$3,-2)</f>
        <v>13400</v>
      </c>
      <c r="U475">
        <v>0</v>
      </c>
      <c r="V475">
        <f>ROUND(IF(R475&gt;0,0,(S475+T475)*0.25),-2)</f>
        <v>34600</v>
      </c>
      <c r="W475">
        <f>ROUND(IF(R475&gt;0,0,(S475+T475)*0.5),-2)</f>
        <v>69200</v>
      </c>
      <c r="X475">
        <f>IF(R475&gt;0,SUM(S475:T475),SUM(S475:V475))</f>
        <v>173000</v>
      </c>
      <c r="Y475">
        <f>IF(R475&gt;0,SUM(S475:T475),SUM(S475:U475)+W475)</f>
        <v>207600</v>
      </c>
      <c r="Z475">
        <v>0</v>
      </c>
      <c r="AA475">
        <f>X475*0.038</f>
        <v>6574</v>
      </c>
      <c r="AB475">
        <f>X475*0.02</f>
        <v>3460</v>
      </c>
      <c r="AC475">
        <f>Y475*0.1</f>
        <v>20760</v>
      </c>
      <c r="AD475">
        <f>X475-AA475-AB475</f>
        <v>162966</v>
      </c>
      <c r="AE475">
        <f>Y475-AC475</f>
        <v>186840</v>
      </c>
      <c r="AF475">
        <f>AD475*0.01</f>
        <v>1629.66</v>
      </c>
      <c r="AG475">
        <f>AD475-Q475-AF475-T475</f>
        <v>22936.339999999997</v>
      </c>
      <c r="AH475">
        <f>AE475-Q475-AF475-T475</f>
        <v>46810.34</v>
      </c>
      <c r="AI475">
        <f>AG475/X475</f>
        <v>0.13257999999999998</v>
      </c>
      <c r="AJ475">
        <f>AH475/Y475</f>
        <v>0.2254833333333333</v>
      </c>
      <c r="AW475">
        <v>4693071509</v>
      </c>
    </row>
    <row r="476">
      <c r="C476" t="str">
        <v>추가상품 : 팜레스트</v>
      </c>
      <c r="E476" t="str">
        <v>Logitech MX Palm Rest</v>
      </c>
      <c r="G476" t="str">
        <f>HYPERLINK("https://www.amazon.com/Logitech-956-000001-MX-Palm-Rest/dp/B07VWZHCNX/ref=sr_1_3?keywords=mx+keys&amp;qid=1570160032&amp;sr=8-3","A")</f>
        <v>A</v>
      </c>
      <c r="J476">
        <v>29.87</v>
      </c>
      <c r="K476">
        <f>IF(L476&gt;0,L476*0.0625,)</f>
        <v>0.51875</v>
      </c>
      <c r="L476">
        <v>8.3</v>
      </c>
      <c r="M476">
        <f>IF(K476&gt;0,K476*0.453592,IF(L476&gt;0,L476*0.02835,))</f>
        <v>0.23530085</v>
      </c>
      <c r="N476">
        <v>0</v>
      </c>
      <c r="O476">
        <v>0</v>
      </c>
      <c r="P476">
        <f>J476+O476+N476</f>
        <v>29.87</v>
      </c>
      <c r="Q476">
        <f>P476*C$3</f>
        <v>37337.5</v>
      </c>
      <c r="R476">
        <v>0</v>
      </c>
      <c r="S476">
        <f>ROUND(SUM(Q476:R476), -2)</f>
        <v>37300</v>
      </c>
      <c r="T476">
        <f>ROUNDUP(HLOOKUP(ROUNDUP(K476,0),'배송비 조회'!A$10:U$22,7,0)*C$3,-2)</f>
        <v>9000</v>
      </c>
      <c r="U476">
        <v>0</v>
      </c>
      <c r="V476">
        <f>ROUND(IF(R476&gt;0,0,(S476+T476)*0.3),-2)</f>
        <v>13900</v>
      </c>
      <c r="W476">
        <f>ROUND(IF(R476&gt;0,0,(S476+T476)*0.5),-2)</f>
        <v>23200</v>
      </c>
      <c r="X476">
        <f>IF(R476&gt;0,SUM(S476:T476),SUM(S476:V476))</f>
        <v>60200</v>
      </c>
      <c r="Y476">
        <f>IF(R476&gt;0,SUM(S476:T476),SUM(S476:U476)+W476)</f>
        <v>69500</v>
      </c>
      <c r="Z476">
        <v>0</v>
      </c>
      <c r="AA476">
        <f>X476*0.038</f>
        <v>2287.6</v>
      </c>
      <c r="AB476">
        <f>X476*0.02</f>
        <v>1204</v>
      </c>
      <c r="AC476">
        <f>Y476*0.1</f>
        <v>6950</v>
      </c>
      <c r="AD476">
        <f>X476-AA476-AB476</f>
        <v>56708.4</v>
      </c>
      <c r="AE476">
        <f>Y476-AC476</f>
        <v>62550</v>
      </c>
      <c r="AF476">
        <f>AD476*0.01</f>
        <v>567.0840000000001</v>
      </c>
      <c r="AG476">
        <f>AD476-Q476-AF476-T476</f>
        <v>9803.816000000003</v>
      </c>
      <c r="AH476">
        <f>AE476-Q476-AF476-T476</f>
        <v>15645.416000000001</v>
      </c>
      <c r="AI476">
        <f>AG476/X476</f>
        <v>0.16285408637873758</v>
      </c>
      <c r="AJ476">
        <f>AH476/Y476</f>
        <v>0.22511389928057554</v>
      </c>
    </row>
    <row r="477">
      <c r="A477">
        <f>HYPERLINK("https://smartstore.naver.com/brickstore2019/products/4694171848",AW:AW)</f>
        <v>4694171848</v>
      </c>
      <c r="C477" t="str">
        <v>타이맥스 이지리더 남자 가죽시계 40주년 한정판 블랙 38mm Timex Easy Reader (무료배송)</v>
      </c>
      <c r="E477" t="str">
        <v>Timex Men's Easy Reader Leather Strap 38mm Watch 40th Anniversary Edition</v>
      </c>
      <c r="F477" t="str">
        <v>Black</v>
      </c>
      <c r="G477" t="str">
        <f>HYPERLINK("https://www.amazon.com/gp/product/B0721K4TB5/ref=ox_sc_mini_detail?ie=UTF8&amp;smid=A12DM4YMXWRH99&amp;th=1","A")</f>
        <v>A</v>
      </c>
      <c r="J477">
        <v>90</v>
      </c>
      <c r="K477">
        <f>IF(L477&gt;0,L477*0.0625,)</f>
        <v>0.35</v>
      </c>
      <c r="L477">
        <v>5.6</v>
      </c>
      <c r="M477">
        <f>IF(K477&gt;0,K477*0.453592,IF(L477&gt;0,L477*0.02835,))</f>
        <v>0.1587572</v>
      </c>
      <c r="N477">
        <v>0</v>
      </c>
      <c r="O477">
        <v>0</v>
      </c>
      <c r="P477">
        <f>J477+O477+N477</f>
        <v>90</v>
      </c>
      <c r="Q477">
        <f>P477*C$3</f>
        <v>112500</v>
      </c>
      <c r="R477">
        <v>0</v>
      </c>
      <c r="S477">
        <f>ROUND(SUM(Q477:R477), -2)</f>
        <v>112500</v>
      </c>
      <c r="T477">
        <f>ROUNDUP(HLOOKUP(ROUNDUP(K477,0),'배송비 조회'!A$10:U$22,7,0)*C$3,-2)</f>
        <v>9000</v>
      </c>
      <c r="U477">
        <v>0</v>
      </c>
      <c r="V477">
        <f>ROUND(IF(R477&gt;0,0,(S477+T477)*0.3),-2)</f>
        <v>36500</v>
      </c>
      <c r="W477">
        <f>ROUND(IF(R477&gt;0,0,(S477+T477)*0.5),-2)</f>
        <v>60800</v>
      </c>
      <c r="X477">
        <f>IF(R477&gt;0,SUM(S477:T477),SUM(S477:V477))</f>
        <v>158000</v>
      </c>
      <c r="Y477">
        <f>IF(R477&gt;0,SUM(S477:T477),SUM(S477:U477)+W477)</f>
        <v>182300</v>
      </c>
      <c r="Z477">
        <v>0</v>
      </c>
      <c r="AA477">
        <f>X477*0.038</f>
        <v>6004</v>
      </c>
      <c r="AB477">
        <f>X477*0.02</f>
        <v>3160</v>
      </c>
      <c r="AC477">
        <f>Y477*0.1</f>
        <v>18230</v>
      </c>
      <c r="AD477">
        <f>X477-AA477-AB477</f>
        <v>148836</v>
      </c>
      <c r="AE477">
        <f>Y477-AC477</f>
        <v>164070</v>
      </c>
      <c r="AF477">
        <f>AD477*0.01</f>
        <v>1488.3600000000001</v>
      </c>
      <c r="AG477">
        <f>AD477-Q477-AF477-T477</f>
        <v>25847.64</v>
      </c>
      <c r="AH477">
        <f>AE477-Q477-AF477-T477</f>
        <v>41081.64</v>
      </c>
      <c r="AI477">
        <f>AG477/X477</f>
        <v>0.1635926582278481</v>
      </c>
      <c r="AJ477">
        <f>AH477/Y477</f>
        <v>0.22535183763027974</v>
      </c>
      <c r="AW477">
        <v>4694171848</v>
      </c>
    </row>
    <row r="478">
      <c r="A478">
        <f>HYPERLINK("https://smartstore.naver.com/brickstore2019/products/4694174829",AW:AW)</f>
        <v>4694174829</v>
      </c>
      <c r="C478" t="str">
        <v>타이맥스 이지리더 남자 가죽시계 40주년 한정판 탄 38mm Timex Easy Reader (무료배송)</v>
      </c>
      <c r="E478" t="str">
        <v>Timex Men's Easy Reader Leather Strap 38mm Watch 40th Anniversary Edition</v>
      </c>
      <c r="F478" t="str">
        <v>Tan</v>
      </c>
      <c r="G478" t="str">
        <f>HYPERLINK("https://www.amazon.com/gp/product/B071K5ZV2F/ref=ox_sc_mini_detail?ie=UTF8&amp;smid=A12DM4YMXWRH99&amp;th=1","A")</f>
        <v>A</v>
      </c>
      <c r="J478">
        <v>52</v>
      </c>
      <c r="K478">
        <f>IF(L478&gt;0,L478*0.0625,)</f>
        <v>0.35</v>
      </c>
      <c r="L478">
        <v>5.6</v>
      </c>
      <c r="M478">
        <f>IF(K478&gt;0,K478*0.453592,IF(L478&gt;0,L478*0.02835,))</f>
        <v>0.1587572</v>
      </c>
      <c r="N478">
        <v>0</v>
      </c>
      <c r="O478">
        <v>0</v>
      </c>
      <c r="P478">
        <f>J478+O478+N478</f>
        <v>52</v>
      </c>
      <c r="Q478">
        <f>P478*C$3</f>
        <v>65000</v>
      </c>
      <c r="R478">
        <v>0</v>
      </c>
      <c r="S478">
        <f>ROUND(SUM(Q478:R478), -2)</f>
        <v>65000</v>
      </c>
      <c r="T478">
        <f>ROUNDUP(HLOOKUP(ROUNDUP(K478,0),'배송비 조회'!A$10:U$22,7,0)*C$3,-2)</f>
        <v>9000</v>
      </c>
      <c r="U478">
        <v>0</v>
      </c>
      <c r="V478">
        <f>ROUND(IF(R478&gt;0,0,(S478+T478)*0.4),-2)</f>
        <v>29600</v>
      </c>
      <c r="W478">
        <f>ROUND(IF(R478&gt;0,0,(S478+T478)*0.5),-2)</f>
        <v>37000</v>
      </c>
      <c r="X478">
        <f>IF(R478&gt;0,SUM(S478:T478),SUM(S478:V478))</f>
        <v>103600</v>
      </c>
      <c r="Y478">
        <f>IF(R478&gt;0,SUM(S478:T478),SUM(S478:U478)+W478)</f>
        <v>111000</v>
      </c>
      <c r="Z478">
        <v>0</v>
      </c>
      <c r="AA478">
        <f>X478*0.038</f>
        <v>3936.7999999999997</v>
      </c>
      <c r="AB478">
        <f>X478*0.02</f>
        <v>2072</v>
      </c>
      <c r="AC478">
        <f>Y478*0.1</f>
        <v>11100</v>
      </c>
      <c r="AD478">
        <f>X478-AA478-AB478</f>
        <v>97591.2</v>
      </c>
      <c r="AE478">
        <f>Y478-AC478</f>
        <v>99900</v>
      </c>
      <c r="AF478">
        <f>AD478*0.01</f>
        <v>975.912</v>
      </c>
      <c r="AG478">
        <f>AD478-Q478-AF478-T478</f>
        <v>22615.287999999997</v>
      </c>
      <c r="AH478">
        <f>AE478-Q478-AF478-T478</f>
        <v>24924.088000000003</v>
      </c>
      <c r="AI478">
        <f>AG478/X478</f>
        <v>0.2182942857142857</v>
      </c>
      <c r="AJ478">
        <f>AH478/Y478</f>
        <v>0.22454133333333337</v>
      </c>
      <c r="AK478">
        <f>X477-X478</f>
        <v>54400</v>
      </c>
      <c r="AW478">
        <v>4694174829</v>
      </c>
    </row>
    <row r="479">
      <c r="A479">
        <f>HYPERLINK("https://smartstore.naver.com/brickstore2019/products/4694276743",AW:AW)</f>
        <v>4694276743</v>
      </c>
      <c r="C479" t="str">
        <v>바볼랏 윔블던 테니스 라켓 가방 Babolat 753079</v>
      </c>
      <c r="E479" t="str">
        <v>Babolat Pure Line Wimbledon Backpack</v>
      </c>
      <c r="G479" t="str">
        <f>HYPERLINK("https://www.amazon.com/Babolat-Pure-Line-Wimbledon-Backpack/dp/B07QHXV2HX/ref=sr_1_2?dchild=1&amp;keywords=wimbledon+club+tennis+backpack&amp;qid=1570330848&amp;sr=8-2","A")</f>
        <v>A</v>
      </c>
      <c r="H479" t="str">
        <f>HYPERLINK("https://item.taobao.com/item.htm?_u=1201jme85eecb1&amp;id=570829055267","T")</f>
        <v>T</v>
      </c>
      <c r="J479">
        <v>90</v>
      </c>
      <c r="K479">
        <v>2.5</v>
      </c>
      <c r="L479">
        <f>IF(K479&gt;0,K479*16,)</f>
        <v>40</v>
      </c>
      <c r="M479">
        <f>IF(K479&gt;0,K479*0.453592,IF(L479&gt;0,L479*0.02835,))</f>
        <v>1.13398</v>
      </c>
      <c r="N479">
        <v>0</v>
      </c>
      <c r="O479">
        <v>0</v>
      </c>
      <c r="P479">
        <f>J479+O479+N479</f>
        <v>90</v>
      </c>
      <c r="Q479">
        <f>P479*C$3</f>
        <v>112500</v>
      </c>
      <c r="R479">
        <v>0</v>
      </c>
      <c r="S479">
        <f>ROUND(SUM(Q479:R479), -2)</f>
        <v>112500</v>
      </c>
      <c r="T479">
        <f>ROUNDUP(HLOOKUP(ROUNDUP(K479,0),'배송비 조회'!A$10:U$22,7,0)*C$3,-2)</f>
        <v>13400</v>
      </c>
      <c r="U479">
        <v>0</v>
      </c>
      <c r="V479">
        <f>ROUND(IF(R479&gt;0,0,(S479+T479)*0.3),-2)</f>
        <v>37800</v>
      </c>
      <c r="W479">
        <f>ROUND(IF(R479&gt;0,0,(S479+T479)*0.5),-2)</f>
        <v>63000</v>
      </c>
      <c r="X479">
        <f>IF(R479&gt;0,SUM(S479:T479),SUM(S479:V479))</f>
        <v>163700</v>
      </c>
      <c r="Y479">
        <f>IF(R479&gt;0,SUM(S479:T479),SUM(S479:U479)+W479)</f>
        <v>188900</v>
      </c>
      <c r="Z479">
        <v>0</v>
      </c>
      <c r="AA479">
        <f>X479*0.038</f>
        <v>6220.599999999999</v>
      </c>
      <c r="AB479">
        <f>X479*0.02</f>
        <v>3274</v>
      </c>
      <c r="AC479">
        <f>Y479*0.1</f>
        <v>18890</v>
      </c>
      <c r="AD479">
        <f>X479-AA479-AB479</f>
        <v>154205.4</v>
      </c>
      <c r="AE479">
        <f>Y479-AC479</f>
        <v>170010</v>
      </c>
      <c r="AF479">
        <f>AD479*0.01</f>
        <v>1542.054</v>
      </c>
      <c r="AG479">
        <f>AD479-Q479-AF479-T479</f>
        <v>26763.34599999999</v>
      </c>
      <c r="AH479">
        <f>AE479-Q479-AF479-T479</f>
        <v>42567.945999999996</v>
      </c>
      <c r="AI479">
        <f>AG479/X479</f>
        <v>0.16349020158827116</v>
      </c>
      <c r="AJ479">
        <f>AH479/Y479</f>
        <v>0.22534645844362095</v>
      </c>
      <c r="AW479">
        <v>4694276743</v>
      </c>
    </row>
    <row r="480">
      <c r="A480">
        <f>HYPERLINK("https://smartstore.naver.com/brickstore2019/products/4694299216",AW:AW)</f>
        <v>4694299216</v>
      </c>
      <c r="C480" t="str">
        <v>나이키 코트 테니스 가방 Nike BA5452(무료배송)</v>
      </c>
      <c r="E480" t="str">
        <v>Nike Court Tennis Backpack</v>
      </c>
      <c r="F480" t="str">
        <v>Black/White</v>
      </c>
      <c r="G480" t="str">
        <f>HYPERLINK("https://www.amazon.com/Court-Tennis-Backpack-Black-White/dp/B072FRZPSK/ref=sr_1_1?dchild=1&amp;keywords=nike%2BCourt%2BTennis%2BBackpack&amp;qid=1570330949&amp;sr=8-1&amp;th=1","A")</f>
        <v>A</v>
      </c>
      <c r="J480">
        <v>80</v>
      </c>
      <c r="K480">
        <v>1.5</v>
      </c>
      <c r="L480">
        <f>IF(K480&gt;0,K480*16,)</f>
        <v>24</v>
      </c>
      <c r="M480">
        <f>IF(K480&gt;0,K480*0.453592,IF(L480&gt;0,L480*0.02835,))</f>
        <v>0.680388</v>
      </c>
      <c r="N480">
        <v>0</v>
      </c>
      <c r="O480">
        <v>0</v>
      </c>
      <c r="P480">
        <f>J480+O480+N480</f>
        <v>80</v>
      </c>
      <c r="Q480">
        <f>P480*C$3</f>
        <v>100000</v>
      </c>
      <c r="R480">
        <v>0</v>
      </c>
      <c r="S480">
        <f>ROUND(SUM(Q480:R480), -2)</f>
        <v>100000</v>
      </c>
      <c r="T480">
        <f>ROUNDUP(HLOOKUP(ROUNDUP(K480,0),'배송비 조회'!A$10:U$22,7,0)*C$3,-2)</f>
        <v>11200</v>
      </c>
      <c r="U480">
        <v>0</v>
      </c>
      <c r="V480">
        <f>ROUND(IF(R480&gt;0,0,(S480+T480)*0.3),-2)</f>
        <v>33400</v>
      </c>
      <c r="W480">
        <f>ROUND(IF(R480&gt;0,0,(S480+T480)*0.5),-2)</f>
        <v>55600</v>
      </c>
      <c r="X480">
        <f>IF(R480&gt;0,SUM(S480:T480),SUM(S480:V480))</f>
        <v>144600</v>
      </c>
      <c r="Y480">
        <f>IF(R480&gt;0,SUM(S480:T480),SUM(S480:U480)+W480)</f>
        <v>166800</v>
      </c>
      <c r="Z480">
        <v>0</v>
      </c>
      <c r="AA480">
        <f>X480*0.038</f>
        <v>5494.8</v>
      </c>
      <c r="AB480">
        <f>X480*0.02</f>
        <v>2892</v>
      </c>
      <c r="AC480">
        <f>Y480*0.1</f>
        <v>16680</v>
      </c>
      <c r="AD480">
        <f>X480-AA480-AB480</f>
        <v>136213.2</v>
      </c>
      <c r="AE480">
        <f>Y480-AC480</f>
        <v>150120</v>
      </c>
      <c r="AF480">
        <f>AD480*0.01</f>
        <v>1362.132</v>
      </c>
      <c r="AG480">
        <f>AD480-Q480-AF480-T480</f>
        <v>23651.068000000014</v>
      </c>
      <c r="AH480">
        <f>AE480-Q480-AF480-T480</f>
        <v>37557.868</v>
      </c>
      <c r="AI480">
        <f>AG480/X480</f>
        <v>0.1635620193637622</v>
      </c>
      <c r="AJ480">
        <f>AH480/Y480</f>
        <v>0.2251670743405276</v>
      </c>
      <c r="AK480">
        <f>X480-X481</f>
        <v>16300</v>
      </c>
      <c r="AW480">
        <v>4694299216</v>
      </c>
    </row>
    <row r="481">
      <c r="F481" t="str">
        <v>Midnight Navy/Black/White</v>
      </c>
      <c r="G481" t="str">
        <f>HYPERLINK("https://www.amazon.com/Court-Tennis-Backpack-Black-White/dp/B00LIWL8M8/ref=sr_1_1?dchild=1&amp;keywords=nike%2BCourt%2BTennis%2BBackpack&amp;qid=1570330949&amp;sr=8-1&amp;th=1","A")</f>
        <v>A</v>
      </c>
      <c r="J481">
        <v>70</v>
      </c>
      <c r="K481">
        <v>1.5</v>
      </c>
      <c r="L481">
        <f>IF(K481&gt;0,K481*16,)</f>
        <v>24</v>
      </c>
      <c r="M481">
        <f>IF(K481&gt;0,K481*0.453592,IF(L481&gt;0,L481*0.02835,))</f>
        <v>0.680388</v>
      </c>
      <c r="N481">
        <v>0</v>
      </c>
      <c r="O481">
        <v>0</v>
      </c>
      <c r="P481">
        <f>J481+O481+N481</f>
        <v>70</v>
      </c>
      <c r="Q481">
        <f>P481*C$3</f>
        <v>87500</v>
      </c>
      <c r="R481">
        <v>0</v>
      </c>
      <c r="S481">
        <f>ROUND(SUM(Q481:R481), -2)</f>
        <v>87500</v>
      </c>
      <c r="T481">
        <f>ROUNDUP(HLOOKUP(ROUNDUP(K481,0),'배송비 조회'!A$10:U$22,7,0)*C$3,-2)</f>
        <v>11200</v>
      </c>
      <c r="U481">
        <v>0</v>
      </c>
      <c r="V481">
        <f>ROUND(IF(R481&gt;0,0,(S481+T481)*0.3),-2)</f>
        <v>29600</v>
      </c>
      <c r="W481">
        <f>ROUND(IF(R481&gt;0,0,(S481+T481)*0.5),-2)</f>
        <v>49400</v>
      </c>
      <c r="X481">
        <f>IF(R481&gt;0,SUM(S481:T481),SUM(S481:V481))</f>
        <v>128300</v>
      </c>
      <c r="Y481">
        <f>IF(R481&gt;0,SUM(S481:T481),SUM(S481:U481)+W481)</f>
        <v>148100</v>
      </c>
      <c r="Z481">
        <v>0</v>
      </c>
      <c r="AA481">
        <f>X481*0.038</f>
        <v>4875.4</v>
      </c>
      <c r="AB481">
        <f>X481*0.02</f>
        <v>2566</v>
      </c>
      <c r="AC481">
        <f>Y481*0.1</f>
        <v>14810</v>
      </c>
      <c r="AD481">
        <f>X481-AA481-AB481</f>
        <v>120858.6</v>
      </c>
      <c r="AE481">
        <f>Y481-AC481</f>
        <v>133290</v>
      </c>
      <c r="AF481">
        <f>AD481*0.01</f>
        <v>1208.586</v>
      </c>
      <c r="AG481">
        <f>AD481-Q481-AF481-T481</f>
        <v>20950.014000000006</v>
      </c>
      <c r="AH481">
        <f>AE481-Q481-AF481-T481</f>
        <v>33381.414</v>
      </c>
      <c r="AI481">
        <f>AG481/X481</f>
        <v>0.16328927513639913</v>
      </c>
      <c r="AJ481">
        <f>AH481/Y481</f>
        <v>0.22539779878460497</v>
      </c>
    </row>
    <row r="482">
      <c r="A482">
        <f>HYPERLINK("https://smartstore.naver.com/brickstore2019/products/4695329867",AW:AW)</f>
        <v>4695329867</v>
      </c>
      <c r="C482" t="str">
        <v>아마존 파이어 큐브 알렉사 All-new Fire TV Cube 4K Ultra HD</v>
      </c>
      <c r="E482" t="str">
        <v>All-new Fire TV Cube, hands-free with Alexa and 4K Ultra HD, streaming media player</v>
      </c>
      <c r="G482" t="str">
        <f>HYPERLINK("https://www.amazon.com/dp/B07KGVB6D6/ref=ods_gw_lln_h1_im_smp_rn_fam_090619?pf_rd_p=0c476982-c3f8-42a3-8f14-cbbce9287ad9&amp;pf_rd_r=1E4XQQ3VN9V44V3CC6C3","A")</f>
        <v>A</v>
      </c>
      <c r="J482">
        <v>120</v>
      </c>
      <c r="K482">
        <v>2</v>
      </c>
      <c r="L482">
        <f>IF(K482&gt;0,K482*16,)</f>
        <v>32</v>
      </c>
      <c r="M482">
        <f>IF(K482&gt;0,K482*0.453592,IF(L482&gt;0,L482*0.02835,))</f>
        <v>0.907184</v>
      </c>
      <c r="N482">
        <v>0</v>
      </c>
      <c r="O482">
        <v>0</v>
      </c>
      <c r="P482">
        <f>J482+O482+N482</f>
        <v>120</v>
      </c>
      <c r="Q482">
        <f>P482*C$3</f>
        <v>150000</v>
      </c>
      <c r="R482">
        <v>0</v>
      </c>
      <c r="S482">
        <f>ROUND(SUM(Q482:R482), -2)</f>
        <v>150000</v>
      </c>
      <c r="T482">
        <f>ROUNDUP(HLOOKUP(ROUNDUP(K482,0),'배송비 조회'!A$10:U$22,7,0)*C$3,-2)</f>
        <v>11200</v>
      </c>
      <c r="U482">
        <v>0</v>
      </c>
      <c r="V482">
        <f>ROUND(IF(R482&gt;0,0,(S482+T482)*0.3),-2)</f>
        <v>48400</v>
      </c>
      <c r="W482">
        <f>ROUND(IF(R482&gt;0,0,(S482+T482)*0.5),-2)</f>
        <v>80600</v>
      </c>
      <c r="X482">
        <f>IF(R482&gt;0,SUM(S482:T482),SUM(S482:V482))</f>
        <v>209600</v>
      </c>
      <c r="Y482">
        <f>IF(R482&gt;0,SUM(S482:T482),SUM(S482:U482)+W482)</f>
        <v>241800</v>
      </c>
      <c r="Z482">
        <v>0</v>
      </c>
      <c r="AA482">
        <f>X482*0.038</f>
        <v>7964.8</v>
      </c>
      <c r="AB482">
        <f>X482*0.02</f>
        <v>4192</v>
      </c>
      <c r="AC482">
        <f>Y482*0.1</f>
        <v>24180</v>
      </c>
      <c r="AD482">
        <f>X482-AA482-AB482</f>
        <v>197443.2</v>
      </c>
      <c r="AE482">
        <f>Y482-AC482</f>
        <v>217620</v>
      </c>
      <c r="AF482">
        <f>AD482*0.01</f>
        <v>1974.4320000000002</v>
      </c>
      <c r="AG482">
        <f>AD482-Q482-AF482-T482</f>
        <v>34268.76800000001</v>
      </c>
      <c r="AH482">
        <f>AE482-Q482-AF482-T482</f>
        <v>54445.568</v>
      </c>
      <c r="AI482">
        <f>AG482/X482</f>
        <v>0.1634960305343512</v>
      </c>
      <c r="AJ482">
        <f>AH482/Y482</f>
        <v>0.22516777502067825</v>
      </c>
      <c r="AW482">
        <v>4695329867</v>
      </c>
    </row>
    <row r="483">
      <c r="A483">
        <f>HYPERLINK("https://smartstore.naver.com/brickstore2019/products/4695351926",AW:AW)</f>
        <v>4695351926</v>
      </c>
      <c r="C483" t="str">
        <v>RHA 무선 플라이트 어댑터 블루투스 오디오 송신기(무료배송)</v>
      </c>
      <c r="E483" t="str">
        <v>RHA Wireless Flight Adapter: Bluetooth 5 Audio Transmitter</v>
      </c>
      <c r="G483" t="str">
        <f>HYPERLINK("https://www.amazon.com/gp/product/B07S8CPCPV","A")</f>
        <v>A</v>
      </c>
      <c r="J483">
        <v>50</v>
      </c>
      <c r="K483">
        <f>IF(L483&gt;0,L483*0.0625,)</f>
        <v>0.1875</v>
      </c>
      <c r="L483">
        <v>3</v>
      </c>
      <c r="M483">
        <f>IF(K483&gt;0,K483*0.453592,IF(L483&gt;0,L483*0.02835,))</f>
        <v>0.0850485</v>
      </c>
      <c r="N483">
        <v>0</v>
      </c>
      <c r="O483">
        <v>0</v>
      </c>
      <c r="P483">
        <f>J483+O483+N483</f>
        <v>50</v>
      </c>
      <c r="Q483">
        <f>P483*C$3</f>
        <v>62500</v>
      </c>
      <c r="R483">
        <v>0</v>
      </c>
      <c r="S483">
        <f>ROUND(SUM(Q483:R483), -2)</f>
        <v>62500</v>
      </c>
      <c r="T483">
        <f>ROUNDUP(HLOOKUP(ROUNDUP(K483,0),'배송비 조회'!A$10:U$22,7,0)*C$3,-2)</f>
        <v>9000</v>
      </c>
      <c r="U483">
        <v>0</v>
      </c>
      <c r="V483">
        <f>ROUND(IF(R483&gt;0,0,(S483+T483)*0.3),-2)</f>
        <v>21500</v>
      </c>
      <c r="W483">
        <f>ROUND(IF(R483&gt;0,0,(S483+T483)*0.5),-2)</f>
        <v>35800</v>
      </c>
      <c r="X483">
        <f>IF(R483&gt;0,SUM(S483:T483),SUM(S483:V483))</f>
        <v>93000</v>
      </c>
      <c r="Y483">
        <f>IF(R483&gt;0,SUM(S483:T483),SUM(S483:U483)+W483)</f>
        <v>107300</v>
      </c>
      <c r="Z483">
        <v>0</v>
      </c>
      <c r="AA483">
        <f>X483*0.038</f>
        <v>3534</v>
      </c>
      <c r="AB483">
        <f>X483*0.02</f>
        <v>1860</v>
      </c>
      <c r="AC483">
        <f>Y483*0.1</f>
        <v>10730</v>
      </c>
      <c r="AD483">
        <f>X483-AA483-AB483</f>
        <v>87606</v>
      </c>
      <c r="AE483">
        <f>Y483-AC483</f>
        <v>96570</v>
      </c>
      <c r="AF483">
        <f>AD483*0.01</f>
        <v>876.0600000000001</v>
      </c>
      <c r="AG483">
        <f>AD483-Q483-AF483-T483</f>
        <v>15229.939999999999</v>
      </c>
      <c r="AH483">
        <f>AE483-Q483-AF483-T483</f>
        <v>24193.940000000002</v>
      </c>
      <c r="AI483">
        <f>AG483/X483</f>
        <v>0.1637627956989247</v>
      </c>
      <c r="AJ483">
        <f>AH483/Y483</f>
        <v>0.22547940354147253</v>
      </c>
      <c r="AW483">
        <v>4695351926</v>
      </c>
    </row>
    <row r="484">
      <c r="A484">
        <f>HYPERLINK("https://smartstore.naver.com/brickstore2019/products/4695423386",AW:AW)</f>
        <v>4695423386</v>
      </c>
      <c r="B484" t="str">
        <f>HYPERLINK("https://www.coupang.com/vp/products/332576247?vendorItemId=5542205284","332576247")</f>
        <v>332576247</v>
      </c>
      <c r="C484" t="str">
        <v>하이퍼X 쿼드케스트 콘덴서 게이밍 마이크 HyperX QuadCast</v>
      </c>
      <c r="D484" t="str">
        <v>하이퍼X 쿼드케스트 콘덴서 게이밍 마이크 HyperX QuadCast</v>
      </c>
      <c r="E484" t="str">
        <v>HyperX QuadCast - USB Condenser Gaming Microphone, for PC, PS4 and Mac, Anti-Vibration Shock Mount, Four Polar Patterns, Pop Filter, Gain Control, Podcasts, Twitch, YouTube, Discord, Red LED - Black</v>
      </c>
      <c r="G484" t="str">
        <f>HYPERLINK("https://www.amazon.com/HyperX-QuadCast-Condenser-Microphone-Anti-Vibration/dp/B07NZZZ746/ref=sr_1_2?crid=E2I4H50BPX2R&amp;keywords=hyperx+quadcast&amp;qid=1570770436&amp;sprefix=hyperx+Q%2Caps%2C343&amp;sr=8-2","A")</f>
        <v>A</v>
      </c>
      <c r="J484">
        <v>136</v>
      </c>
      <c r="K484">
        <v>3.1</v>
      </c>
      <c r="L484">
        <v>20</v>
      </c>
      <c r="M484">
        <f>IF(K484&gt;0,K484*0.453592,IF(L484&gt;0,L484*0.02835,))</f>
        <v>1.4061352</v>
      </c>
      <c r="N484">
        <v>0</v>
      </c>
      <c r="O484">
        <v>0</v>
      </c>
      <c r="P484">
        <f>J484+O484+N484</f>
        <v>136</v>
      </c>
      <c r="Q484">
        <f>P484*C$3</f>
        <v>170000</v>
      </c>
      <c r="R484">
        <v>0</v>
      </c>
      <c r="S484">
        <f>ROUND(SUM(Q484:R484), -2)</f>
        <v>170000</v>
      </c>
      <c r="T484">
        <f>ROUNDUP(HLOOKUP(ROUNDUP(K484,0),'배송비 조회'!A$10:U$22,7,0)*C$3,-2)</f>
        <v>15600</v>
      </c>
      <c r="U484">
        <v>0</v>
      </c>
      <c r="V484">
        <f>ROUND(IF(R484&gt;0,0,(S484+T484)*0.3),-2)</f>
        <v>55700</v>
      </c>
      <c r="W484">
        <f>ROUND(IF(R484&gt;0,0,(S484+T484)*0.4),-2)</f>
        <v>74200</v>
      </c>
      <c r="X484">
        <f>IF(R484&gt;0,SUM(S484:T484),SUM(S484:V484))</f>
        <v>241300</v>
      </c>
      <c r="Y484">
        <f>IF(R484&gt;0,SUM(S484:T484),SUM(S484:U484)+W484)</f>
        <v>259800</v>
      </c>
      <c r="Z484">
        <v>0</v>
      </c>
      <c r="AA484">
        <f>X484*0.038</f>
        <v>9169.4</v>
      </c>
      <c r="AB484">
        <f>X484*0.02</f>
        <v>4826</v>
      </c>
      <c r="AC484">
        <f>Y484*0.1</f>
        <v>25980</v>
      </c>
      <c r="AD484">
        <f>X484-AA484-AB484</f>
        <v>227304.6</v>
      </c>
      <c r="AE484">
        <f>Y484-AC484</f>
        <v>233820</v>
      </c>
      <c r="AF484">
        <f>AD484*0.01</f>
        <v>2273.0460000000003</v>
      </c>
      <c r="AG484">
        <f>AD484-Q484-AF484-T484</f>
        <v>39431.554000000004</v>
      </c>
      <c r="AH484">
        <f>AE484-Q484-AF484-T484</f>
        <v>45946.954</v>
      </c>
      <c r="AI484">
        <f>AG484/X484</f>
        <v>0.16341298798176546</v>
      </c>
      <c r="AJ484">
        <f>AH484/Y484</f>
        <v>0.17685509622786758</v>
      </c>
      <c r="AK484">
        <v>30000</v>
      </c>
      <c r="AL484">
        <f>X484-AK484</f>
        <v>211300</v>
      </c>
      <c r="AW484">
        <v>4695423386</v>
      </c>
    </row>
    <row r="485">
      <c r="A485">
        <f>HYPERLINK("https://smartstore.naver.com/brickstore2019/products/4696060998",AW:AW)</f>
        <v>4696060998</v>
      </c>
      <c r="C485" t="str">
        <v>로지텍 MX 애니웨어 2S 휴대용 무선 마우스 Logitech MX Anywhere 2S</v>
      </c>
      <c r="E485" t="str">
        <v>Logitech MX Anywhere 2S Wireless Mouse – Use on Any Surface, Hyper-Fast Scrolling, Rechargeable, Control up to 3 Apple Mac and Windows Computers and Laptops (Bluetooth or USB), Graphite</v>
      </c>
      <c r="F485" t="str">
        <v>Graphite</v>
      </c>
      <c r="G485" t="str">
        <f>HYPERLINK("https://www.amazon.com/Logitech-Anywhere-Wireless-Cross-Computer-Control/dp/B071VK5KXN/ref=sr_1_15?keywords=logitech&amp;qid=1570271320&amp;sr=8-15&amp;th=1","A")</f>
        <v>A</v>
      </c>
      <c r="J485">
        <v>80</v>
      </c>
      <c r="K485">
        <f>IF(L485&gt;0,L485*0.0625,)</f>
        <v>0.55</v>
      </c>
      <c r="L485">
        <v>8.8</v>
      </c>
      <c r="M485">
        <f>IF(K485&gt;0,K485*0.453592,IF(L485&gt;0,L485*0.02835,))</f>
        <v>0.24947560000000002</v>
      </c>
      <c r="N485">
        <v>0</v>
      </c>
      <c r="O485">
        <v>0</v>
      </c>
      <c r="P485">
        <v>80</v>
      </c>
      <c r="Q485">
        <f>P485*C$3</f>
        <v>100000</v>
      </c>
      <c r="R485">
        <v>0</v>
      </c>
      <c r="S485">
        <f>ROUND(SUM(Q485:R485), -2)</f>
        <v>100000</v>
      </c>
      <c r="T485">
        <f>ROUNDUP(HLOOKUP(ROUNDUP(K485,0),'배송비 조회'!A$10:U$22,7,0)*C$3,-2)</f>
        <v>9000</v>
      </c>
      <c r="U485">
        <v>0</v>
      </c>
      <c r="V485">
        <f>ROUND(IF(R485&gt;0,0,(S485+T485)*0.3),-2)</f>
        <v>32700</v>
      </c>
      <c r="W485">
        <f>ROUND(IF(R485&gt;0,0,(S485+T485)*0.5),-2)</f>
        <v>54500</v>
      </c>
      <c r="X485">
        <f>IF(R485&gt;0,SUM(S485:T485),SUM(S485:V485))</f>
        <v>141700</v>
      </c>
      <c r="Y485">
        <f>IF(R485&gt;0,SUM(S485:T485),SUM(S485:U485)+W485)</f>
        <v>163500</v>
      </c>
      <c r="Z485">
        <v>0</v>
      </c>
      <c r="AA485">
        <f>X485*0.038</f>
        <v>5384.599999999999</v>
      </c>
      <c r="AB485">
        <f>X485*0.02</f>
        <v>2834</v>
      </c>
      <c r="AC485">
        <f>Y485*0.1</f>
        <v>16350</v>
      </c>
      <c r="AD485">
        <f>X485-AA485-AB485</f>
        <v>133481.4</v>
      </c>
      <c r="AE485">
        <f>Y485-AC485</f>
        <v>147150</v>
      </c>
      <c r="AF485">
        <f>AD485*0.01</f>
        <v>1334.814</v>
      </c>
      <c r="AG485">
        <f>AD485-Q485-AF485-T485</f>
        <v>23146.585999999996</v>
      </c>
      <c r="AH485">
        <f>AE485-Q485-AF485-T485</f>
        <v>36815.186</v>
      </c>
      <c r="AI485">
        <f>AG485/X485</f>
        <v>0.16334923076923075</v>
      </c>
      <c r="AJ485">
        <f>AH485/Y485</f>
        <v>0.22516933333333333</v>
      </c>
      <c r="AW485">
        <v>4696060998</v>
      </c>
    </row>
    <row r="486">
      <c r="F486" t="str">
        <v>Light Grey</v>
      </c>
      <c r="G486" t="str">
        <f>HYPERLINK("https://www.amazon.com/Logitech-Anywhere-Wireless-Cross-Computer-Control/dp/B071S7KDWS/ref=sr_1_15?keywords=logitech&amp;qid=1570271320&amp;sr=8-15&amp;th=1","A")</f>
        <v>A</v>
      </c>
      <c r="J486">
        <v>96</v>
      </c>
      <c r="K486">
        <f>IF(L486&gt;0,L486*0.0625,)</f>
        <v>0.55</v>
      </c>
      <c r="L486">
        <v>8.8</v>
      </c>
      <c r="M486">
        <f>IF(K486&gt;0,K486*0.453592,IF(L486&gt;0,L486*0.02835,))</f>
        <v>0.24947560000000002</v>
      </c>
      <c r="N486">
        <v>0</v>
      </c>
      <c r="O486">
        <v>0</v>
      </c>
      <c r="P486">
        <f>J486+O486+N486</f>
        <v>96</v>
      </c>
      <c r="Q486">
        <f>P486*C$3</f>
        <v>120000</v>
      </c>
      <c r="R486">
        <v>0</v>
      </c>
      <c r="S486">
        <f>ROUND(SUM(Q486:R486), -2)</f>
        <v>120000</v>
      </c>
      <c r="T486">
        <f>ROUNDUP(HLOOKUP(ROUNDUP(K486,0),'배송비 조회'!A$10:U$22,7,0)*C$3,-2)</f>
        <v>9000</v>
      </c>
      <c r="U486">
        <v>0</v>
      </c>
      <c r="V486">
        <f>ROUND(IF(R486&gt;0,0,(S486+T486)*0.3),-2)</f>
        <v>38700</v>
      </c>
      <c r="W486">
        <f>ROUND(IF(R486&gt;0,0,(S486+T486)*0.5),-2)</f>
        <v>64500</v>
      </c>
      <c r="X486">
        <f>IF(R486&gt;0,SUM(S486:T486),SUM(S486:V486))</f>
        <v>167700</v>
      </c>
      <c r="Y486">
        <f>IF(R486&gt;0,SUM(S486:T486),SUM(S486:U486)+W486)</f>
        <v>193500</v>
      </c>
      <c r="Z486">
        <v>0</v>
      </c>
      <c r="AA486">
        <f>X486*0.038</f>
        <v>6372.599999999999</v>
      </c>
      <c r="AB486">
        <f>X486*0.02</f>
        <v>3354</v>
      </c>
      <c r="AC486">
        <f>Y486*0.1</f>
        <v>19350</v>
      </c>
      <c r="AD486">
        <f>X486-AA486-AB486</f>
        <v>157973.4</v>
      </c>
      <c r="AE486">
        <f>Y486-AC486</f>
        <v>174150</v>
      </c>
      <c r="AF486">
        <f>AD486*0.01</f>
        <v>1579.734</v>
      </c>
      <c r="AG486">
        <f>AD486-Q486-AF486-T486</f>
        <v>27393.665999999997</v>
      </c>
      <c r="AH486">
        <f>AE486-Q486-AF486-T486</f>
        <v>43570.266</v>
      </c>
      <c r="AI486">
        <f>AG486/X486</f>
        <v>0.16334923076923075</v>
      </c>
      <c r="AJ486">
        <f>AH486/Y486</f>
        <v>0.22516933333333336</v>
      </c>
      <c r="AK486">
        <f>X486-X485</f>
        <v>26000</v>
      </c>
      <c r="AM486">
        <f>X486-X485</f>
        <v>26000</v>
      </c>
    </row>
    <row r="487">
      <c r="F487" t="str">
        <v>Midnight Teal</v>
      </c>
      <c r="G487" t="str">
        <f>HYPERLINK("https://www.amazon.com/Logitech-Anywhere-Wireless-Cross-Computer-Control/dp/B071LGGX6L/ref=sr_1_15?keywords=logitech&amp;qid=1570271320&amp;sr=8-15&amp;th=1","A")</f>
        <v>A</v>
      </c>
      <c r="J487">
        <v>80</v>
      </c>
      <c r="K487">
        <f>IF(L487&gt;0,L487*0.0625,)</f>
        <v>0.55</v>
      </c>
      <c r="L487">
        <v>8.8</v>
      </c>
      <c r="M487">
        <f>IF(K487&gt;0,K487*0.453592,IF(L487&gt;0,L487*0.02835,))</f>
        <v>0.24947560000000002</v>
      </c>
      <c r="N487">
        <v>0</v>
      </c>
      <c r="O487">
        <v>0</v>
      </c>
      <c r="P487">
        <f>J487+O487+N487</f>
        <v>80</v>
      </c>
      <c r="Q487">
        <f>P487*C$3</f>
        <v>100000</v>
      </c>
      <c r="R487">
        <v>0</v>
      </c>
      <c r="S487">
        <f>ROUND(SUM(Q487:R487), -2)</f>
        <v>100000</v>
      </c>
      <c r="T487">
        <f>ROUNDUP(HLOOKUP(ROUNDUP(K487,0),'배송비 조회'!A$10:U$22,7,0)*C$3,-2)</f>
        <v>9000</v>
      </c>
      <c r="U487">
        <v>0</v>
      </c>
      <c r="V487">
        <f>ROUND(IF(R487&gt;0,0,(S487+T487)*0.3),-2)</f>
        <v>32700</v>
      </c>
      <c r="W487">
        <f>ROUND(IF(R487&gt;0,0,(S487+T487)*0.5),-2)</f>
        <v>54500</v>
      </c>
      <c r="X487">
        <f>IF(R487&gt;0,SUM(S487:T487),SUM(S487:V487))</f>
        <v>141700</v>
      </c>
      <c r="Y487">
        <f>IF(R487&gt;0,SUM(S487:T487),SUM(S487:U487)+W487)</f>
        <v>163500</v>
      </c>
      <c r="Z487">
        <v>0</v>
      </c>
      <c r="AA487">
        <f>X487*0.038</f>
        <v>5384.599999999999</v>
      </c>
      <c r="AB487">
        <f>X487*0.02</f>
        <v>2834</v>
      </c>
      <c r="AC487">
        <f>Y487*0.1</f>
        <v>16350</v>
      </c>
      <c r="AD487">
        <f>X487-AA487-AB487</f>
        <v>133481.4</v>
      </c>
      <c r="AE487">
        <f>Y487-AC487</f>
        <v>147150</v>
      </c>
      <c r="AF487">
        <f>AD487*0.01</f>
        <v>1334.814</v>
      </c>
      <c r="AG487">
        <f>AD487-Q487-AF487-T487</f>
        <v>23146.585999999996</v>
      </c>
      <c r="AH487">
        <f>AE487-Q487-AF487-T487</f>
        <v>36815.186</v>
      </c>
      <c r="AI487">
        <f>AG487/X487</f>
        <v>0.16334923076923075</v>
      </c>
      <c r="AJ487">
        <f>AH487/Y487</f>
        <v>0.22516933333333333</v>
      </c>
      <c r="AK487">
        <f>X487-X485</f>
        <v>0</v>
      </c>
      <c r="AM487">
        <f>X487-X485</f>
        <v>0</v>
      </c>
    </row>
    <row r="488">
      <c r="A488">
        <f>HYPERLINK("https://smartstore.naver.com/brickstore2019/products/4696119488",AW:AW)</f>
        <v>4696119488</v>
      </c>
      <c r="C488" t="str">
        <v>샘소나이트 모던 유틸리티 더블샷 노트북 회사원 백팩 Samsonite Modern Utility Double Shot</v>
      </c>
      <c r="E488" t="str">
        <v>Samsonite Modern Utility Double Shot Laptop Backpack</v>
      </c>
      <c r="F488" t="str">
        <v>Charcoal Heather</v>
      </c>
      <c r="G488" t="str">
        <f>HYPERLINK("https://www.amazon.com/Samsonite-Modern-Utility-Double-Backpack/dp/B073C8GKQC?ref_=ast_sto_dp&amp;th=1","A")</f>
        <v>A</v>
      </c>
      <c r="J488">
        <v>87</v>
      </c>
      <c r="K488">
        <v>4.5</v>
      </c>
      <c r="L488">
        <f>IF(K488&gt;0,K488*16,)</f>
        <v>72</v>
      </c>
      <c r="M488">
        <f>IF(K488&gt;0,K488*0.453592,IF(L488&gt;0,L488*0.02835,))</f>
        <v>2.041164</v>
      </c>
      <c r="N488">
        <v>0</v>
      </c>
      <c r="O488">
        <v>0</v>
      </c>
      <c r="P488">
        <f>J488+O488+N488</f>
        <v>87</v>
      </c>
      <c r="Q488">
        <f>P488*C$3</f>
        <v>108750</v>
      </c>
      <c r="R488">
        <v>0</v>
      </c>
      <c r="S488">
        <f>ROUND(SUM(Q488:R488), -2)</f>
        <v>108800</v>
      </c>
      <c r="T488">
        <f>ROUNDUP(HLOOKUP(ROUNDUP(K488,0),'배송비 조회'!A$10:U$22,7,0)*C$3,-2)</f>
        <v>17800</v>
      </c>
      <c r="U488">
        <v>0</v>
      </c>
      <c r="V488">
        <f>ROUND(IF(R488&gt;0,0,(S488+T488)*0.3),-2)</f>
        <v>38000</v>
      </c>
      <c r="W488">
        <f>ROUND(IF(R488&gt;0,0,(S488+T488)*0.5),-2)</f>
        <v>63300</v>
      </c>
      <c r="X488">
        <f>IF(R488&gt;0,SUM(S488:T488),SUM(S488:V488))</f>
        <v>164600</v>
      </c>
      <c r="Y488">
        <f>IF(R488&gt;0,SUM(S488:T488),SUM(S488:U488)+W488)</f>
        <v>189900</v>
      </c>
      <c r="Z488">
        <v>0</v>
      </c>
      <c r="AA488">
        <f>X488*0.038</f>
        <v>6254.8</v>
      </c>
      <c r="AB488">
        <f>X488*0.02</f>
        <v>3292</v>
      </c>
      <c r="AC488">
        <f>Y488*0.1</f>
        <v>18990</v>
      </c>
      <c r="AD488">
        <f>X488-AA488-AB488</f>
        <v>155053.2</v>
      </c>
      <c r="AE488">
        <f>Y488-AC488</f>
        <v>170910</v>
      </c>
      <c r="AF488">
        <f>AD488*0.01</f>
        <v>1550.5320000000002</v>
      </c>
      <c r="AG488">
        <f>AD488-Q488-AF488-T488</f>
        <v>26952.668000000012</v>
      </c>
      <c r="AH488">
        <f>AE488-Q488-AF488-T488</f>
        <v>42809.468</v>
      </c>
      <c r="AI488">
        <f>AG488/X488</f>
        <v>0.16374646415552863</v>
      </c>
      <c r="AJ488">
        <f>AH488/Y488</f>
        <v>0.22543163770405478</v>
      </c>
      <c r="AK488">
        <f>X488-X489</f>
        <v>7200</v>
      </c>
      <c r="AW488">
        <v>4696119488</v>
      </c>
    </row>
    <row r="489">
      <c r="F489" t="str">
        <v>True Navy</v>
      </c>
      <c r="G489" t="str">
        <f>HYPERLINK("https://www.amazon.com/Samsonite-Modern-Utility-Double-Backpack/dp/B073WNP2TN?ref_=ast_sto_dp&amp;th=1","A")</f>
        <v>A</v>
      </c>
      <c r="J489">
        <v>82.6</v>
      </c>
      <c r="K489">
        <v>4.5</v>
      </c>
      <c r="L489">
        <f>IF(K489&gt;0,K489*16,)</f>
        <v>72</v>
      </c>
      <c r="M489">
        <f>IF(K489&gt;0,K489*0.453592,IF(L489&gt;0,L489*0.02835,))</f>
        <v>2.041164</v>
      </c>
      <c r="N489">
        <v>0</v>
      </c>
      <c r="O489">
        <v>0</v>
      </c>
      <c r="P489">
        <f>J489+O489+N489</f>
        <v>82.6</v>
      </c>
      <c r="Q489">
        <f>P489*C$3</f>
        <v>103250</v>
      </c>
      <c r="R489">
        <v>0</v>
      </c>
      <c r="S489">
        <f>ROUND(SUM(Q489:R489), -2)</f>
        <v>103300</v>
      </c>
      <c r="T489">
        <f>ROUNDUP(HLOOKUP(ROUNDUP(K489,0),'배송비 조회'!A$10:U$22,7,0)*C$3,-2)</f>
        <v>17800</v>
      </c>
      <c r="U489">
        <v>0</v>
      </c>
      <c r="V489">
        <f>ROUND(IF(R489&gt;0,0,(S489+T489)*0.3),-2)</f>
        <v>36300</v>
      </c>
      <c r="W489">
        <f>ROUND(IF(R489&gt;0,0,(S489+T489)*0.5),-2)</f>
        <v>60600</v>
      </c>
      <c r="X489">
        <f>IF(R489&gt;0,SUM(S489:T489),SUM(S489:V489))</f>
        <v>157400</v>
      </c>
      <c r="Y489">
        <f>IF(R489&gt;0,SUM(S489:T489),SUM(S489:U489)+W489)</f>
        <v>181700</v>
      </c>
      <c r="Z489">
        <v>0</v>
      </c>
      <c r="AA489">
        <f>X489*0.038</f>
        <v>5981.2</v>
      </c>
      <c r="AB489">
        <f>X489*0.02</f>
        <v>3148</v>
      </c>
      <c r="AC489">
        <f>Y489*0.1</f>
        <v>18170</v>
      </c>
      <c r="AD489">
        <f>X489-AA489-AB489</f>
        <v>148270.8</v>
      </c>
      <c r="AE489">
        <f>Y489-AC489</f>
        <v>163530</v>
      </c>
      <c r="AF489">
        <f>AD489*0.01</f>
        <v>1482.7079999999999</v>
      </c>
      <c r="AG489">
        <f>AD489-Q489-AF489-T489</f>
        <v>25738.09199999999</v>
      </c>
      <c r="AH489">
        <f>AE489-Q489-AF489-T489</f>
        <v>40997.292</v>
      </c>
      <c r="AI489">
        <f>AG489/X489</f>
        <v>0.16352027954256665</v>
      </c>
      <c r="AJ489">
        <f>AH489/Y489</f>
        <v>0.2256317666483214</v>
      </c>
    </row>
    <row r="490">
      <c r="A490">
        <f>HYPERLINK("https://smartstore.naver.com/brickstore2019/products/4697829132",AW:AW)</f>
        <v>4697829132</v>
      </c>
      <c r="C490" t="str">
        <v>칼디지트 USB C 프로독 85w 충전 듀얼 4K60Hz 기가비트 인터넷 CalDigit</v>
      </c>
      <c r="E490" t="str">
        <v>CalDigit USB-C Pro Dock - 85W Charging, Thunderbolt 3, UHS II SD Card Slot, USB C Gen 2, USB A x 3, Dual DisplayPort 1.2, LAN, 3.5mm Audio for Thunderbolt and USB-C Computers (0.7 Meter Cable - Gray)</v>
      </c>
      <c r="G490" t="str">
        <v>A</v>
      </c>
      <c r="J490">
        <v>200</v>
      </c>
      <c r="K490">
        <v>3</v>
      </c>
      <c r="L490">
        <f>IF(K490&gt;0,K490*16,)</f>
        <v>48</v>
      </c>
      <c r="M490">
        <f>IF(K490&gt;0,K490*0.453592,IF(L490&gt;0,L490*0.02835,))</f>
        <v>1.360776</v>
      </c>
      <c r="N490">
        <v>0</v>
      </c>
      <c r="O490">
        <v>0</v>
      </c>
      <c r="P490">
        <f>J490+O490+N490</f>
        <v>200</v>
      </c>
      <c r="Q490">
        <f>P490*C$3</f>
        <v>250000</v>
      </c>
      <c r="R490">
        <v>0</v>
      </c>
      <c r="S490">
        <f>ROUND(SUM(Q490:R490), -2)</f>
        <v>250000</v>
      </c>
      <c r="T490">
        <f>ROUNDUP(HLOOKUP(ROUNDUP(K490,0),'배송비 조회'!A$10:U$22,7,0)*C$3,-2)</f>
        <v>13400</v>
      </c>
      <c r="U490">
        <v>0</v>
      </c>
      <c r="V490">
        <f>ROUND(IF(R490&gt;0,0,(S490+T490)*0.2),-2)</f>
        <v>52700</v>
      </c>
      <c r="W490">
        <f>ROUND(IF(R490&gt;0,0,(S490+T490)*0.5),-2)</f>
        <v>131700</v>
      </c>
      <c r="X490">
        <f>IF(R490&gt;0,SUM(S490:T490),SUM(S490:V490))</f>
        <v>316100</v>
      </c>
      <c r="Y490">
        <f>IF(R490&gt;0,SUM(S490:T490),SUM(S490:U490)+W490)</f>
        <v>395100</v>
      </c>
      <c r="Z490">
        <v>0</v>
      </c>
      <c r="AA490">
        <f>X490*0.038</f>
        <v>12011.8</v>
      </c>
      <c r="AB490">
        <f>X490*0.02</f>
        <v>6322</v>
      </c>
      <c r="AC490">
        <f>Y490*0.1</f>
        <v>39510</v>
      </c>
      <c r="AD490">
        <f>X490-AA490-AB490</f>
        <v>297766.2</v>
      </c>
      <c r="AE490">
        <f>Y490-AC490</f>
        <v>355590</v>
      </c>
      <c r="AF490">
        <f>AD490*0.01</f>
        <v>2977.6620000000003</v>
      </c>
      <c r="AG490">
        <f>AD490-Q490-AF490-T490</f>
        <v>31388.538000000015</v>
      </c>
      <c r="AH490">
        <f>AE490-Q490-AF490-T490</f>
        <v>89212.338</v>
      </c>
      <c r="AI490">
        <f>AG490/X490</f>
        <v>0.09929939259727939</v>
      </c>
      <c r="AJ490">
        <f>AH490/Y490</f>
        <v>0.22579685649202735</v>
      </c>
      <c r="AW490">
        <v>4697829132</v>
      </c>
    </row>
    <row r="491">
      <c r="A491">
        <f>HYPERLINK("https://smartstore.naver.com/brickstore2019/products/4697874145",AW:AW)</f>
        <v>4697874145</v>
      </c>
      <c r="C491" t="str">
        <v>케이스티파이 아이폰 11 충격방지케이스 CASETiFY iPhone 11, White</v>
      </c>
      <c r="E491" t="str">
        <v>CASETiFY Impact Case, Military-Grade Dual-Layer Shockproof Protective Case for iPhones, iPhone 11, White</v>
      </c>
      <c r="F491" t="str">
        <v>iphone 11</v>
      </c>
      <c r="G491" t="str">
        <f>HYPERLINK("https://www.amazon.com/CASETiFY-Military-Grade-Dual-Layer-Shockproof-Protective/dp/B07XL823HT/ref=sr_1_2?crid=3SZ4S5BETOJBY&amp;keywords=casetify%2Biphone%2B11&amp;qid=1570944703&amp;sprefix=casetify%2Caps%2C708&amp;sr=8-2&amp;th=1#customerReviews","A")</f>
        <v>A</v>
      </c>
      <c r="J491">
        <v>40</v>
      </c>
      <c r="K491">
        <f>IF(L491&gt;0,L491*0.0625,)</f>
        <v>0.3125</v>
      </c>
      <c r="L491">
        <v>5</v>
      </c>
      <c r="M491">
        <f>IF(K491&gt;0,K491*0.453592,IF(L491&gt;0,L491*0.02835,))</f>
        <v>0.1417475</v>
      </c>
      <c r="N491">
        <v>0</v>
      </c>
      <c r="O491">
        <v>0</v>
      </c>
      <c r="P491">
        <f>J491+O491+N491</f>
        <v>40</v>
      </c>
      <c r="Q491">
        <f>P491*C$3</f>
        <v>50000</v>
      </c>
      <c r="R491">
        <v>0</v>
      </c>
      <c r="S491">
        <f>ROUND(SUM(Q491:R491), -2)</f>
        <v>50000</v>
      </c>
      <c r="T491">
        <f>ROUNDUP(HLOOKUP(ROUNDUP(K491,0),'배송비 조회'!A$10:U$22,7,0)*C$3,-2)</f>
        <v>9000</v>
      </c>
      <c r="U491">
        <v>0</v>
      </c>
      <c r="V491">
        <f>ROUND(IF(R491&gt;0,0,(S491+T491)*0.3),-2)</f>
        <v>17700</v>
      </c>
      <c r="W491">
        <f>ROUND(IF(R491&gt;0,0,(S491+T491)*0.5),-2)</f>
        <v>29500</v>
      </c>
      <c r="X491">
        <f>IF(R491&gt;0,SUM(S491:T491),SUM(S491:V491))</f>
        <v>76700</v>
      </c>
      <c r="Y491">
        <f>IF(R491&gt;0,SUM(S491:T491),SUM(S491:U491)+W491)</f>
        <v>88500</v>
      </c>
      <c r="Z491">
        <v>0</v>
      </c>
      <c r="AA491">
        <f>X491*0.038</f>
        <v>2914.6</v>
      </c>
      <c r="AB491">
        <f>X491*0.02</f>
        <v>1534</v>
      </c>
      <c r="AC491">
        <f>Y491*0.1</f>
        <v>8850</v>
      </c>
      <c r="AD491">
        <f>X491-AA491-AB491</f>
        <v>72251.4</v>
      </c>
      <c r="AE491">
        <f>Y491-AC491</f>
        <v>79650</v>
      </c>
      <c r="AF491">
        <f>AD491*0.01</f>
        <v>722.514</v>
      </c>
      <c r="AG491">
        <f>AD491-Q491-AF491-T491</f>
        <v>12528.885999999995</v>
      </c>
      <c r="AH491">
        <f>AE491-Q491-AF491-T491</f>
        <v>19927.486</v>
      </c>
      <c r="AI491">
        <f>AG491/X491</f>
        <v>0.1633492307692307</v>
      </c>
      <c r="AJ491">
        <f>AH491/Y491</f>
        <v>0.22516933333333333</v>
      </c>
      <c r="AW491">
        <v>4697874145</v>
      </c>
    </row>
    <row r="492">
      <c r="F492" t="str">
        <v>iphone 11 pro</v>
      </c>
      <c r="G492" t="str">
        <f>HYPERLINK("https://www.amazon.com/CASETiFY-Military-Grade-Dual-Layer-Shockproof-Protective/dp/B07XQZC6F3/ref=sr_1_2?crid=3SZ4S5BETOJBY&amp;keywords=casetify%2Biphone%2B11&amp;qid=1570944703&amp;sprefix=casetify%2Caps%2C708&amp;sr=8-2&amp;th=1","A")</f>
        <v>A</v>
      </c>
      <c r="J492">
        <v>45</v>
      </c>
      <c r="K492">
        <f>IF(L492&gt;0,L492*0.0625,)</f>
        <v>0.3125</v>
      </c>
      <c r="L492">
        <v>5</v>
      </c>
      <c r="M492">
        <f>IF(K492&gt;0,K492*0.453592,IF(L492&gt;0,L492*0.02835,))</f>
        <v>0.1417475</v>
      </c>
      <c r="N492">
        <v>0</v>
      </c>
      <c r="O492">
        <v>0</v>
      </c>
      <c r="P492">
        <f>J492+O492+N492</f>
        <v>45</v>
      </c>
      <c r="Q492">
        <f>P492*C$3</f>
        <v>56250</v>
      </c>
      <c r="R492">
        <v>0</v>
      </c>
      <c r="S492">
        <f>ROUND(SUM(Q492:R492), -2)</f>
        <v>56300</v>
      </c>
      <c r="T492">
        <f>ROUNDUP(HLOOKUP(ROUNDUP(K492,0),'배송비 조회'!A$10:U$22,7,0)*C$3,-2)</f>
        <v>9000</v>
      </c>
      <c r="U492">
        <v>0</v>
      </c>
      <c r="V492">
        <f>ROUND(IF(R492&gt;0,0,(S492+T492)*0.3),-2)</f>
        <v>19600</v>
      </c>
      <c r="W492">
        <f>ROUND(IF(R492&gt;0,0,(S492+T492)*0.5),-2)</f>
        <v>32700</v>
      </c>
      <c r="X492">
        <f>IF(R492&gt;0,SUM(S492:T492),SUM(S492:V492))</f>
        <v>84900</v>
      </c>
      <c r="Y492">
        <f>IF(R492&gt;0,SUM(S492:T492),SUM(S492:U492)+W492)</f>
        <v>98000</v>
      </c>
      <c r="Z492">
        <v>0</v>
      </c>
      <c r="AA492">
        <f>X492*0.038</f>
        <v>3226.2</v>
      </c>
      <c r="AB492">
        <f>X492*0.02</f>
        <v>1698</v>
      </c>
      <c r="AC492">
        <f>Y492*0.1</f>
        <v>9800</v>
      </c>
      <c r="AD492">
        <f>X492-AA492-AB492</f>
        <v>79975.8</v>
      </c>
      <c r="AE492">
        <f>Y492-AC492</f>
        <v>88200</v>
      </c>
      <c r="AF492">
        <f>AD492*0.01</f>
        <v>799.758</v>
      </c>
      <c r="AG492">
        <f>AD492-Q492-AF492-T492</f>
        <v>13926.042000000001</v>
      </c>
      <c r="AH492">
        <f>AE492-Q492-AF492-T492</f>
        <v>22150.242</v>
      </c>
      <c r="AI492">
        <f>AG492/X492</f>
        <v>0.16402876325088342</v>
      </c>
      <c r="AJ492">
        <f>AH492/Y492</f>
        <v>0.22602287755102038</v>
      </c>
      <c r="AK492">
        <f>X492-X491</f>
        <v>8200</v>
      </c>
    </row>
    <row r="493">
      <c r="F493" t="str">
        <v>iphone 11 pro max</v>
      </c>
      <c r="G493" t="str">
        <f>HYPERLINK("https://www.amazon.com/CASETiFY-Military-Grade-Dual-Layer-Shockproof-Protective/dp/B07XL8G551/ref=sr_1_2?crid=3SZ4S5BETOJBY&amp;keywords=casetify%2Biphone%2B11&amp;qid=1570944703&amp;sprefix=casetify%2Caps%2C708&amp;sr=8-2&amp;th=1","A")</f>
        <v>A</v>
      </c>
      <c r="J493">
        <v>50</v>
      </c>
      <c r="K493">
        <f>IF(L493&gt;0,L493*0.0625,)</f>
        <v>0.3125</v>
      </c>
      <c r="L493">
        <v>5</v>
      </c>
      <c r="M493">
        <f>IF(K493&gt;0,K493*0.453592,IF(L493&gt;0,L493*0.02835,))</f>
        <v>0.1417475</v>
      </c>
      <c r="N493">
        <v>0</v>
      </c>
      <c r="O493">
        <v>0</v>
      </c>
      <c r="P493">
        <f>J493+O493+N493</f>
        <v>50</v>
      </c>
      <c r="Q493">
        <f>P493*C$3</f>
        <v>62500</v>
      </c>
      <c r="R493">
        <v>0</v>
      </c>
      <c r="S493">
        <f>ROUND(SUM(Q493:R493), -2)</f>
        <v>62500</v>
      </c>
      <c r="T493">
        <f>ROUNDUP(HLOOKUP(ROUNDUP(K493,0),'배송비 조회'!A$10:U$22,7,0)*C$3,-2)</f>
        <v>9000</v>
      </c>
      <c r="U493">
        <v>0</v>
      </c>
      <c r="V493">
        <f>ROUND(IF(R493&gt;0,0,(S493+T493)*0.3),-2)</f>
        <v>21500</v>
      </c>
      <c r="W493">
        <f>ROUND(IF(R493&gt;0,0,(S493+T493)*0.5),-2)</f>
        <v>35800</v>
      </c>
      <c r="X493">
        <f>IF(R493&gt;0,SUM(S493:T493),SUM(S493:V493))</f>
        <v>93000</v>
      </c>
      <c r="Y493">
        <f>IF(R493&gt;0,SUM(S493:T493),SUM(S493:U493)+W493)</f>
        <v>107300</v>
      </c>
      <c r="Z493">
        <v>0</v>
      </c>
      <c r="AA493">
        <f>X493*0.038</f>
        <v>3534</v>
      </c>
      <c r="AB493">
        <f>X493*0.02</f>
        <v>1860</v>
      </c>
      <c r="AC493">
        <f>Y493*0.1</f>
        <v>10730</v>
      </c>
      <c r="AD493">
        <f>X493-AA493-AB493</f>
        <v>87606</v>
      </c>
      <c r="AE493">
        <f>Y493-AC493</f>
        <v>96570</v>
      </c>
      <c r="AF493">
        <f>AD493*0.01</f>
        <v>876.0600000000001</v>
      </c>
      <c r="AG493">
        <f>AD493-Q493-AF493-T493</f>
        <v>15229.939999999999</v>
      </c>
      <c r="AH493">
        <f>AE493-Q493-AF493-T493</f>
        <v>24193.940000000002</v>
      </c>
      <c r="AI493">
        <f>AG493/X493</f>
        <v>0.1637627956989247</v>
      </c>
      <c r="AJ493">
        <f>AH493/Y493</f>
        <v>0.22547940354147253</v>
      </c>
      <c r="AK493">
        <f>X493-X491</f>
        <v>16300</v>
      </c>
    </row>
    <row r="494">
      <c r="A494">
        <f>HYPERLINK("https://smartstore.naver.com/brickstore2019/products/4697885603",AW:AW)</f>
        <v>4697885603</v>
      </c>
      <c r="C494" t="str">
        <v>애플워치 여행용 마그네틱 USB 충전기 어댑터</v>
      </c>
      <c r="E494" t="str">
        <v>Watch Charger,ChiHope Magnetic Portable Wireless iWatch Charger Compatible for Apple Watch Series 4 3 2 1 44 mm 42 mm 40 mm 38mm (Black)</v>
      </c>
      <c r="F494" t="str">
        <v>Black</v>
      </c>
      <c r="G494" t="str">
        <f>HYPERLINK("https://www.amazon.com/ChiHope-Magnetic-Portable-Wireless-Compatible/dp/B07WMQC4TM/ref=sr_1_fkmr0_1?keywords=watch+charger%2C+ChiHope&amp;qid=1570972304&amp;sr=8-1-fkmr0","A")</f>
        <v>A</v>
      </c>
      <c r="J494">
        <v>10</v>
      </c>
      <c r="K494">
        <f>IF(L494&gt;0,L494*0.0625,)</f>
        <v>0.0625</v>
      </c>
      <c r="L494">
        <v>1</v>
      </c>
      <c r="M494">
        <f>IF(K494&gt;0,K494*0.453592,IF(L494&gt;0,L494*0.02835,))</f>
        <v>0.0283495</v>
      </c>
      <c r="N494">
        <v>0</v>
      </c>
      <c r="O494">
        <v>0</v>
      </c>
      <c r="P494">
        <f>J494+O494+N494</f>
        <v>10</v>
      </c>
      <c r="Q494">
        <f>P494*C$3</f>
        <v>12500</v>
      </c>
      <c r="R494">
        <v>0</v>
      </c>
      <c r="S494">
        <f>ROUND(SUM(Q494:R494), -2)</f>
        <v>12500</v>
      </c>
      <c r="T494">
        <f>ROUNDUP(HLOOKUP(ROUNDUP(K494,0),'배송비 조회'!A$10:U$22,7,0)*C$3,-2)</f>
        <v>9000</v>
      </c>
      <c r="U494">
        <v>0</v>
      </c>
      <c r="V494">
        <f>ROUND(IF(R494&gt;0,0,(S494+T494)*0.5),-2)</f>
        <v>10800</v>
      </c>
      <c r="W494">
        <f>ROUND(IF(R494&gt;0,0,(S494+T494)*0.5),-2)</f>
        <v>10800</v>
      </c>
      <c r="X494">
        <f>IF(R494&gt;0,SUM(S494:T494),SUM(S494:V494))</f>
        <v>32300</v>
      </c>
      <c r="Y494">
        <f>IF(R494&gt;0,SUM(S494:T494),SUM(S494:U494)+W494)</f>
        <v>32300</v>
      </c>
      <c r="Z494">
        <v>0</v>
      </c>
      <c r="AA494">
        <f>X494*0.038</f>
        <v>1227.3999999999999</v>
      </c>
      <c r="AB494">
        <f>X494*0.02</f>
        <v>646</v>
      </c>
      <c r="AC494">
        <f>Y494*0.1</f>
        <v>3230</v>
      </c>
      <c r="AD494">
        <f>X494-AA494-AB494</f>
        <v>30426.6</v>
      </c>
      <c r="AE494">
        <f>Y494-AC494</f>
        <v>29070</v>
      </c>
      <c r="AF494">
        <f>AD494*0.01</f>
        <v>304.266</v>
      </c>
      <c r="AG494">
        <f>AD494-Q494-AF494-T494</f>
        <v>8622.333999999999</v>
      </c>
      <c r="AH494">
        <f>AE494-Q494-AF494-T494</f>
        <v>7265.734</v>
      </c>
      <c r="AI494">
        <f>AG494/X494</f>
        <v>0.2669453250773993</v>
      </c>
      <c r="AJ494">
        <f>AH494/Y494</f>
        <v>0.2249453250773994</v>
      </c>
      <c r="AW494">
        <v>4697885603</v>
      </c>
    </row>
    <row r="495">
      <c r="F495" t="str">
        <v>White</v>
      </c>
      <c r="G495" t="str">
        <f>HYPERLINK("https://www.amazon.com/ChiHope-Magnetic-Portable-Wireless-Compatible/dp/B07QMQHGF6/ref=sr_1_fkmr0_1?keywords=watch%2Bcharger%2C%2BChiHope&amp;qid=1570972304&amp;sr=8-1-fkmr0&amp;th=1","A")</f>
        <v>A</v>
      </c>
      <c r="J495">
        <v>10</v>
      </c>
      <c r="K495">
        <f>IF(L495&gt;0,L495*0.0625,)</f>
        <v>0.0625</v>
      </c>
      <c r="L495">
        <v>1</v>
      </c>
      <c r="M495">
        <f>IF(K495&gt;0,K495*0.453592,IF(L495&gt;0,L495*0.02835,))</f>
        <v>0.0283495</v>
      </c>
      <c r="N495">
        <v>0</v>
      </c>
      <c r="O495">
        <v>0</v>
      </c>
      <c r="P495">
        <f>J495+O495+N495</f>
        <v>10</v>
      </c>
      <c r="Q495">
        <f>P495*C$3</f>
        <v>12500</v>
      </c>
      <c r="R495">
        <v>0</v>
      </c>
      <c r="S495">
        <f>ROUND(SUM(Q495:R495), -2)</f>
        <v>12500</v>
      </c>
      <c r="T495">
        <f>ROUNDUP(HLOOKUP(ROUNDUP(K495,0),'배송비 조회'!A$10:U$22,7,0)*C$3,-2)</f>
        <v>9000</v>
      </c>
      <c r="U495">
        <v>0</v>
      </c>
      <c r="V495">
        <f>ROUND(IF(R495&gt;0,0,(S495+T495)*0.5),-2)</f>
        <v>10800</v>
      </c>
      <c r="W495">
        <f>ROUND(IF(R495&gt;0,0,(S495+T495)*0.5),-2)</f>
        <v>10800</v>
      </c>
      <c r="X495">
        <f>IF(R495&gt;0,SUM(S495:T495),SUM(S495:V495))</f>
        <v>32300</v>
      </c>
      <c r="Y495">
        <f>IF(R495&gt;0,SUM(S495:T495),SUM(S495:U495)+W495)</f>
        <v>32300</v>
      </c>
      <c r="Z495">
        <v>0</v>
      </c>
      <c r="AA495">
        <f>X495*0.038</f>
        <v>1227.3999999999999</v>
      </c>
      <c r="AB495">
        <f>X495*0.02</f>
        <v>646</v>
      </c>
      <c r="AC495">
        <f>Y495*0.1</f>
        <v>3230</v>
      </c>
      <c r="AD495">
        <f>X495-AA495-AB495</f>
        <v>30426.6</v>
      </c>
      <c r="AE495">
        <f>Y495-AC495</f>
        <v>29070</v>
      </c>
      <c r="AF495">
        <f>AD495*0.01</f>
        <v>304.266</v>
      </c>
      <c r="AG495">
        <f>AD495-Q495-AF495-T495</f>
        <v>8622.333999999999</v>
      </c>
      <c r="AH495">
        <f>AE495-Q495-AF495-T495</f>
        <v>7265.734</v>
      </c>
      <c r="AI495">
        <f>AG495/X495</f>
        <v>0.2669453250773993</v>
      </c>
      <c r="AJ495">
        <f>AH495/Y495</f>
        <v>0.2249453250773994</v>
      </c>
    </row>
    <row r="496">
      <c r="A496">
        <f>HYPERLINK("https://smartstore.naver.com/brickstore2019/products/4697893893",AW:AW)</f>
        <v>4697893893</v>
      </c>
      <c r="C496" t="str">
        <v xml:space="preserve">로데 다용도 유투브 스튜디오 마이크 Rode NT-USB Versatile USB Microphone (무료배송) </v>
      </c>
      <c r="E496" t="str">
        <v>Rode NT-USB Versatile Studio-Quality USB Cardioid Condenser Microphone</v>
      </c>
      <c r="G496" t="str">
        <f>HYPERLINK("https://www.amazon.com/Rode-NT-USB-Versatile-Studio-Quality-Microphone/dp/B00KQPGRRE/ref=sr_1_1?keywords=rode+ntusb&amp;qid=1570285716&amp;sr=8-1","A")</f>
        <v>A</v>
      </c>
      <c r="J496">
        <v>169</v>
      </c>
      <c r="K496">
        <v>3.5</v>
      </c>
      <c r="L496">
        <f>IF(K496&gt;0,K496*16,)</f>
        <v>56</v>
      </c>
      <c r="M496">
        <f>IF(K496&gt;0,K496*0.453592,IF(L496&gt;0,L496*0.02835,))</f>
        <v>1.587572</v>
      </c>
      <c r="N496">
        <v>0</v>
      </c>
      <c r="O496">
        <v>0</v>
      </c>
      <c r="P496">
        <f>J496+O496+N496</f>
        <v>169</v>
      </c>
      <c r="Q496">
        <f>P496*C$3</f>
        <v>211250</v>
      </c>
      <c r="R496">
        <v>0</v>
      </c>
      <c r="S496">
        <f>ROUND(SUM(Q496:R496), -2)</f>
        <v>211300</v>
      </c>
      <c r="T496">
        <f>ROUNDUP(HLOOKUP(ROUNDUP(K496,0),'배송비 조회'!A$10:U$22,7,0)*C$3,-2)</f>
        <v>15600</v>
      </c>
      <c r="U496">
        <v>0</v>
      </c>
      <c r="V496">
        <f>ROUND(IF(R496&gt;0,0,(S496+T496)*0.3),-2)</f>
        <v>68100</v>
      </c>
      <c r="W496">
        <f>ROUND(IF(R496&gt;0,0,(S496+T496)*0.5),-2)</f>
        <v>113500</v>
      </c>
      <c r="X496">
        <f>IF(R496&gt;0,SUM(S496:T496),SUM(S496:V496))</f>
        <v>295000</v>
      </c>
      <c r="Y496">
        <f>IF(R496&gt;0,SUM(S496:T496),SUM(S496:U496)+W496)</f>
        <v>340400</v>
      </c>
      <c r="Z496">
        <v>0</v>
      </c>
      <c r="AA496">
        <f>X496*0.038</f>
        <v>11210</v>
      </c>
      <c r="AB496">
        <f>X496*0.02</f>
        <v>5900</v>
      </c>
      <c r="AC496">
        <f>Y496*0.1</f>
        <v>34040</v>
      </c>
      <c r="AD496">
        <f>X496-AA496-AB496</f>
        <v>277890</v>
      </c>
      <c r="AE496">
        <f>Y496-AC496</f>
        <v>306360</v>
      </c>
      <c r="AF496">
        <f>AD496*0.01</f>
        <v>2778.9</v>
      </c>
      <c r="AG496">
        <f>AD496-Q496-AF496-T496</f>
        <v>48261.1</v>
      </c>
      <c r="AH496">
        <f>AE496-Q496-AF496-T496</f>
        <v>76731.1</v>
      </c>
      <c r="AI496">
        <f>AG496/X496</f>
        <v>0.16359694915254236</v>
      </c>
      <c r="AJ496">
        <f>AH496/Y496</f>
        <v>0.2254145123384254</v>
      </c>
      <c r="AW496">
        <v>4697893893</v>
      </c>
    </row>
    <row r="497">
      <c r="A497">
        <f>HYPERLINK("https://smartstore.naver.com/brickstore2019/products/4697906691",AW:AW)</f>
        <v>4697906691</v>
      </c>
      <c r="C497" t="str">
        <v>타일 슬림 블루투스 소형 위치 추적기 Tile Slim(무료배송)</v>
      </c>
      <c r="E497" t="str">
        <v>Tile Slim (2020) - 1 Pack</v>
      </c>
      <c r="G497" t="str">
        <v>A</v>
      </c>
      <c r="J497">
        <v>30</v>
      </c>
      <c r="K497">
        <f>IF(L497&gt;0,L497*0.0625,)</f>
        <v>0.125</v>
      </c>
      <c r="L497">
        <v>2</v>
      </c>
      <c r="M497">
        <f>IF(K497&gt;0,K497*0.453592,IF(L497&gt;0,L497*0.02835,))</f>
        <v>0.056699</v>
      </c>
      <c r="N497">
        <v>0</v>
      </c>
      <c r="O497">
        <v>0</v>
      </c>
      <c r="P497">
        <f>J497+O497+N497</f>
        <v>30</v>
      </c>
      <c r="Q497">
        <f>P497*C$3</f>
        <v>37500</v>
      </c>
      <c r="R497">
        <v>0</v>
      </c>
      <c r="S497">
        <f>ROUND(SUM(Q497:R497), -2)</f>
        <v>37500</v>
      </c>
      <c r="T497">
        <f>ROUNDUP(HLOOKUP(ROUNDUP(K497,0),'배송비 조회'!A$10:U$22,7,0)*C$3,-2)</f>
        <v>9000</v>
      </c>
      <c r="U497">
        <v>0</v>
      </c>
      <c r="V497">
        <f>ROUND(IF(R497&gt;0,0,(S497+T497)*0.3),-2)</f>
        <v>14000</v>
      </c>
      <c r="W497">
        <f>ROUND(IF(R497&gt;0,0,(S497+T497)*0.5),-2)</f>
        <v>23300</v>
      </c>
      <c r="X497">
        <f>IF(R497&gt;0,SUM(S497:T497),SUM(S497:V497))</f>
        <v>60500</v>
      </c>
      <c r="Y497">
        <f>IF(R497&gt;0,SUM(S497:T497),SUM(S497:U497)+W497)</f>
        <v>69800</v>
      </c>
      <c r="Z497">
        <v>0</v>
      </c>
      <c r="AA497">
        <f>X497*0.038</f>
        <v>2299</v>
      </c>
      <c r="AB497">
        <f>X497*0.02</f>
        <v>1210</v>
      </c>
      <c r="AC497">
        <f>Y497*0.1</f>
        <v>6980</v>
      </c>
      <c r="AD497">
        <f>X497-AA497-AB497</f>
        <v>56991</v>
      </c>
      <c r="AE497">
        <f>Y497-AC497</f>
        <v>62820</v>
      </c>
      <c r="AF497">
        <f>AD497*0.01</f>
        <v>569.91</v>
      </c>
      <c r="AG497">
        <f>AD497-Q497-AF497-T497</f>
        <v>9921.09</v>
      </c>
      <c r="AH497">
        <f>AE497-Q497-AF497-T497</f>
        <v>15750.09</v>
      </c>
      <c r="AI497">
        <f>AG497/X497</f>
        <v>0.16398495867768595</v>
      </c>
      <c r="AJ497">
        <f>AH497/Y497</f>
        <v>0.22564598853868195</v>
      </c>
      <c r="AW497">
        <v>4697906691</v>
      </c>
    </row>
    <row r="498">
      <c r="A498">
        <f>HYPERLINK("https://smartstore.naver.com/brickstore2019/products/4697922855",AW:AW)</f>
        <v>4697922855</v>
      </c>
      <c r="C498" t="str">
        <v>타일 메이트 블루투스 소형 위치 추적기 Tile Mate 4pack</v>
      </c>
      <c r="E498" t="str">
        <v>Tile Mate (2020) - 4 Pack</v>
      </c>
      <c r="G498" t="str">
        <v>A</v>
      </c>
      <c r="J498">
        <v>70</v>
      </c>
      <c r="K498">
        <f>IF(L498&gt;0,L498*0.0625,)</f>
        <v>0.1875</v>
      </c>
      <c r="L498">
        <v>3</v>
      </c>
      <c r="M498">
        <f>IF(K498&gt;0,K498*0.453592,IF(L498&gt;0,L498*0.02835,))</f>
        <v>0.0850485</v>
      </c>
      <c r="N498">
        <v>0</v>
      </c>
      <c r="O498">
        <v>0</v>
      </c>
      <c r="P498">
        <f>J498+O498+N498</f>
        <v>70</v>
      </c>
      <c r="Q498">
        <f>P498*C$3</f>
        <v>87500</v>
      </c>
      <c r="R498">
        <v>0</v>
      </c>
      <c r="S498">
        <f>ROUND(SUM(Q498:R498), -2)</f>
        <v>87500</v>
      </c>
      <c r="T498">
        <f>ROUNDUP(HLOOKUP(ROUNDUP(K498,0),'배송비 조회'!A$10:U$22,7,0)*C$3,-2)</f>
        <v>9000</v>
      </c>
      <c r="U498">
        <v>0</v>
      </c>
      <c r="V498">
        <f>ROUND(IF(R498&gt;0,0,(S498+T498)*0.3),-2)</f>
        <v>29000</v>
      </c>
      <c r="W498">
        <f>ROUND(IF(R498&gt;0,0,(S498+T498)*0.5),-2)</f>
        <v>48300</v>
      </c>
      <c r="X498">
        <f>IF(R498&gt;0,SUM(S498:T498),SUM(S498:V498))</f>
        <v>125500</v>
      </c>
      <c r="Y498">
        <f>IF(R498&gt;0,SUM(S498:T498),SUM(S498:U498)+W498)</f>
        <v>144800</v>
      </c>
      <c r="Z498">
        <v>0</v>
      </c>
      <c r="AA498">
        <f>X498*0.038</f>
        <v>4769</v>
      </c>
      <c r="AB498">
        <f>X498*0.02</f>
        <v>2510</v>
      </c>
      <c r="AC498">
        <f>Y498*0.1</f>
        <v>14480</v>
      </c>
      <c r="AD498">
        <f>X498-AA498-AB498</f>
        <v>118221</v>
      </c>
      <c r="AE498">
        <f>Y498-AC498</f>
        <v>130320</v>
      </c>
      <c r="AF498">
        <f>AD498*0.01</f>
        <v>1182.21</v>
      </c>
      <c r="AG498">
        <f>AD498-Q498-AF498-T498</f>
        <v>20538.79</v>
      </c>
      <c r="AH498">
        <f>AE498-Q498-AF498-T498</f>
        <v>32637.79</v>
      </c>
      <c r="AI498">
        <f>AG498/X498</f>
        <v>0.1636556972111554</v>
      </c>
      <c r="AJ498">
        <f>AH498/Y498</f>
        <v>0.22539910220994475</v>
      </c>
      <c r="AW498">
        <v>4697922855</v>
      </c>
    </row>
    <row r="499">
      <c r="A499">
        <f>HYPERLINK("https://smartstore.naver.com/brickstore2019/products/4698987707",AW:AW)</f>
        <v>4698987707</v>
      </c>
      <c r="C499" t="str">
        <v>로쿠 스트리밍 플레이어 넷플릭스 티비연결 Roku (무료배송)</v>
      </c>
      <c r="E499" t="str">
        <v>Roku Express HD Streaming Media Player 2019</v>
      </c>
      <c r="G499" t="str">
        <f>HYPERLINK("https://www.amazon.com/dp/B07WVFCVJN/ref=cm_sw_r_cp_api_i_DafHDbJK7407E","A")</f>
        <v>A</v>
      </c>
      <c r="J499">
        <v>30</v>
      </c>
      <c r="K499">
        <f>IF(L499&gt;0,L499*0.0625,)</f>
        <v>0.625</v>
      </c>
      <c r="L499">
        <v>10</v>
      </c>
      <c r="M499">
        <f>IF(K499&gt;0,K499*0.453592,IF(L499&gt;0,L499*0.02835,))</f>
        <v>0.283495</v>
      </c>
      <c r="N499">
        <v>0</v>
      </c>
      <c r="O499">
        <v>0</v>
      </c>
      <c r="P499">
        <f>J499+O499+N499</f>
        <v>30</v>
      </c>
      <c r="Q499">
        <f>P499*C$3</f>
        <v>37500</v>
      </c>
      <c r="R499">
        <v>0</v>
      </c>
      <c r="S499">
        <f>ROUND(SUM(Q499:R499), -2)</f>
        <v>37500</v>
      </c>
      <c r="T499">
        <f>ROUNDUP(HLOOKUP(ROUNDUP(K499,0),'배송비 조회'!A$10:U$22,7,0)*C$3,-2)</f>
        <v>9000</v>
      </c>
      <c r="U499">
        <v>0</v>
      </c>
      <c r="V499">
        <f>ROUND(IF(R499&gt;0,0,(S499+T499)*0.3),-2)</f>
        <v>14000</v>
      </c>
      <c r="W499">
        <f>ROUND(IF(R499&gt;0,0,(S499+T499)*0.5),-2)</f>
        <v>23300</v>
      </c>
      <c r="X499">
        <f>IF(R499&gt;0,SUM(S499:T499),SUM(S499:V499))</f>
        <v>60500</v>
      </c>
      <c r="Y499">
        <f>IF(R499&gt;0,SUM(S499:T499),SUM(S499:U499)+W499)</f>
        <v>69800</v>
      </c>
      <c r="Z499">
        <v>0</v>
      </c>
      <c r="AA499">
        <f>X499*0.038</f>
        <v>2299</v>
      </c>
      <c r="AB499">
        <f>X499*0.02</f>
        <v>1210</v>
      </c>
      <c r="AC499">
        <f>Y499*0.1</f>
        <v>6980</v>
      </c>
      <c r="AD499">
        <f>X499-AA499-AB499</f>
        <v>56991</v>
      </c>
      <c r="AE499">
        <f>Y499-AC499</f>
        <v>62820</v>
      </c>
      <c r="AF499">
        <f>AD499*0.01</f>
        <v>569.91</v>
      </c>
      <c r="AG499">
        <f>AD499-Q499-AF499-T499</f>
        <v>9921.09</v>
      </c>
      <c r="AH499">
        <f>AE499-Q499-AF499-T499</f>
        <v>15750.09</v>
      </c>
      <c r="AI499">
        <f>AG499/X499</f>
        <v>0.16398495867768595</v>
      </c>
      <c r="AJ499">
        <f>AH499/Y499</f>
        <v>0.22564598853868195</v>
      </c>
      <c r="AW499">
        <v>4698987707</v>
      </c>
    </row>
    <row r="500">
      <c r="A500">
        <f>HYPERLINK("https://smartstore.naver.com/brickstore2019/products/4699002152",AW:AW)</f>
        <v>4699002152</v>
      </c>
      <c r="C500" t="str">
        <v xml:space="preserve">백패킹 미니 돗자리 등산용 초소형 돗자리 마타도르(무료배송) </v>
      </c>
      <c r="E500" t="str">
        <v>Matador Mini Pocket Blanket, Ultralight Hiking Picnic Blanket/Beach Blanket</v>
      </c>
      <c r="G500" t="str">
        <f>HYPERLINK("https://www.amazon.com/Matador-Pocket-Blanket-Ultralight-Hiking/dp/B00PV2XC2K/ref=sr_1_3?dchild=1&amp;keywords=Matador&amp;qid=1570972051&amp;sr=8-3","A")</f>
        <v>A</v>
      </c>
      <c r="J500">
        <v>20</v>
      </c>
      <c r="K500">
        <f>IF(L500&gt;0,L500*0.0625,)</f>
        <v>0.1875</v>
      </c>
      <c r="L500">
        <v>3</v>
      </c>
      <c r="M500">
        <f>IF(K500&gt;0,K500*0.453592,IF(L500&gt;0,L500*0.02835,))</f>
        <v>0.0850485</v>
      </c>
      <c r="N500">
        <v>0</v>
      </c>
      <c r="O500">
        <v>0</v>
      </c>
      <c r="P500">
        <f>J500+O500+N500</f>
        <v>20</v>
      </c>
      <c r="Q500">
        <f>P500*C$3</f>
        <v>25000</v>
      </c>
      <c r="R500">
        <v>0</v>
      </c>
      <c r="S500">
        <f>ROUND(SUM(Q500:R500), -2)</f>
        <v>25000</v>
      </c>
      <c r="T500">
        <f>ROUNDUP(HLOOKUP(ROUNDUP(K500,0),'배송비 조회'!A$10:U$22,7,0)*C$3,-2)</f>
        <v>9000</v>
      </c>
      <c r="U500">
        <v>0</v>
      </c>
      <c r="V500">
        <f>ROUND(IF(R500&gt;0,0,(S500+T500)*0.3),-2)</f>
        <v>10200</v>
      </c>
      <c r="W500">
        <f>ROUND(IF(R500&gt;0,0,(S500+T500)*0.5),-2)</f>
        <v>17000</v>
      </c>
      <c r="X500">
        <f>IF(R500&gt;0,SUM(S500:T500),SUM(S500:V500))</f>
        <v>44200</v>
      </c>
      <c r="Y500">
        <f>IF(R500&gt;0,SUM(S500:T500),SUM(S500:U500)+W500)</f>
        <v>51000</v>
      </c>
      <c r="Z500">
        <v>0</v>
      </c>
      <c r="AA500">
        <f>X500*0.038</f>
        <v>1679.6</v>
      </c>
      <c r="AB500">
        <f>X500*0.02</f>
        <v>884</v>
      </c>
      <c r="AC500">
        <f>Y500*0.1</f>
        <v>5100</v>
      </c>
      <c r="AD500">
        <f>X500-AA500-AB500</f>
        <v>41636.4</v>
      </c>
      <c r="AE500">
        <f>Y500-AC500</f>
        <v>45900</v>
      </c>
      <c r="AF500">
        <f>AD500*0.01</f>
        <v>416.36400000000003</v>
      </c>
      <c r="AG500">
        <f>AD500-Q500-AF500-T500</f>
        <v>7220.036000000002</v>
      </c>
      <c r="AH500">
        <f>AE500-Q500-AF500-T500</f>
        <v>11483.635999999999</v>
      </c>
      <c r="AI500">
        <f>AG500/X500</f>
        <v>0.1633492307692308</v>
      </c>
      <c r="AJ500">
        <f>AH500/Y500</f>
        <v>0.2251693333333333</v>
      </c>
      <c r="AW500">
        <v>4699002152</v>
      </c>
    </row>
    <row r="501">
      <c r="A501">
        <f>HYPERLINK("https://smartstore.naver.com/brickstore2019/products/4699022340",AW:AW)</f>
        <v>4699022340</v>
      </c>
      <c r="C501" t="str">
        <v xml:space="preserve">백패킹 미니 돗자리 피크닉 초소형 돗자리 마타도르(무료배송) </v>
      </c>
      <c r="E501" t="str">
        <v>Matador Pocket Blanket 2.0 New Version, Picnic, Beach, Hiking, Camping. Water Resistant with Built-in Ground Stakes</v>
      </c>
      <c r="F501" t="str">
        <v>Alpine Green</v>
      </c>
      <c r="G501" t="str">
        <f>HYPERLINK("https://www.amazon.com/Matador-Blanket-2-0-Camping-Resistant/dp/B06VVVQ72B/ref=sr_1_2?dchild=1&amp;keywords=Matador&amp;qid=1570972051&amp;sr=8-2&amp;th=1","A")</f>
        <v>A</v>
      </c>
      <c r="J501">
        <v>30</v>
      </c>
      <c r="K501">
        <f>IF(L501&gt;0,L501*0.0625,)</f>
        <v>0.3125</v>
      </c>
      <c r="L501">
        <v>5</v>
      </c>
      <c r="M501">
        <f>IF(K501&gt;0,K501*0.453592,IF(L501&gt;0,L501*0.02835,))</f>
        <v>0.1417475</v>
      </c>
      <c r="N501">
        <v>0</v>
      </c>
      <c r="O501">
        <v>0</v>
      </c>
      <c r="P501">
        <f>J501+O501+N501</f>
        <v>30</v>
      </c>
      <c r="Q501">
        <f>P501*C$3</f>
        <v>37500</v>
      </c>
      <c r="R501">
        <v>0</v>
      </c>
      <c r="S501">
        <f>ROUND(SUM(Q501:R501), -2)</f>
        <v>37500</v>
      </c>
      <c r="T501">
        <f>ROUNDUP(HLOOKUP(ROUNDUP(K501,0),'배송비 조회'!A$10:U$22,7,0)*C$3,-2)</f>
        <v>9000</v>
      </c>
      <c r="U501">
        <v>0</v>
      </c>
      <c r="V501">
        <f>ROUND(IF(R501&gt;0,0,(S501+T501)*0.3),-2)</f>
        <v>14000</v>
      </c>
      <c r="W501">
        <f>ROUND(IF(R501&gt;0,0,(S501+T501)*0.5),-2)</f>
        <v>23300</v>
      </c>
      <c r="X501">
        <f>IF(R501&gt;0,SUM(S501:T501),SUM(S501:V501))</f>
        <v>60500</v>
      </c>
      <c r="Y501">
        <f>IF(R501&gt;0,SUM(S501:T501),SUM(S501:U501)+W501)</f>
        <v>69800</v>
      </c>
      <c r="Z501">
        <v>0</v>
      </c>
      <c r="AA501">
        <f>X501*0.038</f>
        <v>2299</v>
      </c>
      <c r="AB501">
        <f>X501*0.02</f>
        <v>1210</v>
      </c>
      <c r="AC501">
        <f>Y501*0.1</f>
        <v>6980</v>
      </c>
      <c r="AD501">
        <f>X501-AA501-AB501</f>
        <v>56991</v>
      </c>
      <c r="AE501">
        <f>Y501-AC501</f>
        <v>62820</v>
      </c>
      <c r="AF501">
        <f>AD501*0.01</f>
        <v>569.91</v>
      </c>
      <c r="AG501">
        <f>AD501-Q501-AF501-T501</f>
        <v>9921.09</v>
      </c>
      <c r="AH501">
        <f>AE501-Q501-AF501-T501</f>
        <v>15750.09</v>
      </c>
      <c r="AI501">
        <f>AG501/X501</f>
        <v>0.16398495867768595</v>
      </c>
      <c r="AJ501">
        <f>AH501/Y501</f>
        <v>0.22564598853868195</v>
      </c>
      <c r="AW501">
        <v>4699022340</v>
      </c>
    </row>
    <row r="502">
      <c r="F502" t="str">
        <v>Black</v>
      </c>
      <c r="G502" t="str">
        <f>HYPERLINK("https://www.amazon.com/Matador-Blanket-2-0-Camping-Resistant/dp/B07MXXLFQQ/ref=sr_1_2?dchild=1&amp;keywords=Matador&amp;qid=1570972051&amp;sr=8-2&amp;th=1","A")</f>
        <v>A</v>
      </c>
      <c r="J502">
        <v>30</v>
      </c>
      <c r="K502">
        <f>IF(L502&gt;0,L502*0.0625,)</f>
        <v>0.3125</v>
      </c>
      <c r="L502">
        <v>5</v>
      </c>
      <c r="M502">
        <f>IF(K502&gt;0,K502*0.453592,IF(L502&gt;0,L502*0.02835,))</f>
        <v>0.1417475</v>
      </c>
      <c r="N502">
        <v>0</v>
      </c>
      <c r="O502">
        <v>0</v>
      </c>
      <c r="P502">
        <f>J502+O502+N502</f>
        <v>30</v>
      </c>
      <c r="Q502">
        <f>P502*C$3</f>
        <v>37500</v>
      </c>
      <c r="R502">
        <v>0</v>
      </c>
      <c r="S502">
        <f>ROUND(SUM(Q502:R502), -2)</f>
        <v>37500</v>
      </c>
      <c r="T502">
        <f>ROUNDUP(HLOOKUP(ROUNDUP(K502,0),'배송비 조회'!A$10:U$22,7,0)*C$3,-2)</f>
        <v>9000</v>
      </c>
      <c r="U502">
        <v>0</v>
      </c>
      <c r="V502">
        <f>ROUND(IF(R502&gt;0,0,(S502+T502)*0.3),-2)</f>
        <v>14000</v>
      </c>
      <c r="W502">
        <f>ROUND(IF(R502&gt;0,0,(S502+T502)*0.5),-2)</f>
        <v>23300</v>
      </c>
      <c r="X502">
        <f>IF(R502&gt;0,SUM(S502:T502),SUM(S502:V502))</f>
        <v>60500</v>
      </c>
      <c r="Y502">
        <f>IF(R502&gt;0,SUM(S502:T502),SUM(S502:U502)+W502)</f>
        <v>69800</v>
      </c>
      <c r="Z502">
        <v>0</v>
      </c>
      <c r="AA502">
        <f>X502*0.038</f>
        <v>2299</v>
      </c>
      <c r="AB502">
        <f>X502*0.02</f>
        <v>1210</v>
      </c>
      <c r="AC502">
        <f>Y502*0.1</f>
        <v>6980</v>
      </c>
      <c r="AD502">
        <f>X502-AA502-AB502</f>
        <v>56991</v>
      </c>
      <c r="AE502">
        <f>Y502-AC502</f>
        <v>62820</v>
      </c>
      <c r="AF502">
        <f>AD502*0.01</f>
        <v>569.91</v>
      </c>
      <c r="AG502">
        <f>AD502-Q502-AF502-T502</f>
        <v>9921.09</v>
      </c>
      <c r="AH502">
        <f>AE502-Q502-AF502-T502</f>
        <v>15750.09</v>
      </c>
      <c r="AI502">
        <f>AG502/X502</f>
        <v>0.16398495867768595</v>
      </c>
      <c r="AJ502">
        <f>AH502/Y502</f>
        <v>0.22564598853868195</v>
      </c>
    </row>
    <row r="503">
      <c r="F503" t="str">
        <v>Original Red</v>
      </c>
      <c r="G503" t="str">
        <f>HYPERLINK("https://www.amazon.com/Matador-Blanket-2-0-Camping-Resistant/dp/B06VVN34Y4/ref=sr_1_2?dchild=1&amp;keywords=Matador&amp;qid=1570972051&amp;sr=8-2&amp;th=1","A")</f>
        <v>A</v>
      </c>
      <c r="J503">
        <v>30</v>
      </c>
      <c r="K503">
        <f>IF(L503&gt;0,L503*0.0625,)</f>
        <v>0.3125</v>
      </c>
      <c r="L503">
        <v>5</v>
      </c>
      <c r="M503">
        <f>IF(K503&gt;0,K503*0.453592,IF(L503&gt;0,L503*0.02835,))</f>
        <v>0.1417475</v>
      </c>
      <c r="N503">
        <v>0</v>
      </c>
      <c r="O503">
        <v>0</v>
      </c>
      <c r="P503">
        <f>J503+O503+N503</f>
        <v>30</v>
      </c>
      <c r="Q503">
        <f>P503*C$3</f>
        <v>37500</v>
      </c>
      <c r="R503">
        <v>0</v>
      </c>
      <c r="S503">
        <f>ROUND(SUM(Q503:R503), -2)</f>
        <v>37500</v>
      </c>
      <c r="T503">
        <f>ROUNDUP(HLOOKUP(ROUNDUP(K503,0),'배송비 조회'!A$10:U$22,7,0)*C$3,-2)</f>
        <v>9000</v>
      </c>
      <c r="U503">
        <v>0</v>
      </c>
      <c r="V503">
        <f>ROUND(IF(R503&gt;0,0,(S503+T503)*0.3),-2)</f>
        <v>14000</v>
      </c>
      <c r="W503">
        <f>ROUND(IF(R503&gt;0,0,(S503+T503)*0.5),-2)</f>
        <v>23300</v>
      </c>
      <c r="X503">
        <f>IF(R503&gt;0,SUM(S503:T503),SUM(S503:V503))</f>
        <v>60500</v>
      </c>
      <c r="Y503">
        <f>IF(R503&gt;0,SUM(S503:T503),SUM(S503:U503)+W503)</f>
        <v>69800</v>
      </c>
      <c r="Z503">
        <v>0</v>
      </c>
      <c r="AA503">
        <f>X503*0.038</f>
        <v>2299</v>
      </c>
      <c r="AB503">
        <f>X503*0.02</f>
        <v>1210</v>
      </c>
      <c r="AC503">
        <f>Y503*0.1</f>
        <v>6980</v>
      </c>
      <c r="AD503">
        <f>X503-AA503-AB503</f>
        <v>56991</v>
      </c>
      <c r="AE503">
        <f>Y503-AC503</f>
        <v>62820</v>
      </c>
      <c r="AF503">
        <f>AD503*0.01</f>
        <v>569.91</v>
      </c>
      <c r="AG503">
        <f>AD503-Q503-AF503-T503</f>
        <v>9921.09</v>
      </c>
      <c r="AH503">
        <f>AE503-Q503-AF503-T503</f>
        <v>15750.09</v>
      </c>
      <c r="AI503">
        <f>AG503/X503</f>
        <v>0.16398495867768595</v>
      </c>
      <c r="AJ503">
        <f>AH503/Y503</f>
        <v>0.22564598853868195</v>
      </c>
    </row>
    <row r="504">
      <c r="A504">
        <f>HYPERLINK("https://smartstore.naver.com/brickstore2019/products/4699054211",AW:AW)</f>
        <v>4699054211</v>
      </c>
      <c r="C504" t="str">
        <v>소형 관찰 카메라 실시간 감시 Ring Indoor Cam(무료배송)</v>
      </c>
      <c r="E504" t="str">
        <v>Introducing Ring Indoor Cam, Compact Plug-In HD security camera with two-way talk, White, Works with Alex</v>
      </c>
      <c r="G504" t="str">
        <f>HYPERLINK("https://www.amazon.com/dp/B07Q9VBYV8/ref=ods_gw_vicc_Ring_ICL?pf_rd_p=830a7e8e-374f-40c7-94df-9ab69d6c900f&amp;pf_rd_r=06WE1VCXEEJWDBZ2PS98&amp;th=1","A")</f>
        <v>A</v>
      </c>
      <c r="J504">
        <v>60</v>
      </c>
      <c r="K504">
        <f>IF(L504&gt;0,L504*0.0625,)</f>
        <v>1.25</v>
      </c>
      <c r="L504">
        <v>20</v>
      </c>
      <c r="M504">
        <f>IF(K504&gt;0,K504*0.453592,IF(L504&gt;0,L504*0.02835,))</f>
        <v>0.56699</v>
      </c>
      <c r="N504">
        <v>0</v>
      </c>
      <c r="O504">
        <v>0</v>
      </c>
      <c r="P504">
        <f>J504+O504+N504</f>
        <v>60</v>
      </c>
      <c r="Q504">
        <f>P504*C$3</f>
        <v>75000</v>
      </c>
      <c r="R504">
        <v>0</v>
      </c>
      <c r="S504">
        <f>ROUND(SUM(Q504:R504), -2)</f>
        <v>75000</v>
      </c>
      <c r="T504">
        <f>ROUNDUP(HLOOKUP(ROUNDUP(K504,0),'배송비 조회'!A$10:U$22,7,0)*C$3,-2)</f>
        <v>11200</v>
      </c>
      <c r="U504">
        <v>0</v>
      </c>
      <c r="V504">
        <f>ROUND(IF(R504&gt;0,0,(S504+T504)*0.3),-2)</f>
        <v>25900</v>
      </c>
      <c r="W504">
        <f>ROUND(IF(R504&gt;0,0,(S504+T504)*0.5),-2)</f>
        <v>43100</v>
      </c>
      <c r="X504">
        <f>IF(R504&gt;0,SUM(S504:T504),SUM(S504:V504))</f>
        <v>112100</v>
      </c>
      <c r="Y504">
        <f>IF(R504&gt;0,SUM(S504:T504),SUM(S504:U504)+W504)</f>
        <v>129300</v>
      </c>
      <c r="Z504">
        <v>0</v>
      </c>
      <c r="AA504">
        <f>X504*0.038</f>
        <v>4259.8</v>
      </c>
      <c r="AB504">
        <f>X504*0.02</f>
        <v>2242</v>
      </c>
      <c r="AC504">
        <f>Y504*0.1</f>
        <v>12930</v>
      </c>
      <c r="AD504">
        <f>X504-AA504-AB504</f>
        <v>105598.2</v>
      </c>
      <c r="AE504">
        <f>Y504-AC504</f>
        <v>116370</v>
      </c>
      <c r="AF504">
        <f>AD504*0.01</f>
        <v>1055.982</v>
      </c>
      <c r="AG504">
        <f>AD504-Q504-AF504-T504</f>
        <v>18342.217999999997</v>
      </c>
      <c r="AH504">
        <f>AE504-Q504-AF504-T504</f>
        <v>29114.017999999996</v>
      </c>
      <c r="AI504">
        <f>AG504/X504</f>
        <v>0.1636237109723461</v>
      </c>
      <c r="AJ504">
        <f>AH504/Y504</f>
        <v>0.22516641918020106</v>
      </c>
      <c r="AW504">
        <v>4699054211</v>
      </c>
    </row>
    <row r="505">
      <c r="A505">
        <f>HYPERLINK("https://smartstore.naver.com/brickstore2019/products/4700104223",AW:AW)</f>
        <v>4700104223</v>
      </c>
      <c r="C505" t="str">
        <v>레이저 헌츠맨 토너먼트 게이밍 광축 키보드 Razer Huntsman Tournament Edition (무료배송)</v>
      </c>
      <c r="E505" t="str">
        <v>Razer Huntsman Tournament Edition TKL Tenkeyless Gaming Keyboard: Linear Optical Switches - Instant Actuation - Customizable Chroma RGB Lighting - Programmable Macro Functionality - Matte Black</v>
      </c>
      <c r="F505" t="str">
        <v>Matte Black</v>
      </c>
      <c r="G505" t="str">
        <f>HYPERLINK("https://www.amazon.com/Razer-Huntsman-Tournament-Tenkeyless-Keyboard/dp/B07V25YPVW/ref=sr_1_3?crid=2XRE7BF6QNRVV&amp;keywords=razer+huntsman+tournament&amp;qid=1571223485&amp;sprefix=razer+hun%2Caps%2C342&amp;sr=8-3","A")</f>
        <v>A</v>
      </c>
      <c r="J505">
        <v>130</v>
      </c>
      <c r="K505">
        <v>2.25</v>
      </c>
      <c r="L505">
        <f>IF(K505&gt;0,K505*16,)</f>
        <v>36</v>
      </c>
      <c r="M505">
        <f>IF(K505&gt;0,K505*0.453592,IF(L505&gt;0,L505*0.02835,))</f>
        <v>1.020582</v>
      </c>
      <c r="N505">
        <v>0</v>
      </c>
      <c r="O505">
        <v>0</v>
      </c>
      <c r="P505">
        <f>J505+O505+N505</f>
        <v>130</v>
      </c>
      <c r="Q505">
        <f>P505*C$3</f>
        <v>162500</v>
      </c>
      <c r="R505">
        <v>0</v>
      </c>
      <c r="S505">
        <f>ROUND(SUM(Q505:R505), -2)</f>
        <v>162500</v>
      </c>
      <c r="T505">
        <f>ROUNDUP(HLOOKUP(ROUNDUP(K505,0),'배송비 조회'!A$10:U$22,7,0)*C$3,-2)</f>
        <v>13400</v>
      </c>
      <c r="U505">
        <v>0</v>
      </c>
      <c r="V505">
        <f>ROUND(IF(R505&gt;0,0,(S505+T505)*0.3),-2)</f>
        <v>52800</v>
      </c>
      <c r="W505">
        <f>ROUND(IF(R505&gt;0,0,(S505+T505)*0.5),-2)</f>
        <v>88000</v>
      </c>
      <c r="X505">
        <f>IF(R505&gt;0,SUM(S505:T505),SUM(S505:V505))</f>
        <v>228700</v>
      </c>
      <c r="Y505">
        <f>IF(R505&gt;0,SUM(S505:T505),SUM(S505:U505)+W505)</f>
        <v>263900</v>
      </c>
      <c r="Z505">
        <v>0</v>
      </c>
      <c r="AA505">
        <f>X505*0.038</f>
        <v>8690.6</v>
      </c>
      <c r="AB505">
        <f>X505*0.02</f>
        <v>4574</v>
      </c>
      <c r="AC505">
        <f>Y505*0.1</f>
        <v>26390</v>
      </c>
      <c r="AD505">
        <f>X505-AA505-AB505</f>
        <v>215435.4</v>
      </c>
      <c r="AE505">
        <f>Y505-AC505</f>
        <v>237510</v>
      </c>
      <c r="AF505">
        <f>AD505*0.01</f>
        <v>2154.354</v>
      </c>
      <c r="AG505">
        <f>AD505-Q505-AF505-T505</f>
        <v>37381.045999999995</v>
      </c>
      <c r="AH505">
        <f>AE505-Q505-AF505-T505</f>
        <v>59455.64599999999</v>
      </c>
      <c r="AI505">
        <f>AG505/X505</f>
        <v>0.16345013554875382</v>
      </c>
      <c r="AJ505">
        <f>AH505/Y505</f>
        <v>0.2252961197423266</v>
      </c>
      <c r="AW505">
        <v>4700104223</v>
      </c>
    </row>
    <row r="506">
      <c r="A506">
        <f>HYPERLINK("https://smartstore.naver.com/brickstore2019/products/4700132057",AW:AW)</f>
        <v>4700132057</v>
      </c>
      <c r="C506" t="str">
        <v>MXL 2006 Large Gold Diaphragm Condenser Microphone with MXL-57 Shock Mount (무료배송)</v>
      </c>
      <c r="E506" t="str">
        <v>MXL 2006 Large Gold Diaphragm Condenser Microphone with MXL-57 Shock Mount and Carrying Case</v>
      </c>
      <c r="G506" t="str">
        <f>HYPERLINK("https://www.amazon.com/MXL-Diaphragm-Condenser-Microphone-Carrying/dp/B0006UGE9K/ref=sr_1_1?keywords=mxl2006&amp;qid=1570284609&amp;sr=8-1","A")</f>
        <v>A</v>
      </c>
      <c r="J506">
        <v>98</v>
      </c>
      <c r="K506">
        <v>2.85</v>
      </c>
      <c r="L506">
        <f>IF(K506&gt;0,K506*16,)</f>
        <v>45.6</v>
      </c>
      <c r="M506">
        <f>IF(K506&gt;0,K506*0.453592,IF(L506&gt;0,L506*0.02835,))</f>
        <v>1.2927372</v>
      </c>
      <c r="N506">
        <v>0</v>
      </c>
      <c r="O506">
        <v>0</v>
      </c>
      <c r="P506">
        <f>J506+O506+N506</f>
        <v>98</v>
      </c>
      <c r="Q506">
        <f>P506*C$3</f>
        <v>122500</v>
      </c>
      <c r="R506">
        <v>0</v>
      </c>
      <c r="S506">
        <f>ROUND(SUM(Q506:R506), -2)</f>
        <v>122500</v>
      </c>
      <c r="T506">
        <f>ROUNDUP(HLOOKUP(ROUNDUP(K506,0),'배송비 조회'!A$10:U$22,7,0)*C$3,-2)</f>
        <v>13400</v>
      </c>
      <c r="U506">
        <v>0</v>
      </c>
      <c r="V506">
        <f>ROUND(IF(R506&gt;0,0,(S506+T506)*0.3),-2)</f>
        <v>40800</v>
      </c>
      <c r="W506">
        <f>ROUND(IF(R506&gt;0,0,(S506+T506)*0.5),-2)</f>
        <v>68000</v>
      </c>
      <c r="X506">
        <f>IF(R506&gt;0,SUM(S506:T506),SUM(S506:V506))</f>
        <v>176700</v>
      </c>
      <c r="Y506">
        <f>IF(R506&gt;0,SUM(S506:T506),SUM(S506:U506)+W506)</f>
        <v>203900</v>
      </c>
      <c r="Z506">
        <v>0</v>
      </c>
      <c r="AA506">
        <f>X506*0.038</f>
        <v>6714.599999999999</v>
      </c>
      <c r="AB506">
        <f>X506*0.02</f>
        <v>3534</v>
      </c>
      <c r="AC506">
        <f>Y506*0.1</f>
        <v>20390</v>
      </c>
      <c r="AD506">
        <f>X506-AA506-AB506</f>
        <v>166451.4</v>
      </c>
      <c r="AE506">
        <f>Y506-AC506</f>
        <v>183510</v>
      </c>
      <c r="AF506">
        <f>AD506*0.01</f>
        <v>1664.514</v>
      </c>
      <c r="AG506">
        <f>AD506-Q506-AF506-T506</f>
        <v>28886.88599999999</v>
      </c>
      <c r="AH506">
        <f>AE506-Q506-AF506-T506</f>
        <v>45945.486</v>
      </c>
      <c r="AI506">
        <f>AG506/X506</f>
        <v>0.16347983022071302</v>
      </c>
      <c r="AJ506">
        <f>AH506/Y506</f>
        <v>0.22533342815105442</v>
      </c>
      <c r="AW506">
        <v>4700132057</v>
      </c>
    </row>
    <row r="507">
      <c r="A507">
        <f>HYPERLINK("https://smartstore.naver.com/brickstore2019/products/4700155381",AW:AW)</f>
        <v>4700155381</v>
      </c>
      <c r="C507" t="str">
        <v>마샬 메이저 3 블루투스 무선 온이어 헤드폰 Marshal Major 3 Bluetooth(무료배송)</v>
      </c>
      <c r="E507" t="str">
        <v>Marshall Major III Bluetooth Wireless On-Ear Headphones</v>
      </c>
      <c r="F507" t="str">
        <v>Black</v>
      </c>
      <c r="G507" t="str">
        <f>HYPERLINK("https://www.amazon.com/dp/B07CDZD8B7/ref=twister_B07P7LQC4P?_encoding=UTF8&amp;th=1","A")</f>
        <v>A</v>
      </c>
      <c r="J507">
        <v>110</v>
      </c>
      <c r="K507">
        <v>1.32</v>
      </c>
      <c r="L507">
        <f>IF(K507&gt;0,K507*16,)</f>
        <v>21.12</v>
      </c>
      <c r="M507">
        <f>IF(K507&gt;0,K507*0.453592,IF(L507&gt;0,L507*0.02835,))</f>
        <v>0.5987414400000001</v>
      </c>
      <c r="N507">
        <v>0</v>
      </c>
      <c r="O507">
        <v>0</v>
      </c>
      <c r="P507">
        <f>J507+O507+N507</f>
        <v>110</v>
      </c>
      <c r="Q507">
        <f>P507*C$3</f>
        <v>137500</v>
      </c>
      <c r="R507">
        <v>0</v>
      </c>
      <c r="S507">
        <f>ROUND(SUM(Q507:R507), -2)</f>
        <v>137500</v>
      </c>
      <c r="T507">
        <f>ROUNDUP(HLOOKUP(ROUNDUP(K507,0),'배송비 조회'!A$10:U$22,7,0)*C$3,-2)</f>
        <v>11200</v>
      </c>
      <c r="U507">
        <v>0</v>
      </c>
      <c r="V507">
        <f>ROUND(IF(R507&gt;0,0,(S507+T507)*0.3),-2)</f>
        <v>44600</v>
      </c>
      <c r="W507">
        <f>ROUND(IF(R507&gt;0,0,(S507+T507)*0.5),-2)</f>
        <v>74400</v>
      </c>
      <c r="X507">
        <f>IF(R507&gt;0,SUM(S507:T507),SUM(S507:V507))</f>
        <v>193300</v>
      </c>
      <c r="Y507">
        <f>IF(R507&gt;0,SUM(S507:T507),SUM(S507:U507)+W507)</f>
        <v>223100</v>
      </c>
      <c r="Z507">
        <v>0</v>
      </c>
      <c r="AA507">
        <f>X507*0.038</f>
        <v>7345.4</v>
      </c>
      <c r="AB507">
        <f>X507*0.02</f>
        <v>3866</v>
      </c>
      <c r="AC507">
        <f>Y507*0.1</f>
        <v>22310</v>
      </c>
      <c r="AD507">
        <f>X507-AA507-AB507</f>
        <v>182088.6</v>
      </c>
      <c r="AE507">
        <f>Y507-AC507</f>
        <v>200790</v>
      </c>
      <c r="AF507">
        <f>AD507*0.01</f>
        <v>1820.8860000000002</v>
      </c>
      <c r="AG507">
        <f>AD507-Q507-AF507-T507</f>
        <v>31567.714000000007</v>
      </c>
      <c r="AH507">
        <f>AE507-Q507-AF507-T507</f>
        <v>50269.114</v>
      </c>
      <c r="AI507">
        <f>AG507/X507</f>
        <v>0.1633094361096741</v>
      </c>
      <c r="AJ507">
        <f>AH507/Y507</f>
        <v>0.2253209950694756</v>
      </c>
      <c r="AW507">
        <v>4700155381</v>
      </c>
    </row>
    <row r="508">
      <c r="F508" t="str">
        <v>Brown</v>
      </c>
      <c r="G508" t="str">
        <f>HYPERLINK("https://www.amazon.com/dp/B07CMFBJM7/ref=twister_B07P7LQC4P?_encoding=UTF8&amp;th=1","A")</f>
        <v>A</v>
      </c>
      <c r="J508">
        <v>125</v>
      </c>
      <c r="K508">
        <v>1.32</v>
      </c>
      <c r="L508">
        <f>IF(K508&gt;0,K508*16,)</f>
        <v>21.12</v>
      </c>
      <c r="M508">
        <f>IF(K508&gt;0,K508*0.453592,IF(L508&gt;0,L508*0.02835,))</f>
        <v>0.5987414400000001</v>
      </c>
      <c r="N508">
        <v>0</v>
      </c>
      <c r="O508">
        <v>0</v>
      </c>
      <c r="P508">
        <f>J508+O508+N508</f>
        <v>125</v>
      </c>
      <c r="Q508">
        <f>P508*C$3</f>
        <v>156250</v>
      </c>
      <c r="R508">
        <v>0</v>
      </c>
      <c r="S508">
        <f>ROUND(SUM(Q508:R508), -2)</f>
        <v>156300</v>
      </c>
      <c r="T508">
        <f>ROUNDUP(HLOOKUP(ROUNDUP(K508,0),'배송비 조회'!A$10:U$22,7,0)*C$3,-2)</f>
        <v>11200</v>
      </c>
      <c r="U508">
        <v>0</v>
      </c>
      <c r="V508">
        <f>ROUND(IF(R508&gt;0,0,(S508+T508)*0.3),-2)</f>
        <v>50300</v>
      </c>
      <c r="W508">
        <f>ROUND(IF(R508&gt;0,0,(S508+T508)*0.5),-2)</f>
        <v>83800</v>
      </c>
      <c r="X508">
        <f>IF(R508&gt;0,SUM(S508:T508),SUM(S508:V508))</f>
        <v>217800</v>
      </c>
      <c r="Y508">
        <f>IF(R508&gt;0,SUM(S508:T508),SUM(S508:U508)+W508)</f>
        <v>251300</v>
      </c>
      <c r="Z508">
        <v>0</v>
      </c>
      <c r="AA508">
        <f>X508*0.038</f>
        <v>8276.4</v>
      </c>
      <c r="AB508">
        <f>X508*0.02</f>
        <v>4356</v>
      </c>
      <c r="AC508">
        <f>Y508*0.1</f>
        <v>25130</v>
      </c>
      <c r="AD508">
        <f>X508-AA508-AB508</f>
        <v>205167.6</v>
      </c>
      <c r="AE508">
        <f>Y508-AC508</f>
        <v>226170</v>
      </c>
      <c r="AF508">
        <f>AD508*0.01</f>
        <v>2051.676</v>
      </c>
      <c r="AG508">
        <f>AD508-Q508-AF508-T508</f>
        <v>35665.924000000006</v>
      </c>
      <c r="AH508">
        <f>AE508-Q508-AF508-T508</f>
        <v>56668.32399999999</v>
      </c>
      <c r="AI508">
        <f>AG508/X508</f>
        <v>0.1637553902662994</v>
      </c>
      <c r="AJ508">
        <f>AH508/Y508</f>
        <v>0.22550069239952245</v>
      </c>
      <c r="AK508">
        <f>X508-X507</f>
        <v>24500</v>
      </c>
    </row>
    <row r="509">
      <c r="F509" t="str">
        <v>White</v>
      </c>
      <c r="G509" t="str">
        <f>HYPERLINK("https://www.amazon.com/dp/B07CMC4Y5K/ref=twister_B07P7LQC4P?_encoding=UTF8&amp;th=1","A")</f>
        <v>A</v>
      </c>
      <c r="J509">
        <v>125</v>
      </c>
      <c r="K509">
        <v>1.32</v>
      </c>
      <c r="L509">
        <f>IF(K509&gt;0,K509*16,)</f>
        <v>21.12</v>
      </c>
      <c r="M509">
        <f>IF(K509&gt;0,K509*0.453592,IF(L509&gt;0,L509*0.02835,))</f>
        <v>0.5987414400000001</v>
      </c>
      <c r="N509">
        <v>0</v>
      </c>
      <c r="O509">
        <v>0</v>
      </c>
      <c r="P509">
        <f>J509+O509+N509</f>
        <v>125</v>
      </c>
      <c r="Q509">
        <f>P509*C$3</f>
        <v>156250</v>
      </c>
      <c r="R509">
        <v>0</v>
      </c>
      <c r="S509">
        <f>ROUND(SUM(Q509:R509), -2)</f>
        <v>156300</v>
      </c>
      <c r="T509">
        <f>ROUNDUP(HLOOKUP(ROUNDUP(K509,0),'배송비 조회'!A$10:U$22,7,0)*C$3,-2)</f>
        <v>11200</v>
      </c>
      <c r="U509">
        <v>0</v>
      </c>
      <c r="V509">
        <f>ROUND(IF(R509&gt;0,0,(S509+T509)*0.3),-2)</f>
        <v>50300</v>
      </c>
      <c r="W509">
        <f>ROUND(IF(R509&gt;0,0,(S509+T509)*0.5),-2)</f>
        <v>83800</v>
      </c>
      <c r="X509">
        <f>IF(R509&gt;0,SUM(S509:T509),SUM(S509:V509))</f>
        <v>217800</v>
      </c>
      <c r="Y509">
        <f>IF(R509&gt;0,SUM(S509:T509),SUM(S509:U509)+W509)</f>
        <v>251300</v>
      </c>
      <c r="Z509">
        <v>0</v>
      </c>
      <c r="AA509">
        <f>X509*0.038</f>
        <v>8276.4</v>
      </c>
      <c r="AB509">
        <f>X509*0.02</f>
        <v>4356</v>
      </c>
      <c r="AC509">
        <f>Y509*0.1</f>
        <v>25130</v>
      </c>
      <c r="AD509">
        <f>X509-AA509-AB509</f>
        <v>205167.6</v>
      </c>
      <c r="AE509">
        <f>Y509-AC509</f>
        <v>226170</v>
      </c>
      <c r="AF509">
        <f>AD509*0.01</f>
        <v>2051.676</v>
      </c>
      <c r="AG509">
        <f>AD509-Q509-AF509-T509</f>
        <v>35665.924000000006</v>
      </c>
      <c r="AH509">
        <f>AE509-Q509-AF509-T509</f>
        <v>56668.32399999999</v>
      </c>
      <c r="AI509">
        <f>AG509/X509</f>
        <v>0.1637553902662994</v>
      </c>
      <c r="AJ509">
        <f>AH509/Y509</f>
        <v>0.22550069239952245</v>
      </c>
    </row>
    <row r="510">
      <c r="A510">
        <f>HYPERLINK("https://smartstore.naver.com/brickstore2019/products/4700215962",AW:AW)</f>
        <v>4700215962</v>
      </c>
      <c r="C510" t="str">
        <v>캠핑커틀러리 1인식기세트(무료배송)</v>
      </c>
      <c r="E510" t="str">
        <v>Devico Portable Utensils, Travel Camping Cutlery Set, 8-Piece including Knife Fork Spoon Chopsticks Cleaning Brush Straws Portable Case, Stainless Steel Flatware set</v>
      </c>
      <c r="F510" t="str">
        <v>Black</v>
      </c>
      <c r="G510" t="str">
        <v>A</v>
      </c>
      <c r="J510">
        <v>14</v>
      </c>
      <c r="K510">
        <f>IF(L510&gt;0,L510*0.0625,)</f>
        <v>0.625</v>
      </c>
      <c r="L510">
        <v>10</v>
      </c>
      <c r="M510">
        <f>IF(K510&gt;0,K510*0.453592,IF(L510&gt;0,L510*0.02835,))</f>
        <v>0.283495</v>
      </c>
      <c r="N510">
        <v>0</v>
      </c>
      <c r="O510">
        <v>0</v>
      </c>
      <c r="P510">
        <f>J510+O510+N510</f>
        <v>14</v>
      </c>
      <c r="Q510">
        <f>P510*C$3</f>
        <v>17500</v>
      </c>
      <c r="R510">
        <v>0</v>
      </c>
      <c r="S510">
        <f>ROUND(SUM(Q510:R510), -2)</f>
        <v>17500</v>
      </c>
      <c r="T510">
        <f>ROUNDUP(HLOOKUP(ROUNDUP(K510,0),'배송비 조회'!A$10:U$22,7,0)*C$3,-2)</f>
        <v>9000</v>
      </c>
      <c r="U510">
        <v>0</v>
      </c>
      <c r="V510">
        <f>ROUND(IF(R510&gt;0,0,(S510+T510)*0.5),-2)</f>
        <v>13300</v>
      </c>
      <c r="W510">
        <f>ROUND(IF(R510&gt;0,0,(S510+T510)*0.5),-2)</f>
        <v>13300</v>
      </c>
      <c r="X510">
        <f>IF(R510&gt;0,SUM(S510:T510),SUM(S510:V510))</f>
        <v>39800</v>
      </c>
      <c r="Y510">
        <f>IF(R510&gt;0,SUM(S510:T510),SUM(S510:U510)+W510)</f>
        <v>39800</v>
      </c>
      <c r="Z510">
        <v>0</v>
      </c>
      <c r="AA510">
        <f>X510*0.038</f>
        <v>1512.3999999999999</v>
      </c>
      <c r="AB510">
        <f>X510*0.02</f>
        <v>796</v>
      </c>
      <c r="AC510">
        <f>Y510*0.1</f>
        <v>3980</v>
      </c>
      <c r="AD510">
        <f>X510-AA510-AB510</f>
        <v>37491.6</v>
      </c>
      <c r="AE510">
        <f>Y510-AC510</f>
        <v>35820</v>
      </c>
      <c r="AF510">
        <f>AD510*0.01</f>
        <v>374.916</v>
      </c>
      <c r="AG510">
        <f>AD510-Q510-AF510-T510</f>
        <v>10616.683999999997</v>
      </c>
      <c r="AH510">
        <f>AE510-Q510-AF510-T510</f>
        <v>8945.083999999999</v>
      </c>
      <c r="AI510">
        <f>AG510/X510</f>
        <v>0.2667508542713567</v>
      </c>
      <c r="AJ510">
        <f>AH510/Y510</f>
        <v>0.22475085427135677</v>
      </c>
      <c r="AW510">
        <v>4700215962</v>
      </c>
    </row>
    <row r="511">
      <c r="F511" t="str">
        <v>Gold</v>
      </c>
      <c r="G511" t="str">
        <v>A</v>
      </c>
      <c r="J511">
        <v>14</v>
      </c>
      <c r="K511">
        <f>IF(L511&gt;0,L511*0.0625,)</f>
        <v>0.625</v>
      </c>
      <c r="L511">
        <v>10</v>
      </c>
      <c r="M511">
        <f>IF(K511&gt;0,K511*0.453592,IF(L511&gt;0,L511*0.02835,))</f>
        <v>0.283495</v>
      </c>
      <c r="N511">
        <v>0</v>
      </c>
      <c r="O511">
        <v>0</v>
      </c>
      <c r="P511">
        <f>J511+O511+N511</f>
        <v>14</v>
      </c>
      <c r="Q511">
        <f>P511*C$3</f>
        <v>17500</v>
      </c>
      <c r="R511">
        <v>0</v>
      </c>
      <c r="S511">
        <f>ROUND(SUM(Q511:R511), -2)</f>
        <v>17500</v>
      </c>
      <c r="T511">
        <f>ROUNDUP(HLOOKUP(ROUNDUP(K511,0),'배송비 조회'!A$10:U$22,7,0)*C$3,-2)</f>
        <v>9000</v>
      </c>
      <c r="U511">
        <v>0</v>
      </c>
      <c r="V511">
        <f>ROUND(IF(R511&gt;0,0,(S511+T511)*0.5),-2)</f>
        <v>13300</v>
      </c>
      <c r="W511">
        <f>ROUND(IF(R511&gt;0,0,(S511+T511)*0.5),-2)</f>
        <v>13300</v>
      </c>
      <c r="X511">
        <f>IF(R511&gt;0,SUM(S511:T511),SUM(S511:V511))</f>
        <v>39800</v>
      </c>
      <c r="Y511">
        <f>IF(R511&gt;0,SUM(S511:T511),SUM(S511:U511)+W511)</f>
        <v>39800</v>
      </c>
      <c r="Z511">
        <v>0</v>
      </c>
      <c r="AA511">
        <f>X511*0.038</f>
        <v>1512.3999999999999</v>
      </c>
      <c r="AB511">
        <f>X511*0.02</f>
        <v>796</v>
      </c>
      <c r="AC511">
        <f>Y511*0.1</f>
        <v>3980</v>
      </c>
      <c r="AD511">
        <f>X511-AA511-AB511</f>
        <v>37491.6</v>
      </c>
      <c r="AE511">
        <f>Y511-AC511</f>
        <v>35820</v>
      </c>
      <c r="AF511">
        <f>AD511*0.01</f>
        <v>374.916</v>
      </c>
      <c r="AG511">
        <f>AD511-Q511-AF511-T511</f>
        <v>10616.683999999997</v>
      </c>
      <c r="AH511">
        <f>AE511-Q511-AF511-T511</f>
        <v>8945.083999999999</v>
      </c>
      <c r="AI511">
        <f>AG511/X511</f>
        <v>0.2667508542713567</v>
      </c>
      <c r="AJ511">
        <f>AH511/Y511</f>
        <v>0.22475085427135677</v>
      </c>
    </row>
    <row r="512">
      <c r="F512" t="str">
        <v>Purple</v>
      </c>
      <c r="G512" t="str">
        <v>A</v>
      </c>
      <c r="J512">
        <v>14</v>
      </c>
      <c r="K512">
        <f>IF(L512&gt;0,L512*0.0625,)</f>
        <v>0.625</v>
      </c>
      <c r="L512">
        <v>10</v>
      </c>
      <c r="M512">
        <f>IF(K512&gt;0,K512*0.453592,IF(L512&gt;0,L512*0.02835,))</f>
        <v>0.283495</v>
      </c>
      <c r="N512">
        <v>0</v>
      </c>
      <c r="O512">
        <v>0</v>
      </c>
      <c r="P512">
        <f>J512+O512+N512</f>
        <v>14</v>
      </c>
      <c r="Q512">
        <f>P512*C$3</f>
        <v>17500</v>
      </c>
      <c r="R512">
        <v>0</v>
      </c>
      <c r="S512">
        <f>ROUND(SUM(Q512:R512), -2)</f>
        <v>17500</v>
      </c>
      <c r="T512">
        <f>ROUNDUP(HLOOKUP(ROUNDUP(K512,0),'배송비 조회'!A$10:U$22,7,0)*C$3,-2)</f>
        <v>9000</v>
      </c>
      <c r="U512">
        <v>0</v>
      </c>
      <c r="V512">
        <f>ROUND(IF(R512&gt;0,0,(S512+T512)*0.5),-2)</f>
        <v>13300</v>
      </c>
      <c r="W512">
        <f>ROUND(IF(R512&gt;0,0,(S512+T512)*0.5),-2)</f>
        <v>13300</v>
      </c>
      <c r="X512">
        <f>IF(R512&gt;0,SUM(S512:T512),SUM(S512:V512))</f>
        <v>39800</v>
      </c>
      <c r="Y512">
        <f>IF(R512&gt;0,SUM(S512:T512),SUM(S512:U512)+W512)</f>
        <v>39800</v>
      </c>
      <c r="Z512">
        <v>0</v>
      </c>
      <c r="AA512">
        <f>X512*0.038</f>
        <v>1512.3999999999999</v>
      </c>
      <c r="AB512">
        <f>X512*0.02</f>
        <v>796</v>
      </c>
      <c r="AC512">
        <f>Y512*0.1</f>
        <v>3980</v>
      </c>
      <c r="AD512">
        <f>X512-AA512-AB512</f>
        <v>37491.6</v>
      </c>
      <c r="AE512">
        <f>Y512-AC512</f>
        <v>35820</v>
      </c>
      <c r="AF512">
        <f>AD512*0.01</f>
        <v>374.916</v>
      </c>
      <c r="AG512">
        <f>AD512-Q512-AF512-T512</f>
        <v>10616.683999999997</v>
      </c>
      <c r="AH512">
        <f>AE512-Q512-AF512-T512</f>
        <v>8945.083999999999</v>
      </c>
      <c r="AI512">
        <f>AG512/X512</f>
        <v>0.2667508542713567</v>
      </c>
      <c r="AJ512">
        <f>AH512/Y512</f>
        <v>0.22475085427135677</v>
      </c>
    </row>
    <row r="513">
      <c r="F513" t="str">
        <v>Rainbow</v>
      </c>
      <c r="G513" t="str">
        <v>A</v>
      </c>
      <c r="J513">
        <v>14</v>
      </c>
      <c r="K513">
        <f>IF(L513&gt;0,L513*0.0625,)</f>
        <v>0.625</v>
      </c>
      <c r="L513">
        <v>10</v>
      </c>
      <c r="M513">
        <f>IF(K513&gt;0,K513*0.453592,IF(L513&gt;0,L513*0.02835,))</f>
        <v>0.283495</v>
      </c>
      <c r="N513">
        <v>0</v>
      </c>
      <c r="O513">
        <v>0</v>
      </c>
      <c r="P513">
        <f>J513+O513+N513</f>
        <v>14</v>
      </c>
      <c r="Q513">
        <f>P513*C$3</f>
        <v>17500</v>
      </c>
      <c r="R513">
        <v>0</v>
      </c>
      <c r="S513">
        <f>ROUND(SUM(Q513:R513), -2)</f>
        <v>17500</v>
      </c>
      <c r="T513">
        <f>ROUNDUP(HLOOKUP(ROUNDUP(K513,0),'배송비 조회'!A$10:U$22,7,0)*C$3,-2)</f>
        <v>9000</v>
      </c>
      <c r="U513">
        <v>0</v>
      </c>
      <c r="V513">
        <f>ROUND(IF(R513&gt;0,0,(S513+T513)*0.5),-2)</f>
        <v>13300</v>
      </c>
      <c r="W513">
        <f>ROUND(IF(R513&gt;0,0,(S513+T513)*0.5),-2)</f>
        <v>13300</v>
      </c>
      <c r="X513">
        <f>IF(R513&gt;0,SUM(S513:T513),SUM(S513:V513))</f>
        <v>39800</v>
      </c>
      <c r="Y513">
        <f>IF(R513&gt;0,SUM(S513:T513),SUM(S513:U513)+W513)</f>
        <v>39800</v>
      </c>
      <c r="Z513">
        <v>0</v>
      </c>
      <c r="AA513">
        <f>X513*0.038</f>
        <v>1512.3999999999999</v>
      </c>
      <c r="AB513">
        <f>X513*0.02</f>
        <v>796</v>
      </c>
      <c r="AC513">
        <f>Y513*0.1</f>
        <v>3980</v>
      </c>
      <c r="AD513">
        <f>X513-AA513-AB513</f>
        <v>37491.6</v>
      </c>
      <c r="AE513">
        <f>Y513-AC513</f>
        <v>35820</v>
      </c>
      <c r="AF513">
        <f>AD513*0.01</f>
        <v>374.916</v>
      </c>
      <c r="AG513">
        <f>AD513-Q513-AF513-T513</f>
        <v>10616.683999999997</v>
      </c>
      <c r="AH513">
        <f>AE513-Q513-AF513-T513</f>
        <v>8945.083999999999</v>
      </c>
      <c r="AI513">
        <f>AG513/X513</f>
        <v>0.2667508542713567</v>
      </c>
      <c r="AJ513">
        <f>AH513/Y513</f>
        <v>0.22475085427135677</v>
      </c>
    </row>
    <row r="514">
      <c r="F514" t="str">
        <v>Rose Gold</v>
      </c>
      <c r="G514" t="str">
        <v>A</v>
      </c>
      <c r="J514">
        <v>14</v>
      </c>
      <c r="K514">
        <f>IF(L514&gt;0,L514*0.0625,)</f>
        <v>0.625</v>
      </c>
      <c r="L514">
        <v>10</v>
      </c>
      <c r="M514">
        <f>IF(K514&gt;0,K514*0.453592,IF(L514&gt;0,L514*0.02835,))</f>
        <v>0.283495</v>
      </c>
      <c r="N514">
        <v>0</v>
      </c>
      <c r="O514">
        <v>0</v>
      </c>
      <c r="P514">
        <f>J514+O514+N514</f>
        <v>14</v>
      </c>
      <c r="Q514">
        <f>P514*C$3</f>
        <v>17500</v>
      </c>
      <c r="R514">
        <v>0</v>
      </c>
      <c r="S514">
        <f>ROUND(SUM(Q514:R514), -2)</f>
        <v>17500</v>
      </c>
      <c r="T514">
        <f>ROUNDUP(HLOOKUP(ROUNDUP(K514,0),'배송비 조회'!A$10:U$22,7,0)*C$3,-2)</f>
        <v>9000</v>
      </c>
      <c r="U514">
        <v>0</v>
      </c>
      <c r="V514">
        <f>ROUND(IF(R514&gt;0,0,(S514+T514)*0.5),-2)</f>
        <v>13300</v>
      </c>
      <c r="W514">
        <f>ROUND(IF(R514&gt;0,0,(S514+T514)*0.5),-2)</f>
        <v>13300</v>
      </c>
      <c r="X514">
        <f>IF(R514&gt;0,SUM(S514:T514),SUM(S514:V514))</f>
        <v>39800</v>
      </c>
      <c r="Y514">
        <f>IF(R514&gt;0,SUM(S514:T514),SUM(S514:U514)+W514)</f>
        <v>39800</v>
      </c>
      <c r="Z514">
        <v>0</v>
      </c>
      <c r="AA514">
        <f>X514*0.038</f>
        <v>1512.3999999999999</v>
      </c>
      <c r="AB514">
        <f>X514*0.02</f>
        <v>796</v>
      </c>
      <c r="AC514">
        <f>Y514*0.1</f>
        <v>3980</v>
      </c>
      <c r="AD514">
        <f>X514-AA514-AB514</f>
        <v>37491.6</v>
      </c>
      <c r="AE514">
        <f>Y514-AC514</f>
        <v>35820</v>
      </c>
      <c r="AF514">
        <f>AD514*0.01</f>
        <v>374.916</v>
      </c>
      <c r="AG514">
        <f>AD514-Q514-AF514-T514</f>
        <v>10616.683999999997</v>
      </c>
      <c r="AH514">
        <f>AE514-Q514-AF514-T514</f>
        <v>8945.083999999999</v>
      </c>
      <c r="AI514">
        <f>AG514/X514</f>
        <v>0.2667508542713567</v>
      </c>
      <c r="AJ514">
        <f>AH514/Y514</f>
        <v>0.22475085427135677</v>
      </c>
    </row>
    <row r="515">
      <c r="F515" t="str">
        <v>silver</v>
      </c>
      <c r="G515" t="str">
        <v>A</v>
      </c>
      <c r="J515">
        <v>14</v>
      </c>
      <c r="K515">
        <f>IF(L515&gt;0,L515*0.0625,)</f>
        <v>0.625</v>
      </c>
      <c r="L515">
        <v>10</v>
      </c>
      <c r="M515">
        <f>IF(K515&gt;0,K515*0.453592,IF(L515&gt;0,L515*0.02835,))</f>
        <v>0.283495</v>
      </c>
      <c r="N515">
        <v>0</v>
      </c>
      <c r="O515">
        <v>0</v>
      </c>
      <c r="P515">
        <f>J515+O515+N515</f>
        <v>14</v>
      </c>
      <c r="Q515">
        <f>P515*C$3</f>
        <v>17500</v>
      </c>
      <c r="R515">
        <v>0</v>
      </c>
      <c r="S515">
        <f>ROUND(SUM(Q515:R515), -2)</f>
        <v>17500</v>
      </c>
      <c r="T515">
        <f>ROUNDUP(HLOOKUP(ROUNDUP(K515,0),'배송비 조회'!A$10:U$22,7,0)*C$3,-2)</f>
        <v>9000</v>
      </c>
      <c r="U515">
        <v>0</v>
      </c>
      <c r="V515">
        <f>ROUND(IF(R515&gt;0,0,(S515+T515)*0.5),-2)</f>
        <v>13300</v>
      </c>
      <c r="W515">
        <f>ROUND(IF(R515&gt;0,0,(S515+T515)*0.5),-2)</f>
        <v>13300</v>
      </c>
      <c r="X515">
        <f>IF(R515&gt;0,SUM(S515:T515),SUM(S515:V515))</f>
        <v>39800</v>
      </c>
      <c r="Y515">
        <f>IF(R515&gt;0,SUM(S515:T515),SUM(S515:U515)+W515)</f>
        <v>39800</v>
      </c>
      <c r="Z515">
        <v>0</v>
      </c>
      <c r="AA515">
        <f>X515*0.038</f>
        <v>1512.3999999999999</v>
      </c>
      <c r="AB515">
        <f>X515*0.02</f>
        <v>796</v>
      </c>
      <c r="AC515">
        <f>Y515*0.1</f>
        <v>3980</v>
      </c>
      <c r="AD515">
        <f>X515-AA515-AB515</f>
        <v>37491.6</v>
      </c>
      <c r="AE515">
        <f>Y515-AC515</f>
        <v>35820</v>
      </c>
      <c r="AF515">
        <f>AD515*0.01</f>
        <v>374.916</v>
      </c>
      <c r="AG515">
        <f>AD515-Q515-AF515-T515</f>
        <v>10616.683999999997</v>
      </c>
      <c r="AH515">
        <f>AE515-Q515-AF515-T515</f>
        <v>8945.083999999999</v>
      </c>
      <c r="AI515">
        <f>AG515/X515</f>
        <v>0.2667508542713567</v>
      </c>
      <c r="AJ515">
        <f>AH515/Y515</f>
        <v>0.22475085427135677</v>
      </c>
    </row>
    <row r="516">
      <c r="A516">
        <f>HYPERLINK("https://www.amazon.com/gp/product/B07BB4FFY7/ref=ppx_od_dt_b_asin_image_s00?ie=UTF8&amp;psc=1",AW:AW)</f>
        <v>4700228723</v>
      </c>
      <c r="C516" t="str">
        <v>아마존베이직 AmazonBasics 빈티지 레트로 블루투스 스피커 (무료배송)</v>
      </c>
      <c r="E516" t="str">
        <v>AmazonBasics Vintage Retro Bluetooth Speaker</v>
      </c>
      <c r="G516" t="str">
        <f>HYPERLINK("https://www.amazon.com/gp/product/B07CWJR6YB","A")</f>
        <v>A</v>
      </c>
      <c r="J516">
        <v>138</v>
      </c>
      <c r="K516">
        <v>12.3</v>
      </c>
      <c r="L516">
        <f>IF(K516&gt;0,K516*16,)</f>
        <v>196.8</v>
      </c>
      <c r="M516">
        <f>IF(K516&gt;0,K516*0.453592,IF(L516&gt;0,L516*0.02835,))</f>
        <v>5.5791816</v>
      </c>
      <c r="N516">
        <v>0</v>
      </c>
      <c r="O516">
        <v>0</v>
      </c>
      <c r="P516">
        <f>J516+O516+N516</f>
        <v>138</v>
      </c>
      <c r="Q516">
        <f>P516*C$3</f>
        <v>172500</v>
      </c>
      <c r="R516">
        <v>0</v>
      </c>
      <c r="S516">
        <f>ROUND(SUM(Q516:R516), -2)</f>
        <v>172500</v>
      </c>
      <c r="T516">
        <f>ROUNDUP(HLOOKUP(ROUNDUP(K516,0),'배송비 조회'!A$10:U$22,7,0)*C$3,-2)</f>
        <v>35300</v>
      </c>
      <c r="U516">
        <v>0</v>
      </c>
      <c r="V516">
        <f>ROUND(IF(R516&gt;0,0,(S516+T516)*0.3),-2)</f>
        <v>62300</v>
      </c>
      <c r="W516">
        <f>ROUND(IF(R516&gt;0,0,(S516+T516)*0.5),-2)</f>
        <v>103900</v>
      </c>
      <c r="X516">
        <f>IF(R516&gt;0,SUM(S516:T516),SUM(S516:V516))</f>
        <v>270100</v>
      </c>
      <c r="Y516">
        <f>IF(R516&gt;0,SUM(S516:T516),SUM(S516:U516)+W516)</f>
        <v>311700</v>
      </c>
      <c r="Z516">
        <v>0</v>
      </c>
      <c r="AA516">
        <f>X516*0.038</f>
        <v>10263.8</v>
      </c>
      <c r="AB516">
        <f>X516*0.02</f>
        <v>5402</v>
      </c>
      <c r="AC516">
        <f>Y516*0.1</f>
        <v>31170</v>
      </c>
      <c r="AD516">
        <f>X516-AA516-AB516</f>
        <v>254434.2</v>
      </c>
      <c r="AE516">
        <f>Y516-AC516</f>
        <v>280530</v>
      </c>
      <c r="AF516">
        <f>AD516*0.01</f>
        <v>2544.342</v>
      </c>
      <c r="AG516">
        <f>AD516-Q516-AF516-T516</f>
        <v>44089.85800000001</v>
      </c>
      <c r="AH516">
        <f>AE516-Q516-AF516-T516</f>
        <v>70185.658</v>
      </c>
      <c r="AI516">
        <f>AG516/X516</f>
        <v>0.1632353128470937</v>
      </c>
      <c r="AJ516">
        <f>AH516/Y516</f>
        <v>0.22517054218800128</v>
      </c>
      <c r="AW516">
        <v>4700228723</v>
      </c>
    </row>
    <row r="517">
      <c r="A517">
        <f>HYPERLINK("https://smartstore.naver.com/brickstore2019/products/4700257375",AW:AW)</f>
        <v>4700257375</v>
      </c>
      <c r="C517" t="str">
        <v>써모스 스테인레스 텀블러 오래가는 텀블러 Thermos (무료배송)</v>
      </c>
      <c r="E517" t="str">
        <v>Thermos Staineless Steel King 16 Ounce Travel Tumbler</v>
      </c>
      <c r="F517" t="str">
        <v>Army Green</v>
      </c>
      <c r="G517" t="str">
        <f>HYPERLINK("https://www.amazon.com/Thermos-Stainless-16-Ounce-Tumbler-Midnight/dp/B07F2589QM/ref=mp_s_a_1_9?ie=UTF8&amp;qid=1549869043&amp;sr=8-9&amp;pi=AC_SX236_SY340_QL65&amp;keywords=thermos&amp;dpPl=1&amp;dpID=31kymfBM1BL&amp;ref=plSrch&amp;th=1","A")</f>
        <v>A</v>
      </c>
      <c r="J517">
        <v>25</v>
      </c>
      <c r="K517">
        <f>IF(L517&gt;0,L517*0.0625,)</f>
        <v>0.75</v>
      </c>
      <c r="L517">
        <v>12</v>
      </c>
      <c r="M517">
        <f>IF(K517&gt;0,K517*0.453592,IF(L517&gt;0,L517*0.02835,))</f>
        <v>0.340194</v>
      </c>
      <c r="N517">
        <v>0</v>
      </c>
      <c r="O517">
        <v>0</v>
      </c>
      <c r="P517">
        <f>J517+O517+N517</f>
        <v>25</v>
      </c>
      <c r="Q517">
        <f>P517*C$3</f>
        <v>31250</v>
      </c>
      <c r="R517">
        <v>0</v>
      </c>
      <c r="S517">
        <f>ROUND(SUM(Q517:R517), -2)</f>
        <v>31300</v>
      </c>
      <c r="T517">
        <f>ROUNDUP(HLOOKUP(ROUNDUP(K517,0),'배송비 조회'!A$10:U$22,7,0)*C$3,-2)</f>
        <v>9000</v>
      </c>
      <c r="U517">
        <v>0</v>
      </c>
      <c r="V517">
        <f>ROUND(IF(R517&gt;0,0,(S517+T517)*0.3),-2)</f>
        <v>12100</v>
      </c>
      <c r="W517">
        <f>ROUND(IF(R517&gt;0,0,(S517+T517)*0.5),-2)</f>
        <v>20200</v>
      </c>
      <c r="X517">
        <f>IF(R517&gt;0,SUM(S517:T517),SUM(S517:V517))</f>
        <v>52400</v>
      </c>
      <c r="Y517">
        <f>IF(R517&gt;0,SUM(S517:T517),SUM(S517:U517)+W517)</f>
        <v>60500</v>
      </c>
      <c r="Z517">
        <v>0</v>
      </c>
      <c r="AA517">
        <f>X517*0.038</f>
        <v>1991.2</v>
      </c>
      <c r="AB517">
        <f>X517*0.02</f>
        <v>1048</v>
      </c>
      <c r="AC517">
        <f>Y517*0.1</f>
        <v>6050</v>
      </c>
      <c r="AD517">
        <f>X517-AA517-AB517</f>
        <v>49360.8</v>
      </c>
      <c r="AE517">
        <f>Y517-AC517</f>
        <v>54450</v>
      </c>
      <c r="AF517">
        <f>AD517*0.01</f>
        <v>493.60800000000006</v>
      </c>
      <c r="AG517">
        <f>AD517-Q517-AF517-T517</f>
        <v>8617.192000000003</v>
      </c>
      <c r="AH517">
        <f>AE517-Q517-AF517-T517</f>
        <v>13706.392</v>
      </c>
      <c r="AI517">
        <f>AG517/X517</f>
        <v>0.16445022900763365</v>
      </c>
      <c r="AJ517">
        <f>AH517/Y517</f>
        <v>0.2265519338842975</v>
      </c>
      <c r="AK517">
        <f>X517-X519</f>
        <v>0</v>
      </c>
      <c r="AW517">
        <v>4700257375</v>
      </c>
    </row>
    <row r="518">
      <c r="F518" t="str">
        <v>Cranberry</v>
      </c>
      <c r="G518" t="str">
        <f>HYPERLINK("https://www.amazon.com/Thermos-Stainless-16-Ounce-Tumbler-Midnight/dp/B00FFADO8A/ref=mp_s_a_1_9?ie=UTF8&amp;qid=1549869043&amp;sr=8-9&amp;pi=AC_SX236_SY340_QL65&amp;keywords=thermos&amp;dpPl=1&amp;dpID=31kymfBM1BL&amp;ref=plSrch&amp;th=1","A")</f>
        <v>A</v>
      </c>
      <c r="J518">
        <v>25</v>
      </c>
      <c r="K518">
        <f>IF(L518&gt;0,L518*0.0625,)</f>
        <v>0.75</v>
      </c>
      <c r="L518">
        <v>12</v>
      </c>
      <c r="M518">
        <f>IF(K518&gt;0,K518*0.453592,IF(L518&gt;0,L518*0.02835,))</f>
        <v>0.340194</v>
      </c>
      <c r="N518">
        <v>0</v>
      </c>
      <c r="O518">
        <v>0</v>
      </c>
      <c r="P518">
        <f>J518+O518+N518</f>
        <v>25</v>
      </c>
      <c r="Q518">
        <f>P518*C$3</f>
        <v>31250</v>
      </c>
      <c r="R518">
        <v>0</v>
      </c>
      <c r="S518">
        <f>ROUND(SUM(Q518:R518), -2)</f>
        <v>31300</v>
      </c>
      <c r="T518">
        <f>ROUNDUP(HLOOKUP(ROUNDUP(K518,0),'배송비 조회'!A$10:U$22,7,0)*C$3,-2)</f>
        <v>9000</v>
      </c>
      <c r="U518">
        <v>0</v>
      </c>
      <c r="V518">
        <f>ROUND(IF(R518&gt;0,0,(S518+T518)*0.3),-2)</f>
        <v>12100</v>
      </c>
      <c r="W518">
        <f>ROUND(IF(R518&gt;0,0,(S518+T518)*0.5),-2)</f>
        <v>20200</v>
      </c>
      <c r="X518">
        <f>IF(R518&gt;0,SUM(S518:T518),SUM(S518:V518))</f>
        <v>52400</v>
      </c>
      <c r="Y518">
        <f>IF(R518&gt;0,SUM(S518:T518),SUM(S518:U518)+W518)</f>
        <v>60500</v>
      </c>
      <c r="Z518">
        <v>0</v>
      </c>
      <c r="AA518">
        <f>X518*0.038</f>
        <v>1991.2</v>
      </c>
      <c r="AB518">
        <f>X518*0.02</f>
        <v>1048</v>
      </c>
      <c r="AC518">
        <f>Y518*0.1</f>
        <v>6050</v>
      </c>
      <c r="AD518">
        <f>X518-AA518-AB518</f>
        <v>49360.8</v>
      </c>
      <c r="AE518">
        <f>Y518-AC518</f>
        <v>54450</v>
      </c>
      <c r="AF518">
        <f>AD518*0.01</f>
        <v>493.60800000000006</v>
      </c>
      <c r="AG518">
        <f>AD518-Q518-AF518-T518</f>
        <v>8617.192000000003</v>
      </c>
      <c r="AH518">
        <f>AE518-Q518-AF518-T518</f>
        <v>13706.392</v>
      </c>
      <c r="AI518">
        <f>AG518/X518</f>
        <v>0.16445022900763365</v>
      </c>
      <c r="AJ518">
        <f>AH518/Y518</f>
        <v>0.2265519338842975</v>
      </c>
      <c r="AK518">
        <f>X518-X519</f>
        <v>0</v>
      </c>
    </row>
    <row r="519">
      <c r="F519" t="str">
        <v>Electric Blue</v>
      </c>
      <c r="G519" t="str">
        <f>HYPERLINK("https://www.amazon.com/Thermos-Stainless-16-Ounce-Tumbler-Midnight/dp/B01N5G1QHP/ref=mp_s_a_1_9?ie=UTF8&amp;qid=1549869043&amp;sr=8-9&amp;pi=AC_SX236_SY340_QL65&amp;keywords=thermos&amp;dpPl=1&amp;dpID=31kymfBM1BL&amp;ref=plSrch&amp;th=1","A")</f>
        <v>A</v>
      </c>
      <c r="J519">
        <v>25</v>
      </c>
      <c r="K519">
        <f>IF(L519&gt;0,L519*0.0625,)</f>
        <v>0.75</v>
      </c>
      <c r="L519">
        <v>12</v>
      </c>
      <c r="M519">
        <f>IF(K519&gt;0,K519*0.453592,IF(L519&gt;0,L519*0.02835,))</f>
        <v>0.340194</v>
      </c>
      <c r="N519">
        <v>0</v>
      </c>
      <c r="O519">
        <v>0</v>
      </c>
      <c r="P519">
        <f>J519+O519+N519</f>
        <v>25</v>
      </c>
      <c r="Q519">
        <f>P519*C$3</f>
        <v>31250</v>
      </c>
      <c r="R519">
        <v>0</v>
      </c>
      <c r="S519">
        <f>ROUND(SUM(Q519:R519), -2)</f>
        <v>31300</v>
      </c>
      <c r="T519">
        <f>ROUNDUP(HLOOKUP(ROUNDUP(K519,0),'배송비 조회'!A$10:U$22,7,0)*C$3,-2)</f>
        <v>9000</v>
      </c>
      <c r="U519">
        <v>0</v>
      </c>
      <c r="V519">
        <f>ROUND(IF(R519&gt;0,0,(S519+T519)*0.3),-2)</f>
        <v>12100</v>
      </c>
      <c r="W519">
        <f>ROUND(IF(R519&gt;0,0,(S519+T519)*0.5),-2)</f>
        <v>20200</v>
      </c>
      <c r="X519">
        <f>IF(R519&gt;0,SUM(S519:T519),SUM(S519:V519))</f>
        <v>52400</v>
      </c>
      <c r="Y519">
        <f>IF(R519&gt;0,SUM(S519:T519),SUM(S519:U519)+W519)</f>
        <v>60500</v>
      </c>
      <c r="Z519">
        <v>0</v>
      </c>
      <c r="AA519">
        <f>X519*0.038</f>
        <v>1991.2</v>
      </c>
      <c r="AB519">
        <f>X519*0.02</f>
        <v>1048</v>
      </c>
      <c r="AC519">
        <f>Y519*0.1</f>
        <v>6050</v>
      </c>
      <c r="AD519">
        <f>X519-AA519-AB519</f>
        <v>49360.8</v>
      </c>
      <c r="AE519">
        <f>Y519-AC519</f>
        <v>54450</v>
      </c>
      <c r="AF519">
        <f>AD519*0.01</f>
        <v>493.60800000000006</v>
      </c>
      <c r="AG519">
        <f>AD519-Q519-AF519-T519</f>
        <v>8617.192000000003</v>
      </c>
      <c r="AH519">
        <f>AE519-Q519-AF519-T519</f>
        <v>13706.392</v>
      </c>
      <c r="AI519">
        <f>AG519/X519</f>
        <v>0.16445022900763365</v>
      </c>
      <c r="AJ519">
        <f>AH519/Y519</f>
        <v>0.2265519338842975</v>
      </c>
    </row>
    <row r="520">
      <c r="F520" t="str">
        <v>Matte Black</v>
      </c>
      <c r="G520" t="str">
        <f>HYPERLINK("https://www.amazon.com/Thermos-Stainless-16-Ounce-Tumbler-Midnight/dp/B00ETP7D8Y/ref=mp_s_a_1_9?ie=UTF8&amp;qid=1549869043&amp;sr=8-9&amp;pi=AC_SX236_SY340_QL65&amp;keywords=thermos&amp;dpPl=1&amp;dpID=31kymfBM1BL&amp;ref=plSrch&amp;th=1","A")</f>
        <v>A</v>
      </c>
      <c r="J520">
        <v>25</v>
      </c>
      <c r="K520">
        <f>IF(L520&gt;0,L520*0.0625,)</f>
        <v>0.75</v>
      </c>
      <c r="L520">
        <v>12</v>
      </c>
      <c r="M520">
        <f>IF(K520&gt;0,K520*0.453592,IF(L520&gt;0,L520*0.02835,))</f>
        <v>0.340194</v>
      </c>
      <c r="N520">
        <v>0</v>
      </c>
      <c r="O520">
        <v>0</v>
      </c>
      <c r="P520">
        <f>J520+O520+N520</f>
        <v>25</v>
      </c>
      <c r="Q520">
        <f>P520*C$3</f>
        <v>31250</v>
      </c>
      <c r="R520">
        <v>0</v>
      </c>
      <c r="S520">
        <f>ROUND(SUM(Q520:R520), -2)</f>
        <v>31300</v>
      </c>
      <c r="T520">
        <f>ROUNDUP(HLOOKUP(ROUNDUP(K520,0),'배송비 조회'!A$10:U$22,7,0)*C$3,-2)</f>
        <v>9000</v>
      </c>
      <c r="U520">
        <v>0</v>
      </c>
      <c r="V520">
        <f>ROUND(IF(R520&gt;0,0,(S520+T520)*0.3),-2)</f>
        <v>12100</v>
      </c>
      <c r="W520">
        <f>ROUND(IF(R520&gt;0,0,(S520+T520)*0.5),-2)</f>
        <v>20200</v>
      </c>
      <c r="X520">
        <f>IF(R520&gt;0,SUM(S520:T520),SUM(S520:V520))</f>
        <v>52400</v>
      </c>
      <c r="Y520">
        <f>IF(R520&gt;0,SUM(S520:T520),SUM(S520:U520)+W520)</f>
        <v>60500</v>
      </c>
      <c r="Z520">
        <v>0</v>
      </c>
      <c r="AA520">
        <f>X520*0.038</f>
        <v>1991.2</v>
      </c>
      <c r="AB520">
        <f>X520*0.02</f>
        <v>1048</v>
      </c>
      <c r="AC520">
        <f>Y520*0.1</f>
        <v>6050</v>
      </c>
      <c r="AD520">
        <f>X520-AA520-AB520</f>
        <v>49360.8</v>
      </c>
      <c r="AE520">
        <f>Y520-AC520</f>
        <v>54450</v>
      </c>
      <c r="AF520">
        <f>AD520*0.01</f>
        <v>493.60800000000006</v>
      </c>
      <c r="AG520">
        <f>AD520-Q520-AF520-T520</f>
        <v>8617.192000000003</v>
      </c>
      <c r="AH520">
        <f>AE520-Q520-AF520-T520</f>
        <v>13706.392</v>
      </c>
      <c r="AI520">
        <f>AG520/X520</f>
        <v>0.16445022900763365</v>
      </c>
      <c r="AJ520">
        <f>AH520/Y520</f>
        <v>0.2265519338842975</v>
      </c>
      <c r="AK520">
        <f>X520-X519</f>
        <v>0</v>
      </c>
    </row>
    <row r="521">
      <c r="F521" t="str">
        <v>Midnight Blue</v>
      </c>
      <c r="G521" t="str">
        <f>HYPERLINK("https://www.amazon.com/Thermos-Stainless-16-Ounce-Tumbler-Midnight/dp/B002PY7AYS/ref=mp_s_a_1_9?ie=UTF8&amp;qid=1549869043&amp;sr=8-9&amp;pi=AC_SX236_SY340_QL65&amp;keywords=thermos&amp;dpPl=1&amp;dpID=31kymfBM1BL&amp;ref=plSrch&amp;th=1","A")</f>
        <v>A</v>
      </c>
      <c r="J521">
        <v>25</v>
      </c>
      <c r="K521">
        <f>IF(L521&gt;0,L521*0.0625,)</f>
        <v>0.75</v>
      </c>
      <c r="L521">
        <v>12</v>
      </c>
      <c r="M521">
        <f>IF(K521&gt;0,K521*0.453592,IF(L521&gt;0,L521*0.02835,))</f>
        <v>0.340194</v>
      </c>
      <c r="N521">
        <v>0</v>
      </c>
      <c r="O521">
        <v>0</v>
      </c>
      <c r="P521">
        <f>J521+O521+N521</f>
        <v>25</v>
      </c>
      <c r="Q521">
        <f>P521*C$3</f>
        <v>31250</v>
      </c>
      <c r="R521">
        <v>0</v>
      </c>
      <c r="S521">
        <f>ROUND(SUM(Q521:R521), -2)</f>
        <v>31300</v>
      </c>
      <c r="T521">
        <f>ROUNDUP(HLOOKUP(ROUNDUP(K521,0),'배송비 조회'!A$10:U$22,7,0)*C$3,-2)</f>
        <v>9000</v>
      </c>
      <c r="U521">
        <v>0</v>
      </c>
      <c r="V521">
        <f>ROUND(IF(R521&gt;0,0,(S521+T521)*0.3),-2)</f>
        <v>12100</v>
      </c>
      <c r="W521">
        <f>ROUND(IF(R521&gt;0,0,(S521+T521)*0.5),-2)</f>
        <v>20200</v>
      </c>
      <c r="X521">
        <f>IF(R521&gt;0,SUM(S521:T521),SUM(S521:V521))</f>
        <v>52400</v>
      </c>
      <c r="Y521">
        <f>IF(R521&gt;0,SUM(S521:T521),SUM(S521:U521)+W521)</f>
        <v>60500</v>
      </c>
      <c r="Z521">
        <v>0</v>
      </c>
      <c r="AA521">
        <f>X521*0.038</f>
        <v>1991.2</v>
      </c>
      <c r="AB521">
        <f>X521*0.02</f>
        <v>1048</v>
      </c>
      <c r="AC521">
        <f>Y521*0.1</f>
        <v>6050</v>
      </c>
      <c r="AD521">
        <f>X521-AA521-AB521</f>
        <v>49360.8</v>
      </c>
      <c r="AE521">
        <f>Y521-AC521</f>
        <v>54450</v>
      </c>
      <c r="AF521">
        <f>AD521*0.01</f>
        <v>493.60800000000006</v>
      </c>
      <c r="AG521">
        <f>AD521-Q521-AF521-T521</f>
        <v>8617.192000000003</v>
      </c>
      <c r="AH521">
        <f>AE521-Q521-AF521-T521</f>
        <v>13706.392</v>
      </c>
      <c r="AI521">
        <f>AG521/X521</f>
        <v>0.16445022900763365</v>
      </c>
      <c r="AJ521">
        <f>AH521/Y521</f>
        <v>0.2265519338842975</v>
      </c>
    </row>
    <row r="522">
      <c r="F522" t="str">
        <v>Pine Green</v>
      </c>
      <c r="G522" t="str">
        <f>HYPERLINK("https://www.amazon.com/Thermos-Stainless-16-Ounce-Tumbler-Midnight/dp/B07F275JLQ/ref=mp_s_a_1_9?ie=UTF8&amp;qid=1549869043&amp;sr=8-9&amp;pi=AC_SX236_SY340_QL65&amp;keywords=thermos&amp;dpPl=1&amp;dpID=31kymfBM1BL&amp;ref=plSrch&amp;th=1","A")</f>
        <v>A</v>
      </c>
      <c r="J522">
        <v>25</v>
      </c>
      <c r="K522">
        <f>IF(L522&gt;0,L522*0.0625,)</f>
        <v>0.75</v>
      </c>
      <c r="L522">
        <v>12</v>
      </c>
      <c r="M522">
        <f>IF(K522&gt;0,K522*0.453592,IF(L522&gt;0,L522*0.02835,))</f>
        <v>0.340194</v>
      </c>
      <c r="N522">
        <v>0</v>
      </c>
      <c r="O522">
        <v>0</v>
      </c>
      <c r="P522">
        <f>J522+O522+N522</f>
        <v>25</v>
      </c>
      <c r="Q522">
        <f>P522*C$3</f>
        <v>31250</v>
      </c>
      <c r="R522">
        <v>0</v>
      </c>
      <c r="S522">
        <f>ROUND(SUM(Q522:R522), -2)</f>
        <v>31300</v>
      </c>
      <c r="T522">
        <f>ROUNDUP(HLOOKUP(ROUNDUP(K522,0),'배송비 조회'!A$10:U$22,7,0)*C$3,-2)</f>
        <v>9000</v>
      </c>
      <c r="U522">
        <v>0</v>
      </c>
      <c r="V522">
        <f>ROUND(IF(R522&gt;0,0,(S522+T522)*0.3),-2)</f>
        <v>12100</v>
      </c>
      <c r="W522">
        <f>ROUND(IF(R522&gt;0,0,(S522+T522)*0.5),-2)</f>
        <v>20200</v>
      </c>
      <c r="X522">
        <f>IF(R522&gt;0,SUM(S522:T522),SUM(S522:V522))</f>
        <v>52400</v>
      </c>
      <c r="Y522">
        <f>IF(R522&gt;0,SUM(S522:T522),SUM(S522:U522)+W522)</f>
        <v>60500</v>
      </c>
      <c r="Z522">
        <v>0</v>
      </c>
      <c r="AA522">
        <f>X522*0.038</f>
        <v>1991.2</v>
      </c>
      <c r="AB522">
        <f>X522*0.02</f>
        <v>1048</v>
      </c>
      <c r="AC522">
        <f>Y522*0.1</f>
        <v>6050</v>
      </c>
      <c r="AD522">
        <f>X522-AA522-AB522</f>
        <v>49360.8</v>
      </c>
      <c r="AE522">
        <f>Y522-AC522</f>
        <v>54450</v>
      </c>
      <c r="AF522">
        <f>AD522*0.01</f>
        <v>493.60800000000006</v>
      </c>
      <c r="AG522">
        <f>AD522-Q522-AF522-T522</f>
        <v>8617.192000000003</v>
      </c>
      <c r="AH522">
        <f>AE522-Q522-AF522-T522</f>
        <v>13706.392</v>
      </c>
      <c r="AI522">
        <f>AG522/X522</f>
        <v>0.16445022900763365</v>
      </c>
      <c r="AJ522">
        <f>AH522/Y522</f>
        <v>0.2265519338842975</v>
      </c>
      <c r="AK522">
        <f>X522-X521</f>
        <v>0</v>
      </c>
    </row>
    <row r="523">
      <c r="F523" t="str">
        <v>Stainless Steel</v>
      </c>
      <c r="G523" t="str">
        <f>HYPERLINK("https://www.amazon.com/Thermos-Stainless-16-Ounce-Tumbler-Midnight/dp/B01DZQT0FG/ref=mp_s_a_1_9?ie=UTF8&amp;qid=1549869043&amp;sr=8-9&amp;pi=AC_SX236_SY340_QL65&amp;keywords=thermos&amp;dpPl=1&amp;dpID=31kymfBM1BL&amp;ref=plSrch&amp;th=1","A")</f>
        <v>A</v>
      </c>
      <c r="J523">
        <v>25</v>
      </c>
      <c r="K523">
        <f>IF(L523&gt;0,L523*0.0625,)</f>
        <v>0.75</v>
      </c>
      <c r="L523">
        <v>12</v>
      </c>
      <c r="M523">
        <f>IF(K523&gt;0,K523*0.453592,IF(L523&gt;0,L523*0.02835,))</f>
        <v>0.340194</v>
      </c>
      <c r="N523">
        <v>0</v>
      </c>
      <c r="O523">
        <v>0</v>
      </c>
      <c r="P523">
        <f>J523+O523+N523</f>
        <v>25</v>
      </c>
      <c r="Q523">
        <f>P523*C$3</f>
        <v>31250</v>
      </c>
      <c r="R523">
        <v>0</v>
      </c>
      <c r="S523">
        <f>ROUND(SUM(Q523:R523), -2)</f>
        <v>31300</v>
      </c>
      <c r="T523">
        <f>ROUNDUP(HLOOKUP(ROUNDUP(K523,0),'배송비 조회'!A$10:U$22,7,0)*C$3,-2)</f>
        <v>9000</v>
      </c>
      <c r="U523">
        <v>0</v>
      </c>
      <c r="V523">
        <f>ROUND(IF(R523&gt;0,0,(S523+T523)*0.3),-2)</f>
        <v>12100</v>
      </c>
      <c r="W523">
        <f>ROUND(IF(R523&gt;0,0,(S523+T523)*0.5),-2)</f>
        <v>20200</v>
      </c>
      <c r="X523">
        <f>IF(R523&gt;0,SUM(S523:T523),SUM(S523:V523))</f>
        <v>52400</v>
      </c>
      <c r="Y523">
        <f>IF(R523&gt;0,SUM(S523:T523),SUM(S523:U523)+W523)</f>
        <v>60500</v>
      </c>
      <c r="Z523">
        <v>0</v>
      </c>
      <c r="AA523">
        <f>X523*0.038</f>
        <v>1991.2</v>
      </c>
      <c r="AB523">
        <f>X523*0.02</f>
        <v>1048</v>
      </c>
      <c r="AC523">
        <f>Y523*0.1</f>
        <v>6050</v>
      </c>
      <c r="AD523">
        <f>X523-AA523-AB523</f>
        <v>49360.8</v>
      </c>
      <c r="AE523">
        <f>Y523-AC523</f>
        <v>54450</v>
      </c>
      <c r="AF523">
        <f>AD523*0.01</f>
        <v>493.60800000000006</v>
      </c>
      <c r="AG523">
        <f>AD523-Q523-AF523-T523</f>
        <v>8617.192000000003</v>
      </c>
      <c r="AH523">
        <f>AE523-Q523-AF523-T523</f>
        <v>13706.392</v>
      </c>
      <c r="AI523">
        <f>AG523/X523</f>
        <v>0.16445022900763365</v>
      </c>
      <c r="AJ523">
        <f>AH523/Y523</f>
        <v>0.2265519338842975</v>
      </c>
      <c r="AK523">
        <f>X523-X521</f>
        <v>0</v>
      </c>
    </row>
    <row r="524">
      <c r="A524">
        <f>HYPERLINK("https://smartstore.naver.com/brickstore2019/products/4701177645",AW:AW)</f>
        <v>4701177645</v>
      </c>
      <c r="C524" t="str">
        <v>챔피언 메뉴스트립트 남자 백팩 Champion Men's Manuscript (무료배송)</v>
      </c>
      <c r="E524" t="str">
        <v>Champion Men's Manuscript Backpack</v>
      </c>
      <c r="F524" t="str">
        <v>Black</v>
      </c>
      <c r="G524" t="str">
        <f>HYPERLINK("https://www.amazon.com/Champion-Mens-Manuscript-Backpack-Black/dp/B07BKVY1PQ/ref=zg_bs_2404179011_47?_encoding=UTF8&amp;refRID=DS8C3KB6T36C25Z9V5D1&amp;th=1&amp;psc=1","A")</f>
        <v>A</v>
      </c>
      <c r="J524">
        <v>40</v>
      </c>
      <c r="K524">
        <v>1.5</v>
      </c>
      <c r="L524">
        <f>IF(K524&gt;0,K524*16,)</f>
        <v>24</v>
      </c>
      <c r="M524">
        <f>IF(K524&gt;0,K524*0.453592,IF(L524&gt;0,L524*0.02835,))</f>
        <v>0.680388</v>
      </c>
      <c r="N524">
        <v>0</v>
      </c>
      <c r="O524">
        <v>0</v>
      </c>
      <c r="P524">
        <f>J524+O524+N524</f>
        <v>40</v>
      </c>
      <c r="Q524">
        <f>P524*C$3</f>
        <v>50000</v>
      </c>
      <c r="R524">
        <v>0</v>
      </c>
      <c r="S524">
        <f>ROUND(SUM(Q524:R524), -2)</f>
        <v>50000</v>
      </c>
      <c r="T524">
        <f>ROUNDUP(HLOOKUP(ROUNDUP(K524,0),'배송비 조회'!A$10:U$22,7,0)*C$3,-2)</f>
        <v>11200</v>
      </c>
      <c r="U524">
        <v>0</v>
      </c>
      <c r="V524">
        <f>ROUND(IF(R524&gt;0,0,(S524+T524)*0.4),-2)</f>
        <v>24500</v>
      </c>
      <c r="W524">
        <f>ROUND(IF(R524&gt;0,0,(S524+T524)*0.5),-2)</f>
        <v>30600</v>
      </c>
      <c r="X524">
        <f>IF(R524&gt;0,SUM(S524:T524),SUM(S524:V524))</f>
        <v>85700</v>
      </c>
      <c r="Y524">
        <f>IF(R524&gt;0,SUM(S524:T524),SUM(S524:U524)+W524)</f>
        <v>91800</v>
      </c>
      <c r="Z524">
        <v>0</v>
      </c>
      <c r="AA524">
        <f>X524*0.038</f>
        <v>3256.6</v>
      </c>
      <c r="AB524">
        <f>X524*0.02</f>
        <v>1714</v>
      </c>
      <c r="AC524">
        <f>Y524*0.1</f>
        <v>9180</v>
      </c>
      <c r="AD524">
        <f>X524-AA524-AB524</f>
        <v>80729.4</v>
      </c>
      <c r="AE524">
        <f>Y524-AC524</f>
        <v>82620</v>
      </c>
      <c r="AF524">
        <f>AD524*0.01</f>
        <v>807.294</v>
      </c>
      <c r="AG524">
        <f>AD524-Q524-AF524-T524</f>
        <v>18722.105999999992</v>
      </c>
      <c r="AH524">
        <f>AE524-Q524-AF524-T524</f>
        <v>20612.706</v>
      </c>
      <c r="AI524">
        <f>AG524/X524</f>
        <v>0.21846098016336046</v>
      </c>
      <c r="AJ524">
        <f>AH524/Y524</f>
        <v>0.2245392810457516</v>
      </c>
      <c r="AW524">
        <v>4701177645</v>
      </c>
    </row>
    <row r="525">
      <c r="F525" t="str">
        <v>Blue</v>
      </c>
      <c r="G525" t="str">
        <f>HYPERLINK("https://www.amazon.com/Champion-Mens-Manuscript-Backpack-Black/dp/B07BKY4Y3T/ref=zg_bs_2404179011_47?_encoding=UTF8&amp;refRID=DS8C3KB6T36C25Z9V5D1&amp;th=1&amp;psc=1","A")</f>
        <v>A</v>
      </c>
      <c r="J525">
        <v>40</v>
      </c>
      <c r="K525">
        <v>1.5</v>
      </c>
      <c r="L525">
        <f>IF(K525&gt;0,K525*16,)</f>
        <v>24</v>
      </c>
      <c r="M525">
        <f>IF(K525&gt;0,K525*0.453592,IF(L525&gt;0,L525*0.02835,))</f>
        <v>0.680388</v>
      </c>
      <c r="N525">
        <v>0</v>
      </c>
      <c r="O525">
        <v>0</v>
      </c>
      <c r="P525">
        <f>J525+O525+N525</f>
        <v>40</v>
      </c>
      <c r="Q525">
        <f>P525*C$3</f>
        <v>50000</v>
      </c>
      <c r="R525">
        <v>0</v>
      </c>
      <c r="S525">
        <f>ROUND(SUM(Q525:R525), -2)</f>
        <v>50000</v>
      </c>
      <c r="T525">
        <f>ROUNDUP(HLOOKUP(ROUNDUP(K525,0),'배송비 조회'!A$10:U$22,7,0)*C$3,-2)</f>
        <v>11200</v>
      </c>
      <c r="U525">
        <v>0</v>
      </c>
      <c r="V525">
        <f>ROUND(IF(R525&gt;0,0,(S525+T525)*0.4),-2)</f>
        <v>24500</v>
      </c>
      <c r="W525">
        <f>ROUND(IF(R525&gt;0,0,(S525+T525)*0.5),-2)</f>
        <v>30600</v>
      </c>
      <c r="X525">
        <f>IF(R525&gt;0,SUM(S525:T525),SUM(S525:V525))</f>
        <v>85700</v>
      </c>
      <c r="Y525">
        <f>IF(R525&gt;0,SUM(S525:T525),SUM(S525:U525)+W525)</f>
        <v>91800</v>
      </c>
      <c r="Z525">
        <v>0</v>
      </c>
      <c r="AA525">
        <f>X525*0.038</f>
        <v>3256.6</v>
      </c>
      <c r="AB525">
        <f>X525*0.02</f>
        <v>1714</v>
      </c>
      <c r="AC525">
        <f>Y525*0.1</f>
        <v>9180</v>
      </c>
      <c r="AD525">
        <f>X525-AA525-AB525</f>
        <v>80729.4</v>
      </c>
      <c r="AE525">
        <f>Y525-AC525</f>
        <v>82620</v>
      </c>
      <c r="AF525">
        <f>AD525*0.01</f>
        <v>807.294</v>
      </c>
      <c r="AG525">
        <f>AD525-Q525-AF525-T525</f>
        <v>18722.105999999992</v>
      </c>
      <c r="AH525">
        <f>AE525-Q525-AF525-T525</f>
        <v>20612.706</v>
      </c>
      <c r="AI525">
        <f>AG525/X525</f>
        <v>0.21846098016336046</v>
      </c>
      <c r="AJ525">
        <f>AH525/Y525</f>
        <v>0.2245392810457516</v>
      </c>
    </row>
    <row r="526">
      <c r="F526" t="str">
        <v>Green</v>
      </c>
      <c r="G526" t="str">
        <f>HYPERLINK("https://www.amazon.com/Champion-Mens-Manuscript-Backpack-Black/dp/B07BKS7CVY/ref=zg_bs_2404179011_47?_encoding=UTF8&amp;refRID=DS8C3KB6T36C25Z9V5D1&amp;th=1&amp;psc=1","A")</f>
        <v>A</v>
      </c>
      <c r="J526">
        <v>40</v>
      </c>
      <c r="K526">
        <v>1.5</v>
      </c>
      <c r="L526">
        <f>IF(K526&gt;0,K526*16,)</f>
        <v>24</v>
      </c>
      <c r="M526">
        <f>IF(K526&gt;0,K526*0.453592,IF(L526&gt;0,L526*0.02835,))</f>
        <v>0.680388</v>
      </c>
      <c r="N526">
        <v>0</v>
      </c>
      <c r="O526">
        <v>0</v>
      </c>
      <c r="P526">
        <f>J526+O526+N526</f>
        <v>40</v>
      </c>
      <c r="Q526">
        <f>P526*C$3</f>
        <v>50000</v>
      </c>
      <c r="R526">
        <v>0</v>
      </c>
      <c r="S526">
        <f>ROUND(SUM(Q526:R526), -2)</f>
        <v>50000</v>
      </c>
      <c r="T526">
        <f>ROUNDUP(HLOOKUP(ROUNDUP(K526,0),'배송비 조회'!A$10:U$22,7,0)*C$3,-2)</f>
        <v>11200</v>
      </c>
      <c r="U526">
        <v>0</v>
      </c>
      <c r="V526">
        <f>ROUND(IF(R526&gt;0,0,(S526+T526)*0.4),-2)</f>
        <v>24500</v>
      </c>
      <c r="W526">
        <f>ROUND(IF(R526&gt;0,0,(S526+T526)*0.5),-2)</f>
        <v>30600</v>
      </c>
      <c r="X526">
        <f>IF(R526&gt;0,SUM(S526:T526),SUM(S526:V526))</f>
        <v>85700</v>
      </c>
      <c r="Y526">
        <f>IF(R526&gt;0,SUM(S526:T526),SUM(S526:U526)+W526)</f>
        <v>91800</v>
      </c>
      <c r="Z526">
        <v>0</v>
      </c>
      <c r="AA526">
        <f>X526*0.038</f>
        <v>3256.6</v>
      </c>
      <c r="AB526">
        <f>X526*0.02</f>
        <v>1714</v>
      </c>
      <c r="AC526">
        <f>Y526*0.1</f>
        <v>9180</v>
      </c>
      <c r="AD526">
        <f>X526-AA526-AB526</f>
        <v>80729.4</v>
      </c>
      <c r="AE526">
        <f>Y526-AC526</f>
        <v>82620</v>
      </c>
      <c r="AF526">
        <f>AD526*0.01</f>
        <v>807.294</v>
      </c>
      <c r="AG526">
        <f>AD526-Q526-AF526-T526</f>
        <v>18722.105999999992</v>
      </c>
      <c r="AH526">
        <f>AE526-Q526-AF526-T526</f>
        <v>20612.706</v>
      </c>
      <c r="AI526">
        <f>AG526/X526</f>
        <v>0.21846098016336046</v>
      </c>
      <c r="AJ526">
        <f>AH526/Y526</f>
        <v>0.2245392810457516</v>
      </c>
    </row>
    <row r="527">
      <c r="F527" t="str">
        <v>Heather Grey</v>
      </c>
      <c r="G527" t="str">
        <f>HYPERLINK("https://www.amazon.com/Champion-Mens-Manuscript-Backpack-Black/dp/B07BKW2CXV/ref=zg_bs_2404179011_47?_encoding=UTF8&amp;refRID=DS8C3KB6T36C25Z9V5D1&amp;th=1&amp;psc=1","A")</f>
        <v>A</v>
      </c>
      <c r="J527">
        <v>40</v>
      </c>
      <c r="K527">
        <v>1.5</v>
      </c>
      <c r="L527">
        <f>IF(K527&gt;0,K527*16,)</f>
        <v>24</v>
      </c>
      <c r="M527">
        <f>IF(K527&gt;0,K527*0.453592,IF(L527&gt;0,L527*0.02835,))</f>
        <v>0.680388</v>
      </c>
      <c r="N527">
        <v>0</v>
      </c>
      <c r="O527">
        <v>0</v>
      </c>
      <c r="P527">
        <f>J527+O527+N527</f>
        <v>40</v>
      </c>
      <c r="Q527">
        <f>P527*C$3</f>
        <v>50000</v>
      </c>
      <c r="R527">
        <v>0</v>
      </c>
      <c r="S527">
        <f>ROUND(SUM(Q527:R527), -2)</f>
        <v>50000</v>
      </c>
      <c r="T527">
        <f>ROUNDUP(HLOOKUP(ROUNDUP(K527,0),'배송비 조회'!A$10:U$22,7,0)*C$3,-2)</f>
        <v>11200</v>
      </c>
      <c r="U527">
        <v>0</v>
      </c>
      <c r="V527">
        <f>ROUND(IF(R527&gt;0,0,(S527+T527)*0.4),-2)</f>
        <v>24500</v>
      </c>
      <c r="W527">
        <f>ROUND(IF(R527&gt;0,0,(S527+T527)*0.5),-2)</f>
        <v>30600</v>
      </c>
      <c r="X527">
        <f>IF(R527&gt;0,SUM(S527:T527),SUM(S527:V527))</f>
        <v>85700</v>
      </c>
      <c r="Y527">
        <f>IF(R527&gt;0,SUM(S527:T527),SUM(S527:U527)+W527)</f>
        <v>91800</v>
      </c>
      <c r="Z527">
        <v>0</v>
      </c>
      <c r="AA527">
        <f>X527*0.038</f>
        <v>3256.6</v>
      </c>
      <c r="AB527">
        <f>X527*0.02</f>
        <v>1714</v>
      </c>
      <c r="AC527">
        <f>Y527*0.1</f>
        <v>9180</v>
      </c>
      <c r="AD527">
        <f>X527-AA527-AB527</f>
        <v>80729.4</v>
      </c>
      <c r="AE527">
        <f>Y527-AC527</f>
        <v>82620</v>
      </c>
      <c r="AF527">
        <f>AD527*0.01</f>
        <v>807.294</v>
      </c>
      <c r="AG527">
        <f>AD527-Q527-AF527-T527</f>
        <v>18722.105999999992</v>
      </c>
      <c r="AH527">
        <f>AE527-Q527-AF527-T527</f>
        <v>20612.706</v>
      </c>
      <c r="AI527">
        <f>AG527/X527</f>
        <v>0.21846098016336046</v>
      </c>
      <c r="AJ527">
        <f>AH527/Y527</f>
        <v>0.2245392810457516</v>
      </c>
    </row>
    <row r="528">
      <c r="A528">
        <f>HYPERLINK("https://smartstore.naver.com/brickstore2019/products/4701264509",AW:AW)</f>
        <v>4701264509</v>
      </c>
      <c r="C528" t="str">
        <v>위딩스 바디플러스 스마트 와이파이 디지털 체중계 Withings Body+ (무료배송)</v>
      </c>
      <c r="E528" t="str">
        <v>Withings Body+ - Smart Body Composition Wi-Fi Digital Scale with smartphone app</v>
      </c>
      <c r="F528" t="str">
        <v>Black</v>
      </c>
      <c r="G528" t="str">
        <f>HYPERLINK("https://www.amazon.com/Withings-Nokia-Body-Composition-smartphone/dp/B071XW4C5Q/ref=sr_1_2?keywords=withings&amp;qid=1570159477&amp;sr=8-2&amp;th=1","A")</f>
        <v>A</v>
      </c>
      <c r="J528">
        <v>100</v>
      </c>
      <c r="K528">
        <v>6.3</v>
      </c>
      <c r="L528">
        <f>IF(K528&gt;0,K528*16,)</f>
        <v>100.8</v>
      </c>
      <c r="M528">
        <f>IF(K528&gt;0,K528*0.453592,IF(L528&gt;0,L528*0.02835,))</f>
        <v>2.8576296</v>
      </c>
      <c r="N528">
        <v>0</v>
      </c>
      <c r="O528">
        <v>0</v>
      </c>
      <c r="P528">
        <f>J528+O528+N528</f>
        <v>100</v>
      </c>
      <c r="Q528">
        <f>P528*C$3</f>
        <v>125000</v>
      </c>
      <c r="R528">
        <v>0</v>
      </c>
      <c r="S528">
        <f>ROUND(SUM(Q528:R528), -2)</f>
        <v>125000</v>
      </c>
      <c r="T528">
        <f>ROUNDUP(HLOOKUP(ROUNDUP(K528,0),'배송비 조회'!A$10:U$22,7,0)*C$3,-2)</f>
        <v>22200</v>
      </c>
      <c r="U528">
        <v>0</v>
      </c>
      <c r="V528">
        <f>ROUND(IF(R528&gt;0,0,(S528+T528)*0.3),-2)</f>
        <v>44200</v>
      </c>
      <c r="W528">
        <f>ROUND(IF(R528&gt;0,0,(S528+T528)*0.5),-2)</f>
        <v>73600</v>
      </c>
      <c r="X528">
        <f>IF(R528&gt;0,SUM(S528:T528),SUM(S528:V528))</f>
        <v>191400</v>
      </c>
      <c r="Y528">
        <f>IF(R528&gt;0,SUM(S528:T528),SUM(S528:U528)+W528)</f>
        <v>220800</v>
      </c>
      <c r="Z528">
        <v>0</v>
      </c>
      <c r="AA528">
        <f>X528*0.038</f>
        <v>7273.2</v>
      </c>
      <c r="AB528">
        <f>X528*0.02</f>
        <v>3828</v>
      </c>
      <c r="AC528">
        <f>Y528*0.1</f>
        <v>22080</v>
      </c>
      <c r="AD528">
        <f>X528-AA528-AB528</f>
        <v>180298.8</v>
      </c>
      <c r="AE528">
        <f>Y528-AC528</f>
        <v>198720</v>
      </c>
      <c r="AF528">
        <f>AD528*0.01</f>
        <v>1802.9879999999998</v>
      </c>
      <c r="AG528">
        <f>AD528-Q528-AF528-T528</f>
        <v>31295.81199999999</v>
      </c>
      <c r="AH528">
        <f>AE528-Q528-AF528-T528</f>
        <v>49717.012</v>
      </c>
      <c r="AI528">
        <f>AG528/X528</f>
        <v>0.16350998955067916</v>
      </c>
      <c r="AJ528">
        <f>AH528/Y528</f>
        <v>0.22516762681159422</v>
      </c>
      <c r="AW528">
        <v>4701264509</v>
      </c>
    </row>
    <row r="529">
      <c r="F529" t="str">
        <v>White</v>
      </c>
      <c r="G529" t="str">
        <f>HYPERLINK("https://www.amazon.com/Withings-Nokia-Body-Composition-smartphone/dp/B071CMGR9C/ref=sr_1_2?keywords=withings&amp;qid=1570159477&amp;sr=8-2&amp;th=1","A")</f>
        <v>A</v>
      </c>
      <c r="J529">
        <v>100</v>
      </c>
      <c r="K529">
        <v>6.3</v>
      </c>
      <c r="L529">
        <f>IF(K529&gt;0,K529*16,)</f>
        <v>100.8</v>
      </c>
      <c r="M529">
        <f>IF(K529&gt;0,K529*0.453592,IF(L529&gt;0,L529*0.02835,))</f>
        <v>2.8576296</v>
      </c>
      <c r="N529">
        <v>0</v>
      </c>
      <c r="O529">
        <v>0</v>
      </c>
      <c r="P529">
        <f>J529+O529+N529</f>
        <v>100</v>
      </c>
      <c r="Q529">
        <f>P529*C$3</f>
        <v>125000</v>
      </c>
      <c r="R529">
        <v>0</v>
      </c>
      <c r="S529">
        <f>ROUND(SUM(Q529:R529), -2)</f>
        <v>125000</v>
      </c>
      <c r="T529">
        <f>ROUNDUP(HLOOKUP(ROUNDUP(K529,0),'배송비 조회'!A$10:U$22,7,0)*C$3,-2)</f>
        <v>22200</v>
      </c>
      <c r="U529">
        <v>0</v>
      </c>
      <c r="V529">
        <f>ROUND(IF(R529&gt;0,0,(S529+T529)*0.3),-2)</f>
        <v>44200</v>
      </c>
      <c r="W529">
        <f>ROUND(IF(R529&gt;0,0,(S529+T529)*0.5),-2)</f>
        <v>73600</v>
      </c>
      <c r="X529">
        <f>IF(R529&gt;0,SUM(S529:T529),SUM(S529:V529))</f>
        <v>191400</v>
      </c>
      <c r="Y529">
        <f>IF(R529&gt;0,SUM(S529:T529),SUM(S529:U529)+W529)</f>
        <v>220800</v>
      </c>
      <c r="Z529">
        <v>0</v>
      </c>
      <c r="AA529">
        <f>X529*0.038</f>
        <v>7273.2</v>
      </c>
      <c r="AB529">
        <f>X529*0.02</f>
        <v>3828</v>
      </c>
      <c r="AC529">
        <f>Y529*0.1</f>
        <v>22080</v>
      </c>
      <c r="AD529">
        <f>X529-AA529-AB529</f>
        <v>180298.8</v>
      </c>
      <c r="AE529">
        <f>Y529-AC529</f>
        <v>198720</v>
      </c>
      <c r="AF529">
        <f>AD529*0.01</f>
        <v>1802.9879999999998</v>
      </c>
      <c r="AG529">
        <f>AD529-Q529-AF529-T529</f>
        <v>31295.81199999999</v>
      </c>
      <c r="AH529">
        <f>AE529-Q529-AF529-T529</f>
        <v>49717.012</v>
      </c>
      <c r="AI529">
        <f>AG529/X529</f>
        <v>0.16350998955067916</v>
      </c>
      <c r="AJ529">
        <f>AH529/Y529</f>
        <v>0.22516762681159422</v>
      </c>
    </row>
    <row r="530">
      <c r="F530" t="str">
        <v>Pastel Sand</v>
      </c>
      <c r="G530" t="str">
        <f>HYPERLINK("https://www.amazon.com/Withings-Nokia-Body-Composition-smartphone/dp/B07KTPJ1NV/ref=sr_1_2?keywords=withings&amp;qid=1570159477&amp;sr=8-2&amp;th=1","A")</f>
        <v>A</v>
      </c>
      <c r="J530">
        <v>100</v>
      </c>
      <c r="K530">
        <v>6.3</v>
      </c>
      <c r="L530">
        <f>IF(K530&gt;0,K530*16,)</f>
        <v>100.8</v>
      </c>
      <c r="M530">
        <f>IF(K530&gt;0,K530*0.453592,IF(L530&gt;0,L530*0.02835,))</f>
        <v>2.8576296</v>
      </c>
      <c r="N530">
        <v>0</v>
      </c>
      <c r="O530">
        <v>0</v>
      </c>
      <c r="P530">
        <f>J530+O530+N530</f>
        <v>100</v>
      </c>
      <c r="Q530">
        <f>P530*C$3</f>
        <v>125000</v>
      </c>
      <c r="R530">
        <v>0</v>
      </c>
      <c r="S530">
        <f>ROUND(SUM(Q530:R530), -2)</f>
        <v>125000</v>
      </c>
      <c r="T530">
        <f>ROUNDUP(HLOOKUP(ROUNDUP(K530,0),'배송비 조회'!A$10:U$22,7,0)*C$3,-2)</f>
        <v>22200</v>
      </c>
      <c r="U530">
        <v>0</v>
      </c>
      <c r="V530">
        <f>ROUND(IF(R530&gt;0,0,(S530+T530)*0.3),-2)</f>
        <v>44200</v>
      </c>
      <c r="W530">
        <f>ROUND(IF(R530&gt;0,0,(S530+T530)*0.5),-2)</f>
        <v>73600</v>
      </c>
      <c r="X530">
        <f>IF(R530&gt;0,SUM(S530:T530),SUM(S530:V530))</f>
        <v>191400</v>
      </c>
      <c r="Y530">
        <f>IF(R530&gt;0,SUM(S530:T530),SUM(S530:U530)+W530)</f>
        <v>220800</v>
      </c>
      <c r="Z530">
        <v>0</v>
      </c>
      <c r="AA530">
        <f>X530*0.038</f>
        <v>7273.2</v>
      </c>
      <c r="AB530">
        <f>X530*0.02</f>
        <v>3828</v>
      </c>
      <c r="AC530">
        <f>Y530*0.1</f>
        <v>22080</v>
      </c>
      <c r="AD530">
        <f>X530-AA530-AB530</f>
        <v>180298.8</v>
      </c>
      <c r="AE530">
        <f>Y530-AC530</f>
        <v>198720</v>
      </c>
      <c r="AF530">
        <f>AD530*0.01</f>
        <v>1802.9879999999998</v>
      </c>
      <c r="AG530">
        <f>AD530-Q530-AF530-T530</f>
        <v>31295.81199999999</v>
      </c>
      <c r="AH530">
        <f>AE530-Q530-AF530-T530</f>
        <v>49717.012</v>
      </c>
      <c r="AI530">
        <f>AG530/X530</f>
        <v>0.16350998955067916</v>
      </c>
      <c r="AJ530">
        <f>AH530/Y530</f>
        <v>0.22516762681159422</v>
      </c>
    </row>
    <row r="531">
      <c r="A531">
        <f>HYPERLINK("https://smartstore.naver.com/brickstore2019/products/4701248683",AW:AW)</f>
        <v>4701248683</v>
      </c>
      <c r="C531" t="str">
        <v>투미 얇은 남자 카드지갑 TUMI 93707-1041 (무료배송)</v>
      </c>
      <c r="E531" t="str">
        <v>TUMI - Delta Slim Card Case Wallet with RFID ID Lock for Men - Black</v>
      </c>
      <c r="G531" t="str">
        <f>HYPERLINK("https://www.amazon.com/Tumi-Mens-Delta-Holder-Black/dp/B00ITNJZUQ/ref=sr_1_75?dchild=1&amp;keywords=Tumi+pouch&amp;psc=1&amp;qid=1571318380&amp;sr=8-75","A")</f>
        <v>A</v>
      </c>
      <c r="J531">
        <v>60</v>
      </c>
      <c r="K531">
        <f>IF(L531&gt;0,L531*0.0625,)</f>
        <v>0.25</v>
      </c>
      <c r="L531">
        <v>4</v>
      </c>
      <c r="M531">
        <f>IF(K531&gt;0,K531*0.453592,IF(L531&gt;0,L531*0.02835,))</f>
        <v>0.113398</v>
      </c>
      <c r="N531">
        <v>0</v>
      </c>
      <c r="O531">
        <v>0</v>
      </c>
      <c r="P531">
        <f>J531+O531+N531</f>
        <v>60</v>
      </c>
      <c r="Q531">
        <f>P531*C$3</f>
        <v>75000</v>
      </c>
      <c r="R531">
        <v>0</v>
      </c>
      <c r="S531">
        <f>ROUND(SUM(Q531:R531), -2)</f>
        <v>75000</v>
      </c>
      <c r="T531">
        <f>ROUNDUP(HLOOKUP(ROUNDUP(K531,0),'배송비 조회'!A$10:U$22,7,0)*C$3,-2)</f>
        <v>9000</v>
      </c>
      <c r="U531">
        <v>0</v>
      </c>
      <c r="V531">
        <f>ROUND(IF(R531&gt;0,0,(S531+T531)*0.3),-2)</f>
        <v>25200</v>
      </c>
      <c r="W531">
        <f>ROUND(IF(R531&gt;0,0,(S531+T531)*0.5),-2)</f>
        <v>42000</v>
      </c>
      <c r="X531">
        <f>IF(R531&gt;0,SUM(S531:T531),SUM(S531:V531))</f>
        <v>109200</v>
      </c>
      <c r="Y531">
        <f>IF(R531&gt;0,SUM(S531:T531),SUM(S531:U531)+W531)</f>
        <v>126000</v>
      </c>
      <c r="Z531">
        <v>0</v>
      </c>
      <c r="AA531">
        <f>X531*0.038</f>
        <v>4149.599999999999</v>
      </c>
      <c r="AB531">
        <f>X531*0.02</f>
        <v>2184</v>
      </c>
      <c r="AC531">
        <f>Y531*0.1</f>
        <v>12600</v>
      </c>
      <c r="AD531">
        <f>X531-AA531-AB531</f>
        <v>102866.4</v>
      </c>
      <c r="AE531">
        <f>Y531-AC531</f>
        <v>113400</v>
      </c>
      <c r="AF531">
        <f>AD531*0.01</f>
        <v>1028.664</v>
      </c>
      <c r="AG531">
        <f>AD531-Q531-AF531-T531</f>
        <v>17837.735999999994</v>
      </c>
      <c r="AH531">
        <f>AE531-Q531-AF531-T531</f>
        <v>28371.336000000003</v>
      </c>
      <c r="AI531">
        <f>AG531/X531</f>
        <v>0.16334923076923072</v>
      </c>
      <c r="AJ531">
        <f>AH531/Y531</f>
        <v>0.22516933333333336</v>
      </c>
      <c r="AW531">
        <v>4701248683</v>
      </c>
    </row>
    <row r="532">
      <c r="A532">
        <f>HYPERLINK("https://smartstore.naver.com/brickstore2019/products/4701264632",AW:AW)</f>
        <v>4701264632</v>
      </c>
      <c r="C532" t="str">
        <v>투미 보야져 여자손목파우치 TUMI Voyageur 110003-0658 (무료배송)</v>
      </c>
      <c r="E532" t="str">
        <v>TUMI - Voyageur Abilene Double Zip Pouch - Clutch Wristlet Wallet for Women</v>
      </c>
      <c r="F532" t="str">
        <v>Black</v>
      </c>
      <c r="G532" t="str">
        <f>HYPERLINK("https://www.amazon.com/Tumi-Womens-Voyageur-Abilene-Double/dp/B07DLT737N/ref=sr_1_7?dchild=1&amp;keywords=Tumi%2Bpouch&amp;qid=1571318053&amp;sr=8-7&amp;th=1","A")</f>
        <v>A</v>
      </c>
      <c r="J532">
        <v>120</v>
      </c>
      <c r="K532">
        <f>IF(L532&gt;0,L532*0.0625,)</f>
        <v>0.8125</v>
      </c>
      <c r="L532">
        <v>13</v>
      </c>
      <c r="M532">
        <f>IF(K532&gt;0,K532*0.453592,IF(L532&gt;0,L532*0.02835,))</f>
        <v>0.3685435</v>
      </c>
      <c r="N532">
        <v>0</v>
      </c>
      <c r="O532">
        <v>0</v>
      </c>
      <c r="P532">
        <f>J532+O532+N532</f>
        <v>120</v>
      </c>
      <c r="Q532">
        <f>P532*C$3</f>
        <v>150000</v>
      </c>
      <c r="R532">
        <v>0</v>
      </c>
      <c r="S532">
        <f>ROUND(SUM(Q532:R532), -2)</f>
        <v>150000</v>
      </c>
      <c r="T532">
        <f>ROUNDUP(HLOOKUP(ROUNDUP(K532,0),'배송비 조회'!A$10:U$22,7,0)*C$3,-2)</f>
        <v>9000</v>
      </c>
      <c r="U532">
        <v>0</v>
      </c>
      <c r="V532">
        <f>ROUND(IF(R532&gt;0,0,(S532+T532)*0.2),-2)</f>
        <v>31800</v>
      </c>
      <c r="W532">
        <f>ROUND(IF(R532&gt;0,0,(S532+T532)*0.5),-2)</f>
        <v>79500</v>
      </c>
      <c r="X532">
        <f>IF(R532&gt;0,SUM(S532:T532),SUM(S532:V532))</f>
        <v>190800</v>
      </c>
      <c r="Y532">
        <f>IF(R532&gt;0,SUM(S532:T532),SUM(S532:U532)+W532)</f>
        <v>238500</v>
      </c>
      <c r="Z532">
        <v>0</v>
      </c>
      <c r="AA532">
        <f>X532*0.038</f>
        <v>7250.4</v>
      </c>
      <c r="AB532">
        <f>X532*0.02</f>
        <v>3816</v>
      </c>
      <c r="AC532">
        <f>Y532*0.1</f>
        <v>23850</v>
      </c>
      <c r="AD532">
        <f>X532-AA532-AB532</f>
        <v>179733.6</v>
      </c>
      <c r="AE532">
        <f>Y532-AC532</f>
        <v>214650</v>
      </c>
      <c r="AF532">
        <f>AD532*0.01</f>
        <v>1797.336</v>
      </c>
      <c r="AG532">
        <f>AD532-Q532-AF532-T532</f>
        <v>18936.264000000006</v>
      </c>
      <c r="AH532">
        <f>AE532-Q532-AF532-T532</f>
        <v>53852.664</v>
      </c>
      <c r="AI532">
        <f>AG532/X532</f>
        <v>0.0992466666666667</v>
      </c>
      <c r="AJ532">
        <f>AH532/Y532</f>
        <v>0.22579733333333332</v>
      </c>
      <c r="AK532">
        <f>X532-X533</f>
        <v>22400</v>
      </c>
      <c r="AW532">
        <v>4701264632</v>
      </c>
    </row>
    <row r="533">
      <c r="F533" t="str">
        <v>Sunset</v>
      </c>
      <c r="G533" t="str">
        <f>HYPERLINK("https://www.amazon.com/Tumi-Womens-Voyageur-Abilene-Double/dp/B07MHDJX4D/ref=sr_1_7?dchild=1&amp;keywords=Tumi%2Bpouch&amp;qid=1571318053&amp;sr=8-7&amp;th=1","A")</f>
        <v>A</v>
      </c>
      <c r="J533">
        <v>105</v>
      </c>
      <c r="K533">
        <f>IF(L533&gt;0,L533*0.0625,)</f>
        <v>0.8125</v>
      </c>
      <c r="L533">
        <v>13</v>
      </c>
      <c r="M533">
        <f>IF(K533&gt;0,K533*0.453592,IF(L533&gt;0,L533*0.02835,))</f>
        <v>0.3685435</v>
      </c>
      <c r="N533">
        <v>0</v>
      </c>
      <c r="O533">
        <v>0</v>
      </c>
      <c r="P533">
        <f>J533+O533+N533</f>
        <v>105</v>
      </c>
      <c r="Q533">
        <f>P533*C$3</f>
        <v>131250</v>
      </c>
      <c r="R533">
        <v>0</v>
      </c>
      <c r="S533">
        <f>ROUND(SUM(Q533:R533), -2)</f>
        <v>131300</v>
      </c>
      <c r="T533">
        <f>ROUNDUP(HLOOKUP(ROUNDUP(K533,0),'배송비 조회'!A$10:U$22,7,0)*C$3,-2)</f>
        <v>9000</v>
      </c>
      <c r="U533">
        <v>0</v>
      </c>
      <c r="V533">
        <f>ROUND(IF(R533&gt;0,0,(S533+T533)*0.2),-2)</f>
        <v>28100</v>
      </c>
      <c r="W533">
        <f>ROUND(IF(R533&gt;0,0,(S533+T533)*0.5),-2)</f>
        <v>70200</v>
      </c>
      <c r="X533">
        <f>IF(R533&gt;0,SUM(S533:T533),SUM(S533:V533))</f>
        <v>168400</v>
      </c>
      <c r="Y533">
        <f>IF(R533&gt;0,SUM(S533:T533),SUM(S533:U533)+W533)</f>
        <v>210500</v>
      </c>
      <c r="Z533">
        <v>0</v>
      </c>
      <c r="AA533">
        <f>X533*0.038</f>
        <v>6399.2</v>
      </c>
      <c r="AB533">
        <f>X533*0.02</f>
        <v>3368</v>
      </c>
      <c r="AC533">
        <f>Y533*0.1</f>
        <v>21050</v>
      </c>
      <c r="AD533">
        <f>X533-AA533-AB533</f>
        <v>158632.8</v>
      </c>
      <c r="AE533">
        <f>Y533-AC533</f>
        <v>189450</v>
      </c>
      <c r="AF533">
        <f>AD533*0.01</f>
        <v>1586.328</v>
      </c>
      <c r="AG533">
        <f>AD533-Q533-AF533-T533</f>
        <v>16796.471999999987</v>
      </c>
      <c r="AH533">
        <f>AE533-Q533-AF533-T533</f>
        <v>47613.672</v>
      </c>
      <c r="AI533">
        <f>AG533/X533</f>
        <v>0.09974152019002368</v>
      </c>
      <c r="AJ533">
        <f>AH533/Y533</f>
        <v>0.22619321615201898</v>
      </c>
    </row>
    <row r="534">
      <c r="F534" t="str">
        <v>Ultramarine</v>
      </c>
      <c r="G534" t="str">
        <f>HYPERLINK("https://www.amazon.com/Tumi-Womens-Voyageur-Abilene-Double/dp/B07MHDJN1N/ref=sr_1_7?dchild=1&amp;keywords=Tumi%2Bpouch&amp;qid=1571318053&amp;sr=8-7&amp;th=1","A")</f>
        <v>A</v>
      </c>
      <c r="J534">
        <v>120</v>
      </c>
      <c r="K534">
        <f>IF(L534&gt;0,L534*0.0625,)</f>
        <v>0.8125</v>
      </c>
      <c r="L534">
        <v>13</v>
      </c>
      <c r="M534">
        <f>IF(K534&gt;0,K534*0.453592,IF(L534&gt;0,L534*0.02835,))</f>
        <v>0.3685435</v>
      </c>
      <c r="N534">
        <v>0</v>
      </c>
      <c r="O534">
        <v>0</v>
      </c>
      <c r="P534">
        <f>J534+O534+N534</f>
        <v>120</v>
      </c>
      <c r="Q534">
        <f>P534*C$3</f>
        <v>150000</v>
      </c>
      <c r="R534">
        <v>0</v>
      </c>
      <c r="S534">
        <f>ROUND(SUM(Q534:R534), -2)</f>
        <v>150000</v>
      </c>
      <c r="T534">
        <f>ROUNDUP(HLOOKUP(ROUNDUP(K534,0),'배송비 조회'!A$10:U$22,7,0)*C$3,-2)</f>
        <v>9000</v>
      </c>
      <c r="U534">
        <v>0</v>
      </c>
      <c r="V534">
        <f>ROUND(IF(R534&gt;0,0,(S534+T534)*0.2),-2)</f>
        <v>31800</v>
      </c>
      <c r="W534">
        <f>ROUND(IF(R534&gt;0,0,(S534+T534)*0.5),-2)</f>
        <v>79500</v>
      </c>
      <c r="X534">
        <f>IF(R534&gt;0,SUM(S534:T534),SUM(S534:V534))</f>
        <v>190800</v>
      </c>
      <c r="Y534">
        <f>IF(R534&gt;0,SUM(S534:T534),SUM(S534:U534)+W534)</f>
        <v>238500</v>
      </c>
      <c r="Z534">
        <v>0</v>
      </c>
      <c r="AA534">
        <f>X534*0.038</f>
        <v>7250.4</v>
      </c>
      <c r="AB534">
        <f>X534*0.02</f>
        <v>3816</v>
      </c>
      <c r="AC534">
        <f>Y534*0.1</f>
        <v>23850</v>
      </c>
      <c r="AD534">
        <f>X534-AA534-AB534</f>
        <v>179733.6</v>
      </c>
      <c r="AE534">
        <f>Y534-AC534</f>
        <v>214650</v>
      </c>
      <c r="AF534">
        <f>AD534*0.01</f>
        <v>1797.336</v>
      </c>
      <c r="AG534">
        <f>AD534-Q534-AF534-T534</f>
        <v>18936.264000000006</v>
      </c>
      <c r="AH534">
        <f>AE534-Q534-AF534-T534</f>
        <v>53852.664</v>
      </c>
      <c r="AI534">
        <f>AG534/X534</f>
        <v>0.0992466666666667</v>
      </c>
      <c r="AJ534">
        <f>AH534/Y534</f>
        <v>0.22579733333333332</v>
      </c>
    </row>
    <row r="535">
      <c r="A535">
        <f>HYPERLINK("https://smartstore.naver.com/brickstore2019/products/4701315528",AW:AW)</f>
        <v>4701315528</v>
      </c>
      <c r="C535" t="str">
        <v>블루 예티 USB 마이크 유튜브 개인 방송 마이크</v>
      </c>
      <c r="E535" t="str">
        <v>Blue Microphones Yeti USB Microphone</v>
      </c>
      <c r="F535" t="str">
        <v>Blackout</v>
      </c>
      <c r="G535" t="str">
        <f>HYPERLINK("https://www.amazon.com/Blue-Yeti-USB-Microphone-Blackout/dp/B00N1YPXW2/ref=sr_1_3?crid=10WIMLTIAL4MO&amp;keywords=blue%2Byeti%2Bmicrophone&amp;qid=1570284132&amp;sprefix=BLUE%2BYETI%2B%2Caps%2C370&amp;sr=8-3&amp;th=1","A")</f>
        <v>A</v>
      </c>
      <c r="J535">
        <v>120</v>
      </c>
      <c r="K535">
        <v>4</v>
      </c>
      <c r="L535">
        <f>IF(K535&gt;0,K535*16,)</f>
        <v>64</v>
      </c>
      <c r="M535">
        <f>IF(K535&gt;0,K535*0.453592,IF(L535&gt;0,L535*0.02835,))</f>
        <v>1.814368</v>
      </c>
      <c r="N535">
        <v>0</v>
      </c>
      <c r="O535">
        <v>0</v>
      </c>
      <c r="P535">
        <f>J535+O535+N535</f>
        <v>120</v>
      </c>
      <c r="Q535">
        <f>P535*C$3</f>
        <v>150000</v>
      </c>
      <c r="R535">
        <v>0</v>
      </c>
      <c r="S535">
        <f>ROUND(SUM(Q535:R535), -2)</f>
        <v>150000</v>
      </c>
      <c r="T535">
        <f>ROUNDUP(HLOOKUP(ROUNDUP(K535,0),'배송비 조회'!A$10:U$22,7,0)*C$3,-2)</f>
        <v>15600</v>
      </c>
      <c r="U535">
        <v>0</v>
      </c>
      <c r="V535">
        <f>ROUND(IF(R535&gt;0,0,(S535+T535)*0.2),-2)</f>
        <v>33100</v>
      </c>
      <c r="W535">
        <f>ROUND(IF(R535&gt;0,0,(S535+T535)*0.5),-2)</f>
        <v>82800</v>
      </c>
      <c r="X535">
        <f>IF(R535&gt;0,SUM(S535:T535),SUM(S535:V535))</f>
        <v>198700</v>
      </c>
      <c r="Y535">
        <f>IF(R535&gt;0,SUM(S535:T535),SUM(S535:U535)+W535)</f>
        <v>248400</v>
      </c>
      <c r="Z535">
        <v>0</v>
      </c>
      <c r="AA535">
        <f>X535*0.038</f>
        <v>7550.599999999999</v>
      </c>
      <c r="AB535">
        <f>X535*0.02</f>
        <v>3974</v>
      </c>
      <c r="AC535">
        <f>Y535*0.1</f>
        <v>24840</v>
      </c>
      <c r="AD535">
        <f>X535-AA535-AB535</f>
        <v>187175.4</v>
      </c>
      <c r="AE535">
        <f>Y535-AC535</f>
        <v>223560</v>
      </c>
      <c r="AF535">
        <f>AD535*0.01</f>
        <v>1871.754</v>
      </c>
      <c r="AG535">
        <f>AD535-Q535-AF535-T535</f>
        <v>19703.645999999993</v>
      </c>
      <c r="AH535">
        <f>AE535-Q535-AF535-T535</f>
        <v>56088.246</v>
      </c>
      <c r="AI535">
        <f>AG535/X535</f>
        <v>0.09916278812279815</v>
      </c>
      <c r="AJ535">
        <f>AH535/Y535</f>
        <v>0.22579809178743962</v>
      </c>
      <c r="AK535">
        <f>X535-20000</f>
        <v>178700</v>
      </c>
      <c r="AW535">
        <v>4701315528</v>
      </c>
    </row>
    <row r="536">
      <c r="F536" t="str">
        <v>Platinum</v>
      </c>
      <c r="G536" t="str">
        <f>HYPERLINK("https://www.amazon.com/Blue-Yeti-USB-Microphone-Blackout/dp/B008F4USMS/ref=sr_1_3?crid=10WIMLTIAL4MO&amp;keywords=blue%2Byeti%2Bmicrophone&amp;qid=1570284132&amp;sprefix=BLUE%2BYETI%2B%2Caps%2C370&amp;sr=8-3&amp;th=1","A")</f>
        <v>A</v>
      </c>
      <c r="J536">
        <v>130</v>
      </c>
      <c r="K536">
        <v>4</v>
      </c>
      <c r="L536">
        <f>IF(K536&gt;0,K536*16,)</f>
        <v>64</v>
      </c>
      <c r="M536">
        <f>IF(K536&gt;0,K536*0.453592,IF(L536&gt;0,L536*0.02835,))</f>
        <v>1.814368</v>
      </c>
      <c r="N536">
        <v>0</v>
      </c>
      <c r="O536">
        <v>0</v>
      </c>
      <c r="P536">
        <f>J536+O536+N536</f>
        <v>130</v>
      </c>
      <c r="Q536">
        <f>P536*C$3</f>
        <v>162500</v>
      </c>
      <c r="R536">
        <v>0</v>
      </c>
      <c r="S536">
        <f>ROUND(SUM(Q536:R536), -2)</f>
        <v>162500</v>
      </c>
      <c r="T536">
        <f>ROUNDUP(HLOOKUP(ROUNDUP(K536,0),'배송비 조회'!A$10:U$22,7,0)*C$3,-2)</f>
        <v>15600</v>
      </c>
      <c r="U536">
        <v>0</v>
      </c>
      <c r="V536">
        <f>ROUND(IF(R536&gt;0,0,(S536+T536)*0.2),-2)</f>
        <v>35600</v>
      </c>
      <c r="W536">
        <f>ROUND(IF(R536&gt;0,0,(S536+T536)*0.5),-2)</f>
        <v>89100</v>
      </c>
      <c r="X536">
        <f>IF(R536&gt;0,SUM(S536:T536),SUM(S536:V536))</f>
        <v>213700</v>
      </c>
      <c r="Y536">
        <f>IF(R536&gt;0,SUM(S536:T536),SUM(S536:U536)+W536)</f>
        <v>267200</v>
      </c>
      <c r="Z536">
        <v>0</v>
      </c>
      <c r="AA536">
        <f>X536*0.038</f>
        <v>8120.599999999999</v>
      </c>
      <c r="AB536">
        <f>X536*0.02</f>
        <v>4274</v>
      </c>
      <c r="AC536">
        <f>Y536*0.1</f>
        <v>26720</v>
      </c>
      <c r="AD536">
        <f>X536-AA536-AB536</f>
        <v>201305.4</v>
      </c>
      <c r="AE536">
        <f>Y536-AC536</f>
        <v>240480</v>
      </c>
      <c r="AF536">
        <f>AD536*0.01</f>
        <v>2013.054</v>
      </c>
      <c r="AG536">
        <f>AD536-Q536-AF536-T536</f>
        <v>21192.34599999999</v>
      </c>
      <c r="AH536">
        <f>AE536-Q536-AF536-T536</f>
        <v>60366.945999999996</v>
      </c>
      <c r="AI536">
        <f>AG536/X536</f>
        <v>0.09916867571361718</v>
      </c>
      <c r="AJ536">
        <f>AH536/Y536</f>
        <v>0.2259241991017964</v>
      </c>
      <c r="AK536">
        <f>X536-20000</f>
        <v>193700</v>
      </c>
      <c r="AL536">
        <f>AK536-AK537</f>
        <v>0</v>
      </c>
    </row>
    <row r="537">
      <c r="F537" t="str">
        <v>Silver</v>
      </c>
      <c r="G537" t="str">
        <f>HYPERLINK("https://www.amazon.com/Blue-Yeti-USB-Microphone-Blackout/dp/B002VA464S/ref=sr_1_3?crid=10WIMLTIAL4MO&amp;keywords=blue%2Byeti%2Bmicrophone&amp;qid=1570284132&amp;sprefix=BLUE%2BYETI%2B%2Caps%2C370&amp;sr=8-3&amp;th=1","A")</f>
        <v>A</v>
      </c>
      <c r="J537">
        <v>130</v>
      </c>
      <c r="K537">
        <v>4</v>
      </c>
      <c r="L537">
        <f>IF(K537&gt;0,K537*16,)</f>
        <v>64</v>
      </c>
      <c r="M537">
        <f>IF(K537&gt;0,K537*0.453592,IF(L537&gt;0,L537*0.02835,))</f>
        <v>1.814368</v>
      </c>
      <c r="N537">
        <v>0</v>
      </c>
      <c r="O537">
        <v>0</v>
      </c>
      <c r="P537">
        <f>J537+O537+N537</f>
        <v>130</v>
      </c>
      <c r="Q537">
        <f>P537*C$3</f>
        <v>162500</v>
      </c>
      <c r="R537">
        <v>0</v>
      </c>
      <c r="S537">
        <f>ROUND(SUM(Q537:R537), -2)</f>
        <v>162500</v>
      </c>
      <c r="T537">
        <f>ROUNDUP(HLOOKUP(ROUNDUP(K537,0),'배송비 조회'!A$10:U$22,7,0)*C$3,-2)</f>
        <v>15600</v>
      </c>
      <c r="U537">
        <v>0</v>
      </c>
      <c r="V537">
        <f>ROUND(IF(R537&gt;0,0,(S537+T537)*0.2),-2)</f>
        <v>35600</v>
      </c>
      <c r="W537">
        <f>ROUND(IF(R537&gt;0,0,(S537+T537)*0.5),-2)</f>
        <v>89100</v>
      </c>
      <c r="X537">
        <f>IF(R537&gt;0,SUM(S537:T537),SUM(S537:V537))</f>
        <v>213700</v>
      </c>
      <c r="Y537">
        <f>IF(R537&gt;0,SUM(S537:T537),SUM(S537:U537)+W537)</f>
        <v>267200</v>
      </c>
      <c r="Z537">
        <v>0</v>
      </c>
      <c r="AA537">
        <f>X537*0.038</f>
        <v>8120.599999999999</v>
      </c>
      <c r="AB537">
        <f>X537*0.02</f>
        <v>4274</v>
      </c>
      <c r="AC537">
        <f>Y537*0.1</f>
        <v>26720</v>
      </c>
      <c r="AD537">
        <f>X537-AA537-AB537</f>
        <v>201305.4</v>
      </c>
      <c r="AE537">
        <f>Y537-AC537</f>
        <v>240480</v>
      </c>
      <c r="AF537">
        <f>AD537*0.01</f>
        <v>2013.054</v>
      </c>
      <c r="AG537">
        <f>AD537-Q537-AF537-T537</f>
        <v>21192.34599999999</v>
      </c>
      <c r="AH537">
        <f>AE537-Q537-AF537-T537</f>
        <v>60366.945999999996</v>
      </c>
      <c r="AI537">
        <f>AG537/X537</f>
        <v>0.09916867571361718</v>
      </c>
      <c r="AJ537">
        <f>AH537/Y537</f>
        <v>0.2259241991017964</v>
      </c>
      <c r="AK537">
        <f>X537-20000</f>
        <v>193700</v>
      </c>
    </row>
    <row r="538">
      <c r="F538" t="str">
        <v>Aztec Copper</v>
      </c>
      <c r="G538" t="str">
        <f>HYPERLINK("https://www.amazon.com/Blue-Yeti-USB-Microphone-Blackout/dp/B07CY5HS72/ref=sr_1_3?crid=10WIMLTIAL4MO&amp;keywords=blue%2Byeti%2Bmicrophone&amp;qid=1570284132&amp;sprefix=BLUE%2BYETI%2B%2Caps%2C370&amp;sr=8-3&amp;th=1","A")</f>
        <v>A</v>
      </c>
      <c r="J538">
        <v>130</v>
      </c>
      <c r="K538">
        <v>4</v>
      </c>
      <c r="L538">
        <f>IF(K538&gt;0,K538*16,)</f>
        <v>64</v>
      </c>
      <c r="M538">
        <f>IF(K538&gt;0,K538*0.453592,IF(L538&gt;0,L538*0.02835,))</f>
        <v>1.814368</v>
      </c>
      <c r="N538">
        <v>0</v>
      </c>
      <c r="O538">
        <v>0</v>
      </c>
      <c r="P538">
        <f>J538+O538+N538</f>
        <v>130</v>
      </c>
      <c r="Q538">
        <f>P538*C$3</f>
        <v>162500</v>
      </c>
      <c r="R538">
        <v>0</v>
      </c>
      <c r="S538">
        <f>ROUND(SUM(Q538:R538), -2)</f>
        <v>162500</v>
      </c>
      <c r="T538">
        <f>ROUNDUP(HLOOKUP(ROUNDUP(K538,0),'배송비 조회'!A$10:U$22,7,0)*C$3,-2)</f>
        <v>15600</v>
      </c>
      <c r="U538">
        <v>0</v>
      </c>
      <c r="V538">
        <f>ROUND(IF(R538&gt;0,0,(S538+T538)*0.2),-2)</f>
        <v>35600</v>
      </c>
      <c r="W538">
        <f>ROUND(IF(R538&gt;0,0,(S538+T538)*0.5),-2)</f>
        <v>89100</v>
      </c>
      <c r="X538">
        <f>IF(R538&gt;0,SUM(S538:T538),SUM(S538:V538))</f>
        <v>213700</v>
      </c>
      <c r="Y538">
        <f>IF(R538&gt;0,SUM(S538:T538),SUM(S538:U538)+W538)</f>
        <v>267200</v>
      </c>
      <c r="Z538">
        <v>0</v>
      </c>
      <c r="AA538">
        <f>X538*0.038</f>
        <v>8120.599999999999</v>
      </c>
      <c r="AB538">
        <f>X538*0.02</f>
        <v>4274</v>
      </c>
      <c r="AC538">
        <f>Y538*0.1</f>
        <v>26720</v>
      </c>
      <c r="AD538">
        <f>X538-AA538-AB538</f>
        <v>201305.4</v>
      </c>
      <c r="AE538">
        <f>Y538-AC538</f>
        <v>240480</v>
      </c>
      <c r="AF538">
        <f>AD538*0.01</f>
        <v>2013.054</v>
      </c>
      <c r="AG538">
        <f>AD538-Q538-AF538-T538</f>
        <v>21192.34599999999</v>
      </c>
      <c r="AH538">
        <f>AE538-Q538-AF538-T538</f>
        <v>60366.945999999996</v>
      </c>
      <c r="AI538">
        <f>AG538/X538</f>
        <v>0.09916867571361718</v>
      </c>
      <c r="AJ538">
        <f>AH538/Y538</f>
        <v>0.2259241991017964</v>
      </c>
      <c r="AK538">
        <f>X538-20000</f>
        <v>193700</v>
      </c>
    </row>
    <row r="539">
      <c r="F539" t="str">
        <v>Midnight Blue</v>
      </c>
      <c r="G539" t="str">
        <f>HYPERLINK("https://www.amazon.com/Blue-Yeti-USB-Microphone-Blackout/dp/B01LY6Z2M6/ref=sr_1_3?crid=10WIMLTIAL4MO&amp;keywords=blue%2Byeti%2Bmicrophone&amp;qid=1570284132&amp;sprefix=BLUE%2BYETI%2B%2Caps%2C370&amp;sr=8-3&amp;th=1","A")</f>
        <v>A</v>
      </c>
      <c r="J539">
        <v>110</v>
      </c>
      <c r="K539">
        <v>4</v>
      </c>
      <c r="L539">
        <f>IF(K539&gt;0,K539*16,)</f>
        <v>64</v>
      </c>
      <c r="M539">
        <f>IF(K539&gt;0,K539*0.453592,IF(L539&gt;0,L539*0.02835,))</f>
        <v>1.814368</v>
      </c>
      <c r="N539">
        <v>0</v>
      </c>
      <c r="O539">
        <v>0</v>
      </c>
      <c r="P539">
        <f>J539+O539+N539</f>
        <v>110</v>
      </c>
      <c r="Q539">
        <f>P539*C$3</f>
        <v>137500</v>
      </c>
      <c r="R539">
        <v>0</v>
      </c>
      <c r="S539">
        <f>ROUND(SUM(Q539:R539), -2)</f>
        <v>137500</v>
      </c>
      <c r="T539">
        <f>ROUNDUP(HLOOKUP(ROUNDUP(K539,0),'배송비 조회'!A$10:U$22,7,0)*C$3,-2)</f>
        <v>15600</v>
      </c>
      <c r="U539">
        <v>0</v>
      </c>
      <c r="V539">
        <f>ROUND(IF(R539&gt;0,0,(S539+T539)*0.2),-2)</f>
        <v>30600</v>
      </c>
      <c r="W539">
        <f>ROUND(IF(R539&gt;0,0,(S539+T539)*0.5),-2)</f>
        <v>76600</v>
      </c>
      <c r="X539">
        <f>IF(R539&gt;0,SUM(S539:T539),SUM(S539:V539))</f>
        <v>183700</v>
      </c>
      <c r="Y539">
        <f>IF(R539&gt;0,SUM(S539:T539),SUM(S539:U539)+W539)</f>
        <v>229700</v>
      </c>
      <c r="Z539">
        <v>0</v>
      </c>
      <c r="AA539">
        <f>X539*0.038</f>
        <v>6980.599999999999</v>
      </c>
      <c r="AB539">
        <f>X539*0.02</f>
        <v>3674</v>
      </c>
      <c r="AC539">
        <f>Y539*0.1</f>
        <v>22970</v>
      </c>
      <c r="AD539">
        <f>X539-AA539-AB539</f>
        <v>173045.4</v>
      </c>
      <c r="AE539">
        <f>Y539-AC539</f>
        <v>206730</v>
      </c>
      <c r="AF539">
        <f>AD539*0.01</f>
        <v>1730.454</v>
      </c>
      <c r="AG539">
        <f>AD539-Q539-AF539-T539</f>
        <v>18214.945999999996</v>
      </c>
      <c r="AH539">
        <f>AE539-Q539-AF539-T539</f>
        <v>51899.546</v>
      </c>
      <c r="AI539">
        <f>AG539/X539</f>
        <v>0.09915593903102883</v>
      </c>
      <c r="AJ539">
        <f>AH539/Y539</f>
        <v>0.2259449107531563</v>
      </c>
      <c r="AK539">
        <f>X539-20000</f>
        <v>163700</v>
      </c>
    </row>
    <row r="540">
      <c r="F540" t="str">
        <v>Satin Red</v>
      </c>
      <c r="G540" t="str">
        <f>HYPERLINK("https://www.amazon.com/Blue-Yeti-USB-Microphone-Blackout/dp/B0722Z52B7/ref=sr_1_3?crid=10WIMLTIAL4MO&amp;keywords=blue%2Byeti%2Bmicrophone&amp;qid=1570284132&amp;sprefix=BLUE%2BYETI%2B%2Caps%2C370&amp;sr=8-3&amp;th=1","A")</f>
        <v>A</v>
      </c>
      <c r="J540">
        <v>130</v>
      </c>
      <c r="K540">
        <v>4</v>
      </c>
      <c r="L540">
        <f>IF(K540&gt;0,K540*16,)</f>
        <v>64</v>
      </c>
      <c r="M540">
        <f>IF(K540&gt;0,K540*0.453592,IF(L540&gt;0,L540*0.02835,))</f>
        <v>1.814368</v>
      </c>
      <c r="N540">
        <v>0</v>
      </c>
      <c r="O540">
        <v>0</v>
      </c>
      <c r="P540">
        <f>J540+O540+N540</f>
        <v>130</v>
      </c>
      <c r="Q540">
        <f>P540*C$3</f>
        <v>162500</v>
      </c>
      <c r="R540">
        <v>0</v>
      </c>
      <c r="S540">
        <f>ROUND(SUM(Q540:R540), -2)</f>
        <v>162500</v>
      </c>
      <c r="T540">
        <f>ROUNDUP(HLOOKUP(ROUNDUP(K540,0),'배송비 조회'!A$10:U$22,7,0)*C$3,-2)</f>
        <v>15600</v>
      </c>
      <c r="U540">
        <v>0</v>
      </c>
      <c r="V540">
        <f>ROUND(IF(R540&gt;0,0,(S540+T540)*0.2),-2)</f>
        <v>35600</v>
      </c>
      <c r="W540">
        <f>ROUND(IF(R540&gt;0,0,(S540+T540)*0.5),-2)</f>
        <v>89100</v>
      </c>
      <c r="X540">
        <f>IF(R540&gt;0,SUM(S540:T540),SUM(S540:V540))</f>
        <v>213700</v>
      </c>
      <c r="Y540">
        <f>IF(R540&gt;0,SUM(S540:T540),SUM(S540:U540)+W540)</f>
        <v>267200</v>
      </c>
      <c r="Z540">
        <v>0</v>
      </c>
      <c r="AA540">
        <f>X540*0.038</f>
        <v>8120.599999999999</v>
      </c>
      <c r="AB540">
        <f>X540*0.02</f>
        <v>4274</v>
      </c>
      <c r="AC540">
        <f>Y540*0.1</f>
        <v>26720</v>
      </c>
      <c r="AD540">
        <f>X540-AA540-AB540</f>
        <v>201305.4</v>
      </c>
      <c r="AE540">
        <f>Y540-AC540</f>
        <v>240480</v>
      </c>
      <c r="AF540">
        <f>AD540*0.01</f>
        <v>2013.054</v>
      </c>
      <c r="AG540">
        <f>AD540-Q540-AF540-T540</f>
        <v>21192.34599999999</v>
      </c>
      <c r="AH540">
        <f>AE540-Q540-AF540-T540</f>
        <v>60366.945999999996</v>
      </c>
      <c r="AI540">
        <f>AG540/X540</f>
        <v>0.09916867571361718</v>
      </c>
      <c r="AJ540">
        <f>AH540/Y540</f>
        <v>0.2259241991017964</v>
      </c>
      <c r="AK540">
        <f>X540-20000</f>
        <v>193700</v>
      </c>
    </row>
    <row r="541">
      <c r="F541" t="str">
        <v>Slate</v>
      </c>
      <c r="G541" t="str">
        <f>HYPERLINK("https://www.amazon.com/Blue-Yeti-USB-Microphone-Blackout/dp/B072PR6W8P/ref=sr_1_3?crid=10WIMLTIAL4MO&amp;keywords=blue%2Byeti%2Bmicrophone&amp;qid=1570284132&amp;sprefix=BLUE%2BYETI%2B%2Caps%2C370&amp;sr=8-3&amp;th=1","A")</f>
        <v>A</v>
      </c>
      <c r="J541">
        <v>130</v>
      </c>
      <c r="K541">
        <v>4</v>
      </c>
      <c r="L541">
        <f>IF(K541&gt;0,K541*16,)</f>
        <v>64</v>
      </c>
      <c r="M541">
        <f>IF(K541&gt;0,K541*0.453592,IF(L541&gt;0,L541*0.02835,))</f>
        <v>1.814368</v>
      </c>
      <c r="N541">
        <v>0</v>
      </c>
      <c r="O541">
        <v>0</v>
      </c>
      <c r="P541">
        <f>J541+O541+N541</f>
        <v>130</v>
      </c>
      <c r="Q541">
        <f>P541*C$3</f>
        <v>162500</v>
      </c>
      <c r="R541">
        <v>0</v>
      </c>
      <c r="S541">
        <f>ROUND(SUM(Q541:R541), -2)</f>
        <v>162500</v>
      </c>
      <c r="T541">
        <f>ROUNDUP(HLOOKUP(ROUNDUP(K541,0),'배송비 조회'!A$10:U$22,7,0)*C$3,-2)</f>
        <v>15600</v>
      </c>
      <c r="U541">
        <v>0</v>
      </c>
      <c r="V541">
        <f>ROUND(IF(R541&gt;0,0,(S541+T541)*0.2),-2)</f>
        <v>35600</v>
      </c>
      <c r="W541">
        <f>ROUND(IF(R541&gt;0,0,(S541+T541)*0.5),-2)</f>
        <v>89100</v>
      </c>
      <c r="X541">
        <f>IF(R541&gt;0,SUM(S541:T541),SUM(S541:V541))</f>
        <v>213700</v>
      </c>
      <c r="Y541">
        <f>IF(R541&gt;0,SUM(S541:T541),SUM(S541:U541)+W541)</f>
        <v>267200</v>
      </c>
      <c r="Z541">
        <v>0</v>
      </c>
      <c r="AA541">
        <f>X541*0.038</f>
        <v>8120.599999999999</v>
      </c>
      <c r="AB541">
        <f>X541*0.02</f>
        <v>4274</v>
      </c>
      <c r="AC541">
        <f>Y541*0.1</f>
        <v>26720</v>
      </c>
      <c r="AD541">
        <f>X541-AA541-AB541</f>
        <v>201305.4</v>
      </c>
      <c r="AE541">
        <f>Y541-AC541</f>
        <v>240480</v>
      </c>
      <c r="AF541">
        <f>AD541*0.01</f>
        <v>2013.054</v>
      </c>
      <c r="AG541">
        <f>AD541-Q541-AF541-T541</f>
        <v>21192.34599999999</v>
      </c>
      <c r="AH541">
        <f>AE541-Q541-AF541-T541</f>
        <v>60366.945999999996</v>
      </c>
      <c r="AI541">
        <f>AG541/X541</f>
        <v>0.09916867571361718</v>
      </c>
      <c r="AJ541">
        <f>AH541/Y541</f>
        <v>0.2259241991017964</v>
      </c>
      <c r="AK541">
        <f>X541-20000</f>
        <v>193700</v>
      </c>
    </row>
    <row r="542">
      <c r="F542" t="str">
        <v>Space Gray</v>
      </c>
      <c r="G542" t="str">
        <f>HYPERLINK("https://www.amazon.com/Blue-Yeti-USB-Microphone-Blackout/dp/B0170NWLWY/ref=sr_1_3?crid=10WIMLTIAL4MO&amp;keywords=blue%2Byeti%2Bmicrophone&amp;qid=1570284132&amp;sprefix=BLUE%2BYETI%2B%2Caps%2C370&amp;sr=8-3&amp;th=1","A")</f>
        <v>A</v>
      </c>
      <c r="J542">
        <v>130</v>
      </c>
      <c r="K542">
        <v>4</v>
      </c>
      <c r="L542">
        <f>IF(K542&gt;0,K542*16,)</f>
        <v>64</v>
      </c>
      <c r="M542">
        <f>IF(K542&gt;0,K542*0.453592,IF(L542&gt;0,L542*0.02835,))</f>
        <v>1.814368</v>
      </c>
      <c r="N542">
        <v>0</v>
      </c>
      <c r="O542">
        <v>0</v>
      </c>
      <c r="P542">
        <f>J542+O542+N542</f>
        <v>130</v>
      </c>
      <c r="Q542">
        <f>P542*C$3</f>
        <v>162500</v>
      </c>
      <c r="R542">
        <v>0</v>
      </c>
      <c r="S542">
        <f>ROUND(SUM(Q542:R542), -2)</f>
        <v>162500</v>
      </c>
      <c r="T542">
        <f>ROUNDUP(HLOOKUP(ROUNDUP(K542,0),'배송비 조회'!A$10:U$22,7,0)*C$3,-2)</f>
        <v>15600</v>
      </c>
      <c r="U542">
        <v>0</v>
      </c>
      <c r="V542">
        <f>ROUND(IF(R542&gt;0,0,(S542+T542)*0.2),-2)</f>
        <v>35600</v>
      </c>
      <c r="W542">
        <f>ROUND(IF(R542&gt;0,0,(S542+T542)*0.5),-2)</f>
        <v>89100</v>
      </c>
      <c r="X542">
        <f>IF(R542&gt;0,SUM(S542:T542),SUM(S542:V542))</f>
        <v>213700</v>
      </c>
      <c r="Y542">
        <f>IF(R542&gt;0,SUM(S542:T542),SUM(S542:U542)+W542)</f>
        <v>267200</v>
      </c>
      <c r="Z542">
        <v>0</v>
      </c>
      <c r="AA542">
        <f>X542*0.038</f>
        <v>8120.599999999999</v>
      </c>
      <c r="AB542">
        <f>X542*0.02</f>
        <v>4274</v>
      </c>
      <c r="AC542">
        <f>Y542*0.1</f>
        <v>26720</v>
      </c>
      <c r="AD542">
        <f>X542-AA542-AB542</f>
        <v>201305.4</v>
      </c>
      <c r="AE542">
        <f>Y542-AC542</f>
        <v>240480</v>
      </c>
      <c r="AF542">
        <f>AD542*0.01</f>
        <v>2013.054</v>
      </c>
      <c r="AG542">
        <f>AD542-Q542-AF542-T542</f>
        <v>21192.34599999999</v>
      </c>
      <c r="AH542">
        <f>AE542-Q542-AF542-T542</f>
        <v>60366.945999999996</v>
      </c>
      <c r="AI542">
        <f>AG542/X542</f>
        <v>0.09916867571361718</v>
      </c>
      <c r="AJ542">
        <f>AH542/Y542</f>
        <v>0.2259241991017964</v>
      </c>
      <c r="AK542">
        <f>X542-20000</f>
        <v>193700</v>
      </c>
    </row>
    <row r="543">
      <c r="F543" t="str">
        <v>Teal</v>
      </c>
      <c r="G543" t="str">
        <f>HYPERLINK("https://www.amazon.com/Blue-Yeti-USB-Microphone-Blackout/dp/B075MSG795/ref=sr_1_3?crid=10WIMLTIAL4MO&amp;keywords=blue%2Byeti%2Bmicrophone&amp;qid=1570284132&amp;sprefix=BLUE%2BYETI%2B%2Caps%2C370&amp;sr=8-3&amp;th=1","A")</f>
        <v>A</v>
      </c>
      <c r="J543">
        <v>130</v>
      </c>
      <c r="K543">
        <v>4</v>
      </c>
      <c r="L543">
        <f>IF(K543&gt;0,K543*16,)</f>
        <v>64</v>
      </c>
      <c r="M543">
        <f>IF(K543&gt;0,K543*0.453592,IF(L543&gt;0,L543*0.02835,))</f>
        <v>1.814368</v>
      </c>
      <c r="N543">
        <v>0</v>
      </c>
      <c r="O543">
        <v>0</v>
      </c>
      <c r="P543">
        <f>J543+O543+N543</f>
        <v>130</v>
      </c>
      <c r="Q543">
        <f>P543*C$3</f>
        <v>162500</v>
      </c>
      <c r="R543">
        <v>0</v>
      </c>
      <c r="S543">
        <f>ROUND(SUM(Q543:R543), -2)</f>
        <v>162500</v>
      </c>
      <c r="T543">
        <f>ROUNDUP(HLOOKUP(ROUNDUP(K543,0),'배송비 조회'!A$10:U$22,7,0)*C$3,-2)</f>
        <v>15600</v>
      </c>
      <c r="U543">
        <v>0</v>
      </c>
      <c r="V543">
        <f>ROUND(IF(R543&gt;0,0,(S543+T543)*0.2),-2)</f>
        <v>35600</v>
      </c>
      <c r="W543">
        <f>ROUND(IF(R543&gt;0,0,(S543+T543)*0.5),-2)</f>
        <v>89100</v>
      </c>
      <c r="X543">
        <f>IF(R543&gt;0,SUM(S543:T543),SUM(S543:V543))</f>
        <v>213700</v>
      </c>
      <c r="Y543">
        <f>IF(R543&gt;0,SUM(S543:T543),SUM(S543:U543)+W543)</f>
        <v>267200</v>
      </c>
      <c r="Z543">
        <v>0</v>
      </c>
      <c r="AA543">
        <f>X543*0.038</f>
        <v>8120.599999999999</v>
      </c>
      <c r="AB543">
        <f>X543*0.02</f>
        <v>4274</v>
      </c>
      <c r="AC543">
        <f>Y543*0.1</f>
        <v>26720</v>
      </c>
      <c r="AD543">
        <f>X543-AA543-AB543</f>
        <v>201305.4</v>
      </c>
      <c r="AE543">
        <f>Y543-AC543</f>
        <v>240480</v>
      </c>
      <c r="AF543">
        <f>AD543*0.01</f>
        <v>2013.054</v>
      </c>
      <c r="AG543">
        <f>AD543-Q543-AF543-T543</f>
        <v>21192.34599999999</v>
      </c>
      <c r="AH543">
        <f>AE543-Q543-AF543-T543</f>
        <v>60366.945999999996</v>
      </c>
      <c r="AI543">
        <f>AG543/X543</f>
        <v>0.09916867571361718</v>
      </c>
      <c r="AJ543">
        <f>AH543/Y543</f>
        <v>0.2259241991017964</v>
      </c>
      <c r="AK543">
        <f>X543-20000</f>
        <v>193700</v>
      </c>
      <c r="AL543">
        <f>AK543-AK537</f>
        <v>0</v>
      </c>
    </row>
    <row r="544" xml:space="preserve">
      <c r="A544">
        <f>HYPERLINK("https://smartstore.naver.com/brickstore2019/products/4702535959",AW:AW)</f>
        <v>4702535959</v>
      </c>
      <c r="C544" t="str">
        <v>피셔 스페이스펜 무중력펜 우주펜 EDC 아이템 400BCL(무료배송)</v>
      </c>
      <c r="E544" t="str" xml:space="preserve">
        <v xml:space="preserve">Fisher Space Pen Bullet Space Pen with Clip - Matte Black, Gift Boxed (400BCL)_x000d_
</v>
      </c>
      <c r="G544" t="str">
        <v>A</v>
      </c>
      <c r="J544">
        <v>26</v>
      </c>
      <c r="K544">
        <f>IF(L544&gt;0,L544*0.0625,)</f>
        <v>0.1875</v>
      </c>
      <c r="L544">
        <v>3</v>
      </c>
      <c r="M544">
        <f>IF(K544&gt;0,K544*0.453592,IF(L544&gt;0,L544*0.02835,))</f>
        <v>0.0850485</v>
      </c>
      <c r="N544">
        <v>0</v>
      </c>
      <c r="O544">
        <v>0</v>
      </c>
      <c r="P544">
        <f>J544+O544+N544</f>
        <v>26</v>
      </c>
      <c r="Q544">
        <f>P544*C$3</f>
        <v>32500</v>
      </c>
      <c r="R544">
        <v>0</v>
      </c>
      <c r="S544">
        <f>ROUND(SUM(Q544:R544), -2)</f>
        <v>32500</v>
      </c>
      <c r="T544">
        <f>ROUNDUP(HLOOKUP(ROUNDUP(K544,0),'배송비 조회'!A$10:U$22,7,0)*C$3,-2)</f>
        <v>9000</v>
      </c>
      <c r="U544">
        <v>0</v>
      </c>
      <c r="V544">
        <f>ROUND(IF(R544&gt;0,0,(S544+T544)*0.4),-2)</f>
        <v>16600</v>
      </c>
      <c r="W544">
        <f>ROUND(IF(R544&gt;0,0,(S544+T544)*0.5),-2)</f>
        <v>20800</v>
      </c>
      <c r="X544">
        <f>IF(R544&gt;0,SUM(S544:T544),SUM(S544:V544))</f>
        <v>58100</v>
      </c>
      <c r="Y544">
        <f>IF(R544&gt;0,SUM(S544:T544),SUM(S544:U544)+W544)</f>
        <v>62300</v>
      </c>
      <c r="Z544">
        <v>0</v>
      </c>
      <c r="AA544">
        <f>X544*0.038</f>
        <v>2207.7999999999997</v>
      </c>
      <c r="AB544">
        <f>X544*0.02</f>
        <v>1162</v>
      </c>
      <c r="AC544">
        <f>Y544*0.1</f>
        <v>6230</v>
      </c>
      <c r="AD544">
        <f>X544-AA544-AB544</f>
        <v>54730.2</v>
      </c>
      <c r="AE544">
        <f>Y544-AC544</f>
        <v>56070</v>
      </c>
      <c r="AF544">
        <f>AD544*0.01</f>
        <v>547.302</v>
      </c>
      <c r="AG544">
        <f>AD544-Q544-AF544-T544</f>
        <v>12682.897999999997</v>
      </c>
      <c r="AH544">
        <f>AE544-Q544-AF544-T544</f>
        <v>14022.698</v>
      </c>
      <c r="AI544">
        <f>AG544/X544</f>
        <v>0.21829428571428566</v>
      </c>
      <c r="AJ544">
        <f>AH544/Y544</f>
        <v>0.22508343499197433</v>
      </c>
      <c r="AW544">
        <v>4702535959</v>
      </c>
    </row>
    <row r="545">
      <c r="A545">
        <f>HYPERLINK("https://smartstore.naver.com/brickstore2019/products/4704985373",AW:AW)</f>
        <v>4704985373</v>
      </c>
      <c r="C545" t="str">
        <v>로켓 카인 202 Aimo 게이밍 마우스 Roccat Kain Aimo 202 Aimo (무료배송)</v>
      </c>
      <c r="E545" t="str">
        <v>Kain 202 Aimo RGB Gaming Mouse - White</v>
      </c>
      <c r="G545" t="str">
        <f>HYPERLINK("https://www.amazon.com/Kain-202-Aimo-Gaming-Mouse/dp/B07YQJ34H7/ref=sr_1_1?keywords=ROCCAT+KAIN+200%2F202&amp;qid=1571576312&amp;sr=8-1","A")</f>
        <v>A</v>
      </c>
      <c r="J545">
        <v>100</v>
      </c>
      <c r="K545">
        <f>IF(L545&gt;0,L545*0.0625,)</f>
        <v>0.5875</v>
      </c>
      <c r="L545">
        <v>9.4</v>
      </c>
      <c r="M545">
        <f>IF(K545&gt;0,K545*0.453592,IF(L545&gt;0,L545*0.02835,))</f>
        <v>0.2664853</v>
      </c>
      <c r="N545">
        <v>0</v>
      </c>
      <c r="O545">
        <v>0</v>
      </c>
      <c r="P545">
        <f>J545+O545+N545</f>
        <v>100</v>
      </c>
      <c r="Q545">
        <f>P545*C$3</f>
        <v>125000</v>
      </c>
      <c r="R545">
        <v>0</v>
      </c>
      <c r="S545">
        <f>ROUND(SUM(Q545:R545), -2)</f>
        <v>125000</v>
      </c>
      <c r="T545">
        <f>ROUNDUP(HLOOKUP(ROUNDUP(K545,0),'배송비 조회'!A$10:U$22,7,0)*C$3,-2)</f>
        <v>9000</v>
      </c>
      <c r="U545">
        <v>0</v>
      </c>
      <c r="V545">
        <f>ROUND(IF(R545&gt;0,0,(S545+T545)*0.18),-2)</f>
        <v>24100</v>
      </c>
      <c r="W545">
        <f>ROUND(IF(R545&gt;0,0,(S545+T545)*0.5),-2)</f>
        <v>67000</v>
      </c>
      <c r="X545">
        <f>IF(R545&gt;0,SUM(S545:T545),SUM(S545:V545))</f>
        <v>158100</v>
      </c>
      <c r="Y545">
        <f>IF(R545&gt;0,SUM(S545:T545),SUM(S545:U545)+W545)</f>
        <v>201000</v>
      </c>
      <c r="Z545">
        <v>0</v>
      </c>
      <c r="AA545">
        <f>X545*0.038</f>
        <v>6007.8</v>
      </c>
      <c r="AB545">
        <f>X545*0.02</f>
        <v>3162</v>
      </c>
      <c r="AC545">
        <f>Y545*0.1</f>
        <v>20100</v>
      </c>
      <c r="AD545">
        <f>X545-AA545-AB545</f>
        <v>148930.2</v>
      </c>
      <c r="AE545">
        <f>Y545-AC545</f>
        <v>180900</v>
      </c>
      <c r="AF545">
        <f>AD545*0.01</f>
        <v>1489.3020000000001</v>
      </c>
      <c r="AG545">
        <f>AD545-Q545-AF545-T545</f>
        <v>13440.898000000012</v>
      </c>
      <c r="AH545">
        <f>AE545-Q545-AF545-T545</f>
        <v>45410.698</v>
      </c>
      <c r="AI545">
        <f>AG545/X545</f>
        <v>0.08501516761543335</v>
      </c>
      <c r="AJ545">
        <f>AH545/Y545</f>
        <v>0.22592387064676614</v>
      </c>
      <c r="AW545">
        <v>4704985373</v>
      </c>
    </row>
    <row r="546">
      <c r="A546">
        <f>HYPERLINK("https://smartstore.naver.com/brickstore2019/products/4705035460",AW:AW)</f>
        <v>4705035460</v>
      </c>
      <c r="C546" t="str">
        <v>해밀턴 비치 싱글잔 커피메이커 Hamilton Beach 49981A (무료배송)</v>
      </c>
      <c r="E546" t="str">
        <v>Hamilton Beach The Scoop Single Serve Coffee Maker, Fast Brewing, Stainless Steel (49981A)</v>
      </c>
      <c r="G546" t="str">
        <f>HYPERLINK("https://www.amazon.com/Hamilton-Beach-49981A-Coffee-Single/dp/B00EI7DPS0/ref=sr_1_4?keywords=Single+Cup+Coffee+Maker&amp;qid=1571662313&amp;s=home-garden&amp;sr=1-4","A")</f>
        <v>A</v>
      </c>
      <c r="J546">
        <v>45</v>
      </c>
      <c r="K546">
        <v>5.45</v>
      </c>
      <c r="L546">
        <f>IF(K546&gt;0,K546*16,)</f>
        <v>87.2</v>
      </c>
      <c r="M546">
        <f>IF(K546&gt;0,K546*0.453592,IF(L546&gt;0,L546*0.02835,))</f>
        <v>2.4720764</v>
      </c>
      <c r="N546">
        <v>0</v>
      </c>
      <c r="O546">
        <v>0</v>
      </c>
      <c r="P546">
        <f>J546+O546+N546</f>
        <v>45</v>
      </c>
      <c r="Q546">
        <f>P546*C$3</f>
        <v>56250</v>
      </c>
      <c r="R546">
        <v>0</v>
      </c>
      <c r="S546">
        <f>ROUND(SUM(Q546:R546), -2)</f>
        <v>56300</v>
      </c>
      <c r="T546">
        <f>ROUNDUP(HLOOKUP(ROUNDUP(K546,0),'배송비 조회'!A$10:U$22,7,0)*C$3,-2)</f>
        <v>20000</v>
      </c>
      <c r="U546">
        <v>0</v>
      </c>
      <c r="V546">
        <f>ROUND(IF(R546&gt;0,0,(S546+T546)*0.3),-2)</f>
        <v>22900</v>
      </c>
      <c r="W546">
        <f>ROUND(IF(R546&gt;0,0,(S546+T546)*0.5),-2)</f>
        <v>38200</v>
      </c>
      <c r="X546">
        <f>IF(R546&gt;0,SUM(S546:T546),SUM(S546:V546))</f>
        <v>99200</v>
      </c>
      <c r="Y546">
        <f>IF(R546&gt;0,SUM(S546:T546),SUM(S546:U546)+W546)</f>
        <v>114500</v>
      </c>
      <c r="Z546">
        <v>0</v>
      </c>
      <c r="AA546">
        <f>X546*0.038</f>
        <v>3769.6</v>
      </c>
      <c r="AB546">
        <f>X546*0.02</f>
        <v>1984</v>
      </c>
      <c r="AC546">
        <f>Y546*0.1</f>
        <v>11450</v>
      </c>
      <c r="AD546">
        <f>X546-AA546-AB546</f>
        <v>93446.4</v>
      </c>
      <c r="AE546">
        <f>Y546-AC546</f>
        <v>103050</v>
      </c>
      <c r="AF546">
        <f>AD546*0.01</f>
        <v>934.4639999999999</v>
      </c>
      <c r="AG546">
        <f>AD546-Q546-AF546-T546</f>
        <v>16261.935999999994</v>
      </c>
      <c r="AH546">
        <f>AE546-Q546-AF546-T546</f>
        <v>25865.536</v>
      </c>
      <c r="AI546">
        <f>AG546/X546</f>
        <v>0.16393080645161284</v>
      </c>
      <c r="AJ546">
        <f>AH546/Y546</f>
        <v>0.22589987772925765</v>
      </c>
      <c r="AW546">
        <v>4705035460</v>
      </c>
    </row>
    <row r="547">
      <c r="A547">
        <f>HYPERLINK("https://smartstore.naver.com/brickstore2019/products/4705029215",AW:AW)</f>
        <v>4705029215</v>
      </c>
      <c r="C547" t="str">
        <v>아이클립 3 아이패드 악보 거치대 태블릿 거치대 iKlip 3(무료배송)</v>
      </c>
      <c r="E547" t="str">
        <v>IK Multimedia 3 universal tablet mount for microphone and music stands, Mic (IP-IKLIP-3-IN</v>
      </c>
      <c r="F547" t="str">
        <v>Stand mount</v>
      </c>
      <c r="G547" t="str">
        <f>HYPERLINK("https://www.amazon.com/IK-Multimedia-universal-microphone-IP-IKLIP-3/dp/B07JKKVPCV/ref=sr_1_1?keywords=IK%2BMultimedia%2BiKlip%2B3&amp;qid=1571579340&amp;s=electronics&amp;sr=1-1&amp;th=1","A")</f>
        <v>A</v>
      </c>
      <c r="J547">
        <v>50</v>
      </c>
      <c r="K547">
        <v>1.5</v>
      </c>
      <c r="L547">
        <f>IF(K547&gt;0,K547*16,)</f>
        <v>24</v>
      </c>
      <c r="M547">
        <f>IF(K547&gt;0,K547*0.453592,IF(L547&gt;0,L547*0.02835,))</f>
        <v>0.680388</v>
      </c>
      <c r="N547">
        <v>0</v>
      </c>
      <c r="O547">
        <v>0</v>
      </c>
      <c r="P547">
        <f>J547+O547+N547</f>
        <v>50</v>
      </c>
      <c r="Q547">
        <f>P547*C$3</f>
        <v>62500</v>
      </c>
      <c r="R547">
        <v>0</v>
      </c>
      <c r="S547">
        <f>ROUND(SUM(Q547:R547), -2)</f>
        <v>62500</v>
      </c>
      <c r="T547">
        <f>ROUNDUP(HLOOKUP(ROUNDUP(K547,0),'배송비 조회'!A$10:U$22,7,0)*C$3,-2)</f>
        <v>11200</v>
      </c>
      <c r="U547">
        <v>0</v>
      </c>
      <c r="V547">
        <f>ROUND(IF(R547&gt;0,0,(S547+T547)*0.3),-2)</f>
        <v>22100</v>
      </c>
      <c r="W547">
        <f>ROUND(IF(R547&gt;0,0,(S547+T547)*0.5),-2)</f>
        <v>36900</v>
      </c>
      <c r="X547">
        <f>IF(R547&gt;0,SUM(S547:T547),SUM(S547:V547))</f>
        <v>95800</v>
      </c>
      <c r="Y547">
        <f>IF(R547&gt;0,SUM(S547:T547),SUM(S547:U547)+W547)</f>
        <v>110600</v>
      </c>
      <c r="Z547">
        <v>0</v>
      </c>
      <c r="AA547">
        <f>X547*0.038</f>
        <v>3640.4</v>
      </c>
      <c r="AB547">
        <f>X547*0.02</f>
        <v>1916</v>
      </c>
      <c r="AC547">
        <f>Y547*0.1</f>
        <v>11060</v>
      </c>
      <c r="AD547">
        <f>X547-AA547-AB547</f>
        <v>90243.6</v>
      </c>
      <c r="AE547">
        <f>Y547-AC547</f>
        <v>99540</v>
      </c>
      <c r="AF547">
        <f>AD547*0.01</f>
        <v>902.436</v>
      </c>
      <c r="AG547">
        <f>AD547-Q547-AF547-T547</f>
        <v>15641.164000000004</v>
      </c>
      <c r="AH547">
        <f>AE547-Q547-AF547-T547</f>
        <v>24937.564</v>
      </c>
      <c r="AI547">
        <f>AG547/X547</f>
        <v>0.1632689352818372</v>
      </c>
      <c r="AJ547">
        <f>AH547/Y547</f>
        <v>0.22547526220614827</v>
      </c>
      <c r="AW547">
        <v>4705029215</v>
      </c>
    </row>
    <row r="548">
      <c r="A548">
        <f>HYPERLINK("https://smartstore.naver.com/brickstore2019/products/4705045209",AW:AW)</f>
        <v>4705045209</v>
      </c>
      <c r="C548" t="str">
        <v>아이클립 아이패드 악보 거치대 태블릿 거치대 iKlip (무료배송)</v>
      </c>
      <c r="E548" t="str">
        <v>IK Multimedia iKlip Xpand universal mic stand support for iPad and tablets</v>
      </c>
      <c r="G548" t="str">
        <f>HYPERLINK("https://www.amazon.com/IK-Multimedia-universal-support-tablets/dp/B00L9EKJY8/ref=sr_1_2?keywords=IK+Multimedia+iKlip+3&amp;qid=1571579340&amp;s=electronics&amp;sr=1-2","A")</f>
        <v>A</v>
      </c>
      <c r="J548">
        <v>40</v>
      </c>
      <c r="K548">
        <v>1.5</v>
      </c>
      <c r="L548">
        <f>IF(K548&gt;0,K548*16,)</f>
        <v>24</v>
      </c>
      <c r="M548">
        <f>IF(K548&gt;0,K548*0.453592,IF(L548&gt;0,L548*0.02835,))</f>
        <v>0.680388</v>
      </c>
      <c r="N548">
        <v>0</v>
      </c>
      <c r="O548">
        <v>0</v>
      </c>
      <c r="P548">
        <f>J548+O548+N548</f>
        <v>40</v>
      </c>
      <c r="Q548">
        <f>P548*C$3</f>
        <v>50000</v>
      </c>
      <c r="R548">
        <v>0</v>
      </c>
      <c r="S548">
        <f>ROUND(SUM(Q548:R548), -2)</f>
        <v>50000</v>
      </c>
      <c r="T548">
        <f>ROUNDUP(HLOOKUP(ROUNDUP(K548,0),'배송비 조회'!A$10:U$22,7,0)*C$3,-2)</f>
        <v>11200</v>
      </c>
      <c r="U548">
        <v>0</v>
      </c>
      <c r="V548">
        <f>ROUND(IF(R548&gt;0,0,(S548+T548)*0.3),-2)</f>
        <v>18400</v>
      </c>
      <c r="W548">
        <f>ROUND(IF(R548&gt;0,0,(S548+T548)*0.5),-2)</f>
        <v>30600</v>
      </c>
      <c r="X548">
        <f>IF(R548&gt;0,SUM(S548:T548),SUM(S548:V548))</f>
        <v>79600</v>
      </c>
      <c r="Y548">
        <f>IF(R548&gt;0,SUM(S548:T548),SUM(S548:U548)+W548)</f>
        <v>91800</v>
      </c>
      <c r="Z548">
        <v>0</v>
      </c>
      <c r="AA548">
        <f>X548*0.038</f>
        <v>3024.7999999999997</v>
      </c>
      <c r="AB548">
        <f>X548*0.02</f>
        <v>1592</v>
      </c>
      <c r="AC548">
        <f>Y548*0.1</f>
        <v>9180</v>
      </c>
      <c r="AD548">
        <f>X548-AA548-AB548</f>
        <v>74983.2</v>
      </c>
      <c r="AE548">
        <f>Y548-AC548</f>
        <v>82620</v>
      </c>
      <c r="AF548">
        <f>AD548*0.01</f>
        <v>749.832</v>
      </c>
      <c r="AG548">
        <f>AD548-Q548-AF548-T548</f>
        <v>13033.367999999999</v>
      </c>
      <c r="AH548">
        <f>AE548-Q548-AF548-T548</f>
        <v>20670.168</v>
      </c>
      <c r="AI548">
        <f>AG548/X548</f>
        <v>0.16373577889447236</v>
      </c>
      <c r="AJ548">
        <f>AH548/Y548</f>
        <v>0.22516522875816994</v>
      </c>
      <c r="AW548">
        <v>4705045209</v>
      </c>
    </row>
    <row r="549">
      <c r="A549">
        <f>HYPERLINK("https://smartstore.naver.com/brickstore2019/products/4705070027",AW:AW)</f>
        <v>4705070027</v>
      </c>
      <c r="C549" t="str">
        <v>해밀턴 비치 2-way 싱글 커피포트 커피메이커  Hamilton Beach 49980A (무료배송)</v>
      </c>
      <c r="E549" t="str">
        <v>Hamilton Beach 2-Way Brewer Coffee Maker, Single-Serve with 12 Cup Carafe, Stainless Steel (49980A)</v>
      </c>
      <c r="G549" t="str">
        <f>HYPERLINK("https://www.amazon.com/Hamilton-Beach-49981A-Coffee-Single/dp/B00EI7DPPI/ref=sr_1_4?keywords=Single%2BCup%2BCoffee%2BMaker&amp;qid=1571662313&amp;s=home-garden&amp;sr=1-4&amp;th=1","A")</f>
        <v>A</v>
      </c>
      <c r="J549">
        <v>72</v>
      </c>
      <c r="K549">
        <v>9.4</v>
      </c>
      <c r="L549">
        <f>IF(K549&gt;0,K549*16,)</f>
        <v>150.4</v>
      </c>
      <c r="M549">
        <f>IF(K549&gt;0,K549*0.453592,IF(L549&gt;0,L549*0.02835,))</f>
        <v>4.2637648</v>
      </c>
      <c r="N549">
        <v>0</v>
      </c>
      <c r="O549">
        <v>0</v>
      </c>
      <c r="P549">
        <f>J549+O549+N549</f>
        <v>72</v>
      </c>
      <c r="Q549">
        <f>P549*C$3</f>
        <v>90000</v>
      </c>
      <c r="R549">
        <v>0</v>
      </c>
      <c r="S549">
        <f>ROUND(SUM(Q549:R549), -2)</f>
        <v>90000</v>
      </c>
      <c r="T549">
        <f>ROUNDUP(HLOOKUP(ROUNDUP(K549,0),'배송비 조회'!A$10:U$22,7,0)*C$3,-2)</f>
        <v>28700</v>
      </c>
      <c r="U549">
        <v>0</v>
      </c>
      <c r="V549">
        <f>ROUND(IF(R549&gt;0,0,(S549+T549)*0.3),-2)</f>
        <v>35600</v>
      </c>
      <c r="W549">
        <f>ROUND(IF(R549&gt;0,0,(S549+T549)*0.5),-2)</f>
        <v>59400</v>
      </c>
      <c r="X549">
        <f>IF(R549&gt;0,SUM(S549:T549),SUM(S549:V549))</f>
        <v>154300</v>
      </c>
      <c r="Y549">
        <f>IF(R549&gt;0,SUM(S549:T549),SUM(S549:U549)+W549)</f>
        <v>178100</v>
      </c>
      <c r="Z549">
        <v>0</v>
      </c>
      <c r="AA549">
        <f>X549*0.038</f>
        <v>5863.4</v>
      </c>
      <c r="AB549">
        <f>X549*0.02</f>
        <v>3086</v>
      </c>
      <c r="AC549">
        <f>Y549*0.1</f>
        <v>17810</v>
      </c>
      <c r="AD549">
        <f>X549-AA549-AB549</f>
        <v>145350.6</v>
      </c>
      <c r="AE549">
        <f>Y549-AC549</f>
        <v>160290</v>
      </c>
      <c r="AF549">
        <f>AD549*0.01</f>
        <v>1453.506</v>
      </c>
      <c r="AG549">
        <f>AD549-Q549-AF549-T549</f>
        <v>25197.094000000005</v>
      </c>
      <c r="AH549">
        <f>AE549-Q549-AF549-T549</f>
        <v>40136.494000000006</v>
      </c>
      <c r="AI549">
        <f>AG549/X549</f>
        <v>0.16329937783538565</v>
      </c>
      <c r="AJ549">
        <f>AH549/Y549</f>
        <v>0.2253593149915778</v>
      </c>
      <c r="AW549">
        <v>4705070027</v>
      </c>
    </row>
    <row r="550">
      <c r="A550">
        <f>HYPERLINK("https://smartstore.naver.com/brickstore2019/products/4705085615",AW:AW)</f>
        <v>4705085615</v>
      </c>
      <c r="C550" t="str">
        <v>디테일한 고정과 방향 조절이 자유로운 아이폰 스마트폰 거치대 아이클립 미니 (무료배송)</v>
      </c>
      <c r="E550" t="str">
        <v>IK Multimedia iKlip Xpand Mini universal mic stand support for iPhone, iPod touch and smartphone</v>
      </c>
      <c r="G550" t="str">
        <f>HYPERLINK("https://www.amazon.com/IK-Multimedia-universal-support-smartphones/dp/B00JJOBNRM/ref=sr_1_3?keywords=IK+Multimedia+iKlip+3&amp;qid=1571579340&amp;s=electronics&amp;sr=1-3","A")</f>
        <v>A</v>
      </c>
      <c r="J550">
        <v>40</v>
      </c>
      <c r="K550">
        <f>IF(L550&gt;0,L550*0.0625,)</f>
        <v>0.8125</v>
      </c>
      <c r="L550">
        <v>13</v>
      </c>
      <c r="M550">
        <f>IF(K550&gt;0,K550*0.453592,IF(L550&gt;0,L550*0.02835,))</f>
        <v>0.3685435</v>
      </c>
      <c r="N550">
        <v>0</v>
      </c>
      <c r="O550">
        <v>0</v>
      </c>
      <c r="P550">
        <f>J550+O550+N550</f>
        <v>40</v>
      </c>
      <c r="Q550">
        <f>P550*C$3</f>
        <v>50000</v>
      </c>
      <c r="R550">
        <v>0</v>
      </c>
      <c r="S550">
        <f>ROUND(SUM(Q550:R550), -2)</f>
        <v>50000</v>
      </c>
      <c r="T550">
        <f>ROUNDUP(HLOOKUP(ROUNDUP(K550,0),'배송비 조회'!A$10:U$22,7,0)*C$3,-2)</f>
        <v>9000</v>
      </c>
      <c r="U550">
        <v>0</v>
      </c>
      <c r="V550">
        <f>ROUND(IF(R550&gt;0,0,(S550+T550)*0.3),-2)</f>
        <v>17700</v>
      </c>
      <c r="W550">
        <f>ROUND(IF(R550&gt;0,0,(S550+T550)*0.5),-2)</f>
        <v>29500</v>
      </c>
      <c r="X550">
        <f>IF(R550&gt;0,SUM(S550:T550),SUM(S550:V550))</f>
        <v>76700</v>
      </c>
      <c r="Y550">
        <f>IF(R550&gt;0,SUM(S550:T550),SUM(S550:U550)+W550)</f>
        <v>88500</v>
      </c>
      <c r="Z550">
        <v>0</v>
      </c>
      <c r="AA550">
        <f>X550*0.038</f>
        <v>2914.6</v>
      </c>
      <c r="AB550">
        <f>X550*0.02</f>
        <v>1534</v>
      </c>
      <c r="AC550">
        <f>Y550*0.1</f>
        <v>8850</v>
      </c>
      <c r="AD550">
        <f>X550-AA550-AB550</f>
        <v>72251.4</v>
      </c>
      <c r="AE550">
        <f>Y550-AC550</f>
        <v>79650</v>
      </c>
      <c r="AF550">
        <f>AD550*0.01</f>
        <v>722.514</v>
      </c>
      <c r="AG550">
        <f>AD550-Q550-AF550-T550</f>
        <v>12528.885999999995</v>
      </c>
      <c r="AH550">
        <f>AE550-Q550-AF550-T550</f>
        <v>19927.486</v>
      </c>
      <c r="AI550">
        <f>AG550/X550</f>
        <v>0.1633492307692307</v>
      </c>
      <c r="AJ550">
        <f>AH550/Y550</f>
        <v>0.22516933333333333</v>
      </c>
      <c r="AW550">
        <v>4705085615</v>
      </c>
    </row>
    <row r="551">
      <c r="A551">
        <f>HYPERLINK("https://smartstore.naver.com/brickstore2019/products/4705100367",AW:AW)</f>
        <v>4705100367</v>
      </c>
      <c r="C551" t="str">
        <v>엔드게임 기어 XM1 게이밍마우스 ENDGAME GEAR XM1(무료배송)</v>
      </c>
      <c r="E551" t="str">
        <v>ENDGAME GEAR XM1 Gaming Mouse - Optical PMW3389 Sensor - Up to 16,000 DPI - 5 Buttons - Omron Switches - Black</v>
      </c>
      <c r="G551" t="str">
        <f>HYPERLINK("https://www.amazon.com/ENDGAME-GEAR-Gaming-Mouse-Electronic-Game/dp/B07VCKBH6M","A")</f>
        <v>A</v>
      </c>
      <c r="J551">
        <v>60</v>
      </c>
      <c r="K551">
        <f>IF(L551&gt;0,L551*0.0625,)</f>
        <v>0.25</v>
      </c>
      <c r="L551">
        <v>4</v>
      </c>
      <c r="M551">
        <f>IF(K551&gt;0,K551*0.453592,IF(L551&gt;0,L551*0.02835,))</f>
        <v>0.113398</v>
      </c>
      <c r="N551">
        <v>0</v>
      </c>
      <c r="O551">
        <v>0</v>
      </c>
      <c r="P551">
        <f>J551+O551+N551</f>
        <v>60</v>
      </c>
      <c r="Q551">
        <f>P551*C$3</f>
        <v>75000</v>
      </c>
      <c r="R551">
        <v>0</v>
      </c>
      <c r="S551">
        <f>ROUND(SUM(Q551:R551), -2)</f>
        <v>75000</v>
      </c>
      <c r="T551">
        <f>ROUNDUP(HLOOKUP(ROUNDUP(K551,0),'배송비 조회'!A$10:U$22,7,0)*C$3,-2)</f>
        <v>9000</v>
      </c>
      <c r="U551">
        <v>0</v>
      </c>
      <c r="V551">
        <f>ROUND(IF(R551&gt;0,0,(S551+T551)*0.2),-2)</f>
        <v>16800</v>
      </c>
      <c r="W551">
        <f>ROUND(IF(R551&gt;0,0,(S551+T551)*0.5),-2)</f>
        <v>42000</v>
      </c>
      <c r="X551">
        <f>IF(R551&gt;0,SUM(S551:T551),SUM(S551:V551))</f>
        <v>100800</v>
      </c>
      <c r="Y551">
        <f>IF(R551&gt;0,SUM(S551:T551),SUM(S551:U551)+W551)</f>
        <v>126000</v>
      </c>
      <c r="Z551">
        <v>0</v>
      </c>
      <c r="AA551">
        <f>X551*0.038</f>
        <v>3830.4</v>
      </c>
      <c r="AB551">
        <f>X551*0.02</f>
        <v>2016</v>
      </c>
      <c r="AC551">
        <f>Y551*0.1</f>
        <v>12600</v>
      </c>
      <c r="AD551">
        <f>X551-AA551-AB551</f>
        <v>94953.6</v>
      </c>
      <c r="AE551">
        <f>Y551-AC551</f>
        <v>113400</v>
      </c>
      <c r="AF551">
        <f>AD551*0.01</f>
        <v>949.5360000000001</v>
      </c>
      <c r="AG551">
        <f>AD551-Q551-AF551-T551</f>
        <v>10004.064000000006</v>
      </c>
      <c r="AH551">
        <f>AE551-Q551-AF551-T551</f>
        <v>28450.464</v>
      </c>
      <c r="AI551">
        <f>AG551/X551</f>
        <v>0.09924666666666672</v>
      </c>
      <c r="AJ551">
        <f>AH551/Y551</f>
        <v>0.22579733333333332</v>
      </c>
      <c r="AW551">
        <v>4705100367</v>
      </c>
    </row>
    <row r="552">
      <c r="A552">
        <f>HYPERLINK("https://smartstore.naver.com/brickstore2019/products/4705110226",AW:AW)</f>
        <v>4705110226</v>
      </c>
      <c r="C552" t="str">
        <v>쿨러마스터 초경량 울트라 게이밍마우스 MM710 (무료배송)</v>
      </c>
      <c r="E552" t="str">
        <v>Cooler Master MM710 53G Gaming Mouse with Lightweight Honeycomb Shell, Ultralight Ultraweave Cable, Pixart 3389 16000 DPI Optical Sensor</v>
      </c>
      <c r="G552" t="str">
        <v>A</v>
      </c>
      <c r="J552">
        <v>50</v>
      </c>
      <c r="K552">
        <f>IF(L552&gt;0,L552*0.0625,)</f>
        <v>0.3125</v>
      </c>
      <c r="L552">
        <v>5</v>
      </c>
      <c r="M552">
        <f>IF(K552&gt;0,K552*0.453592,IF(L552&gt;0,L552*0.02835,))</f>
        <v>0.1417475</v>
      </c>
      <c r="N552">
        <v>0</v>
      </c>
      <c r="O552">
        <v>0</v>
      </c>
      <c r="P552">
        <f>J552+O552+N552</f>
        <v>50</v>
      </c>
      <c r="Q552">
        <f>P552*C$3</f>
        <v>62500</v>
      </c>
      <c r="R552">
        <v>0</v>
      </c>
      <c r="S552">
        <f>ROUND(SUM(Q552:R552), -2)</f>
        <v>62500</v>
      </c>
      <c r="T552">
        <f>ROUNDUP(HLOOKUP(ROUNDUP(K552,0),'배송비 조회'!A$10:U$22,7,0)*C$3,-2)</f>
        <v>9000</v>
      </c>
      <c r="U552">
        <v>0</v>
      </c>
      <c r="V552">
        <f>ROUND(IF(R552&gt;0,0,(S552+T552)*0.3),-2)</f>
        <v>21500</v>
      </c>
      <c r="W552">
        <f>ROUND(IF(R552&gt;0,0,(S552+T552)*0.5),-2)</f>
        <v>35800</v>
      </c>
      <c r="X552">
        <f>IF(R552&gt;0,SUM(S552:T552),SUM(S552:V552))</f>
        <v>93000</v>
      </c>
      <c r="Y552">
        <f>IF(R552&gt;0,SUM(S552:T552),SUM(S552:U552)+W552)</f>
        <v>107300</v>
      </c>
      <c r="Z552">
        <v>0</v>
      </c>
      <c r="AA552">
        <f>X552*0.038</f>
        <v>3534</v>
      </c>
      <c r="AB552">
        <f>X552*0.02</f>
        <v>1860</v>
      </c>
      <c r="AC552">
        <f>Y552*0.1</f>
        <v>10730</v>
      </c>
      <c r="AD552">
        <f>X552-AA552-AB552</f>
        <v>87606</v>
      </c>
      <c r="AE552">
        <f>Y552-AC552</f>
        <v>96570</v>
      </c>
      <c r="AF552">
        <f>AD552*0.01</f>
        <v>876.0600000000001</v>
      </c>
      <c r="AG552">
        <f>AD552-Q552-AF552-T552</f>
        <v>15229.939999999999</v>
      </c>
      <c r="AH552">
        <f>AE552-Q552-AF552-T552</f>
        <v>24193.940000000002</v>
      </c>
      <c r="AI552">
        <f>AG552/X552</f>
        <v>0.1637627956989247</v>
      </c>
      <c r="AJ552">
        <f>AH552/Y552</f>
        <v>0.22547940354147253</v>
      </c>
      <c r="AW552">
        <v>4705110226</v>
      </c>
    </row>
    <row r="553">
      <c r="A553">
        <f>HYPERLINK("https://smartstore.naver.com/brickstore2019/products/4706366268",AW:AW)</f>
        <v>4706366268</v>
      </c>
      <c r="C553" t="str">
        <v>케미컬가이 빅마우스 폼 캐논 EQP322(무료배송)</v>
      </c>
      <c r="E553" t="str">
        <v>Chemical Guys EQP322 Big Mouth Professional Foam Canno</v>
      </c>
      <c r="G553" t="str">
        <f>HYPERLINK("https://www.amazon.com/Chemical-Guys-EQP322-Professional-Cannon/dp/B0767FG5GB/ref=sr_1_1?keywords=big+mouth+foam&amp;qid=1571577023&amp;sr=8-1","A")</f>
        <v>A</v>
      </c>
      <c r="J553">
        <v>90</v>
      </c>
      <c r="K553">
        <v>2</v>
      </c>
      <c r="L553">
        <f>IF(K553&gt;0,K553*16,)</f>
        <v>32</v>
      </c>
      <c r="M553">
        <f>IF(K553&gt;0,K553*0.453592,IF(L553&gt;0,L553*0.02835,))</f>
        <v>0.907184</v>
      </c>
      <c r="N553">
        <v>0</v>
      </c>
      <c r="O553">
        <v>0</v>
      </c>
      <c r="P553">
        <f>J553+O553+N553</f>
        <v>90</v>
      </c>
      <c r="Q553">
        <f>P553*C$3</f>
        <v>112500</v>
      </c>
      <c r="R553">
        <v>0</v>
      </c>
      <c r="S553">
        <f>ROUND(SUM(Q553:R553), -2)</f>
        <v>112500</v>
      </c>
      <c r="T553">
        <f>ROUNDUP(HLOOKUP(ROUNDUP(K553,0),'배송비 조회'!A$10:U$22,7,0)*C$3,-2)</f>
        <v>11200</v>
      </c>
      <c r="U553">
        <v>0</v>
      </c>
      <c r="V553">
        <f>ROUND(IF(R553&gt;0,0,(S553+T553)*0.2),-2)</f>
        <v>24700</v>
      </c>
      <c r="W553">
        <f>ROUND(IF(R553&gt;0,0,(S553+T553)*0.5),-2)</f>
        <v>61900</v>
      </c>
      <c r="X553">
        <f>IF(R553&gt;0,SUM(S553:T553),SUM(S553:V553))</f>
        <v>148400</v>
      </c>
      <c r="Y553">
        <f>IF(R553&gt;0,SUM(S553:T553),SUM(S553:U553)+W553)</f>
        <v>185600</v>
      </c>
      <c r="Z553">
        <v>0</v>
      </c>
      <c r="AA553">
        <f>X553*0.038</f>
        <v>5639.2</v>
      </c>
      <c r="AB553">
        <f>X553*0.02</f>
        <v>2968</v>
      </c>
      <c r="AC553">
        <f>Y553*0.1</f>
        <v>18560</v>
      </c>
      <c r="AD553">
        <f>X553-AA553-AB553</f>
        <v>139792.8</v>
      </c>
      <c r="AE553">
        <f>Y553-AC553</f>
        <v>167040</v>
      </c>
      <c r="AF553">
        <f>AD553*0.01</f>
        <v>1397.9279999999999</v>
      </c>
      <c r="AG553">
        <f>AD553-Q553-AF553-T553</f>
        <v>14694.871999999988</v>
      </c>
      <c r="AH553">
        <f>AE553-Q553-AF553-T553</f>
        <v>41942.072</v>
      </c>
      <c r="AI553">
        <f>AG553/X553</f>
        <v>0.09902204851752014</v>
      </c>
      <c r="AJ553">
        <f>AH553/Y553</f>
        <v>0.22598099137931035</v>
      </c>
      <c r="AW553">
        <v>4706366268</v>
      </c>
    </row>
    <row r="554">
      <c r="A554">
        <f>HYPERLINK("https://smartstore.naver.com/brickstore2019/products/4706390429",AW:AW)</f>
        <v>4706390429</v>
      </c>
      <c r="C554" t="str">
        <v>inphic V780 울트라 슬림 초경량 무선 키보드 마우스 세트(무료배송)</v>
      </c>
      <c r="E554" t="str">
        <v>Wireless Keyboard and Mouse Combo, Inphic Rechargeable Wireless Mouse and Keyboard Combo Set with 2.4GHz USB Nano, Silent Click</v>
      </c>
      <c r="F554" t="str">
        <v>Grey</v>
      </c>
      <c r="G554" t="str">
        <f>HYPERLINK("https://www.amazon.com/Rechargeable-Wireless-Keyboard-Cordless-Thinkpad/dp/B07CZCHMSX?th=1","A")</f>
        <v>A</v>
      </c>
      <c r="J554">
        <v>25</v>
      </c>
      <c r="K554">
        <v>1.3</v>
      </c>
      <c r="L554">
        <f>IF(K554&gt;0,K554*16,)</f>
        <v>20.8</v>
      </c>
      <c r="M554">
        <f>IF(K554&gt;0,K554*0.453592,IF(L554&gt;0,L554*0.02835,))</f>
        <v>0.5896696</v>
      </c>
      <c r="N554">
        <v>0</v>
      </c>
      <c r="O554">
        <v>0</v>
      </c>
      <c r="P554">
        <f>J554+O554+N554</f>
        <v>25</v>
      </c>
      <c r="Q554">
        <f>P554*C$3</f>
        <v>31250</v>
      </c>
      <c r="R554">
        <v>0</v>
      </c>
      <c r="S554">
        <f>ROUND(SUM(Q554:R554), -2)</f>
        <v>31300</v>
      </c>
      <c r="T554">
        <f>ROUNDUP(HLOOKUP(ROUNDUP(K554,0),'배송비 조회'!A$10:U$22,7,0)*C$3,-2)</f>
        <v>11200</v>
      </c>
      <c r="U554">
        <v>0</v>
      </c>
      <c r="V554">
        <f>ROUND(IF(R554&gt;0,0,(S554+T554)*0.3),-2)</f>
        <v>12800</v>
      </c>
      <c r="W554">
        <f>ROUND(IF(R554&gt;0,0,(S554+T554)*0.5),-2)</f>
        <v>21300</v>
      </c>
      <c r="X554">
        <f>IF(R554&gt;0,SUM(S554:T554),SUM(S554:V554))</f>
        <v>55300</v>
      </c>
      <c r="Y554">
        <f>IF(R554&gt;0,SUM(S554:T554),SUM(S554:U554)+W554)</f>
        <v>63800</v>
      </c>
      <c r="Z554">
        <v>0</v>
      </c>
      <c r="AA554">
        <f>X554*0.038</f>
        <v>2101.4</v>
      </c>
      <c r="AB554">
        <f>X554*0.02</f>
        <v>1106</v>
      </c>
      <c r="AC554">
        <f>Y554*0.1</f>
        <v>6380</v>
      </c>
      <c r="AD554">
        <f>X554-AA554-AB554</f>
        <v>52092.6</v>
      </c>
      <c r="AE554">
        <f>Y554-AC554</f>
        <v>57420</v>
      </c>
      <c r="AF554">
        <f>AD554*0.01</f>
        <v>520.926</v>
      </c>
      <c r="AG554">
        <f>AD554-Q554-AF554-T554</f>
        <v>9121.673999999999</v>
      </c>
      <c r="AH554">
        <f>AE554-Q554-AF554-T554</f>
        <v>14449.074</v>
      </c>
      <c r="AI554">
        <f>AG554/X554</f>
        <v>0.16494889692585893</v>
      </c>
      <c r="AJ554">
        <f>AH554/Y554</f>
        <v>0.2264745141065831</v>
      </c>
      <c r="AW554">
        <v>4706390429</v>
      </c>
    </row>
    <row r="555">
      <c r="F555" t="str">
        <v>Silver</v>
      </c>
      <c r="G555" t="str">
        <f>HYPERLINK("https://www.amazon.com/Rechargeable-Wireless-Keyboard-Cordless-Thinkpad/dp/B07L3VN6VH?th=1","A")</f>
        <v>A</v>
      </c>
      <c r="J555">
        <v>25</v>
      </c>
      <c r="K555">
        <v>1.3</v>
      </c>
      <c r="L555">
        <f>IF(K555&gt;0,K555*16,)</f>
        <v>20.8</v>
      </c>
      <c r="M555">
        <f>IF(K555&gt;0,K555*0.453592,IF(L555&gt;0,L555*0.02835,))</f>
        <v>0.5896696</v>
      </c>
      <c r="N555">
        <v>0</v>
      </c>
      <c r="O555">
        <v>0</v>
      </c>
      <c r="P555">
        <f>J555+O555+N555</f>
        <v>25</v>
      </c>
      <c r="Q555">
        <f>P555*C$3</f>
        <v>31250</v>
      </c>
      <c r="R555">
        <v>0</v>
      </c>
      <c r="S555">
        <f>ROUND(SUM(Q555:R555), -2)</f>
        <v>31300</v>
      </c>
      <c r="T555">
        <f>ROUNDUP(HLOOKUP(ROUNDUP(K555,0),'배송비 조회'!A$10:U$22,7,0)*C$3,-2)</f>
        <v>11200</v>
      </c>
      <c r="U555">
        <v>0</v>
      </c>
      <c r="V555">
        <f>ROUND(IF(R555&gt;0,0,(S555+T555)*0.3),-2)</f>
        <v>12800</v>
      </c>
      <c r="W555">
        <f>ROUND(IF(R555&gt;0,0,(S555+T555)*0.5),-2)</f>
        <v>21300</v>
      </c>
      <c r="X555">
        <f>IF(R555&gt;0,SUM(S555:T555),SUM(S555:V555))</f>
        <v>55300</v>
      </c>
      <c r="Y555">
        <f>IF(R555&gt;0,SUM(S555:T555),SUM(S555:U555)+W555)</f>
        <v>63800</v>
      </c>
      <c r="Z555">
        <v>0</v>
      </c>
      <c r="AA555">
        <f>X555*0.038</f>
        <v>2101.4</v>
      </c>
      <c r="AB555">
        <f>X555*0.02</f>
        <v>1106</v>
      </c>
      <c r="AC555">
        <f>Y555*0.1</f>
        <v>6380</v>
      </c>
      <c r="AD555">
        <f>X555-AA555-AB555</f>
        <v>52092.6</v>
      </c>
      <c r="AE555">
        <f>Y555-AC555</f>
        <v>57420</v>
      </c>
      <c r="AF555">
        <f>AD555*0.01</f>
        <v>520.926</v>
      </c>
      <c r="AG555">
        <f>AD555-Q555-AF555-T555</f>
        <v>9121.673999999999</v>
      </c>
      <c r="AH555">
        <f>AE555-Q555-AF555-T555</f>
        <v>14449.074</v>
      </c>
      <c r="AI555">
        <f>AG555/X555</f>
        <v>0.16494889692585893</v>
      </c>
      <c r="AJ555">
        <f>AH555/Y555</f>
        <v>0.2264745141065831</v>
      </c>
    </row>
    <row r="556">
      <c r="A556">
        <f>HYPERLINK("https://smartstore.naver.com/brickstore2019/products/4706412108",AW:AW)</f>
        <v>4706412108</v>
      </c>
      <c r="C556" t="str">
        <v>챔피온 메뉴스크립트 더플백 듀플백 Champion(무료배송)</v>
      </c>
      <c r="E556" t="str">
        <v>Champion Manuscript Duffe</v>
      </c>
      <c r="F556" t="str">
        <v>Black</v>
      </c>
      <c r="G556" t="str">
        <f>HYPERLINK("https://www.amazon.com/dp/B07NC7BN22/ref=cm_sw_r_cp_apa_i_UbVRDb1YTS779","A")</f>
        <v>A</v>
      </c>
      <c r="J556">
        <v>72</v>
      </c>
      <c r="K556">
        <v>1.5</v>
      </c>
      <c r="L556">
        <f>IF(K556&gt;0,K556*16,)</f>
        <v>24</v>
      </c>
      <c r="M556">
        <f>IF(K556&gt;0,K556*0.453592,IF(L556&gt;0,L556*0.02835,))</f>
        <v>0.680388</v>
      </c>
      <c r="N556">
        <v>0</v>
      </c>
      <c r="O556">
        <v>0</v>
      </c>
      <c r="P556">
        <f>J556+O556+N556</f>
        <v>72</v>
      </c>
      <c r="Q556">
        <f>P556*C$3</f>
        <v>90000</v>
      </c>
      <c r="R556">
        <v>0</v>
      </c>
      <c r="S556">
        <f>ROUND(SUM(Q556:R556), -2)</f>
        <v>90000</v>
      </c>
      <c r="T556">
        <f>ROUNDUP(HLOOKUP(ROUNDUP(K556,0),'배송비 조회'!A$10:U$22,7,0)*C$3,-2)</f>
        <v>11200</v>
      </c>
      <c r="U556">
        <v>0</v>
      </c>
      <c r="V556">
        <f>ROUND(IF(R556&gt;0,0,(S556+T556)*0.3),-2)</f>
        <v>30400</v>
      </c>
      <c r="W556">
        <f>ROUND(IF(R556&gt;0,0,(S556+T556)*0.5),-2)</f>
        <v>50600</v>
      </c>
      <c r="X556">
        <f>IF(R556&gt;0,SUM(S556:T556),SUM(S556:V556))</f>
        <v>131600</v>
      </c>
      <c r="Y556">
        <f>IF(R556&gt;0,SUM(S556:T556),SUM(S556:U556)+W556)</f>
        <v>151800</v>
      </c>
      <c r="Z556">
        <v>0</v>
      </c>
      <c r="AA556">
        <f>X556*0.038</f>
        <v>5000.8</v>
      </c>
      <c r="AB556">
        <f>X556*0.02</f>
        <v>2632</v>
      </c>
      <c r="AC556">
        <f>Y556*0.1</f>
        <v>15180</v>
      </c>
      <c r="AD556">
        <f>X556-AA556-AB556</f>
        <v>123967.2</v>
      </c>
      <c r="AE556">
        <f>Y556-AC556</f>
        <v>136620</v>
      </c>
      <c r="AF556">
        <f>AD556*0.01</f>
        <v>1239.672</v>
      </c>
      <c r="AG556">
        <f>AD556-Q556-AF556-T556</f>
        <v>21527.528</v>
      </c>
      <c r="AH556">
        <f>AE556-Q556-AF556-T556</f>
        <v>34180.328</v>
      </c>
      <c r="AI556">
        <f>AG556/X556</f>
        <v>0.1635830395136778</v>
      </c>
      <c r="AJ556">
        <f>AH556/Y556</f>
        <v>0.2251668511198946</v>
      </c>
      <c r="AW556">
        <v>4706412108</v>
      </c>
    </row>
    <row r="557">
      <c r="A557">
        <f>HYPERLINK("https://smartstore.naver.com/brickstore2019/products/4707508148",AW:AW)</f>
        <v>4707508148</v>
      </c>
      <c r="C557" t="str">
        <v>샘소나이트 여행용 토트백 Samsonite Unisex Travel Tote (무료배송)</v>
      </c>
      <c r="E557" t="str">
        <v>Samsonite Unisex Lineate Travel Tote</v>
      </c>
      <c r="F557" t="str">
        <v>Obsidian Black</v>
      </c>
      <c r="G557" t="str">
        <f>HYPERLINK("https://www.amazon.com/Samsonite-Lineate-Travel-Obsidian-Black/dp/B01N3WB939/ref=sr_1_1?dchild=1&amp;keywords=Samsonite+Unisex+Lineate+Travel+Tote&amp;psc=1&amp;qid=1571834290&amp;sr=8-1","A")</f>
        <v>A</v>
      </c>
      <c r="J557">
        <v>90</v>
      </c>
      <c r="K557">
        <v>3.5</v>
      </c>
      <c r="L557">
        <f>IF(K557&gt;0,K557*16,)</f>
        <v>56</v>
      </c>
      <c r="M557">
        <f>IF(K557&gt;0,K557*0.453592,IF(L557&gt;0,L557*0.02835,))</f>
        <v>1.587572</v>
      </c>
      <c r="N557">
        <v>0</v>
      </c>
      <c r="O557">
        <v>0</v>
      </c>
      <c r="P557">
        <f>J557+O557+N557</f>
        <v>90</v>
      </c>
      <c r="Q557">
        <f>P557*C$3</f>
        <v>112500</v>
      </c>
      <c r="R557">
        <v>0</v>
      </c>
      <c r="S557">
        <f>ROUND(SUM(Q557:R557), -2)</f>
        <v>112500</v>
      </c>
      <c r="T557">
        <f>ROUNDUP(HLOOKUP(ROUNDUP(K557,0),'배송비 조회'!A$10:U$22,7,0)*C$3,-2)</f>
        <v>15600</v>
      </c>
      <c r="U557">
        <v>0</v>
      </c>
      <c r="V557">
        <f>ROUND(IF(R557&gt;0,0,(S557+T557)*0.3),-2)</f>
        <v>38400</v>
      </c>
      <c r="W557">
        <f>ROUND(IF(R557&gt;0,0,(S557+T557)*0.5),-2)</f>
        <v>64100</v>
      </c>
      <c r="X557">
        <f>IF(R557&gt;0,SUM(S557:T557),SUM(S557:V557))</f>
        <v>166500</v>
      </c>
      <c r="Y557">
        <f>IF(R557&gt;0,SUM(S557:T557),SUM(S557:U557)+W557)</f>
        <v>192200</v>
      </c>
      <c r="Z557">
        <v>0</v>
      </c>
      <c r="AA557">
        <f>X557*0.038</f>
        <v>6327</v>
      </c>
      <c r="AB557">
        <f>X557*0.02</f>
        <v>3330</v>
      </c>
      <c r="AC557">
        <f>Y557*0.1</f>
        <v>19220</v>
      </c>
      <c r="AD557">
        <f>X557-AA557-AB557</f>
        <v>156843</v>
      </c>
      <c r="AE557">
        <f>Y557-AC557</f>
        <v>172980</v>
      </c>
      <c r="AF557">
        <f>AD557*0.01</f>
        <v>1568.43</v>
      </c>
      <c r="AG557">
        <f>AD557-Q557-AF557-T557</f>
        <v>27174.57</v>
      </c>
      <c r="AH557">
        <f>AE557-Q557-AF557-T557</f>
        <v>43311.57</v>
      </c>
      <c r="AI557">
        <f>AG557/X557</f>
        <v>0.16321063063063063</v>
      </c>
      <c r="AJ557">
        <f>AH557/Y557</f>
        <v>0.22534635796045785</v>
      </c>
      <c r="AW557">
        <v>4707508148</v>
      </c>
    </row>
    <row r="558">
      <c r="A558">
        <f>HYPERLINK("https://smartstore.naver.com/brickstore2019/products/4707553728",AW:AW)</f>
        <v>4707553728</v>
      </c>
      <c r="C558" t="str">
        <v>쌤소나이트 17인치 노트북 파우치 B004FH977Q (무료배송)</v>
      </c>
      <c r="E558" t="str">
        <v>Samsonite Unisex-Adult 17-Inch, Black</v>
      </c>
      <c r="F558" t="str">
        <v>Black</v>
      </c>
      <c r="G558" t="str">
        <f>HYPERLINK("https://www.amazon.com/Samsonite-Aramon-Laptop-Sleeve-Black/dp/B004FH977Q?ref_=ast_sto_dp","A")</f>
        <v>A</v>
      </c>
      <c r="J558">
        <v>20</v>
      </c>
      <c r="K558">
        <f>IF(L558&gt;0,L558*0.0625,)</f>
        <v>0.75</v>
      </c>
      <c r="L558">
        <v>12</v>
      </c>
      <c r="M558">
        <f>IF(K558&gt;0,K558*0.453592,IF(L558&gt;0,L558*0.02835,))</f>
        <v>0.340194</v>
      </c>
      <c r="N558">
        <v>0</v>
      </c>
      <c r="O558">
        <v>0</v>
      </c>
      <c r="P558">
        <f>J558+O558+N558</f>
        <v>20</v>
      </c>
      <c r="Q558">
        <f>P558*C$3</f>
        <v>25000</v>
      </c>
      <c r="R558">
        <v>0</v>
      </c>
      <c r="S558">
        <f>ROUND(SUM(Q558:R558), -2)</f>
        <v>25000</v>
      </c>
      <c r="T558">
        <f>ROUNDUP(HLOOKUP(ROUNDUP(K558,0),'배송비 조회'!A$10:U$22,7,0)*C$3,-2)</f>
        <v>9000</v>
      </c>
      <c r="U558">
        <v>0</v>
      </c>
      <c r="V558">
        <f>ROUND(IF(R558&gt;0,0,(S558+T558)*0.4),-2)</f>
        <v>13600</v>
      </c>
      <c r="W558">
        <f>ROUND(IF(R558&gt;0,0,(S558+T558)*0.5),-2)</f>
        <v>17000</v>
      </c>
      <c r="X558">
        <f>IF(R558&gt;0,SUM(S558:T558),SUM(S558:V558))</f>
        <v>47600</v>
      </c>
      <c r="Y558">
        <f>IF(R558&gt;0,SUM(S558:T558),SUM(S558:U558)+W558)</f>
        <v>51000</v>
      </c>
      <c r="Z558">
        <v>0</v>
      </c>
      <c r="AA558">
        <f>X558*0.038</f>
        <v>1808.8</v>
      </c>
      <c r="AB558">
        <f>X558*0.02</f>
        <v>952</v>
      </c>
      <c r="AC558">
        <f>Y558*0.1</f>
        <v>5100</v>
      </c>
      <c r="AD558">
        <f>X558-AA558-AB558</f>
        <v>44839.2</v>
      </c>
      <c r="AE558">
        <f>Y558-AC558</f>
        <v>45900</v>
      </c>
      <c r="AF558">
        <f>AD558*0.01</f>
        <v>448.392</v>
      </c>
      <c r="AG558">
        <f>AD558-Q558-AF558-T558</f>
        <v>10390.807999999997</v>
      </c>
      <c r="AH558">
        <f>AE558-Q558-AF558-T558</f>
        <v>11451.608</v>
      </c>
      <c r="AI558">
        <f>AG558/X558</f>
        <v>0.21829428571428566</v>
      </c>
      <c r="AJ558">
        <f>AH558/Y558</f>
        <v>0.22454133333333334</v>
      </c>
      <c r="AW558">
        <v>4707553728</v>
      </c>
    </row>
    <row r="559" xml:space="preserve">
      <c r="A559">
        <f>HYPERLINK("https://smartstore.naver.com/brickstore2019/products/4707581685",AW:AW)</f>
        <v>4707581685</v>
      </c>
      <c r="C559" t="str">
        <v>티타늄 무한 리필 펜 Ti Arto EDC (무료배송)</v>
      </c>
      <c r="E559" t="str" xml:space="preserve">
        <v xml:space="preserve">BIG IDEA DESIGN Ti Arto EDC : The Ultimate Refill Friendly Everyday Carry Pen_x000d_
</v>
      </c>
      <c r="F559" t="str">
        <v>Machined Raw</v>
      </c>
      <c r="G559" t="str">
        <f>HYPERLINK("https://www.amazon.com/BIG-IDEA-DESIGN-Arto-EDC/dp/B07DF58FFY/ref=sr_1_1?dchild=1&amp;keywords=Ti%2Barto%2BEDC&amp;qid=1571410303&amp;sr=8-1&amp;th=1","A")</f>
        <v>A</v>
      </c>
      <c r="J559">
        <v>95</v>
      </c>
      <c r="K559">
        <f>IF(L559&gt;0,L559*0.0625,)</f>
        <v>0.1875</v>
      </c>
      <c r="L559">
        <v>3</v>
      </c>
      <c r="M559">
        <f>IF(K559&gt;0,K559*0.453592,IF(L559&gt;0,L559*0.02835,))</f>
        <v>0.0850485</v>
      </c>
      <c r="N559">
        <v>0</v>
      </c>
      <c r="O559">
        <v>0</v>
      </c>
      <c r="P559">
        <f>J559+O559+N559</f>
        <v>95</v>
      </c>
      <c r="Q559">
        <f>P559*C$3</f>
        <v>118750</v>
      </c>
      <c r="R559">
        <v>0</v>
      </c>
      <c r="S559">
        <f>ROUND(SUM(Q559:R559), -2)</f>
        <v>118800</v>
      </c>
      <c r="T559">
        <f>ROUNDUP(HLOOKUP(ROUNDUP(K559,0),'배송비 조회'!A$10:U$22,7,0)*C$3,-2)</f>
        <v>9000</v>
      </c>
      <c r="U559">
        <v>0</v>
      </c>
      <c r="V559">
        <f>ROUND(IF(R559&gt;0,0,(S559+T559)*0.2),-2)</f>
        <v>25600</v>
      </c>
      <c r="W559">
        <f>ROUND(IF(R559&gt;0,0,(S559+T559)*0.5),-2)</f>
        <v>63900</v>
      </c>
      <c r="X559">
        <f>IF(R559&gt;0,SUM(S559:T559),SUM(S559:V559))</f>
        <v>153400</v>
      </c>
      <c r="Y559">
        <f>IF(R559&gt;0,SUM(S559:T559),SUM(S559:U559)+W559)</f>
        <v>191700</v>
      </c>
      <c r="Z559">
        <v>0</v>
      </c>
      <c r="AA559">
        <f>X559*0.038</f>
        <v>5829.2</v>
      </c>
      <c r="AB559">
        <f>X559*0.02</f>
        <v>3068</v>
      </c>
      <c r="AC559">
        <f>Y559*0.1</f>
        <v>19170</v>
      </c>
      <c r="AD559">
        <f>X559-AA559-AB559</f>
        <v>144502.8</v>
      </c>
      <c r="AE559">
        <f>Y559-AC559</f>
        <v>172530</v>
      </c>
      <c r="AF559">
        <f>AD559*0.01</f>
        <v>1445.028</v>
      </c>
      <c r="AG559">
        <f>AD559-Q559-AF559-T559</f>
        <v>15307.77199999999</v>
      </c>
      <c r="AH559">
        <f>AE559-Q559-AF559-T559</f>
        <v>43334.972</v>
      </c>
      <c r="AI559">
        <f>AG559/X559</f>
        <v>0.0997899087353324</v>
      </c>
      <c r="AJ559">
        <f>AH559/Y559</f>
        <v>0.2260561919666145</v>
      </c>
      <c r="AW559">
        <v>4707581685</v>
      </c>
    </row>
    <row r="560">
      <c r="F560" t="str">
        <v>Midnight Black</v>
      </c>
      <c r="G560" t="str">
        <f>HYPERLINK("https://www.amazon.com/BIG-IDEA-DESIGN-Arto-EDC/dp/B07DF5M68Y/ref=sr_1_1?dchild=1&amp;keywords=Ti%2Barto%2BEDC&amp;qid=1571410303&amp;sr=8-1&amp;th=1","A")</f>
        <v>A</v>
      </c>
      <c r="J560">
        <v>95</v>
      </c>
      <c r="K560">
        <f>IF(L560&gt;0,L560*0.0625,)</f>
        <v>0.1875</v>
      </c>
      <c r="L560">
        <v>3</v>
      </c>
      <c r="M560">
        <f>IF(K560&gt;0,K560*0.453592,IF(L560&gt;0,L560*0.02835,))</f>
        <v>0.0850485</v>
      </c>
      <c r="N560">
        <v>0</v>
      </c>
      <c r="O560">
        <v>0</v>
      </c>
      <c r="P560">
        <f>J560+O560+N560</f>
        <v>95</v>
      </c>
      <c r="Q560">
        <f>P560*C$3</f>
        <v>118750</v>
      </c>
      <c r="R560">
        <v>0</v>
      </c>
      <c r="S560">
        <f>ROUND(SUM(Q560:R560), -2)</f>
        <v>118800</v>
      </c>
      <c r="T560">
        <f>ROUNDUP(HLOOKUP(ROUNDUP(K560,0),'배송비 조회'!A$10:U$22,7,0)*C$3,-2)</f>
        <v>9000</v>
      </c>
      <c r="U560">
        <v>0</v>
      </c>
      <c r="V560">
        <f>ROUND(IF(R560&gt;0,0,(S560+T560)*0.2),-2)</f>
        <v>25600</v>
      </c>
      <c r="W560">
        <f>ROUND(IF(R560&gt;0,0,(S560+T560)*0.5),-2)</f>
        <v>63900</v>
      </c>
      <c r="X560">
        <f>IF(R560&gt;0,SUM(S560:T560),SUM(S560:V560))</f>
        <v>153400</v>
      </c>
      <c r="Y560">
        <f>IF(R560&gt;0,SUM(S560:T560),SUM(S560:U560)+W560)</f>
        <v>191700</v>
      </c>
      <c r="Z560">
        <v>0</v>
      </c>
      <c r="AA560">
        <f>X560*0.038</f>
        <v>5829.2</v>
      </c>
      <c r="AB560">
        <f>X560*0.02</f>
        <v>3068</v>
      </c>
      <c r="AC560">
        <f>Y560*0.1</f>
        <v>19170</v>
      </c>
      <c r="AD560">
        <f>X560-AA560-AB560</f>
        <v>144502.8</v>
      </c>
      <c r="AE560">
        <f>Y560-AC560</f>
        <v>172530</v>
      </c>
      <c r="AF560">
        <f>AD560*0.01</f>
        <v>1445.028</v>
      </c>
      <c r="AG560">
        <f>AD560-Q560-AF560-T560</f>
        <v>15307.77199999999</v>
      </c>
      <c r="AH560">
        <f>AE560-Q560-AF560-T560</f>
        <v>43334.972</v>
      </c>
      <c r="AI560">
        <f>AG560/X560</f>
        <v>0.0997899087353324</v>
      </c>
      <c r="AJ560">
        <f>AH560/Y560</f>
        <v>0.2260561919666145</v>
      </c>
    </row>
    <row r="561">
      <c r="F561" t="str">
        <v>Stonewashed</v>
      </c>
      <c r="G561" t="str">
        <f>HYPERLINK("https://www.amazon.com/BIG-IDEA-DESIGN-Arto-EDC/dp/B07DF9LMRP/ref=sr_1_1?dchild=1&amp;keywords=Ti%2Barto%2BEDC&amp;qid=1571410303&amp;sr=8-1&amp;th=1","A")</f>
        <v>A</v>
      </c>
      <c r="J561">
        <v>95</v>
      </c>
      <c r="K561">
        <f>IF(L561&gt;0,L561*0.0625,)</f>
        <v>0.1875</v>
      </c>
      <c r="L561">
        <v>3</v>
      </c>
      <c r="M561">
        <f>IF(K561&gt;0,K561*0.453592,IF(L561&gt;0,L561*0.02835,))</f>
        <v>0.0850485</v>
      </c>
      <c r="N561">
        <v>0</v>
      </c>
      <c r="O561">
        <v>0</v>
      </c>
      <c r="P561">
        <f>J561+O561+N561</f>
        <v>95</v>
      </c>
      <c r="Q561">
        <f>P561*C$3</f>
        <v>118750</v>
      </c>
      <c r="R561">
        <v>0</v>
      </c>
      <c r="S561">
        <f>ROUND(SUM(Q561:R561), -2)</f>
        <v>118800</v>
      </c>
      <c r="T561">
        <f>ROUNDUP(HLOOKUP(ROUNDUP(K561,0),'배송비 조회'!A$10:U$22,7,0)*C$3,-2)</f>
        <v>9000</v>
      </c>
      <c r="U561">
        <v>0</v>
      </c>
      <c r="V561">
        <f>ROUND(IF(R561&gt;0,0,(S561+T561)*0.2),-2)</f>
        <v>25600</v>
      </c>
      <c r="W561">
        <f>ROUND(IF(R561&gt;0,0,(S561+T561)*0.5),-2)</f>
        <v>63900</v>
      </c>
      <c r="X561">
        <f>IF(R561&gt;0,SUM(S561:T561),SUM(S561:V561))</f>
        <v>153400</v>
      </c>
      <c r="Y561">
        <f>IF(R561&gt;0,SUM(S561:T561),SUM(S561:U561)+W561)</f>
        <v>191700</v>
      </c>
      <c r="Z561">
        <v>0</v>
      </c>
      <c r="AA561">
        <f>X561*0.038</f>
        <v>5829.2</v>
      </c>
      <c r="AB561">
        <f>X561*0.02</f>
        <v>3068</v>
      </c>
      <c r="AC561">
        <f>Y561*0.1</f>
        <v>19170</v>
      </c>
      <c r="AD561">
        <f>X561-AA561-AB561</f>
        <v>144502.8</v>
      </c>
      <c r="AE561">
        <f>Y561-AC561</f>
        <v>172530</v>
      </c>
      <c r="AF561">
        <f>AD561*0.01</f>
        <v>1445.028</v>
      </c>
      <c r="AG561">
        <f>AD561-Q561-AF561-T561</f>
        <v>15307.77199999999</v>
      </c>
      <c r="AH561">
        <f>AE561-Q561-AF561-T561</f>
        <v>43334.972</v>
      </c>
      <c r="AI561">
        <f>AG561/X561</f>
        <v>0.0997899087353324</v>
      </c>
      <c r="AJ561">
        <f>AH561/Y561</f>
        <v>0.2260561919666145</v>
      </c>
    </row>
    <row r="562">
      <c r="A562">
        <f>HYPERLINK("https://smartstore.naver.com/brickstore2019/products/4707656868",AW:AW)</f>
        <v>4707656868</v>
      </c>
      <c r="C562" t="str">
        <v>인케이스 슬링백 Incase CL55603 (무료배송)</v>
      </c>
      <c r="E562" t="str">
        <v>Incase Sling Pack - Diamond Wire</v>
      </c>
      <c r="G562" t="str">
        <v>A</v>
      </c>
      <c r="J562">
        <v>65</v>
      </c>
      <c r="K562">
        <v>1.2</v>
      </c>
      <c r="L562">
        <f>IF(K562&gt;0,K562*16,)</f>
        <v>19.2</v>
      </c>
      <c r="M562">
        <f>IF(K562&gt;0,K562*0.453592,IF(L562&gt;0,L562*0.02835,))</f>
        <v>0.5443104</v>
      </c>
      <c r="N562">
        <v>0</v>
      </c>
      <c r="O562">
        <v>0</v>
      </c>
      <c r="P562">
        <f>J562+O562+N562</f>
        <v>65</v>
      </c>
      <c r="Q562">
        <f>P562*C$3</f>
        <v>81250</v>
      </c>
      <c r="R562">
        <v>0</v>
      </c>
      <c r="S562">
        <f>ROUND(SUM(Q562:R562), -2)</f>
        <v>81300</v>
      </c>
      <c r="T562">
        <f>ROUNDUP(HLOOKUP(ROUNDUP(K562,0),'배송비 조회'!A$10:U$22,7,0)*C$3,-2)</f>
        <v>11200</v>
      </c>
      <c r="U562">
        <v>0</v>
      </c>
      <c r="V562">
        <f>ROUND(IF(R562&gt;0,0,(S562+T562)*0.3),-2)</f>
        <v>27800</v>
      </c>
      <c r="W562">
        <f>ROUND(IF(R562&gt;0,0,(S562+T562)*0.5),-2)</f>
        <v>46300</v>
      </c>
      <c r="X562">
        <f>IF(R562&gt;0,SUM(S562:T562),SUM(S562:V562))</f>
        <v>120300</v>
      </c>
      <c r="Y562">
        <f>IF(R562&gt;0,SUM(S562:T562),SUM(S562:U562)+W562)</f>
        <v>138800</v>
      </c>
      <c r="Z562">
        <v>0</v>
      </c>
      <c r="AA562">
        <f>X562*0.038</f>
        <v>4571.4</v>
      </c>
      <c r="AB562">
        <f>X562*0.02</f>
        <v>2406</v>
      </c>
      <c r="AC562">
        <f>Y562*0.1</f>
        <v>13880</v>
      </c>
      <c r="AD562">
        <f>X562-AA562-AB562</f>
        <v>113322.6</v>
      </c>
      <c r="AE562">
        <f>Y562-AC562</f>
        <v>124920</v>
      </c>
      <c r="AF562">
        <f>AD562*0.01</f>
        <v>1133.226</v>
      </c>
      <c r="AG562">
        <f>AD562-Q562-AF562-T562</f>
        <v>19739.374000000007</v>
      </c>
      <c r="AH562">
        <f>AE562-Q562-AF562-T562</f>
        <v>31336.773999999998</v>
      </c>
      <c r="AI562">
        <f>AG562/X562</f>
        <v>0.16408457190357445</v>
      </c>
      <c r="AJ562">
        <f>AH562/Y562</f>
        <v>0.22576926512968298</v>
      </c>
      <c r="AW562">
        <v>4707656868</v>
      </c>
    </row>
    <row r="563">
      <c r="A563">
        <f>HYPERLINK("https://smartstore.naver.com/brickstore2019/products/4708786349",AW:AW)</f>
        <v>4708786349</v>
      </c>
      <c r="C563" t="str">
        <v>사테치 알루미늄 블루투스 키보드 맥북 아이패드 Satechi Aluminum Bluetooth Keyboard (무료배송)</v>
      </c>
      <c r="E563" t="str">
        <v>Satechi Aluminum Bluetooth Keyboard with Numeric Keypad - Compatible with iMac Pro/iMac, 2018 Mac Mini, 2019 MacBook Pro, 2018 MacBook Air, 2019 iPad/2018 iPad Pro (English, Space Gray)</v>
      </c>
      <c r="F563" t="str">
        <v>Silver</v>
      </c>
      <c r="G563" t="str">
        <v>A</v>
      </c>
      <c r="J563">
        <v>80</v>
      </c>
      <c r="K563">
        <v>1.72</v>
      </c>
      <c r="L563">
        <f>IF(K563&gt;0,K563*16,)</f>
        <v>27.52</v>
      </c>
      <c r="M563">
        <f>IF(K563&gt;0,K563*0.453592,IF(L563&gt;0,L563*0.02835,))</f>
        <v>0.78017824</v>
      </c>
      <c r="N563">
        <v>0</v>
      </c>
      <c r="O563">
        <v>0</v>
      </c>
      <c r="P563">
        <f>J563+O563+N563</f>
        <v>80</v>
      </c>
      <c r="Q563">
        <f>P563*C$3</f>
        <v>100000</v>
      </c>
      <c r="R563">
        <v>0</v>
      </c>
      <c r="S563">
        <f>ROUND(SUM(Q563:R563), -2)</f>
        <v>100000</v>
      </c>
      <c r="T563">
        <f>ROUNDUP(HLOOKUP(ROUNDUP(K563,0),'배송비 조회'!A$10:U$22,7,0)*C$3,-2)</f>
        <v>11200</v>
      </c>
      <c r="U563">
        <v>0</v>
      </c>
      <c r="V563">
        <f>ROUND(IF(R563&gt;0,0,(S563+T563)*0.3),-2)</f>
        <v>33400</v>
      </c>
      <c r="W563">
        <f>ROUND(IF(R563&gt;0,0,(S563+T563)*0.5),-2)</f>
        <v>55600</v>
      </c>
      <c r="X563">
        <f>IF(R563&gt;0,SUM(S563:T563),SUM(S563:V563))</f>
        <v>144600</v>
      </c>
      <c r="Y563">
        <f>IF(R563&gt;0,SUM(S563:T563),SUM(S563:U563)+W563)</f>
        <v>166800</v>
      </c>
      <c r="Z563">
        <v>0</v>
      </c>
      <c r="AA563">
        <f>X563*0.038</f>
        <v>5494.8</v>
      </c>
      <c r="AB563">
        <f>X563*0.02</f>
        <v>2892</v>
      </c>
      <c r="AC563">
        <f>Y563*0.1</f>
        <v>16680</v>
      </c>
      <c r="AD563">
        <f>X563-AA563-AB563</f>
        <v>136213.2</v>
      </c>
      <c r="AE563">
        <f>Y563-AC563</f>
        <v>150120</v>
      </c>
      <c r="AF563">
        <f>AD563*0.01</f>
        <v>1362.132</v>
      </c>
      <c r="AG563">
        <f>AD563-Q563-AF563-T563</f>
        <v>23651.068000000014</v>
      </c>
      <c r="AH563">
        <f>AE563-Q563-AF563-T563</f>
        <v>37557.868</v>
      </c>
      <c r="AI563">
        <f>AG563/X563</f>
        <v>0.1635620193637622</v>
      </c>
      <c r="AJ563">
        <f>AH563/Y563</f>
        <v>0.2251670743405276</v>
      </c>
      <c r="AW563">
        <v>4708786349</v>
      </c>
    </row>
    <row r="564">
      <c r="F564" t="str">
        <v>Gold</v>
      </c>
      <c r="G564" t="str">
        <v>A</v>
      </c>
      <c r="J564">
        <v>80</v>
      </c>
      <c r="K564">
        <v>1.72</v>
      </c>
      <c r="L564">
        <f>IF(K564&gt;0,K564*16,)</f>
        <v>27.52</v>
      </c>
      <c r="M564">
        <f>IF(K564&gt;0,K564*0.453592,IF(L564&gt;0,L564*0.02835,))</f>
        <v>0.78017824</v>
      </c>
      <c r="N564">
        <v>0</v>
      </c>
      <c r="O564">
        <v>0</v>
      </c>
      <c r="P564">
        <f>J564+O564+N564</f>
        <v>80</v>
      </c>
      <c r="Q564">
        <f>P564*C$3</f>
        <v>100000</v>
      </c>
      <c r="R564">
        <v>0</v>
      </c>
      <c r="S564">
        <f>ROUND(SUM(Q564:R564), -2)</f>
        <v>100000</v>
      </c>
      <c r="T564">
        <f>ROUNDUP(HLOOKUP(ROUNDUP(K564,0),'배송비 조회'!A$10:U$22,7,0)*C$3,-2)</f>
        <v>11200</v>
      </c>
      <c r="U564">
        <v>0</v>
      </c>
      <c r="V564">
        <f>ROUND(IF(R564&gt;0,0,(S564+T564)*0.3),-2)</f>
        <v>33400</v>
      </c>
      <c r="W564">
        <f>ROUND(IF(R564&gt;0,0,(S564+T564)*0.5),-2)</f>
        <v>55600</v>
      </c>
      <c r="X564">
        <f>IF(R564&gt;0,SUM(S564:T564),SUM(S564:V564))</f>
        <v>144600</v>
      </c>
      <c r="Y564">
        <f>IF(R564&gt;0,SUM(S564:T564),SUM(S564:U564)+W564)</f>
        <v>166800</v>
      </c>
      <c r="Z564">
        <v>0</v>
      </c>
      <c r="AA564">
        <f>X564*0.038</f>
        <v>5494.8</v>
      </c>
      <c r="AB564">
        <f>X564*0.02</f>
        <v>2892</v>
      </c>
      <c r="AC564">
        <f>Y564*0.1</f>
        <v>16680</v>
      </c>
      <c r="AD564">
        <f>X564-AA564-AB564</f>
        <v>136213.2</v>
      </c>
      <c r="AE564">
        <f>Y564-AC564</f>
        <v>150120</v>
      </c>
      <c r="AF564">
        <f>AD564*0.01</f>
        <v>1362.132</v>
      </c>
      <c r="AG564">
        <f>AD564-Q564-AF564-T564</f>
        <v>23651.068000000014</v>
      </c>
      <c r="AH564">
        <f>AE564-Q564-AF564-T564</f>
        <v>37557.868</v>
      </c>
      <c r="AI564">
        <f>AG564/X564</f>
        <v>0.1635620193637622</v>
      </c>
      <c r="AJ564">
        <f>AH564/Y564</f>
        <v>0.2251670743405276</v>
      </c>
    </row>
    <row r="565">
      <c r="F565" t="str">
        <v>Rose Gold</v>
      </c>
      <c r="G565" t="str">
        <v>A</v>
      </c>
      <c r="J565">
        <v>80</v>
      </c>
      <c r="K565">
        <v>1.72</v>
      </c>
      <c r="L565">
        <f>IF(K565&gt;0,K565*16,)</f>
        <v>27.52</v>
      </c>
      <c r="M565">
        <f>IF(K565&gt;0,K565*0.453592,IF(L565&gt;0,L565*0.02835,))</f>
        <v>0.78017824</v>
      </c>
      <c r="N565">
        <v>0</v>
      </c>
      <c r="O565">
        <v>0</v>
      </c>
      <c r="P565">
        <f>J565+O565+N565</f>
        <v>80</v>
      </c>
      <c r="Q565">
        <f>P565*C$3</f>
        <v>100000</v>
      </c>
      <c r="R565">
        <v>0</v>
      </c>
      <c r="S565">
        <f>ROUND(SUM(Q565:R565), -2)</f>
        <v>100000</v>
      </c>
      <c r="T565">
        <f>ROUNDUP(HLOOKUP(ROUNDUP(K565,0),'배송비 조회'!A$10:U$22,7,0)*C$3,-2)</f>
        <v>11200</v>
      </c>
      <c r="U565">
        <v>0</v>
      </c>
      <c r="V565">
        <f>ROUND(IF(R565&gt;0,0,(S565+T565)*0.3),-2)</f>
        <v>33400</v>
      </c>
      <c r="W565">
        <f>ROUND(IF(R565&gt;0,0,(S565+T565)*0.5),-2)</f>
        <v>55600</v>
      </c>
      <c r="X565">
        <f>IF(R565&gt;0,SUM(S565:T565),SUM(S565:V565))</f>
        <v>144600</v>
      </c>
      <c r="Y565">
        <f>IF(R565&gt;0,SUM(S565:T565),SUM(S565:U565)+W565)</f>
        <v>166800</v>
      </c>
      <c r="Z565">
        <v>0</v>
      </c>
      <c r="AA565">
        <f>X565*0.038</f>
        <v>5494.8</v>
      </c>
      <c r="AB565">
        <f>X565*0.02</f>
        <v>2892</v>
      </c>
      <c r="AC565">
        <f>Y565*0.1</f>
        <v>16680</v>
      </c>
      <c r="AD565">
        <f>X565-AA565-AB565</f>
        <v>136213.2</v>
      </c>
      <c r="AE565">
        <f>Y565-AC565</f>
        <v>150120</v>
      </c>
      <c r="AF565">
        <f>AD565*0.01</f>
        <v>1362.132</v>
      </c>
      <c r="AG565">
        <f>AD565-Q565-AF565-T565</f>
        <v>23651.068000000014</v>
      </c>
      <c r="AH565">
        <f>AE565-Q565-AF565-T565</f>
        <v>37557.868</v>
      </c>
      <c r="AI565">
        <f>AG565/X565</f>
        <v>0.1635620193637622</v>
      </c>
      <c r="AJ565">
        <f>AH565/Y565</f>
        <v>0.2251670743405276</v>
      </c>
    </row>
    <row r="566">
      <c r="F566" t="str">
        <v>Space Grey</v>
      </c>
      <c r="G566" t="str">
        <v>A</v>
      </c>
      <c r="J566">
        <v>80</v>
      </c>
      <c r="K566">
        <v>1.72</v>
      </c>
      <c r="L566">
        <f>IF(K566&gt;0,K566*16,)</f>
        <v>27.52</v>
      </c>
      <c r="M566">
        <f>IF(K566&gt;0,K566*0.453592,IF(L566&gt;0,L566*0.02835,))</f>
        <v>0.78017824</v>
      </c>
      <c r="N566">
        <v>0</v>
      </c>
      <c r="O566">
        <v>0</v>
      </c>
      <c r="P566">
        <f>J566+O566+N566</f>
        <v>80</v>
      </c>
      <c r="Q566">
        <f>P566*C$3</f>
        <v>100000</v>
      </c>
      <c r="R566">
        <v>0</v>
      </c>
      <c r="S566">
        <f>ROUND(SUM(Q566:R566), -2)</f>
        <v>100000</v>
      </c>
      <c r="T566">
        <f>ROUNDUP(HLOOKUP(ROUNDUP(K566,0),'배송비 조회'!A$10:U$22,7,0)*C$3,-2)</f>
        <v>11200</v>
      </c>
      <c r="U566">
        <v>0</v>
      </c>
      <c r="V566">
        <f>ROUND(IF(R566&gt;0,0,(S566+T566)*0.3),-2)</f>
        <v>33400</v>
      </c>
      <c r="W566">
        <f>ROUND(IF(R566&gt;0,0,(S566+T566)*0.5),-2)</f>
        <v>55600</v>
      </c>
      <c r="X566">
        <f>IF(R566&gt;0,SUM(S566:T566),SUM(S566:V566))</f>
        <v>144600</v>
      </c>
      <c r="Y566">
        <f>IF(R566&gt;0,SUM(S566:T566),SUM(S566:U566)+W566)</f>
        <v>166800</v>
      </c>
      <c r="Z566">
        <v>0</v>
      </c>
      <c r="AA566">
        <f>X566*0.038</f>
        <v>5494.8</v>
      </c>
      <c r="AB566">
        <f>X566*0.02</f>
        <v>2892</v>
      </c>
      <c r="AC566">
        <f>Y566*0.1</f>
        <v>16680</v>
      </c>
      <c r="AD566">
        <f>X566-AA566-AB566</f>
        <v>136213.2</v>
      </c>
      <c r="AE566">
        <f>Y566-AC566</f>
        <v>150120</v>
      </c>
      <c r="AF566">
        <f>AD566*0.01</f>
        <v>1362.132</v>
      </c>
      <c r="AG566">
        <f>AD566-Q566-AF566-T566</f>
        <v>23651.068000000014</v>
      </c>
      <c r="AH566">
        <f>AE566-Q566-AF566-T566</f>
        <v>37557.868</v>
      </c>
      <c r="AI566">
        <f>AG566/X566</f>
        <v>0.1635620193637622</v>
      </c>
      <c r="AJ566">
        <f>AH566/Y566</f>
        <v>0.2251670743405276</v>
      </c>
    </row>
    <row r="567">
      <c r="A567">
        <f>HYPERLINK("https://smartstore.naver.com/brickstore2019/products/4708857268",AW:AW)</f>
        <v>4708857268</v>
      </c>
      <c r="C567" t="str">
        <v>사테치 알루미늄 슬림 휴대용 블루투스 키보드 맥북 아이패드 Satechi Aluminum Bluetooth Keyboard (무료배송)</v>
      </c>
      <c r="E567" t="str">
        <v>Satechi Aluminum Slim Wireless Keyboard with Numeric Keypad - Compatible with iMac Pro/iMac, 2018 Mac Mini, 2019 MacBook Pro, 2018 MacBook Air, 2019 iPad/2018 iPad Pro</v>
      </c>
      <c r="F567" t="str">
        <v>Silver</v>
      </c>
      <c r="G567" t="str">
        <f>HYPERLINK("https://www.amazon.com/dp/B07CPK6D5F/ref=emc_b_5_i?th=1","A")</f>
        <v>A</v>
      </c>
      <c r="J567">
        <v>75</v>
      </c>
      <c r="K567">
        <v>1.2</v>
      </c>
      <c r="L567">
        <f>IF(K567&gt;0,K567*16,)</f>
        <v>19.2</v>
      </c>
      <c r="M567">
        <f>IF(K567&gt;0,K567*0.453592,IF(L567&gt;0,L567*0.02835,))</f>
        <v>0.5443104</v>
      </c>
      <c r="N567">
        <v>0</v>
      </c>
      <c r="O567">
        <v>0</v>
      </c>
      <c r="P567">
        <f>J567+O567+N567</f>
        <v>75</v>
      </c>
      <c r="Q567">
        <f>P567*C$3</f>
        <v>93750</v>
      </c>
      <c r="R567">
        <v>0</v>
      </c>
      <c r="S567">
        <f>ROUND(SUM(Q567:R567), -2)</f>
        <v>93800</v>
      </c>
      <c r="T567">
        <f>ROUNDUP(HLOOKUP(ROUNDUP(K567,0),'배송비 조회'!A$10:U$22,7,0)*C$3,-2)</f>
        <v>11200</v>
      </c>
      <c r="U567">
        <v>0</v>
      </c>
      <c r="V567">
        <f>ROUND(IF(R567&gt;0,0,(S567+T567)*0.3),-2)</f>
        <v>31500</v>
      </c>
      <c r="W567">
        <f>ROUND(IF(R567&gt;0,0,(S567+T567)*0.5),-2)</f>
        <v>52500</v>
      </c>
      <c r="X567">
        <f>IF(R567&gt;0,SUM(S567:T567),SUM(S567:V567))</f>
        <v>136500</v>
      </c>
      <c r="Y567">
        <f>IF(R567&gt;0,SUM(S567:T567),SUM(S567:U567)+W567)</f>
        <v>157500</v>
      </c>
      <c r="Z567">
        <v>0</v>
      </c>
      <c r="AA567">
        <f>X567*0.038</f>
        <v>5187</v>
      </c>
      <c r="AB567">
        <f>X567*0.02</f>
        <v>2730</v>
      </c>
      <c r="AC567">
        <f>Y567*0.1</f>
        <v>15750</v>
      </c>
      <c r="AD567">
        <f>X567-AA567-AB567</f>
        <v>128583</v>
      </c>
      <c r="AE567">
        <f>Y567-AC567</f>
        <v>141750</v>
      </c>
      <c r="AF567">
        <f>AD567*0.01</f>
        <v>1285.83</v>
      </c>
      <c r="AG567">
        <f>AD567-Q567-AF567-T567</f>
        <v>22347.17</v>
      </c>
      <c r="AH567">
        <f>AE567-Q567-AF567-T567</f>
        <v>35514.17</v>
      </c>
      <c r="AI567">
        <f>AG567/X567</f>
        <v>0.1637155311355311</v>
      </c>
      <c r="AJ567">
        <f>AH567/Y567</f>
        <v>0.22548679365079363</v>
      </c>
      <c r="AW567">
        <v>4708857268</v>
      </c>
    </row>
    <row r="568">
      <c r="F568" t="str">
        <v>Space Gray</v>
      </c>
      <c r="G568" t="str">
        <f>HYPERLINK("https://www.amazon.com/dp/B07CPFHSVB/ref=emc_b_5_i?th=1","A")</f>
        <v>A</v>
      </c>
      <c r="J568">
        <v>75</v>
      </c>
      <c r="K568">
        <v>1.2</v>
      </c>
      <c r="L568">
        <f>IF(K568&gt;0,K568*16,)</f>
        <v>19.2</v>
      </c>
      <c r="M568">
        <f>IF(K568&gt;0,K568*0.453592,IF(L568&gt;0,L568*0.02835,))</f>
        <v>0.5443104</v>
      </c>
      <c r="N568">
        <v>0</v>
      </c>
      <c r="O568">
        <v>0</v>
      </c>
      <c r="P568">
        <f>J568+O568+N568</f>
        <v>75</v>
      </c>
      <c r="Q568">
        <f>P568*C$3</f>
        <v>93750</v>
      </c>
      <c r="R568">
        <v>0</v>
      </c>
      <c r="S568">
        <f>ROUND(SUM(Q568:R568), -2)</f>
        <v>93800</v>
      </c>
      <c r="T568">
        <f>ROUNDUP(HLOOKUP(ROUNDUP(K568,0),'배송비 조회'!A$10:U$22,7,0)*C$3,-2)</f>
        <v>11200</v>
      </c>
      <c r="U568">
        <v>0</v>
      </c>
      <c r="V568">
        <f>ROUND(IF(R568&gt;0,0,(S568+T568)*0.3),-2)</f>
        <v>31500</v>
      </c>
      <c r="W568">
        <f>ROUND(IF(R568&gt;0,0,(S568+T568)*0.5),-2)</f>
        <v>52500</v>
      </c>
      <c r="X568">
        <f>IF(R568&gt;0,SUM(S568:T568),SUM(S568:V568))</f>
        <v>136500</v>
      </c>
      <c r="Y568">
        <f>IF(R568&gt;0,SUM(S568:T568),SUM(S568:U568)+W568)</f>
        <v>157500</v>
      </c>
      <c r="Z568">
        <v>0</v>
      </c>
      <c r="AA568">
        <f>X568*0.038</f>
        <v>5187</v>
      </c>
      <c r="AB568">
        <f>X568*0.02</f>
        <v>2730</v>
      </c>
      <c r="AC568">
        <f>Y568*0.1</f>
        <v>15750</v>
      </c>
      <c r="AD568">
        <f>X568-AA568-AB568</f>
        <v>128583</v>
      </c>
      <c r="AE568">
        <f>Y568-AC568</f>
        <v>141750</v>
      </c>
      <c r="AF568">
        <f>AD568*0.01</f>
        <v>1285.83</v>
      </c>
      <c r="AG568">
        <f>AD568-Q568-AF568-T568</f>
        <v>22347.17</v>
      </c>
      <c r="AH568">
        <f>AE568-Q568-AF568-T568</f>
        <v>35514.17</v>
      </c>
      <c r="AI568">
        <f>AG568/X568</f>
        <v>0.1637155311355311</v>
      </c>
      <c r="AJ568">
        <f>AH568/Y568</f>
        <v>0.22548679365079363</v>
      </c>
    </row>
    <row r="569">
      <c r="A569">
        <f>HYPERLINK("https://smartstore.naver.com/brickstore2019/products/4710020640",AW:AW)</f>
        <v>4710020640</v>
      </c>
      <c r="C569" t="str">
        <v>만능펜 멀티툴 펜 남자를 위한 선물 Atech Multifunction Pen</v>
      </c>
      <c r="E569" t="str">
        <v>Atech Multifunction Pen 7 in 1 Tech Tool Pen with Ruler, Stylus, Bottle Opener, 2 Screw Driver, and Phone Stand, Multi Tool Fit for Mens Survival</v>
      </c>
      <c r="F569" t="str">
        <v>5 in 1 Key Ring [Black]</v>
      </c>
      <c r="G569" t="str">
        <f>HYPERLINK("https://www.amazon.com/gp/product/B07KCNCHR9?th=1","A")</f>
        <v>A</v>
      </c>
      <c r="J569">
        <v>15</v>
      </c>
      <c r="K569">
        <f>IF(L569&gt;0,L569*0.0625,)</f>
        <v>0.6875</v>
      </c>
      <c r="L569">
        <v>11</v>
      </c>
      <c r="M569">
        <f>IF(K569&gt;0,K569*0.453592,IF(L569&gt;0,L569*0.02835,))</f>
        <v>0.31184449999999997</v>
      </c>
      <c r="N569">
        <v>0</v>
      </c>
      <c r="O569">
        <v>0</v>
      </c>
      <c r="P569">
        <f>J569+O569+N569</f>
        <v>15</v>
      </c>
      <c r="Q569">
        <f>P569*C$3</f>
        <v>18750</v>
      </c>
      <c r="R569">
        <v>0</v>
      </c>
      <c r="S569">
        <f>ROUND(SUM(Q569:R569), -2)</f>
        <v>18800</v>
      </c>
      <c r="T569">
        <f>ROUNDUP(HLOOKUP(ROUNDUP(K569,0),'배송비 조회'!A$10:U$22,7,0)*C$3,-2)</f>
        <v>9000</v>
      </c>
      <c r="U569">
        <v>0</v>
      </c>
      <c r="V569">
        <f>ROUND(IF(R569&gt;0,0,(S569+T569)*0.5),-2)</f>
        <v>13900</v>
      </c>
      <c r="W569">
        <f>ROUND(IF(R569&gt;0,0,(S569+T569)*0.5),-2)</f>
        <v>13900</v>
      </c>
      <c r="X569">
        <f>IF(R569&gt;0,SUM(S569:T569),SUM(S569:V569))</f>
        <v>41700</v>
      </c>
      <c r="Y569">
        <f>IF(R569&gt;0,SUM(S569:T569),SUM(S569:U569)+W569)</f>
        <v>41700</v>
      </c>
      <c r="Z569">
        <v>0</v>
      </c>
      <c r="AA569">
        <f>X569*0.038</f>
        <v>1584.6</v>
      </c>
      <c r="AB569">
        <f>X569*0.02</f>
        <v>834</v>
      </c>
      <c r="AC569">
        <f>Y569*0.1</f>
        <v>4170</v>
      </c>
      <c r="AD569">
        <f>X569-AA569-AB569</f>
        <v>39281.4</v>
      </c>
      <c r="AE569">
        <f>Y569-AC569</f>
        <v>37530</v>
      </c>
      <c r="AF569">
        <f>AD569*0.01</f>
        <v>392.814</v>
      </c>
      <c r="AG569">
        <f>AD569-Q569-AF569-T569</f>
        <v>11138.586000000003</v>
      </c>
      <c r="AH569">
        <f>AE569-Q569-AF569-T569</f>
        <v>9387.186000000002</v>
      </c>
      <c r="AI569">
        <f>AG569/X569</f>
        <v>0.2671123741007195</v>
      </c>
      <c r="AJ569">
        <f>AH569/Y569</f>
        <v>0.22511237410071946</v>
      </c>
      <c r="AW569">
        <v>4710020640</v>
      </c>
    </row>
    <row r="570">
      <c r="F570" t="str">
        <v>6 in 1 Pen with Level [Black]</v>
      </c>
      <c r="G570" t="str">
        <f>HYPERLINK("https://www.amazon.com/gp/product/B07KCMF2YR?th=1","A")</f>
        <v>A</v>
      </c>
      <c r="J570">
        <v>15</v>
      </c>
      <c r="K570">
        <f>IF(L570&gt;0,L570*0.0625,)</f>
        <v>0.6875</v>
      </c>
      <c r="L570">
        <v>11</v>
      </c>
      <c r="M570">
        <f>IF(K570&gt;0,K570*0.453592,IF(L570&gt;0,L570*0.02835,))</f>
        <v>0.31184449999999997</v>
      </c>
      <c r="N570">
        <v>0</v>
      </c>
      <c r="O570">
        <v>0</v>
      </c>
      <c r="P570">
        <f>J570+O570+N570</f>
        <v>15</v>
      </c>
      <c r="Q570">
        <f>P570*C$3</f>
        <v>18750</v>
      </c>
      <c r="R570">
        <v>0</v>
      </c>
      <c r="S570">
        <f>ROUND(SUM(Q570:R570), -2)</f>
        <v>18800</v>
      </c>
      <c r="T570">
        <f>ROUNDUP(HLOOKUP(ROUNDUP(K570,0),'배송비 조회'!A$10:U$22,7,0)*C$3,-2)</f>
        <v>9000</v>
      </c>
      <c r="U570">
        <v>0</v>
      </c>
      <c r="V570">
        <f>ROUND(IF(R570&gt;0,0,(S570+T570)*0.5),-2)</f>
        <v>13900</v>
      </c>
      <c r="W570">
        <f>ROUND(IF(R570&gt;0,0,(S570+T570)*0.5),-2)</f>
        <v>13900</v>
      </c>
      <c r="X570">
        <f>IF(R570&gt;0,SUM(S570:T570),SUM(S570:V570))</f>
        <v>41700</v>
      </c>
      <c r="Y570">
        <f>IF(R570&gt;0,SUM(S570:T570),SUM(S570:U570)+W570)</f>
        <v>41700</v>
      </c>
      <c r="Z570">
        <v>0</v>
      </c>
      <c r="AA570">
        <f>X570*0.038</f>
        <v>1584.6</v>
      </c>
      <c r="AB570">
        <f>X570*0.02</f>
        <v>834</v>
      </c>
      <c r="AC570">
        <f>Y570*0.1</f>
        <v>4170</v>
      </c>
      <c r="AD570">
        <f>X570-AA570-AB570</f>
        <v>39281.4</v>
      </c>
      <c r="AE570">
        <f>Y570-AC570</f>
        <v>37530</v>
      </c>
      <c r="AF570">
        <f>AD570*0.01</f>
        <v>392.814</v>
      </c>
      <c r="AG570">
        <f>AD570-Q570-AF570-T570</f>
        <v>11138.586000000003</v>
      </c>
      <c r="AH570">
        <f>AE570-Q570-AF570-T570</f>
        <v>9387.186000000002</v>
      </c>
      <c r="AI570">
        <f>AG570/X570</f>
        <v>0.2671123741007195</v>
      </c>
      <c r="AJ570">
        <f>AH570/Y570</f>
        <v>0.22511237410071946</v>
      </c>
    </row>
    <row r="571">
      <c r="F571" t="str">
        <v>7 in 1 Pen [Black]</v>
      </c>
      <c r="G571" t="str">
        <f>HYPERLINK("https://www.amazon.com/gp/product/B076JJBRST?th=1","A")</f>
        <v>A</v>
      </c>
      <c r="J571">
        <v>15</v>
      </c>
      <c r="K571">
        <f>IF(L571&gt;0,L571*0.0625,)</f>
        <v>0.6875</v>
      </c>
      <c r="L571">
        <v>11</v>
      </c>
      <c r="M571">
        <f>IF(K571&gt;0,K571*0.453592,IF(L571&gt;0,L571*0.02835,))</f>
        <v>0.31184449999999997</v>
      </c>
      <c r="N571">
        <v>0</v>
      </c>
      <c r="O571">
        <v>0</v>
      </c>
      <c r="P571">
        <f>J571+O571+N571</f>
        <v>15</v>
      </c>
      <c r="Q571">
        <f>P571*C$3</f>
        <v>18750</v>
      </c>
      <c r="R571">
        <v>0</v>
      </c>
      <c r="S571">
        <f>ROUND(SUM(Q571:R571), -2)</f>
        <v>18800</v>
      </c>
      <c r="T571">
        <f>ROUNDUP(HLOOKUP(ROUNDUP(K571,0),'배송비 조회'!A$10:U$22,7,0)*C$3,-2)</f>
        <v>9000</v>
      </c>
      <c r="U571">
        <v>0</v>
      </c>
      <c r="V571">
        <f>ROUND(IF(R571&gt;0,0,(S571+T571)*0.5),-2)</f>
        <v>13900</v>
      </c>
      <c r="W571">
        <f>ROUND(IF(R571&gt;0,0,(S571+T571)*0.5),-2)</f>
        <v>13900</v>
      </c>
      <c r="X571">
        <f>IF(R571&gt;0,SUM(S571:T571),SUM(S571:V571))</f>
        <v>41700</v>
      </c>
      <c r="Y571">
        <f>IF(R571&gt;0,SUM(S571:T571),SUM(S571:U571)+W571)</f>
        <v>41700</v>
      </c>
      <c r="Z571">
        <v>0</v>
      </c>
      <c r="AA571">
        <f>X571*0.038</f>
        <v>1584.6</v>
      </c>
      <c r="AB571">
        <f>X571*0.02</f>
        <v>834</v>
      </c>
      <c r="AC571">
        <f>Y571*0.1</f>
        <v>4170</v>
      </c>
      <c r="AD571">
        <f>X571-AA571-AB571</f>
        <v>39281.4</v>
      </c>
      <c r="AE571">
        <f>Y571-AC571</f>
        <v>37530</v>
      </c>
      <c r="AF571">
        <f>AD571*0.01</f>
        <v>392.814</v>
      </c>
      <c r="AG571">
        <f>AD571-Q571-AF571-T571</f>
        <v>11138.586000000003</v>
      </c>
      <c r="AH571">
        <f>AE571-Q571-AF571-T571</f>
        <v>9387.186000000002</v>
      </c>
      <c r="AI571">
        <f>AG571/X571</f>
        <v>0.2671123741007195</v>
      </c>
      <c r="AJ571">
        <f>AH571/Y571</f>
        <v>0.22511237410071946</v>
      </c>
    </row>
    <row r="572">
      <c r="F572" t="str">
        <v>7 in 1 Pen [Gun Metal]</v>
      </c>
      <c r="G572" t="str">
        <f>HYPERLINK("https://www.amazon.com/gp/product/B07XG4Z5PP?th=1","A")</f>
        <v>A</v>
      </c>
      <c r="J572">
        <v>20</v>
      </c>
      <c r="K572">
        <f>IF(L572&gt;0,L572*0.0625,)</f>
        <v>0.6875</v>
      </c>
      <c r="L572">
        <v>11</v>
      </c>
      <c r="M572">
        <f>IF(K572&gt;0,K572*0.453592,IF(L572&gt;0,L572*0.02835,))</f>
        <v>0.31184449999999997</v>
      </c>
      <c r="N572">
        <v>0</v>
      </c>
      <c r="O572">
        <v>0</v>
      </c>
      <c r="P572">
        <f>J572+O572+N572</f>
        <v>20</v>
      </c>
      <c r="Q572">
        <f>P572*C$3</f>
        <v>25000</v>
      </c>
      <c r="R572">
        <v>0</v>
      </c>
      <c r="S572">
        <f>ROUND(SUM(Q572:R572), -2)</f>
        <v>25000</v>
      </c>
      <c r="T572">
        <f>ROUNDUP(HLOOKUP(ROUNDUP(K572,0),'배송비 조회'!A$10:U$22,7,0)*C$3,-2)</f>
        <v>9000</v>
      </c>
      <c r="U572">
        <v>0</v>
      </c>
      <c r="V572">
        <f>ROUND(IF(R572&gt;0,0,(S572+T572)*0.5),-2)</f>
        <v>17000</v>
      </c>
      <c r="W572">
        <f>ROUND(IF(R572&gt;0,0,(S572+T572)*0.5),-2)</f>
        <v>17000</v>
      </c>
      <c r="X572">
        <f>IF(R572&gt;0,SUM(S572:T572),SUM(S572:V572))</f>
        <v>51000</v>
      </c>
      <c r="Y572">
        <f>IF(R572&gt;0,SUM(S572:T572),SUM(S572:U572)+W572)</f>
        <v>51000</v>
      </c>
      <c r="Z572">
        <v>0</v>
      </c>
      <c r="AA572">
        <f>X572*0.038</f>
        <v>1938</v>
      </c>
      <c r="AB572">
        <f>X572*0.02</f>
        <v>1020</v>
      </c>
      <c r="AC572">
        <f>Y572*0.1</f>
        <v>5100</v>
      </c>
      <c r="AD572">
        <f>X572-AA572-AB572</f>
        <v>48042</v>
      </c>
      <c r="AE572">
        <f>Y572-AC572</f>
        <v>45900</v>
      </c>
      <c r="AF572">
        <f>AD572*0.01</f>
        <v>480.42</v>
      </c>
      <c r="AG572">
        <f>AD572-Q572-AF572-T572</f>
        <v>13561.580000000002</v>
      </c>
      <c r="AH572">
        <f>AE572-Q572-AF572-T572</f>
        <v>11419.580000000002</v>
      </c>
      <c r="AI572">
        <f>AG572/X572</f>
        <v>0.2659133333333334</v>
      </c>
      <c r="AJ572">
        <f>AH572/Y572</f>
        <v>0.22391333333333338</v>
      </c>
      <c r="AK572">
        <f>X572-X571</f>
        <v>9300</v>
      </c>
    </row>
    <row r="573">
      <c r="A573">
        <f>HYPERLINK("https://smartstore.naver.com/brickstore2019/products/4710616109",AW:AW)</f>
        <v>4710616109</v>
      </c>
      <c r="C573" t="str">
        <v>해리포터 스프머그 Harry Potter Soup Mug (무료배송)</v>
      </c>
      <c r="E573" t="str">
        <v>Harry Potter 48013 Cauldron Soup Mug with Spoon, Standard, Black</v>
      </c>
      <c r="G573" t="str">
        <f>HYPERLINK("https://www.amazon.com/dp/B019YRJ2MQ/ref=cm_sw_r_other_apa_i_2zyQDb4PAPXQC","A")</f>
        <v>A</v>
      </c>
      <c r="J573">
        <v>19</v>
      </c>
      <c r="K573">
        <v>1.45</v>
      </c>
      <c r="L573">
        <f>IF(K573&gt;0,K573*16,)</f>
        <v>23.2</v>
      </c>
      <c r="M573">
        <f>IF(K573&gt;0,K573*0.453592,IF(L573&gt;0,L573*0.02835,))</f>
        <v>0.6577084</v>
      </c>
      <c r="N573">
        <v>0</v>
      </c>
      <c r="O573">
        <v>0</v>
      </c>
      <c r="P573">
        <f>J573+O573+N573</f>
        <v>19</v>
      </c>
      <c r="Q573">
        <f>P573*C$3</f>
        <v>23750</v>
      </c>
      <c r="R573">
        <v>0</v>
      </c>
      <c r="S573">
        <f>ROUND(SUM(Q573:R573), -2)</f>
        <v>23800</v>
      </c>
      <c r="T573">
        <f>ROUNDUP(HLOOKUP(ROUNDUP(K573,0),'배송비 조회'!A$10:U$22,7,0)*C$3,-2)</f>
        <v>11200</v>
      </c>
      <c r="U573">
        <v>0</v>
      </c>
      <c r="V573">
        <f>ROUND(IF(R573&gt;0,0,(S573+T573)*0.5),-2)</f>
        <v>17500</v>
      </c>
      <c r="W573">
        <f>ROUND(IF(R573&gt;0,0,(S573+T573)*0.5),-2)</f>
        <v>17500</v>
      </c>
      <c r="X573">
        <f>IF(R573&gt;0,SUM(S573:T573),SUM(S573:V573))</f>
        <v>52500</v>
      </c>
      <c r="Y573">
        <f>IF(R573&gt;0,SUM(S573:T573),SUM(S573:U573)+W573)</f>
        <v>52500</v>
      </c>
      <c r="Z573">
        <v>0</v>
      </c>
      <c r="AA573">
        <f>X573*0.038</f>
        <v>1995</v>
      </c>
      <c r="AB573">
        <f>X573*0.02</f>
        <v>1050</v>
      </c>
      <c r="AC573">
        <f>Y573*0.1</f>
        <v>5250</v>
      </c>
      <c r="AD573">
        <f>X573-AA573-AB573</f>
        <v>49455</v>
      </c>
      <c r="AE573">
        <f>Y573-AC573</f>
        <v>47250</v>
      </c>
      <c r="AF573">
        <f>AD573*0.01</f>
        <v>494.55</v>
      </c>
      <c r="AG573">
        <f>AD573-Q573-AF573-T573</f>
        <v>14010.45</v>
      </c>
      <c r="AH573">
        <f>AE573-Q573-AF573-T573</f>
        <v>11805.45</v>
      </c>
      <c r="AI573">
        <f>AG573/X573</f>
        <v>0.2668657142857143</v>
      </c>
      <c r="AJ573">
        <f>AH573/Y573</f>
        <v>0.2248657142857143</v>
      </c>
      <c r="AW573">
        <v>4710616109</v>
      </c>
    </row>
    <row r="574">
      <c r="A574">
        <f>HYPERLINK("https://smartstore.naver.com/brickstore2019/products/4710638946",AW:AW)</f>
        <v>4710638946</v>
      </c>
      <c r="C574" t="str">
        <v>필립스 X2HR 피델리오 오버이어 헤드폰 Philips X2HR Fidelio (무료배송)</v>
      </c>
      <c r="E574" t="str">
        <v>Philips X2HR Fidelio Over Ear Headphone, Black</v>
      </c>
      <c r="G574" t="str">
        <f>HYPERLINK("https://www.amazon.com/Philips-X2HR-Fidelio-Headphone-Black/dp/B06ZZXKZ25/ref=sr_1_2?keywords=Philips+X2HR+Fidelio&amp;qid=1571809345&amp;sr=8-2","A")</f>
        <v>A</v>
      </c>
      <c r="J574">
        <v>120</v>
      </c>
      <c r="K574">
        <v>2</v>
      </c>
      <c r="L574">
        <f>IF(K574&gt;0,K574*16,)</f>
        <v>32</v>
      </c>
      <c r="M574">
        <f>IF(K574&gt;0,K574*0.453592,IF(L574&gt;0,L574*0.02835,))</f>
        <v>0.907184</v>
      </c>
      <c r="N574">
        <v>0</v>
      </c>
      <c r="O574">
        <v>0</v>
      </c>
      <c r="P574">
        <f>J574+O574+N574</f>
        <v>120</v>
      </c>
      <c r="Q574">
        <f>P574*C$3</f>
        <v>150000</v>
      </c>
      <c r="R574">
        <v>0</v>
      </c>
      <c r="S574">
        <f>ROUND(SUM(Q574:R574), -2)</f>
        <v>150000</v>
      </c>
      <c r="T574">
        <f>ROUNDUP(HLOOKUP(ROUNDUP(K574,0),'배송비 조회'!A$10:U$22,7,0)*C$3,-2)</f>
        <v>11200</v>
      </c>
      <c r="U574">
        <v>0</v>
      </c>
      <c r="V574">
        <f>ROUND(IF(R574&gt;0,0,(S574+T574)*0.3),-2)</f>
        <v>48400</v>
      </c>
      <c r="W574">
        <f>ROUND(IF(R574&gt;0,0,(S574+T574)*0.5),-2)</f>
        <v>80600</v>
      </c>
      <c r="X574">
        <f>IF(R574&gt;0,SUM(S574:T574),SUM(S574:V574))</f>
        <v>209600</v>
      </c>
      <c r="Y574">
        <f>IF(R574&gt;0,SUM(S574:T574),SUM(S574:U574)+W574)</f>
        <v>241800</v>
      </c>
      <c r="Z574">
        <v>0</v>
      </c>
      <c r="AA574">
        <f>X574*0.038</f>
        <v>7964.8</v>
      </c>
      <c r="AB574">
        <f>X574*0.02</f>
        <v>4192</v>
      </c>
      <c r="AC574">
        <f>Y574*0.1</f>
        <v>24180</v>
      </c>
      <c r="AD574">
        <f>X574-AA574-AB574</f>
        <v>197443.2</v>
      </c>
      <c r="AE574">
        <f>Y574-AC574</f>
        <v>217620</v>
      </c>
      <c r="AF574">
        <f>AD574*0.01</f>
        <v>1974.4320000000002</v>
      </c>
      <c r="AG574">
        <f>AD574-Q574-AF574-T574</f>
        <v>34268.76800000001</v>
      </c>
      <c r="AH574">
        <f>AE574-Q574-AF574-T574</f>
        <v>54445.568</v>
      </c>
      <c r="AI574">
        <f>AG574/X574</f>
        <v>0.1634960305343512</v>
      </c>
      <c r="AJ574">
        <f>AH574/Y574</f>
        <v>0.22516777502067825</v>
      </c>
      <c r="AW574">
        <v>4710638946</v>
      </c>
    </row>
    <row r="575">
      <c r="A575">
        <f>HYPERLINK("https://smartstore.naver.com/brickstore2019/products/4713653982",AW:AW)</f>
        <v>4713653982</v>
      </c>
      <c r="C575" t="str">
        <v>안드로이드 애플 펜슬 어도닛 대쉬 3 Adonit Dash 3 (무료배송)</v>
      </c>
      <c r="E575" t="str">
        <v>Adonit Dash 3 - Capacitive Fine Point Stylus Pencil for iPad, iPad Pro, iPhone, Android, and Touch Screen Tablets</v>
      </c>
      <c r="F575" t="str">
        <v>Black</v>
      </c>
      <c r="G575" t="str">
        <f>HYPERLINK("https://www.amazon.com/Adonit-Dash-Capacitive-Samsung-Touchscreens/dp/B073YGD37Y/ref=sr_1_11?keywords=Adonit%2BNote&amp;qid=1572161756&amp;sr=8-11&amp;th=1","A")</f>
        <v>A</v>
      </c>
      <c r="J575">
        <v>40</v>
      </c>
      <c r="K575">
        <f>IF(L575&gt;0,L575*0.0625,)</f>
        <v>0.04</v>
      </c>
      <c r="L575">
        <v>0.64</v>
      </c>
      <c r="M575">
        <f>IF(K575&gt;0,K575*0.453592,IF(L575&gt;0,L575*0.02835,))</f>
        <v>0.01814368</v>
      </c>
      <c r="N575">
        <v>0</v>
      </c>
      <c r="O575">
        <v>0</v>
      </c>
      <c r="P575">
        <f>J575+O575+N575</f>
        <v>40</v>
      </c>
      <c r="Q575">
        <f>P575*C$3</f>
        <v>50000</v>
      </c>
      <c r="R575">
        <v>0</v>
      </c>
      <c r="S575">
        <f>ROUND(SUM(Q575:R575), -2)</f>
        <v>50000</v>
      </c>
      <c r="T575">
        <f>ROUNDUP(HLOOKUP(ROUNDUP(K575,0),'배송비 조회'!A$10:U$22,7,0)*C$3,-2)</f>
        <v>9000</v>
      </c>
      <c r="U575">
        <v>0</v>
      </c>
      <c r="V575">
        <f>ROUND(IF(R575&gt;0,0,(S575+T575)*0.3),-2)</f>
        <v>17700</v>
      </c>
      <c r="W575">
        <f>ROUND(IF(R575&gt;0,0,(S575+T575)*0.5),-2)</f>
        <v>29500</v>
      </c>
      <c r="X575">
        <f>IF(R575&gt;0,SUM(S575:T575),SUM(S575:V575))</f>
        <v>76700</v>
      </c>
      <c r="Y575">
        <f>IF(R575&gt;0,SUM(S575:T575),SUM(S575:U575)+W575)</f>
        <v>88500</v>
      </c>
      <c r="Z575">
        <v>0</v>
      </c>
      <c r="AA575">
        <f>X575*0.038</f>
        <v>2914.6</v>
      </c>
      <c r="AB575">
        <f>X575*0.02</f>
        <v>1534</v>
      </c>
      <c r="AC575">
        <f>Y575*0.1</f>
        <v>8850</v>
      </c>
      <c r="AD575">
        <f>X575-AA575-AB575</f>
        <v>72251.4</v>
      </c>
      <c r="AE575">
        <f>Y575-AC575</f>
        <v>79650</v>
      </c>
      <c r="AF575">
        <f>AD575*0.01</f>
        <v>722.514</v>
      </c>
      <c r="AG575">
        <f>AD575-Q575-AF575-T575</f>
        <v>12528.885999999995</v>
      </c>
      <c r="AH575">
        <f>AE575-Q575-AF575-T575</f>
        <v>19927.486</v>
      </c>
      <c r="AI575">
        <f>AG575/X575</f>
        <v>0.1633492307692307</v>
      </c>
      <c r="AJ575">
        <f>AH575/Y575</f>
        <v>0.22516933333333333</v>
      </c>
      <c r="AK575">
        <f>X575-X576</f>
        <v>0</v>
      </c>
      <c r="AM575">
        <v>10000</v>
      </c>
      <c r="AN575">
        <v>1000</v>
      </c>
      <c r="AO575">
        <v>330</v>
      </c>
      <c r="AP575">
        <v>1330</v>
      </c>
      <c r="AW575">
        <v>4713653982</v>
      </c>
    </row>
    <row r="576">
      <c r="F576" t="str">
        <v>Silver</v>
      </c>
      <c r="G576" t="str">
        <f>HYPERLINK("https://www.amazon.com/Adonit-Dash-Capacitive-Samsung-Touchscreens/dp/B073YG46Y8/ref=sr_1_11?keywords=Adonit%2BNote&amp;qid=1572161756&amp;sr=8-11&amp;th=1","A")</f>
        <v>A</v>
      </c>
      <c r="J576">
        <v>40</v>
      </c>
      <c r="K576">
        <f>IF(L576&gt;0,L576*0.0625,)</f>
        <v>0.04</v>
      </c>
      <c r="L576">
        <v>0.64</v>
      </c>
      <c r="M576">
        <f>IF(K576&gt;0,K576*0.453592,IF(L576&gt;0,L576*0.02835,))</f>
        <v>0.01814368</v>
      </c>
      <c r="N576">
        <v>0</v>
      </c>
      <c r="O576">
        <v>0</v>
      </c>
      <c r="P576">
        <f>J576+O576+N576</f>
        <v>40</v>
      </c>
      <c r="Q576">
        <f>P576*C$3</f>
        <v>50000</v>
      </c>
      <c r="R576">
        <v>0</v>
      </c>
      <c r="S576">
        <f>ROUND(SUM(Q576:R576), -2)</f>
        <v>50000</v>
      </c>
      <c r="T576">
        <f>ROUNDUP(HLOOKUP(ROUNDUP(K576,0),'배송비 조회'!A$10:U$22,7,0)*C$3,-2)</f>
        <v>9000</v>
      </c>
      <c r="U576">
        <v>0</v>
      </c>
      <c r="V576">
        <f>ROUND(IF(R576&gt;0,0,(S576+T576)*0.3),-2)</f>
        <v>17700</v>
      </c>
      <c r="W576">
        <f>ROUND(IF(R576&gt;0,0,(S576+T576)*0.5),-2)</f>
        <v>29500</v>
      </c>
      <c r="X576">
        <f>IF(R576&gt;0,SUM(S576:T576),SUM(S576:V576))</f>
        <v>76700</v>
      </c>
      <c r="Y576">
        <f>IF(R576&gt;0,SUM(S576:T576),SUM(S576:U576)+W576)</f>
        <v>88500</v>
      </c>
      <c r="Z576">
        <v>0</v>
      </c>
      <c r="AA576">
        <f>X576*0.038</f>
        <v>2914.6</v>
      </c>
      <c r="AB576">
        <f>X576*0.02</f>
        <v>1534</v>
      </c>
      <c r="AC576">
        <f>Y576*0.1</f>
        <v>8850</v>
      </c>
      <c r="AD576">
        <f>X576-AA576-AB576</f>
        <v>72251.4</v>
      </c>
      <c r="AE576">
        <f>Y576-AC576</f>
        <v>79650</v>
      </c>
      <c r="AF576">
        <f>AD576*0.01</f>
        <v>722.514</v>
      </c>
      <c r="AG576">
        <f>AD576-Q576-AF576-T576</f>
        <v>12528.885999999995</v>
      </c>
      <c r="AH576">
        <f>AE576-Q576-AF576-T576</f>
        <v>19927.486</v>
      </c>
      <c r="AI576">
        <f>AG576/X576</f>
        <v>0.1633492307692307</v>
      </c>
      <c r="AJ576">
        <f>AH576/Y576</f>
        <v>0.22516933333333333</v>
      </c>
      <c r="AM576">
        <v>20000</v>
      </c>
      <c r="AN576">
        <f>20000*0.1</f>
        <v>2000</v>
      </c>
      <c r="AO576">
        <f>20000*0.033</f>
        <v>660</v>
      </c>
      <c r="AP576">
        <f>SUM(AN576:AO576)</f>
        <v>2660</v>
      </c>
      <c r="AQ576">
        <f>AM576-AP576</f>
        <v>17340</v>
      </c>
    </row>
    <row r="577">
      <c r="F577" t="str">
        <v>Bronze</v>
      </c>
      <c r="G577" t="str">
        <f>HYPERLINK("https://www.amazon.com/Adonit-Dash-Capacitive-Samsung-Touchscreens/dp/B073YGKCVD/ref=sr_1_11?keywords=Adonit%2BNote&amp;qid=1572161756&amp;sr=8-11&amp;th=1","A")</f>
        <v>A</v>
      </c>
      <c r="J577">
        <v>50</v>
      </c>
      <c r="K577">
        <f>IF(L577&gt;0,L577*0.0625,)</f>
        <v>0.04</v>
      </c>
      <c r="L577">
        <v>0.64</v>
      </c>
      <c r="M577">
        <f>IF(K577&gt;0,K577*0.453592,IF(L577&gt;0,L577*0.02835,))</f>
        <v>0.01814368</v>
      </c>
      <c r="N577">
        <v>0</v>
      </c>
      <c r="O577">
        <v>0</v>
      </c>
      <c r="P577">
        <f>J577+O577+N577</f>
        <v>50</v>
      </c>
      <c r="Q577">
        <f>P577*C$3</f>
        <v>62500</v>
      </c>
      <c r="R577">
        <v>0</v>
      </c>
      <c r="S577">
        <f>ROUND(SUM(Q577:R577), -2)</f>
        <v>62500</v>
      </c>
      <c r="T577">
        <f>ROUNDUP(HLOOKUP(ROUNDUP(K577,0),'배송비 조회'!A$10:U$22,7,0)*C$3,-2)</f>
        <v>9000</v>
      </c>
      <c r="U577">
        <v>0</v>
      </c>
      <c r="V577">
        <f>ROUND(IF(R577&gt;0,0,(S577+T577)*0.3),-2)</f>
        <v>21500</v>
      </c>
      <c r="W577">
        <f>ROUND(IF(R577&gt;0,0,(S577+T577)*0.5),-2)</f>
        <v>35800</v>
      </c>
      <c r="X577">
        <f>IF(R577&gt;0,SUM(S577:T577),SUM(S577:V577))</f>
        <v>93000</v>
      </c>
      <c r="Y577">
        <f>IF(R577&gt;0,SUM(S577:T577),SUM(S577:U577)+W577)</f>
        <v>107300</v>
      </c>
      <c r="Z577">
        <v>0</v>
      </c>
      <c r="AA577">
        <f>X577*0.038</f>
        <v>3534</v>
      </c>
      <c r="AB577">
        <f>X577*0.02</f>
        <v>1860</v>
      </c>
      <c r="AC577">
        <f>Y577*0.1</f>
        <v>10730</v>
      </c>
      <c r="AD577">
        <f>X577-AA577-AB577</f>
        <v>87606</v>
      </c>
      <c r="AE577">
        <f>Y577-AC577</f>
        <v>96570</v>
      </c>
      <c r="AF577">
        <f>AD577*0.01</f>
        <v>876.0600000000001</v>
      </c>
      <c r="AG577">
        <f>AD577-Q577-AF577-T577</f>
        <v>15229.939999999999</v>
      </c>
      <c r="AH577">
        <f>AE577-Q577-AF577-T577</f>
        <v>24193.940000000002</v>
      </c>
      <c r="AI577">
        <f>AG577/X577</f>
        <v>0.1637627956989247</v>
      </c>
      <c r="AJ577">
        <f>AH577/Y577</f>
        <v>0.22547940354147253</v>
      </c>
    </row>
    <row r="578">
      <c r="A578">
        <f>HYPERLINK("https://smartstore.naver.com/brickstore2019/products/4715075258",AW:AW)</f>
        <v>4715075258</v>
      </c>
      <c r="C578" t="str">
        <v>인스턴트 팟 듀오 미니 3 Qt 7 in 1 멀티 프로그래머블 압력솥 Instant Pot Duo Mini 3 Qt (무료배송)</v>
      </c>
      <c r="E578" t="str">
        <v>Instant Pot Duo Mini 3 Qt 7-in-1 Multi- Use Programmable Pressure Cooker, Slow Cooker, Rice Cooker, Steamer, Sauté, Yogurt Maker and Warmer</v>
      </c>
      <c r="F578" t="str">
        <v>Black</v>
      </c>
      <c r="G578" t="str">
        <v>A</v>
      </c>
      <c r="J578">
        <v>60</v>
      </c>
      <c r="K578">
        <v>20.1</v>
      </c>
      <c r="L578">
        <f>IF(K578&gt;0,K578*16,)</f>
        <v>321.6</v>
      </c>
      <c r="M578">
        <f>IF(K578&gt;0,K578*0.453592,IF(L578&gt;0,L578*0.02835,))</f>
        <v>9.1171992</v>
      </c>
      <c r="N578">
        <v>0</v>
      </c>
      <c r="O578">
        <v>0</v>
      </c>
      <c r="P578">
        <f>J578+O578+N578</f>
        <v>60</v>
      </c>
      <c r="Q578">
        <f>P578*C$3</f>
        <v>75000</v>
      </c>
      <c r="R578">
        <v>0</v>
      </c>
      <c r="S578">
        <f>ROUND(SUM(Q578:R578), -2)</f>
        <v>75000</v>
      </c>
      <c r="T578">
        <f>ROUNDUP(HLOOKUP(ROUNDUP(K578,0),'배송비 조회'!A$10:AE$22,7,0)*C$3,-2)</f>
        <v>52800</v>
      </c>
      <c r="U578">
        <v>0</v>
      </c>
      <c r="V578">
        <f>ROUND(IF(R578&gt;0,0,(S578+T578)*0.3),-2)</f>
        <v>38300</v>
      </c>
      <c r="W578">
        <f>ROUND(IF(R578&gt;0,0,(S578+T578)*0.5),-2)</f>
        <v>63900</v>
      </c>
      <c r="X578">
        <f>IF(R578&gt;0,SUM(S578:T578),SUM(S578:V578))</f>
        <v>166100</v>
      </c>
      <c r="Y578">
        <f>IF(R578&gt;0,SUM(S578:T578),SUM(S578:U578)+W578)</f>
        <v>191700</v>
      </c>
      <c r="Z578">
        <v>0</v>
      </c>
      <c r="AA578">
        <f>X578*0.038</f>
        <v>6311.8</v>
      </c>
      <c r="AB578">
        <f>X578*0.02</f>
        <v>3322</v>
      </c>
      <c r="AC578">
        <f>Y578*0.1</f>
        <v>19170</v>
      </c>
      <c r="AD578">
        <f>X578-AA578-AB578</f>
        <v>156466.2</v>
      </c>
      <c r="AE578">
        <f>Y578-AC578</f>
        <v>172530</v>
      </c>
      <c r="AF578">
        <f>AD578*0.01</f>
        <v>1564.6620000000003</v>
      </c>
      <c r="AG578">
        <f>AD578-Q578-AF578-T578</f>
        <v>27101.538000000015</v>
      </c>
      <c r="AH578">
        <f>AE578-Q578-AF578-T578</f>
        <v>43165.338</v>
      </c>
      <c r="AI578">
        <f>AG578/X578</f>
        <v>0.16316398555087305</v>
      </c>
      <c r="AJ578">
        <f>AH578/Y578</f>
        <v>0.22517129890453835</v>
      </c>
      <c r="AW578">
        <v>4715075258</v>
      </c>
    </row>
    <row r="579">
      <c r="A579">
        <f>HYPERLINK("https://smartstore.naver.com/brickstore2019/products/4715010509",AW:AW)</f>
        <v>4715010509</v>
      </c>
      <c r="C579" t="str">
        <v>타이틀리스트 백팩 클럽 라이프 트래블 기어 TA8CLBP-0 (무료배송)</v>
      </c>
      <c r="E579" t="str">
        <v>Titleist Club Life Backpack</v>
      </c>
      <c r="G579" t="str">
        <v>A</v>
      </c>
      <c r="J579">
        <v>130</v>
      </c>
      <c r="K579">
        <v>2.1</v>
      </c>
      <c r="L579">
        <f>IF(K579&gt;0,K579*16,)</f>
        <v>33.6</v>
      </c>
      <c r="M579">
        <f>IF(K579&gt;0,K579*0.453592,IF(L579&gt;0,L579*0.02835,))</f>
        <v>0.9525432</v>
      </c>
      <c r="N579">
        <v>0</v>
      </c>
      <c r="O579">
        <v>0</v>
      </c>
      <c r="P579">
        <f>J579+O579+N579</f>
        <v>130</v>
      </c>
      <c r="Q579">
        <f>P579*C$3</f>
        <v>162500</v>
      </c>
      <c r="R579">
        <v>0</v>
      </c>
      <c r="S579">
        <f>ROUND(SUM(Q579:R579), -2)</f>
        <v>162500</v>
      </c>
      <c r="T579">
        <f>ROUNDUP(HLOOKUP(ROUNDUP(K579,0),'배송비 조회'!A$10:AE$22,7,0)*C$3,-2)</f>
        <v>13400</v>
      </c>
      <c r="U579">
        <v>0</v>
      </c>
      <c r="V579">
        <f>ROUND(IF(R579&gt;0,0,(S579+T579)*0.3),-2)</f>
        <v>52800</v>
      </c>
      <c r="W579">
        <f>ROUND(IF(R579&gt;0,0,(S579+T579)*0.5),-2)</f>
        <v>88000</v>
      </c>
      <c r="X579">
        <f>IF(R579&gt;0,SUM(S579:T579),SUM(S579:V579))</f>
        <v>228700</v>
      </c>
      <c r="Y579">
        <f>IF(R579&gt;0,SUM(S579:T579),SUM(S579:U579)+W579)</f>
        <v>263900</v>
      </c>
      <c r="Z579">
        <v>0</v>
      </c>
      <c r="AA579">
        <f>X579*0.038</f>
        <v>8690.6</v>
      </c>
      <c r="AB579">
        <f>X579*0.02</f>
        <v>4574</v>
      </c>
      <c r="AC579">
        <f>Y579*0.1</f>
        <v>26390</v>
      </c>
      <c r="AD579">
        <f>X579-AA579-AB579</f>
        <v>215435.4</v>
      </c>
      <c r="AE579">
        <f>Y579-AC579</f>
        <v>237510</v>
      </c>
      <c r="AF579">
        <f>AD579*0.01</f>
        <v>2154.354</v>
      </c>
      <c r="AG579">
        <f>AD579-Q579-AF579-T579</f>
        <v>37381.045999999995</v>
      </c>
      <c r="AH579">
        <f>AE579-Q579-AF579-T579</f>
        <v>59455.64599999999</v>
      </c>
      <c r="AI579">
        <f>AG579/X579</f>
        <v>0.16345013554875382</v>
      </c>
      <c r="AJ579">
        <f>AH579/Y579</f>
        <v>0.2252961197423266</v>
      </c>
      <c r="AW579">
        <v>4715010509</v>
      </c>
    </row>
    <row r="580">
      <c r="A580">
        <f>HYPERLINK("https://smartstore.naver.com/brickstore2019/products/4716381720",AW:AW)</f>
        <v>4716381720</v>
      </c>
      <c r="C580" t="str">
        <v>올뉴 아마존 파이어 HD10 9세대 태블릿 PC Amazon Fire HD10 (무료배송)</v>
      </c>
      <c r="E580" t="str">
        <v>All-New Fire HD 10 Tablet (10.1" 1080p full HD display, 32 GB / 64GB)</v>
      </c>
      <c r="F580" t="str">
        <v>32 GB / Black</v>
      </c>
      <c r="G580" t="str">
        <f>HYPERLINK("https://www.amazon.com/dp/B07K1RZWMC/ref=cm_sw_r_cp_apa_i_-01MDbVDKR1YX?th=1","A")</f>
        <v>A</v>
      </c>
      <c r="J580">
        <v>150</v>
      </c>
      <c r="K580">
        <v>1.5</v>
      </c>
      <c r="L580">
        <f>IF(K580&gt;0,K580*16,)</f>
        <v>24</v>
      </c>
      <c r="M580">
        <f>IF(K580&gt;0,K580*0.453592,IF(L580&gt;0,L580*0.02835,))</f>
        <v>0.680388</v>
      </c>
      <c r="N580">
        <v>0</v>
      </c>
      <c r="O580">
        <v>0</v>
      </c>
      <c r="P580">
        <f>J580+O580+N580</f>
        <v>150</v>
      </c>
      <c r="Q580">
        <f>P580*C$3</f>
        <v>187500</v>
      </c>
      <c r="R580">
        <v>0</v>
      </c>
      <c r="S580">
        <f>ROUND(SUM(Q580:R580), -2)</f>
        <v>187500</v>
      </c>
      <c r="T580">
        <f>ROUNDUP(HLOOKUP(ROUNDUP(K580,0),'배송비 조회'!A$10:AE$22,7,0)*C$3,-2)</f>
        <v>11200</v>
      </c>
      <c r="U580">
        <v>0</v>
      </c>
      <c r="V580">
        <f>ROUND(IF(R580&gt;0,0,(S580+T580)*0.2),-2)</f>
        <v>39700</v>
      </c>
      <c r="W580">
        <f>ROUND(IF(R580&gt;0,0,(S580+T580)*0.5),-2)</f>
        <v>99400</v>
      </c>
      <c r="X580">
        <f>IF(R580&gt;0,SUM(S580:T580),SUM(S580:V580))</f>
        <v>238400</v>
      </c>
      <c r="Y580">
        <f>IF(R580&gt;0,SUM(S580:T580),SUM(S580:U580)+W580)</f>
        <v>298100</v>
      </c>
      <c r="Z580">
        <v>0</v>
      </c>
      <c r="AA580">
        <f>X580*0.038</f>
        <v>9059.199999999999</v>
      </c>
      <c r="AB580">
        <f>X580*0.02</f>
        <v>4768</v>
      </c>
      <c r="AC580">
        <f>Y580*0.1</f>
        <v>29810</v>
      </c>
      <c r="AD580">
        <f>X580-AA580-AB580</f>
        <v>224572.8</v>
      </c>
      <c r="AE580">
        <f>Y580-AC580</f>
        <v>268290</v>
      </c>
      <c r="AF580">
        <f>AD580*0.01</f>
        <v>2245.728</v>
      </c>
      <c r="AG580">
        <f>AD580-Q580-AF580-T580</f>
        <v>23627.071999999986</v>
      </c>
      <c r="AH580">
        <f>AE580-Q580-AF580-T580</f>
        <v>67344.272</v>
      </c>
      <c r="AI580">
        <f>AG580/X580</f>
        <v>0.09910684563758383</v>
      </c>
      <c r="AJ580">
        <f>AH580/Y580</f>
        <v>0.22591168064407915</v>
      </c>
      <c r="AW580">
        <v>4716381720</v>
      </c>
    </row>
    <row r="581">
      <c r="F581" t="str">
        <v>32 GB / Plum</v>
      </c>
      <c r="G581" t="str">
        <f>HYPERLINK("https://www.amazon.com/dp/B07KD8R6HD/ref=cm_sw_r_cp_apa_i_-01MDbVDKR1YX?th=1","A")</f>
        <v>A</v>
      </c>
      <c r="J581">
        <v>150</v>
      </c>
      <c r="K581">
        <v>1.5</v>
      </c>
      <c r="L581">
        <f>IF(K581&gt;0,K581*16,)</f>
        <v>24</v>
      </c>
      <c r="M581">
        <f>IF(K581&gt;0,K581*0.453592,IF(L581&gt;0,L581*0.02835,))</f>
        <v>0.680388</v>
      </c>
      <c r="N581">
        <v>0</v>
      </c>
      <c r="O581">
        <v>0</v>
      </c>
      <c r="P581">
        <f>J581+O581+N581</f>
        <v>150</v>
      </c>
      <c r="Q581">
        <f>P581*C$3</f>
        <v>187500</v>
      </c>
      <c r="R581">
        <v>0</v>
      </c>
      <c r="S581">
        <f>ROUND(SUM(Q581:R581), -2)</f>
        <v>187500</v>
      </c>
      <c r="T581">
        <f>ROUNDUP(HLOOKUP(ROUNDUP(K581,0),'배송비 조회'!A$10:AE$22,7,0)*C$3,-2)</f>
        <v>11200</v>
      </c>
      <c r="U581">
        <v>0</v>
      </c>
      <c r="V581">
        <f>ROUND(IF(R581&gt;0,0,(S581+T581)*0.2),-2)</f>
        <v>39700</v>
      </c>
      <c r="W581">
        <f>ROUND(IF(R581&gt;0,0,(S581+T581)*0.5),-2)</f>
        <v>99400</v>
      </c>
      <c r="X581">
        <f>IF(R581&gt;0,SUM(S581:T581),SUM(S581:V581))</f>
        <v>238400</v>
      </c>
      <c r="Y581">
        <f>IF(R581&gt;0,SUM(S581:T581),SUM(S581:U581)+W581)</f>
        <v>298100</v>
      </c>
      <c r="Z581">
        <v>0</v>
      </c>
      <c r="AA581">
        <f>X581*0.038</f>
        <v>9059.199999999999</v>
      </c>
      <c r="AB581">
        <f>X581*0.02</f>
        <v>4768</v>
      </c>
      <c r="AC581">
        <f>Y581*0.1</f>
        <v>29810</v>
      </c>
      <c r="AD581">
        <f>X581-AA581-AB581</f>
        <v>224572.8</v>
      </c>
      <c r="AE581">
        <f>Y581-AC581</f>
        <v>268290</v>
      </c>
      <c r="AF581">
        <f>AD581*0.01</f>
        <v>2245.728</v>
      </c>
      <c r="AG581">
        <f>AD581-Q581-AF581-T581</f>
        <v>23627.071999999986</v>
      </c>
      <c r="AH581">
        <f>AE581-Q581-AF581-T581</f>
        <v>67344.272</v>
      </c>
      <c r="AI581">
        <f>AG581/X581</f>
        <v>0.09910684563758383</v>
      </c>
      <c r="AJ581">
        <f>AH581/Y581</f>
        <v>0.22591168064407915</v>
      </c>
      <c r="AK581">
        <f>X581-X580</f>
        <v>0</v>
      </c>
    </row>
    <row r="582">
      <c r="F582" t="str">
        <v>32 GB / Twilight Blue</v>
      </c>
      <c r="G582" t="str">
        <f>HYPERLINK("https://www.amazon.com/dp/B07KD8R6HD/ref=cm_sw_r_cp_apa_i_-01MDbVDKR1YX?th=1","A")</f>
        <v>A</v>
      </c>
      <c r="J582">
        <v>150</v>
      </c>
      <c r="K582">
        <v>1.5</v>
      </c>
      <c r="L582">
        <f>IF(K582&gt;0,K582*16,)</f>
        <v>24</v>
      </c>
      <c r="M582">
        <f>IF(K582&gt;0,K582*0.453592,IF(L582&gt;0,L582*0.02835,))</f>
        <v>0.680388</v>
      </c>
      <c r="N582">
        <v>0</v>
      </c>
      <c r="O582">
        <v>0</v>
      </c>
      <c r="P582">
        <f>J582+O582+N582</f>
        <v>150</v>
      </c>
      <c r="Q582">
        <f>P582*C$3</f>
        <v>187500</v>
      </c>
      <c r="R582">
        <v>0</v>
      </c>
      <c r="S582">
        <f>ROUND(SUM(Q582:R582), -2)</f>
        <v>187500</v>
      </c>
      <c r="T582">
        <f>ROUNDUP(HLOOKUP(ROUNDUP(K582,0),'배송비 조회'!A$10:AE$22,7,0)*C$3,-2)</f>
        <v>11200</v>
      </c>
      <c r="U582">
        <v>0</v>
      </c>
      <c r="V582">
        <f>ROUND(IF(R582&gt;0,0,(S582+T582)*0.2),-2)</f>
        <v>39700</v>
      </c>
      <c r="W582">
        <f>ROUND(IF(R582&gt;0,0,(S582+T582)*0.5),-2)</f>
        <v>99400</v>
      </c>
      <c r="X582">
        <f>IF(R582&gt;0,SUM(S582:T582),SUM(S582:V582))</f>
        <v>238400</v>
      </c>
      <c r="Y582">
        <f>IF(R582&gt;0,SUM(S582:T582),SUM(S582:U582)+W582)</f>
        <v>298100</v>
      </c>
      <c r="Z582">
        <v>0</v>
      </c>
      <c r="AA582">
        <f>X582*0.038</f>
        <v>9059.199999999999</v>
      </c>
      <c r="AB582">
        <f>X582*0.02</f>
        <v>4768</v>
      </c>
      <c r="AC582">
        <f>Y582*0.1</f>
        <v>29810</v>
      </c>
      <c r="AD582">
        <f>X582-AA582-AB582</f>
        <v>224572.8</v>
      </c>
      <c r="AE582">
        <f>Y582-AC582</f>
        <v>268290</v>
      </c>
      <c r="AF582">
        <f>AD582*0.01</f>
        <v>2245.728</v>
      </c>
      <c r="AG582">
        <f>AD582-Q582-AF582-T582</f>
        <v>23627.071999999986</v>
      </c>
      <c r="AH582">
        <f>AE582-Q582-AF582-T582</f>
        <v>67344.272</v>
      </c>
      <c r="AI582">
        <f>AG582/X582</f>
        <v>0.09910684563758383</v>
      </c>
      <c r="AJ582">
        <f>AH582/Y582</f>
        <v>0.22591168064407915</v>
      </c>
    </row>
    <row r="583">
      <c r="F583" t="str">
        <v>32 GB / White</v>
      </c>
      <c r="G583" t="str">
        <f>HYPERLINK("https://www.amazon.com/dp/B07KD6BTCZ/ref=cm_sw_r_cp_apa_i_-01MDbVDKR1YX?th=1","A")</f>
        <v>A</v>
      </c>
      <c r="J583">
        <v>150</v>
      </c>
      <c r="K583">
        <v>1.5</v>
      </c>
      <c r="L583">
        <f>IF(K583&gt;0,K583*16,)</f>
        <v>24</v>
      </c>
      <c r="M583">
        <f>IF(K583&gt;0,K583*0.453592,IF(L583&gt;0,L583*0.02835,))</f>
        <v>0.680388</v>
      </c>
      <c r="N583">
        <v>0</v>
      </c>
      <c r="O583">
        <v>0</v>
      </c>
      <c r="P583">
        <f>J583+O583+N583</f>
        <v>150</v>
      </c>
      <c r="Q583">
        <f>P583*C$3</f>
        <v>187500</v>
      </c>
      <c r="R583">
        <v>0</v>
      </c>
      <c r="S583">
        <f>ROUND(SUM(Q583:R583), -2)</f>
        <v>187500</v>
      </c>
      <c r="T583">
        <f>ROUNDUP(HLOOKUP(ROUNDUP(K583,0),'배송비 조회'!A$10:AE$22,7,0)*C$3,-2)</f>
        <v>11200</v>
      </c>
      <c r="U583">
        <v>0</v>
      </c>
      <c r="V583">
        <f>ROUND(IF(R583&gt;0,0,(S583+T583)*0.2),-2)</f>
        <v>39700</v>
      </c>
      <c r="W583">
        <f>ROUND(IF(R583&gt;0,0,(S583+T583)*0.5),-2)</f>
        <v>99400</v>
      </c>
      <c r="X583">
        <f>IF(R583&gt;0,SUM(S583:T583),SUM(S583:V583))</f>
        <v>238400</v>
      </c>
      <c r="Y583">
        <f>IF(R583&gt;0,SUM(S583:T583),SUM(S583:U583)+W583)</f>
        <v>298100</v>
      </c>
      <c r="Z583">
        <v>0</v>
      </c>
      <c r="AA583">
        <f>X583*0.038</f>
        <v>9059.199999999999</v>
      </c>
      <c r="AB583">
        <f>X583*0.02</f>
        <v>4768</v>
      </c>
      <c r="AC583">
        <f>Y583*0.1</f>
        <v>29810</v>
      </c>
      <c r="AD583">
        <f>X583-AA583-AB583</f>
        <v>224572.8</v>
      </c>
      <c r="AE583">
        <f>Y583-AC583</f>
        <v>268290</v>
      </c>
      <c r="AF583">
        <f>AD583*0.01</f>
        <v>2245.728</v>
      </c>
      <c r="AG583">
        <f>AD583-Q583-AF583-T583</f>
        <v>23627.071999999986</v>
      </c>
      <c r="AH583">
        <f>AE583-Q583-AF583-T583</f>
        <v>67344.272</v>
      </c>
      <c r="AI583">
        <f>AG583/X583</f>
        <v>0.09910684563758383</v>
      </c>
      <c r="AJ583">
        <f>AH583/Y583</f>
        <v>0.22591168064407915</v>
      </c>
    </row>
    <row r="584">
      <c r="F584" t="str">
        <v>64 GB / Black</v>
      </c>
      <c r="G584" t="str">
        <f>HYPERLINK("https://www.amazon.com/dp/B07K2HBB1H/ref=cm_sw_r_cp_apa_i_-01MDbVDKR1YX?th=1","A")</f>
        <v>A</v>
      </c>
      <c r="J584">
        <v>190</v>
      </c>
      <c r="K584">
        <v>1.5</v>
      </c>
      <c r="L584">
        <f>IF(K584&gt;0,K584*16,)</f>
        <v>24</v>
      </c>
      <c r="M584">
        <f>IF(K584&gt;0,K584*0.453592,IF(L584&gt;0,L584*0.02835,))</f>
        <v>0.680388</v>
      </c>
      <c r="N584">
        <v>0</v>
      </c>
      <c r="O584">
        <v>0</v>
      </c>
      <c r="P584">
        <f>J584+O584+N584</f>
        <v>190</v>
      </c>
      <c r="Q584">
        <f>P584*C$3</f>
        <v>237500</v>
      </c>
      <c r="R584">
        <v>0</v>
      </c>
      <c r="S584">
        <f>ROUND(SUM(Q584:R584), -2)</f>
        <v>237500</v>
      </c>
      <c r="T584">
        <f>ROUNDUP(HLOOKUP(ROUNDUP(K584,0),'배송비 조회'!A$10:AE$22,7,0)*C$3,-2)</f>
        <v>11200</v>
      </c>
      <c r="U584">
        <v>0</v>
      </c>
      <c r="V584">
        <f>ROUND(IF(R584&gt;0,0,(S584+T584)*0.2),-2)</f>
        <v>49700</v>
      </c>
      <c r="W584">
        <f>ROUND(IF(R584&gt;0,0,(S584+T584)*0.5),-2)</f>
        <v>124400</v>
      </c>
      <c r="X584">
        <f>IF(R584&gt;0,SUM(S584:T584),SUM(S584:V584))</f>
        <v>298400</v>
      </c>
      <c r="Y584">
        <f>IF(R584&gt;0,SUM(S584:T584),SUM(S584:U584)+W584)</f>
        <v>373100</v>
      </c>
      <c r="Z584">
        <v>0</v>
      </c>
      <c r="AA584">
        <f>X584*0.038</f>
        <v>11339.199999999999</v>
      </c>
      <c r="AB584">
        <f>X584*0.02</f>
        <v>5968</v>
      </c>
      <c r="AC584">
        <f>Y584*0.1</f>
        <v>37310</v>
      </c>
      <c r="AD584">
        <f>X584-AA584-AB584</f>
        <v>281092.8</v>
      </c>
      <c r="AE584">
        <f>Y584-AC584</f>
        <v>335790</v>
      </c>
      <c r="AF584">
        <f>AD584*0.01</f>
        <v>2810.928</v>
      </c>
      <c r="AG584">
        <f>AD584-Q584-AF584-T584</f>
        <v>29581.87199999999</v>
      </c>
      <c r="AH584">
        <f>AE584-Q584-AF584-T584</f>
        <v>84279.072</v>
      </c>
      <c r="AI584">
        <f>AG584/X584</f>
        <v>0.09913495978552275</v>
      </c>
      <c r="AJ584">
        <f>AH584/Y584</f>
        <v>0.22588869471991424</v>
      </c>
      <c r="AK584">
        <f>X584-X583</f>
        <v>60000</v>
      </c>
    </row>
    <row r="585">
      <c r="F585" t="str">
        <v>64 GB / Plum</v>
      </c>
      <c r="G585" t="str">
        <f>HYPERLINK("https://www.amazon.com/dp/B07KD7CW5T/ref=cm_sw_r_cp_apa_i_-01MDbVDKR1YX?th=1","A")</f>
        <v>A</v>
      </c>
      <c r="J585">
        <v>190</v>
      </c>
      <c r="K585">
        <v>1.5</v>
      </c>
      <c r="L585">
        <f>IF(K585&gt;0,K585*16,)</f>
        <v>24</v>
      </c>
      <c r="M585">
        <f>IF(K585&gt;0,K585*0.453592,IF(L585&gt;0,L585*0.02835,))</f>
        <v>0.680388</v>
      </c>
      <c r="N585">
        <v>0</v>
      </c>
      <c r="O585">
        <v>0</v>
      </c>
      <c r="P585">
        <f>J585+O585+N585</f>
        <v>190</v>
      </c>
      <c r="Q585">
        <f>P585*C$3</f>
        <v>237500</v>
      </c>
      <c r="R585">
        <v>0</v>
      </c>
      <c r="S585">
        <f>ROUND(SUM(Q585:R585), -2)</f>
        <v>237500</v>
      </c>
      <c r="T585">
        <f>ROUNDUP(HLOOKUP(ROUNDUP(K585,0),'배송비 조회'!A$10:AE$22,7,0)*C$3,-2)</f>
        <v>11200</v>
      </c>
      <c r="U585">
        <v>0</v>
      </c>
      <c r="V585">
        <f>ROUND(IF(R585&gt;0,0,(S585+T585)*0.2),-2)</f>
        <v>49700</v>
      </c>
      <c r="W585">
        <f>ROUND(IF(R585&gt;0,0,(S585+T585)*0.5),-2)</f>
        <v>124400</v>
      </c>
      <c r="X585">
        <f>IF(R585&gt;0,SUM(S585:T585),SUM(S585:V585))</f>
        <v>298400</v>
      </c>
      <c r="Y585">
        <f>IF(R585&gt;0,SUM(S585:T585),SUM(S585:U585)+W585)</f>
        <v>373100</v>
      </c>
      <c r="Z585">
        <v>0</v>
      </c>
      <c r="AA585">
        <f>X585*0.038</f>
        <v>11339.199999999999</v>
      </c>
      <c r="AB585">
        <f>X585*0.02</f>
        <v>5968</v>
      </c>
      <c r="AC585">
        <f>Y585*0.1</f>
        <v>37310</v>
      </c>
      <c r="AD585">
        <f>X585-AA585-AB585</f>
        <v>281092.8</v>
      </c>
      <c r="AE585">
        <f>Y585-AC585</f>
        <v>335790</v>
      </c>
      <c r="AF585">
        <f>AD585*0.01</f>
        <v>2810.928</v>
      </c>
      <c r="AG585">
        <f>AD585-Q585-AF585-T585</f>
        <v>29581.87199999999</v>
      </c>
      <c r="AH585">
        <f>AE585-Q585-AF585-T585</f>
        <v>84279.072</v>
      </c>
      <c r="AI585">
        <f>AG585/X585</f>
        <v>0.09913495978552275</v>
      </c>
      <c r="AJ585">
        <f>AH585/Y585</f>
        <v>0.22588869471991424</v>
      </c>
    </row>
    <row r="586">
      <c r="F586" t="str">
        <v>64 GB / Twilight Blue</v>
      </c>
      <c r="G586" t="str">
        <f>HYPERLINK("https://www.amazon.com/dp/B07KD7FB5L/ref=cm_sw_r_cp_apa_i_-01MDbVDKR1YX?th=1","A")</f>
        <v>A</v>
      </c>
      <c r="J586">
        <v>190</v>
      </c>
      <c r="K586">
        <v>1.5</v>
      </c>
      <c r="L586">
        <f>IF(K586&gt;0,K586*16,)</f>
        <v>24</v>
      </c>
      <c r="M586">
        <f>IF(K586&gt;0,K586*0.453592,IF(L586&gt;0,L586*0.02835,))</f>
        <v>0.680388</v>
      </c>
      <c r="N586">
        <v>0</v>
      </c>
      <c r="O586">
        <v>0</v>
      </c>
      <c r="P586">
        <f>J586+O586+N586</f>
        <v>190</v>
      </c>
      <c r="Q586">
        <f>P586*C$3</f>
        <v>237500</v>
      </c>
      <c r="R586">
        <v>0</v>
      </c>
      <c r="S586">
        <f>ROUND(SUM(Q586:R586), -2)</f>
        <v>237500</v>
      </c>
      <c r="T586">
        <f>ROUNDUP(HLOOKUP(ROUNDUP(K586,0),'배송비 조회'!A$10:AE$22,7,0)*C$3,-2)</f>
        <v>11200</v>
      </c>
      <c r="U586">
        <v>0</v>
      </c>
      <c r="V586">
        <f>ROUND(IF(R586&gt;0,0,(S586+T586)*0.2),-2)</f>
        <v>49700</v>
      </c>
      <c r="W586">
        <f>ROUND(IF(R586&gt;0,0,(S586+T586)*0.5),-2)</f>
        <v>124400</v>
      </c>
      <c r="X586">
        <f>IF(R586&gt;0,SUM(S586:T586),SUM(S586:V586))</f>
        <v>298400</v>
      </c>
      <c r="Y586">
        <f>IF(R586&gt;0,SUM(S586:T586),SUM(S586:U586)+W586)</f>
        <v>373100</v>
      </c>
      <c r="Z586">
        <v>0</v>
      </c>
      <c r="AA586">
        <f>X586*0.038</f>
        <v>11339.199999999999</v>
      </c>
      <c r="AB586">
        <f>X586*0.02</f>
        <v>5968</v>
      </c>
      <c r="AC586">
        <f>Y586*0.1</f>
        <v>37310</v>
      </c>
      <c r="AD586">
        <f>X586-AA586-AB586</f>
        <v>281092.8</v>
      </c>
      <c r="AE586">
        <f>Y586-AC586</f>
        <v>335790</v>
      </c>
      <c r="AF586">
        <f>AD586*0.01</f>
        <v>2810.928</v>
      </c>
      <c r="AG586">
        <f>AD586-Q586-AF586-T586</f>
        <v>29581.87199999999</v>
      </c>
      <c r="AH586">
        <f>AE586-Q586-AF586-T586</f>
        <v>84279.072</v>
      </c>
      <c r="AI586">
        <f>AG586/X586</f>
        <v>0.09913495978552275</v>
      </c>
      <c r="AJ586">
        <f>AH586/Y586</f>
        <v>0.22588869471991424</v>
      </c>
    </row>
    <row r="587">
      <c r="F587" t="str">
        <v>64 GB / White</v>
      </c>
      <c r="G587" t="str">
        <f>HYPERLINK("https://www.amazon.com/dp/B07KD58DQS/ref=cm_sw_r_cp_apa_i_-01MDbVDKR1YX?th=1","A")</f>
        <v>A</v>
      </c>
      <c r="J587">
        <v>190</v>
      </c>
      <c r="K587">
        <v>1.5</v>
      </c>
      <c r="L587">
        <f>IF(K587&gt;0,K587*16,)</f>
        <v>24</v>
      </c>
      <c r="M587">
        <f>IF(K587&gt;0,K587*0.453592,IF(L587&gt;0,L587*0.02835,))</f>
        <v>0.680388</v>
      </c>
      <c r="N587">
        <v>0</v>
      </c>
      <c r="O587">
        <v>0</v>
      </c>
      <c r="P587">
        <f>J587+O587+N587</f>
        <v>190</v>
      </c>
      <c r="Q587">
        <f>P587*C$3</f>
        <v>237500</v>
      </c>
      <c r="R587">
        <v>0</v>
      </c>
      <c r="S587">
        <f>ROUND(SUM(Q587:R587), -2)</f>
        <v>237500</v>
      </c>
      <c r="T587">
        <f>ROUNDUP(HLOOKUP(ROUNDUP(K587,0),'배송비 조회'!A$10:AE$22,7,0)*C$3,-2)</f>
        <v>11200</v>
      </c>
      <c r="U587">
        <v>0</v>
      </c>
      <c r="V587">
        <f>ROUND(IF(R587&gt;0,0,(S587+T587)*0.2),-2)</f>
        <v>49700</v>
      </c>
      <c r="W587">
        <f>ROUND(IF(R587&gt;0,0,(S587+T587)*0.5),-2)</f>
        <v>124400</v>
      </c>
      <c r="X587">
        <f>IF(R587&gt;0,SUM(S587:T587),SUM(S587:V587))</f>
        <v>298400</v>
      </c>
      <c r="Y587">
        <f>IF(R587&gt;0,SUM(S587:T587),SUM(S587:U587)+W587)</f>
        <v>373100</v>
      </c>
      <c r="Z587">
        <v>0</v>
      </c>
      <c r="AA587">
        <f>X587*0.038</f>
        <v>11339.199999999999</v>
      </c>
      <c r="AB587">
        <f>X587*0.02</f>
        <v>5968</v>
      </c>
      <c r="AC587">
        <f>Y587*0.1</f>
        <v>37310</v>
      </c>
      <c r="AD587">
        <f>X587-AA587-AB587</f>
        <v>281092.8</v>
      </c>
      <c r="AE587">
        <f>Y587-AC587</f>
        <v>335790</v>
      </c>
      <c r="AF587">
        <f>AD587*0.01</f>
        <v>2810.928</v>
      </c>
      <c r="AG587">
        <f>AD587-Q587-AF587-T587</f>
        <v>29581.87199999999</v>
      </c>
      <c r="AH587">
        <f>AE587-Q587-AF587-T587</f>
        <v>84279.072</v>
      </c>
      <c r="AI587">
        <f>AG587/X587</f>
        <v>0.09913495978552275</v>
      </c>
      <c r="AJ587">
        <f>AH587/Y587</f>
        <v>0.22588869471991424</v>
      </c>
    </row>
    <row r="588" xml:space="preserve">
      <c r="A588">
        <f>HYPERLINK("https://smartstore.naver.com/brickstore2019/products/4716255164",AW:AW)</f>
        <v>4716255164</v>
      </c>
      <c r="C588" t="str">
        <v>센세이텐 스틸시리즈 게이밍마우스 SENSEI TEN(무료배송)</v>
      </c>
      <c r="E588" t="str" xml:space="preserve">
        <v xml:space="preserve">SteelSeries Sensei Ten Gaming Mouse – 18,000 CPI TrueMove Pro Optical Sensor – Ambidextrous Design – 8 Programmable Buttons – 60M Click Mechanical Switches – RGB Lighting_x000d_
</v>
      </c>
      <c r="G588" t="str">
        <f>HYPERLINK("https://www.amazon.com/SteelSeries-Sensei-Ten-Gaming-Mouse/dp/B07Y3Q2PYH/ref=sr_1_1?keywords=sensei+10&amp;qid=1571575911&amp;sr=8-1","A")</f>
        <v>A</v>
      </c>
      <c r="J588">
        <v>70</v>
      </c>
      <c r="K588">
        <f>IF(L588&gt;0,L588*0.0625,)</f>
        <v>0.3125</v>
      </c>
      <c r="L588">
        <v>5</v>
      </c>
      <c r="M588">
        <f>IF(K588&gt;0,K588*0.453592,IF(L588&gt;0,L588*0.02835,))</f>
        <v>0.1417475</v>
      </c>
      <c r="N588">
        <v>0</v>
      </c>
      <c r="O588">
        <v>0</v>
      </c>
      <c r="P588">
        <f>J588+O588+N588</f>
        <v>70</v>
      </c>
      <c r="Q588">
        <f>P588*C$3</f>
        <v>87500</v>
      </c>
      <c r="R588">
        <v>0</v>
      </c>
      <c r="S588">
        <f>ROUND(SUM(Q588:R588), -2)</f>
        <v>87500</v>
      </c>
      <c r="T588">
        <f>ROUNDUP(HLOOKUP(ROUNDUP(K588,0),'배송비 조회'!A$10:AE$22,7,0)*C$3,-2)</f>
        <v>9000</v>
      </c>
      <c r="U588">
        <v>0</v>
      </c>
      <c r="V588">
        <f>ROUND(IF(R588&gt;0,0,(S588+T588)*0.3),-2)</f>
        <v>29000</v>
      </c>
      <c r="W588">
        <f>ROUND(IF(R588&gt;0,0,(S588+T588)*0.5),-2)</f>
        <v>48300</v>
      </c>
      <c r="X588">
        <f>IF(R588&gt;0,SUM(S588:T588),SUM(S588:V588))</f>
        <v>125500</v>
      </c>
      <c r="Y588">
        <f>IF(R588&gt;0,SUM(S588:T588),SUM(S588:U588)+W588)</f>
        <v>144800</v>
      </c>
      <c r="Z588">
        <v>0</v>
      </c>
      <c r="AA588">
        <f>X588*0.038</f>
        <v>4769</v>
      </c>
      <c r="AB588">
        <f>X588*0.02</f>
        <v>2510</v>
      </c>
      <c r="AC588">
        <f>Y588*0.1</f>
        <v>14480</v>
      </c>
      <c r="AD588">
        <f>X588-AA588-AB588</f>
        <v>118221</v>
      </c>
      <c r="AE588">
        <f>Y588-AC588</f>
        <v>130320</v>
      </c>
      <c r="AF588">
        <f>AD588*0.01</f>
        <v>1182.21</v>
      </c>
      <c r="AG588">
        <f>AD588-Q588-AF588-T588</f>
        <v>20538.79</v>
      </c>
      <c r="AH588">
        <f>AE588-Q588-AF588-T588</f>
        <v>32637.79</v>
      </c>
      <c r="AI588">
        <f>AG588/X588</f>
        <v>0.1636556972111554</v>
      </c>
      <c r="AJ588">
        <f>AH588/Y588</f>
        <v>0.22539910220994475</v>
      </c>
      <c r="AW588">
        <v>4716255164</v>
      </c>
    </row>
    <row r="589">
      <c r="A589">
        <f>HYPERLINK("https://smartstore.naver.com/brickstore2019/products/4717329582",AW:AW)</f>
        <v>4717329582</v>
      </c>
      <c r="C589" t="str">
        <v>얼티밋 이어스 원더붐 2 라이딩용 아웃도어용 스피커 ULTIMATE EARS WONDERBOOM 2 (무료배송)</v>
      </c>
      <c r="D589" t="str">
        <v>`</v>
      </c>
      <c r="E589" t="str">
        <v>ULTIMATE EARS WONDERBOOM 2</v>
      </c>
      <c r="F589" t="str">
        <v>Bermuda Blue</v>
      </c>
      <c r="G589" t="str">
        <f>HYPERLINK("https://www.amazon.com/dp/B07NFP7KYJ/ref=twister_B07Z7V2CJ7?_encoding=UTF8&amp;th=1","A")</f>
        <v>A</v>
      </c>
      <c r="J589">
        <v>100</v>
      </c>
      <c r="K589">
        <v>1.36</v>
      </c>
      <c r="L589">
        <f>IF(K589&gt;0,K589*16,)</f>
        <v>21.76</v>
      </c>
      <c r="M589">
        <f>IF(K589&gt;0,K589*0.453592,IF(L589&gt;0,L589*0.02835,))</f>
        <v>0.6168851200000001</v>
      </c>
      <c r="N589">
        <v>0</v>
      </c>
      <c r="O589">
        <v>0</v>
      </c>
      <c r="P589">
        <f>J589+O589+N589</f>
        <v>100</v>
      </c>
      <c r="Q589">
        <f>P589*C$3</f>
        <v>125000</v>
      </c>
      <c r="R589">
        <v>0</v>
      </c>
      <c r="S589">
        <f>ROUND(SUM(Q589:R589), -2)</f>
        <v>125000</v>
      </c>
      <c r="T589">
        <f>ROUNDUP(HLOOKUP(ROUNDUP(K589,0),'배송비 조회'!A$10:AE$22,7,0)*C$3,-2)</f>
        <v>11200</v>
      </c>
      <c r="U589">
        <v>0</v>
      </c>
      <c r="V589">
        <f>ROUND(IF(R589&gt;0,0,(S589+T589)*0.3),-2)</f>
        <v>40900</v>
      </c>
      <c r="W589">
        <f>ROUND(IF(R589&gt;0,0,(S589+T589)*0.5),-2)</f>
        <v>68100</v>
      </c>
      <c r="X589">
        <f>IF(R589&gt;0,SUM(S589:T589),SUM(S589:V589))</f>
        <v>177100</v>
      </c>
      <c r="Y589">
        <f>IF(R589&gt;0,SUM(S589:T589),SUM(S589:U589)+W589)</f>
        <v>204300</v>
      </c>
      <c r="Z589">
        <v>0</v>
      </c>
      <c r="AA589">
        <f>X589*0.038</f>
        <v>6729.8</v>
      </c>
      <c r="AB589">
        <f>X589*0.02</f>
        <v>3542</v>
      </c>
      <c r="AC589">
        <f>Y589*0.1</f>
        <v>20430</v>
      </c>
      <c r="AD589">
        <f>X589-AA589-AB589</f>
        <v>166828.2</v>
      </c>
      <c r="AE589">
        <f>Y589-AC589</f>
        <v>183870</v>
      </c>
      <c r="AF589">
        <f>AD589*0.01</f>
        <v>1668.2820000000002</v>
      </c>
      <c r="AG589">
        <f>AD589-Q589-AF589-T589</f>
        <v>28959.918000000012</v>
      </c>
      <c r="AH589">
        <f>AE589-Q589-AF589-T589</f>
        <v>46001.718</v>
      </c>
      <c r="AI589">
        <f>AG589/X589</f>
        <v>0.16352297007340494</v>
      </c>
      <c r="AJ589">
        <f>AH589/Y589</f>
        <v>0.22516748898678415</v>
      </c>
      <c r="AW589">
        <v>4717329582</v>
      </c>
    </row>
    <row r="590">
      <c r="F590" t="str">
        <v>Crushed Ice Grey</v>
      </c>
      <c r="G590" t="str">
        <f>HYPERLINK("https://www.amazon.com/dp/B07NFPGNWD/ref=twister_B07Z7V2CJ7?_encoding=UTF8&amp;th=1","A")</f>
        <v>A</v>
      </c>
      <c r="J590">
        <v>80</v>
      </c>
      <c r="K590">
        <v>1.36</v>
      </c>
      <c r="L590">
        <f>IF(K590&gt;0,K590*16,)</f>
        <v>21.76</v>
      </c>
      <c r="M590">
        <f>IF(K590&gt;0,K590*0.453592,IF(L590&gt;0,L590*0.02835,))</f>
        <v>0.6168851200000001</v>
      </c>
      <c r="N590">
        <v>0</v>
      </c>
      <c r="O590">
        <v>0</v>
      </c>
      <c r="P590">
        <f>J590+O590+N590</f>
        <v>80</v>
      </c>
      <c r="Q590">
        <f>P590*C$3</f>
        <v>100000</v>
      </c>
      <c r="R590">
        <v>0</v>
      </c>
      <c r="S590">
        <f>ROUND(SUM(Q590:R590), -2)</f>
        <v>100000</v>
      </c>
      <c r="T590">
        <f>ROUNDUP(HLOOKUP(ROUNDUP(K590,0),'배송비 조회'!A$10:AE$22,7,0)*C$3,-2)</f>
        <v>11200</v>
      </c>
      <c r="U590">
        <v>0</v>
      </c>
      <c r="V590">
        <f>ROUND(IF(R590&gt;0,0,(S590+T590)*0.3),-2)</f>
        <v>33400</v>
      </c>
      <c r="W590">
        <f>ROUND(IF(R590&gt;0,0,(S590+T590)*0.5),-2)</f>
        <v>55600</v>
      </c>
      <c r="X590">
        <f>IF(R590&gt;0,SUM(S590:T590),SUM(S590:V590))</f>
        <v>144600</v>
      </c>
      <c r="Y590">
        <f>IF(R590&gt;0,SUM(S590:T590),SUM(S590:U590)+W590)</f>
        <v>166800</v>
      </c>
      <c r="Z590">
        <v>0</v>
      </c>
      <c r="AA590">
        <f>X590*0.038</f>
        <v>5494.8</v>
      </c>
      <c r="AB590">
        <f>X590*0.02</f>
        <v>2892</v>
      </c>
      <c r="AC590">
        <f>Y590*0.1</f>
        <v>16680</v>
      </c>
      <c r="AD590">
        <f>X590-AA590-AB590</f>
        <v>136213.2</v>
      </c>
      <c r="AE590">
        <f>Y590-AC590</f>
        <v>150120</v>
      </c>
      <c r="AF590">
        <f>AD590*0.01</f>
        <v>1362.132</v>
      </c>
      <c r="AG590">
        <f>AD590-Q590-AF590-T590</f>
        <v>23651.068000000014</v>
      </c>
      <c r="AH590">
        <f>AE590-Q590-AF590-T590</f>
        <v>37557.868</v>
      </c>
      <c r="AI590">
        <f>AG590/X590</f>
        <v>0.1635620193637622</v>
      </c>
      <c r="AJ590">
        <f>AH590/Y590</f>
        <v>0.2251670743405276</v>
      </c>
    </row>
    <row r="591">
      <c r="F591" t="str">
        <v>Deep Space</v>
      </c>
      <c r="G591" t="str">
        <f>HYPERLINK("https://www.amazon.com/dp/B07NFRCK7J/ref=twister_B07Z7V2CJ7?_encoding=UTF8&amp;th=1","A")</f>
        <v>A</v>
      </c>
      <c r="J591">
        <v>100</v>
      </c>
      <c r="K591">
        <v>1.36</v>
      </c>
      <c r="L591">
        <f>IF(K591&gt;0,K591*16,)</f>
        <v>21.76</v>
      </c>
      <c r="M591">
        <f>IF(K591&gt;0,K591*0.453592,IF(L591&gt;0,L591*0.02835,))</f>
        <v>0.6168851200000001</v>
      </c>
      <c r="N591">
        <v>0</v>
      </c>
      <c r="O591">
        <v>0</v>
      </c>
      <c r="P591">
        <f>J591+O591+N591</f>
        <v>100</v>
      </c>
      <c r="Q591">
        <f>P591*C$3</f>
        <v>125000</v>
      </c>
      <c r="R591">
        <v>0</v>
      </c>
      <c r="S591">
        <f>ROUND(SUM(Q591:R591), -2)</f>
        <v>125000</v>
      </c>
      <c r="T591">
        <f>ROUNDUP(HLOOKUP(ROUNDUP(K591,0),'배송비 조회'!A$10:AE$22,7,0)*C$3,-2)</f>
        <v>11200</v>
      </c>
      <c r="U591">
        <v>0</v>
      </c>
      <c r="V591">
        <f>ROUND(IF(R591&gt;0,0,(S591+T591)*0.3),-2)</f>
        <v>40900</v>
      </c>
      <c r="W591">
        <f>ROUND(IF(R591&gt;0,0,(S591+T591)*0.5),-2)</f>
        <v>68100</v>
      </c>
      <c r="X591">
        <f>IF(R591&gt;0,SUM(S591:T591),SUM(S591:V591))</f>
        <v>177100</v>
      </c>
      <c r="Y591">
        <f>IF(R591&gt;0,SUM(S591:T591),SUM(S591:U591)+W591)</f>
        <v>204300</v>
      </c>
      <c r="Z591">
        <v>0</v>
      </c>
      <c r="AA591">
        <f>X591*0.038</f>
        <v>6729.8</v>
      </c>
      <c r="AB591">
        <f>X591*0.02</f>
        <v>3542</v>
      </c>
      <c r="AC591">
        <f>Y591*0.1</f>
        <v>20430</v>
      </c>
      <c r="AD591">
        <f>X591-AA591-AB591</f>
        <v>166828.2</v>
      </c>
      <c r="AE591">
        <f>Y591-AC591</f>
        <v>183870</v>
      </c>
      <c r="AF591">
        <f>AD591*0.01</f>
        <v>1668.2820000000002</v>
      </c>
      <c r="AG591">
        <f>AD591-Q591-AF591-T591</f>
        <v>28959.918000000012</v>
      </c>
      <c r="AH591">
        <f>AE591-Q591-AF591-T591</f>
        <v>46001.718</v>
      </c>
      <c r="AI591">
        <f>AG591/X591</f>
        <v>0.16352297007340494</v>
      </c>
      <c r="AJ591">
        <f>AH591/Y591</f>
        <v>0.22516748898678415</v>
      </c>
      <c r="AM591">
        <f>X591-X590</f>
        <v>32500</v>
      </c>
    </row>
    <row r="592">
      <c r="F592" t="str">
        <v>Just Peach</v>
      </c>
      <c r="G592" t="str">
        <f>HYPERLINK("https://www.amazon.com/dp/B07NFPB958/ref=twister_B07Z7V2CJ7?_encoding=UTF8&amp;th=1","A")</f>
        <v>A</v>
      </c>
      <c r="J592">
        <v>100</v>
      </c>
      <c r="K592">
        <v>1.36</v>
      </c>
      <c r="L592">
        <f>IF(K592&gt;0,K592*16,)</f>
        <v>21.76</v>
      </c>
      <c r="M592">
        <f>IF(K592&gt;0,K592*0.453592,IF(L592&gt;0,L592*0.02835,))</f>
        <v>0.6168851200000001</v>
      </c>
      <c r="N592">
        <v>0</v>
      </c>
      <c r="O592">
        <v>0</v>
      </c>
      <c r="P592">
        <f>J592+O592+N592</f>
        <v>100</v>
      </c>
      <c r="Q592">
        <f>P592*C$3</f>
        <v>125000</v>
      </c>
      <c r="R592">
        <v>0</v>
      </c>
      <c r="S592">
        <f>ROUND(SUM(Q592:R592), -2)</f>
        <v>125000</v>
      </c>
      <c r="T592">
        <f>ROUNDUP(HLOOKUP(ROUNDUP(K592,0),'배송비 조회'!A$10:AE$22,7,0)*C$3,-2)</f>
        <v>11200</v>
      </c>
      <c r="U592">
        <v>0</v>
      </c>
      <c r="V592">
        <f>ROUND(IF(R592&gt;0,0,(S592+T592)*0.3),-2)</f>
        <v>40900</v>
      </c>
      <c r="W592">
        <f>ROUND(IF(R592&gt;0,0,(S592+T592)*0.5),-2)</f>
        <v>68100</v>
      </c>
      <c r="X592">
        <f>IF(R592&gt;0,SUM(S592:T592),SUM(S592:V592))</f>
        <v>177100</v>
      </c>
      <c r="Y592">
        <f>IF(R592&gt;0,SUM(S592:T592),SUM(S592:U592)+W592)</f>
        <v>204300</v>
      </c>
      <c r="Z592">
        <v>0</v>
      </c>
      <c r="AA592">
        <f>X592*0.038</f>
        <v>6729.8</v>
      </c>
      <c r="AB592">
        <f>X592*0.02</f>
        <v>3542</v>
      </c>
      <c r="AC592">
        <f>Y592*0.1</f>
        <v>20430</v>
      </c>
      <c r="AD592">
        <f>X592-AA592-AB592</f>
        <v>166828.2</v>
      </c>
      <c r="AE592">
        <f>Y592-AC592</f>
        <v>183870</v>
      </c>
      <c r="AF592">
        <f>AD592*0.01</f>
        <v>1668.2820000000002</v>
      </c>
      <c r="AG592">
        <f>AD592-Q592-AF592-T592</f>
        <v>28959.918000000012</v>
      </c>
      <c r="AH592">
        <f>AE592-Q592-AF592-T592</f>
        <v>46001.718</v>
      </c>
      <c r="AI592">
        <f>AG592/X592</f>
        <v>0.16352297007340494</v>
      </c>
      <c r="AJ592">
        <f>AH592/Y592</f>
        <v>0.22516748898678415</v>
      </c>
    </row>
    <row r="593">
      <c r="F593" t="str">
        <v>Radical Red</v>
      </c>
      <c r="G593" t="str">
        <f>HYPERLINK("https://www.amazon.com/dp/B07NFP6D7Q/ref=twister_B07Z7V2CJ7?_encoding=UTF8&amp;th=1","A")</f>
        <v>A</v>
      </c>
      <c r="J593">
        <v>100</v>
      </c>
      <c r="K593">
        <v>1.36</v>
      </c>
      <c r="L593">
        <f>IF(K593&gt;0,K593*16,)</f>
        <v>21.76</v>
      </c>
      <c r="M593">
        <f>IF(K593&gt;0,K593*0.453592,IF(L593&gt;0,L593*0.02835,))</f>
        <v>0.6168851200000001</v>
      </c>
      <c r="N593">
        <v>0</v>
      </c>
      <c r="O593">
        <v>0</v>
      </c>
      <c r="P593">
        <f>J593+O593+N593</f>
        <v>100</v>
      </c>
      <c r="Q593">
        <f>P593*C$3</f>
        <v>125000</v>
      </c>
      <c r="R593">
        <v>0</v>
      </c>
      <c r="S593">
        <f>ROUND(SUM(Q593:R593), -2)</f>
        <v>125000</v>
      </c>
      <c r="T593">
        <f>ROUNDUP(HLOOKUP(ROUNDUP(K593,0),'배송비 조회'!A$10:AE$22,7,0)*C$3,-2)</f>
        <v>11200</v>
      </c>
      <c r="U593">
        <v>0</v>
      </c>
      <c r="V593">
        <f>ROUND((S593+T593)*0.3,-2)</f>
        <v>40900</v>
      </c>
      <c r="W593">
        <f>ROUND((S593+T593)*0.5,-2)</f>
        <v>68100</v>
      </c>
      <c r="X593">
        <f>IF(R593&gt;0,SUM(S593:T593),SUM(S593:V593))</f>
        <v>177100</v>
      </c>
      <c r="Y593">
        <f>IF(R593&gt;0,SUM(S593:T593),SUM(S593:U593)+W593)</f>
        <v>204300</v>
      </c>
      <c r="Z593">
        <v>0</v>
      </c>
      <c r="AA593">
        <f>X593*0.038</f>
        <v>6729.8</v>
      </c>
      <c r="AB593">
        <f>X593*0.02</f>
        <v>3542</v>
      </c>
      <c r="AC593">
        <f>Y593*0.1</f>
        <v>20430</v>
      </c>
      <c r="AD593">
        <f>X593-AA593-AB593</f>
        <v>166828.2</v>
      </c>
      <c r="AE593">
        <f>Y593-AC593</f>
        <v>183870</v>
      </c>
      <c r="AF593">
        <f>AD593*0.01</f>
        <v>1668.2820000000002</v>
      </c>
      <c r="AG593">
        <f>AD593-Q593-AF593-T593</f>
        <v>28959.918000000012</v>
      </c>
      <c r="AH593">
        <f>AE593-Q593-AF593-T593</f>
        <v>46001.718</v>
      </c>
      <c r="AI593">
        <f>AG593/X593</f>
        <v>0.16352297007340494</v>
      </c>
      <c r="AJ593">
        <f>AH593/Y593</f>
        <v>0.22516748898678415</v>
      </c>
    </row>
    <row r="594">
      <c r="A594">
        <f>HYPERLINK("https://smartstore.naver.com/brickstore2019/products/4717365674",AW:AW)</f>
        <v>4717365674</v>
      </c>
      <c r="C594" t="str">
        <v>빅트롤라 레트로 턴테이블 CD 블루투스 플레이어 Victrola 50's Retro 3-Speed Bluetooth Turntable (무료배송)</v>
      </c>
      <c r="E594" t="str">
        <v>Victrola 50's Retro 3-Speed Bluetooth Turntable with Stereo, CD Player and Speakers</v>
      </c>
      <c r="F594" t="str">
        <v>Black</v>
      </c>
      <c r="G594" t="str">
        <f>HYPERLINK("https://www.amazon.com/Victrola-Bluetooth-Turntable-Speakers-Red/dp/B01G9CS7OS/ref=lp_12034490011_1_2?s=boost&amp;srs=12034490011&amp;ie=UTF8&amp;qid=1571927961&amp;sr=1-2&amp;th=1","A")</f>
        <v>A</v>
      </c>
      <c r="J594">
        <v>82.35</v>
      </c>
      <c r="K594">
        <v>11.15</v>
      </c>
      <c r="L594">
        <f>IF(K594&gt;0,K594*16,)</f>
        <v>178.4</v>
      </c>
      <c r="M594">
        <f>IF(K594&gt;0,K594*0.453592,IF(L594&gt;0,L594*0.02835,))</f>
        <v>5.0575508000000005</v>
      </c>
      <c r="N594">
        <v>0</v>
      </c>
      <c r="O594">
        <v>0</v>
      </c>
      <c r="P594">
        <f>J594+O594+N594</f>
        <v>82.35</v>
      </c>
      <c r="Q594">
        <f>P594*C$3</f>
        <v>102937.5</v>
      </c>
      <c r="R594">
        <v>0</v>
      </c>
      <c r="S594">
        <f>ROUND(SUM(Q594:R594), -2)</f>
        <v>102900</v>
      </c>
      <c r="T594">
        <f>ROUNDUP(HLOOKUP(ROUNDUP(K594,0),'배송비 조회'!A$10:AE$22,7,0)*C$3,-2)</f>
        <v>33100</v>
      </c>
      <c r="U594">
        <v>0</v>
      </c>
      <c r="V594">
        <f>ROUND((S594+T594)*0.3,-2)</f>
        <v>40800</v>
      </c>
      <c r="W594">
        <f>ROUND((S594+T594)*0.5,-2)</f>
        <v>68000</v>
      </c>
      <c r="X594">
        <f>SUM(S594:V594)</f>
        <v>176800</v>
      </c>
      <c r="Y594">
        <f>SUM(S594:U594)+W594</f>
        <v>204000</v>
      </c>
      <c r="Z594">
        <v>0</v>
      </c>
      <c r="AA594">
        <f>X594*0.038</f>
        <v>6718.4</v>
      </c>
      <c r="AB594">
        <f>X594*0.02</f>
        <v>3536</v>
      </c>
      <c r="AC594">
        <f>Y594*0.1</f>
        <v>20400</v>
      </c>
      <c r="AD594">
        <f>X594-AA594-AB594</f>
        <v>166545.6</v>
      </c>
      <c r="AE594">
        <f>Y594-AC594</f>
        <v>183600</v>
      </c>
      <c r="AF594">
        <f>AD594*0.01</f>
        <v>1665.4560000000001</v>
      </c>
      <c r="AG594">
        <f>AD594-Q594-AF594-T594</f>
        <v>28842.644000000008</v>
      </c>
      <c r="AH594">
        <f>AE594-Q594-AF594-T594</f>
        <v>45897.043999999994</v>
      </c>
      <c r="AI594">
        <f>AG594/X594</f>
        <v>0.1631371266968326</v>
      </c>
      <c r="AJ594">
        <f>AH594/Y594</f>
        <v>0.22498550980392154</v>
      </c>
      <c r="AW594">
        <v>4717365674</v>
      </c>
    </row>
    <row r="595">
      <c r="F595" t="str">
        <v>Blue</v>
      </c>
      <c r="G595" t="str">
        <f>HYPERLINK("https://www.amazon.com/Victrola-Bluetooth-Turntable-Speakers-Red/dp/B06XJ9K8CJ/ref=lp_12034490011_1_2?s=boost&amp;srs=12034490011&amp;ie=UTF8&amp;qid=1571927961&amp;sr=1-2&amp;th=1","A")</f>
        <v>A</v>
      </c>
      <c r="J595">
        <v>100</v>
      </c>
      <c r="K595">
        <v>11.15</v>
      </c>
      <c r="L595">
        <f>IF(K595&gt;0,K595*16,)</f>
        <v>178.4</v>
      </c>
      <c r="M595">
        <f>IF(K595&gt;0,K595*0.453592,IF(L595&gt;0,L595*0.02835,))</f>
        <v>5.0575508000000005</v>
      </c>
      <c r="N595">
        <v>0</v>
      </c>
      <c r="O595">
        <v>0</v>
      </c>
      <c r="P595">
        <f>J595+O595+N595</f>
        <v>100</v>
      </c>
      <c r="Q595">
        <f>P595*C$3</f>
        <v>125000</v>
      </c>
      <c r="R595">
        <v>0</v>
      </c>
      <c r="S595">
        <f>ROUND(SUM(Q595:R595), -2)</f>
        <v>125000</v>
      </c>
      <c r="T595">
        <f>ROUNDUP(HLOOKUP(ROUNDUP(K595,0),'배송비 조회'!A$10:AE$22,7,0)*C$3,-2)</f>
        <v>33100</v>
      </c>
      <c r="U595">
        <v>0</v>
      </c>
      <c r="V595">
        <f>ROUND((S595+T595)*0.3,-2)</f>
        <v>47400</v>
      </c>
      <c r="W595">
        <f>ROUND((S595+T595)*0.5,-2)</f>
        <v>79100</v>
      </c>
      <c r="X595">
        <f>SUM(S595:V595)</f>
        <v>205500</v>
      </c>
      <c r="Y595">
        <f>SUM(S595:U595)+W595</f>
        <v>237200</v>
      </c>
      <c r="Z595">
        <v>0</v>
      </c>
      <c r="AA595">
        <f>X595*0.038</f>
        <v>7809</v>
      </c>
      <c r="AB595">
        <f>X595*0.02</f>
        <v>4110</v>
      </c>
      <c r="AC595">
        <f>Y595*0.1</f>
        <v>23720</v>
      </c>
      <c r="AD595">
        <f>X595-AA595-AB595</f>
        <v>193581</v>
      </c>
      <c r="AE595">
        <f>Y595-AC595</f>
        <v>213480</v>
      </c>
      <c r="AF595">
        <f>AD595*0.01</f>
        <v>1935.81</v>
      </c>
      <c r="AG595">
        <f>AD595-Q595-AF595-T595</f>
        <v>33545.19</v>
      </c>
      <c r="AH595">
        <f>AE595-Q595-AF595-T595</f>
        <v>53444.19</v>
      </c>
      <c r="AI595">
        <f>AG595/X595</f>
        <v>0.16323693430656935</v>
      </c>
      <c r="AJ595">
        <f>AH595/Y595</f>
        <v>0.22531277403035413</v>
      </c>
    </row>
    <row r="596">
      <c r="F596" t="str">
        <v>Red</v>
      </c>
      <c r="G596" t="str">
        <f>HYPERLINK("https://www.amazon.com/Victrola-Bluetooth-Turntable-Speakers-Red/dp/B01G9CTE18/ref=lp_12034490011_1_2?s=boost&amp;srs=12034490011&amp;ie=UTF8&amp;qid=1571927961&amp;sr=1-2&amp;th=1","A")</f>
        <v>A</v>
      </c>
      <c r="J596">
        <v>102</v>
      </c>
      <c r="K596">
        <v>11.15</v>
      </c>
      <c r="L596">
        <f>IF(K596&gt;0,K596*16,)</f>
        <v>178.4</v>
      </c>
      <c r="M596">
        <f>IF(K596&gt;0,K596*0.453592,IF(L596&gt;0,L596*0.02835,))</f>
        <v>5.0575508000000005</v>
      </c>
      <c r="N596">
        <v>0</v>
      </c>
      <c r="O596">
        <v>0</v>
      </c>
      <c r="P596">
        <f>J596+O596+N596</f>
        <v>102</v>
      </c>
      <c r="Q596">
        <f>P596*C$3</f>
        <v>127500</v>
      </c>
      <c r="R596">
        <v>0</v>
      </c>
      <c r="S596">
        <f>ROUND(SUM(Q596:R596), -2)</f>
        <v>127500</v>
      </c>
      <c r="T596">
        <f>ROUNDUP(HLOOKUP(ROUNDUP(K596,0),'배송비 조회'!A$10:AE$22,7,0)*C$3,-2)</f>
        <v>33100</v>
      </c>
      <c r="U596">
        <v>0</v>
      </c>
      <c r="V596">
        <f>ROUND((S596+T596)*0.3,-2)</f>
        <v>48200</v>
      </c>
      <c r="W596">
        <f>ROUND((S596+T596)*0.5,-2)</f>
        <v>80300</v>
      </c>
      <c r="X596">
        <f>SUM(S596:V596)</f>
        <v>208800</v>
      </c>
      <c r="Y596">
        <f>SUM(S596:U596)+W596</f>
        <v>240900</v>
      </c>
      <c r="Z596">
        <v>0</v>
      </c>
      <c r="AA596">
        <f>X596*0.038</f>
        <v>7934.4</v>
      </c>
      <c r="AB596">
        <f>X596*0.02</f>
        <v>4176</v>
      </c>
      <c r="AC596">
        <f>Y596*0.1</f>
        <v>24090</v>
      </c>
      <c r="AD596">
        <f>X596-AA596-AB596</f>
        <v>196689.6</v>
      </c>
      <c r="AE596">
        <f>Y596-AC596</f>
        <v>216810</v>
      </c>
      <c r="AF596">
        <f>AD596*0.01</f>
        <v>1966.8960000000002</v>
      </c>
      <c r="AG596">
        <f>AD596-Q596-AF596-T596</f>
        <v>34122.70400000001</v>
      </c>
      <c r="AH596">
        <f>AE596-Q596-AF596-T596</f>
        <v>54243.10400000001</v>
      </c>
      <c r="AI596">
        <f>AG596/X596</f>
        <v>0.1634229118773947</v>
      </c>
      <c r="AJ596">
        <f>AH596/Y596</f>
        <v>0.22516855126608554</v>
      </c>
      <c r="AK596">
        <f>X596-X595</f>
        <v>3300</v>
      </c>
    </row>
    <row r="597">
      <c r="F597" t="str">
        <v>Teal</v>
      </c>
      <c r="G597" t="str">
        <f>HYPERLINK("https://www.amazon.com/Victrola-Bluetooth-Turntable-Speakers-Red/dp/B07CSNWYXT/ref=lp_12034490011_1_2?s=boost&amp;srs=12034490011&amp;ie=UTF8&amp;qid=1571927961&amp;sr=1-2&amp;th=1","A")</f>
        <v>A</v>
      </c>
      <c r="J597">
        <v>100</v>
      </c>
      <c r="K597">
        <v>11.15</v>
      </c>
      <c r="L597">
        <f>IF(K597&gt;0,K597*16,)</f>
        <v>178.4</v>
      </c>
      <c r="M597">
        <f>IF(K597&gt;0,K597*0.453592,IF(L597&gt;0,L597*0.02835,))</f>
        <v>5.0575508000000005</v>
      </c>
      <c r="N597">
        <v>0</v>
      </c>
      <c r="O597">
        <v>0</v>
      </c>
      <c r="P597">
        <f>J597+O597+N597</f>
        <v>100</v>
      </c>
      <c r="Q597">
        <f>P597*C$3</f>
        <v>125000</v>
      </c>
      <c r="R597">
        <v>0</v>
      </c>
      <c r="S597">
        <f>ROUND(SUM(Q597:R597), -2)</f>
        <v>125000</v>
      </c>
      <c r="T597">
        <f>ROUNDUP(HLOOKUP(ROUNDUP(K597,0),'배송비 조회'!A$10:AE$22,7,0)*C$3,-2)</f>
        <v>33100</v>
      </c>
      <c r="U597">
        <v>0</v>
      </c>
      <c r="V597">
        <f>ROUND((S597+T597)*0.3,-2)</f>
        <v>47400</v>
      </c>
      <c r="W597">
        <f>ROUND((S597+T597)*0.5,-2)</f>
        <v>79100</v>
      </c>
      <c r="X597">
        <f>SUM(S597:V597)</f>
        <v>205500</v>
      </c>
      <c r="Y597">
        <f>SUM(S597:U597)+W597</f>
        <v>237200</v>
      </c>
      <c r="Z597">
        <v>0</v>
      </c>
      <c r="AA597">
        <f>X597*0.038</f>
        <v>7809</v>
      </c>
      <c r="AB597">
        <f>X597*0.02</f>
        <v>4110</v>
      </c>
      <c r="AC597">
        <f>Y597*0.1</f>
        <v>23720</v>
      </c>
      <c r="AD597">
        <f>X597-AA597-AB597</f>
        <v>193581</v>
      </c>
      <c r="AE597">
        <f>Y597-AC597</f>
        <v>213480</v>
      </c>
      <c r="AF597">
        <f>AD597*0.01</f>
        <v>1935.81</v>
      </c>
      <c r="AG597">
        <f>AD597-Q597-AF597-T597</f>
        <v>33545.19</v>
      </c>
      <c r="AH597">
        <f>AE597-Q597-AF597-T597</f>
        <v>53444.19</v>
      </c>
      <c r="AI597">
        <f>AG597/X597</f>
        <v>0.16323693430656935</v>
      </c>
      <c r="AJ597">
        <f>AH597/Y597</f>
        <v>0.22531277403035413</v>
      </c>
    </row>
    <row r="598">
      <c r="A598" t="str">
        <f>HYPERLINK("https://smartstore.naver.com/brickstore2019/products/4720262413","4720262413")</f>
        <v>4720262413</v>
      </c>
      <c r="C598" t="str">
        <v>DSLR 스마트폰 삼각대 셀카봉 스위치 포드 SWITCHPOD (무료배송)</v>
      </c>
      <c r="E598" t="str">
        <v>SWITCHPOD Switchpod DSLR/Smartphone Handheld Stabilized Tripod</v>
      </c>
      <c r="G598" t="str">
        <f>HYPERLINK("https://www.bhphotovideo.com/c/product/1470706-REG/switchpod_switchpod_dslr_smartphone_handheld_stabilized.html","A")</f>
        <v>A</v>
      </c>
      <c r="H598" t="str">
        <f>HYPERLINK("https://www.shopmoment.com/shop/switchpod","M")</f>
        <v>M</v>
      </c>
      <c r="J598">
        <v>100</v>
      </c>
      <c r="K598">
        <v>2.7</v>
      </c>
      <c r="L598">
        <f>IF(K598&gt;0,K598*16,)</f>
        <v>43.2</v>
      </c>
      <c r="M598">
        <f>IF(K598&gt;0,K598*0.453592,IF(L598&gt;0,L598*0.02835,))</f>
        <v>1.2246984</v>
      </c>
      <c r="N598">
        <v>0</v>
      </c>
      <c r="O598">
        <v>0</v>
      </c>
      <c r="P598">
        <f>J598+O598+N598</f>
        <v>100</v>
      </c>
      <c r="Q598">
        <f>P598*C$3</f>
        <v>125000</v>
      </c>
      <c r="R598">
        <v>0</v>
      </c>
      <c r="S598">
        <f>ROUND(SUM(Q598:R598), -2)</f>
        <v>125000</v>
      </c>
      <c r="T598">
        <f>ROUNDUP(HLOOKUP(ROUNDUP(K598,0),'배송비 조회'!A$10:AE$22,7,0)*C$3,-2)</f>
        <v>13400</v>
      </c>
      <c r="U598">
        <v>0</v>
      </c>
      <c r="V598">
        <f>ROUND(IF(R594&gt;0,0,(S598+T598)*0.22),-2)</f>
        <v>30400</v>
      </c>
      <c r="W598">
        <f>ROUND(IF(R594&gt;0,0,(S598+T598)*0.32),-2)</f>
        <v>44300</v>
      </c>
      <c r="X598">
        <f>SUM(S598:V598)</f>
        <v>168800</v>
      </c>
      <c r="Y598">
        <f>SUM(S598:U598)+W598</f>
        <v>182700</v>
      </c>
      <c r="Z598">
        <v>0</v>
      </c>
      <c r="AA598">
        <f>X598*0.038</f>
        <v>6414.4</v>
      </c>
      <c r="AB598">
        <f>X598*0.02</f>
        <v>3376</v>
      </c>
      <c r="AC598">
        <f>Y598*0.1</f>
        <v>18270</v>
      </c>
      <c r="AD598">
        <f>X598-AA598-AB598</f>
        <v>159009.6</v>
      </c>
      <c r="AE598">
        <f>Y598-AC598</f>
        <v>164430</v>
      </c>
      <c r="AF598">
        <f>AD598*0.01</f>
        <v>1590.096</v>
      </c>
      <c r="AG598">
        <f>AD598-Q598-AF598-T598</f>
        <v>19019.504000000004</v>
      </c>
      <c r="AH598">
        <f>AE598-S598-AF598-T598</f>
        <v>24439.904000000002</v>
      </c>
      <c r="AI598">
        <f>AG598/X598</f>
        <v>0.11267478672985784</v>
      </c>
      <c r="AJ598">
        <f>AH598/Y598</f>
        <v>0.13377068418171867</v>
      </c>
    </row>
    <row r="599">
      <c r="A599" t="str">
        <f>HYPERLINK("https://smartstore.naver.com/brickstore2019/products/4721648315","4721648315")</f>
        <v>4721648315</v>
      </c>
      <c r="C599" t="str">
        <v>로쿠 프리미어 유투브 넷플릭스 스트리밍 스틱 HD 4K HDR 지원 Roku Premiere (무료배송)</v>
      </c>
      <c r="E599" t="str">
        <v>Roku Premiere | HD/4K/HDR Streaming Media Player with Simple Remote and Premium HDMI Cable</v>
      </c>
      <c r="G599" t="str">
        <f>HYPERLINK("https://www.amazon.com/Roku-Premiere-HDR-Streaming-Player-Premium/dp/B07HDBZN7Q?ref_=ast_sto_dp","A")</f>
        <v>A</v>
      </c>
      <c r="J599">
        <v>39</v>
      </c>
      <c r="K599">
        <f>IF(L599&gt;0,L599*0.0625,)</f>
        <v>0.61875</v>
      </c>
      <c r="L599">
        <v>9.9</v>
      </c>
      <c r="M599">
        <f>IF(K599&gt;0,K599*0.453592,IF(L599&gt;0,L599*0.02835,))</f>
        <v>0.28066005</v>
      </c>
      <c r="N599">
        <v>0</v>
      </c>
      <c r="O599">
        <v>0</v>
      </c>
      <c r="P599">
        <f>J599+O599+N599</f>
        <v>39</v>
      </c>
      <c r="Q599">
        <f>P599*C$3</f>
        <v>48750</v>
      </c>
      <c r="R599">
        <v>0</v>
      </c>
      <c r="S599">
        <f>ROUND(SUM(Q599:R599), -2)</f>
        <v>48800</v>
      </c>
      <c r="T599">
        <f>ROUNDUP(HLOOKUP(ROUNDUP(K599,0),'배송비 조회'!A$10:AE$22,7,0)*C$3,-2)</f>
        <v>9000</v>
      </c>
      <c r="U599">
        <v>0</v>
      </c>
      <c r="V599">
        <f>ROUND(IF(R595&gt;0,0,(S599+T599)*0.3),-2)</f>
        <v>17300</v>
      </c>
      <c r="W599">
        <f>ROUND(IF(R595&gt;0,0,(S599+T599)*0.5),-2)</f>
        <v>28900</v>
      </c>
      <c r="X599">
        <f>SUM(S599:V599)</f>
        <v>75100</v>
      </c>
      <c r="Y599">
        <f>SUM(S599:U599)+W599</f>
        <v>86700</v>
      </c>
      <c r="Z599">
        <v>0</v>
      </c>
      <c r="AA599">
        <f>X599*0.038</f>
        <v>2853.7999999999997</v>
      </c>
      <c r="AB599">
        <f>X599*0.02</f>
        <v>1502</v>
      </c>
      <c r="AC599">
        <f>Y599*0.1</f>
        <v>8670</v>
      </c>
      <c r="AD599">
        <f>X599-AA599-AB599</f>
        <v>70744.2</v>
      </c>
      <c r="AE599">
        <f>Y599-AC599</f>
        <v>78030</v>
      </c>
      <c r="AF599">
        <f>AD599*0.01</f>
        <v>707.442</v>
      </c>
      <c r="AG599">
        <f>AD599-Q599-AF599-T599</f>
        <v>12286.757999999998</v>
      </c>
      <c r="AH599">
        <f>AE599-Q599-AF599-T599</f>
        <v>19572.558</v>
      </c>
      <c r="AI599">
        <f>AG599/X599</f>
        <v>0.1636052996005326</v>
      </c>
      <c r="AJ599">
        <f>AH599/Y599</f>
        <v>0.2257503806228374</v>
      </c>
    </row>
    <row r="600" xml:space="preserve">
      <c r="A600" t="str">
        <f>HYPERLINK("https://smartstore.naver.com/brickstore2019/products/4723106193","4723106193")</f>
        <v>4723106193</v>
      </c>
      <c r="C600" t="str">
        <v>해운대 이민기 시계 타이맥스 T2N720(무료배송)</v>
      </c>
      <c r="E600" t="str" xml:space="preserve">
        <v xml:space="preserve">Timex Intelligent Quartz Tide Temp Compass Watch_x000d_
</v>
      </c>
      <c r="G600" t="str">
        <f>HYPERLINK("https://www.amazon.com/Timex-T2N720-Intelligent-Compass-Silicone/dp/B005DKHDPC/ref=sr_1_1?keywords=Timex+T2N720&amp;qid=1573010350&amp;sr=8-1","A")</f>
        <v>A</v>
      </c>
      <c r="J600">
        <v>155</v>
      </c>
      <c r="K600">
        <f>IF(L600&gt;0,L600*0.0625,)</f>
        <v>0.625</v>
      </c>
      <c r="L600">
        <v>10</v>
      </c>
      <c r="M600">
        <f>IF(K600&gt;0,K600*0.453592,IF(L600&gt;0,L600*0.02835,))</f>
        <v>0.283495</v>
      </c>
      <c r="N600">
        <v>0</v>
      </c>
      <c r="O600">
        <v>0</v>
      </c>
      <c r="P600">
        <f>J600+O600+N600</f>
        <v>155</v>
      </c>
      <c r="Q600">
        <f>P600*C$3</f>
        <v>193750</v>
      </c>
      <c r="R600">
        <v>0</v>
      </c>
      <c r="S600">
        <f>ROUND(SUM(Q600:R600), -2)</f>
        <v>193800</v>
      </c>
      <c r="T600">
        <f>ROUNDUP(HLOOKUP(ROUNDUP(K600,0),'배송비 조회'!A$10:AE$22,7,0)*C$3,-2)</f>
        <v>9000</v>
      </c>
      <c r="U600">
        <v>0</v>
      </c>
      <c r="V600">
        <f>ROUND(IF(R596&gt;0,0,(S600+T600)*0.2),-2)</f>
        <v>40600</v>
      </c>
      <c r="W600">
        <f>ROUND(IF(R596&gt;0,0,(S600+T600)*0.5),-2)</f>
        <v>101400</v>
      </c>
      <c r="X600">
        <f>SUM(S600:V600)</f>
        <v>243400</v>
      </c>
      <c r="Y600">
        <f>SUM(S600:U600)+W600</f>
        <v>304200</v>
      </c>
      <c r="Z600">
        <v>0</v>
      </c>
      <c r="AA600">
        <f>X600*0.038</f>
        <v>9249.199999999999</v>
      </c>
      <c r="AB600">
        <f>X600*0.02</f>
        <v>4868</v>
      </c>
      <c r="AC600">
        <f>Y600*0.1</f>
        <v>30420</v>
      </c>
      <c r="AD600">
        <f>X600-AA600-AB600</f>
        <v>229282.8</v>
      </c>
      <c r="AE600">
        <f>Y600-AC600</f>
        <v>273780</v>
      </c>
      <c r="AF600">
        <f>AD600*0.01</f>
        <v>2292.828</v>
      </c>
      <c r="AG600">
        <f>AD600-Q600-AF600-T600</f>
        <v>24239.971999999987</v>
      </c>
      <c r="AH600">
        <f>AE600-Q600-AF600-T600</f>
        <v>68737.172</v>
      </c>
      <c r="AI600">
        <f>AG600/X600</f>
        <v>0.09958903861955623</v>
      </c>
      <c r="AJ600">
        <f>AH600/Y600</f>
        <v>0.22596046022353716</v>
      </c>
    </row>
    <row r="601">
      <c r="A601" t="str">
        <f>HYPERLINK("https://smartstore.naver.com/brickstore2019/products/4724140010","4724140010")</f>
        <v>4724140010</v>
      </c>
      <c r="C601" t="str">
        <v>빅트롤라 모던 턴테이블 블루투스 플레이어 검정 Victrola Modern 3-Speed Bluetooth Turntable, Black(무료배송)</v>
      </c>
      <c r="E601" t="str">
        <v xml:space="preserve"> Victrola Modern 3-Speed Bluetooth Turntable with 50 Watt Speakers, Black Piano Finish</v>
      </c>
      <c r="G601" t="str">
        <f>HYPERLINK("https://www.amazon.com/Victrola-Bluetooth-Turntable-Speakers-White/dp/B01G9CS8V0/ref=sr_1_1?keywords=Victrola%2BModern&amp;qid=1573132750&amp;s=boost&amp;sr=1-1&amp;srs=12034488011&amp;th=1","A")</f>
        <v>A</v>
      </c>
      <c r="J601">
        <v>110</v>
      </c>
      <c r="K601">
        <v>10.1</v>
      </c>
      <c r="L601">
        <f>IF(K601&gt;0,K601*16,)</f>
        <v>161.6</v>
      </c>
      <c r="M601">
        <f>IF(K601&gt;0,K601*0.453592,IF(L601&gt;0,L601*0.02835,))</f>
        <v>4.5812792</v>
      </c>
      <c r="N601">
        <v>0</v>
      </c>
      <c r="O601">
        <v>0</v>
      </c>
      <c r="P601">
        <f>J601+O601+N601</f>
        <v>110</v>
      </c>
      <c r="Q601">
        <f>P601*C$3</f>
        <v>137500</v>
      </c>
      <c r="R601">
        <v>0</v>
      </c>
      <c r="S601">
        <f>ROUND(SUM(Q601:R601), -2)</f>
        <v>137500</v>
      </c>
      <c r="T601">
        <f>ROUNDUP(HLOOKUP(ROUNDUP(K601,0),'배송비 조회'!A$10:AE$22,7,0)*C$3,-2)</f>
        <v>30900</v>
      </c>
      <c r="U601">
        <v>0</v>
      </c>
      <c r="V601">
        <f>ROUND(IF(R597&gt;0,0,(S601+T601)*0.3),-2)</f>
        <v>50500</v>
      </c>
      <c r="W601">
        <f>ROUND(IF(R597&gt;0,0,(S601+T601)*0.5),-2)</f>
        <v>84200</v>
      </c>
      <c r="X601">
        <f>SUM(S601:V601)</f>
        <v>218900</v>
      </c>
      <c r="Y601">
        <f>SUM(S601:U601)+W601</f>
        <v>252600</v>
      </c>
      <c r="Z601">
        <v>0</v>
      </c>
      <c r="AA601">
        <f>X601*0.038</f>
        <v>8318.199999999999</v>
      </c>
      <c r="AB601">
        <f>X601*0.02</f>
        <v>4378</v>
      </c>
      <c r="AC601">
        <f>Y601*0.1</f>
        <v>25260</v>
      </c>
      <c r="AD601">
        <f>X601-AA601-AB601</f>
        <v>206203.8</v>
      </c>
      <c r="AE601">
        <f>Y601-AC601</f>
        <v>227340</v>
      </c>
      <c r="AF601">
        <f>AD601*0.01</f>
        <v>2062.038</v>
      </c>
      <c r="AG601">
        <f>AD601-Q601-AF601-T601</f>
        <v>35741.76199999999</v>
      </c>
      <c r="AH601">
        <f>AE601-Q601-AF601-T601</f>
        <v>56877.962</v>
      </c>
      <c r="AI601">
        <f>AG601/X601</f>
        <v>0.16327894929191406</v>
      </c>
      <c r="AJ601">
        <f>AH601/Y601</f>
        <v>0.22517007917656373</v>
      </c>
    </row>
    <row r="602">
      <c r="A602" t="str">
        <f>HYPERLINK("https://smartstore.naver.com/brickstore2019/products/4724152520","4724152520")</f>
        <v>4724152520</v>
      </c>
      <c r="C602" t="str">
        <v>빅트롤라 모던 턴테이블 블루투스 플레이어 그린 Victrola Modern 3-Speed Bluetooth Turntable, Green(무료배송)</v>
      </c>
      <c r="E602" t="str">
        <v>Victrola Modern 3-Speed Bluetooth Turntable with 50 Watt Speakers, Green Piano Finish</v>
      </c>
      <c r="G602" t="str">
        <f>HYPERLINK("https://www.amazon.com/Victrola-Bluetooth-Turntable-Speakers-White/dp/B06XJ9VDK2/ref=sr_1_1?keywords=Victrola%2BModern&amp;qid=1573132750&amp;s=boost&amp;sr=1-1&amp;srs=12034488011&amp;th=1","A")</f>
        <v>A</v>
      </c>
      <c r="J602">
        <v>64</v>
      </c>
      <c r="K602">
        <v>10.1</v>
      </c>
      <c r="L602">
        <f>IF(K602&gt;0,K602*16,)</f>
        <v>161.6</v>
      </c>
      <c r="M602">
        <f>IF(K602&gt;0,K602*0.453592,IF(L602&gt;0,L602*0.02835,))</f>
        <v>4.5812792</v>
      </c>
      <c r="N602">
        <v>0</v>
      </c>
      <c r="O602">
        <v>0</v>
      </c>
      <c r="P602">
        <f>J602+O602+N602</f>
        <v>64</v>
      </c>
      <c r="Q602">
        <f>P602*C$3</f>
        <v>80000</v>
      </c>
      <c r="R602">
        <v>0</v>
      </c>
      <c r="S602">
        <f>ROUND(SUM(Q602:R602), -2)</f>
        <v>80000</v>
      </c>
      <c r="T602">
        <f>ROUNDUP(HLOOKUP(ROUNDUP(K602,0),'배송비 조회'!A$10:AE$22,7,0)*C$3,-2)</f>
        <v>30900</v>
      </c>
      <c r="U602">
        <v>0</v>
      </c>
      <c r="V602">
        <f>ROUND(IF(R598&gt;0,0,(S602+T602)*0.3),-2)</f>
        <v>33300</v>
      </c>
      <c r="W602">
        <f>ROUND(IF(R598&gt;0,0,(S602+T602)*0.5),-2)</f>
        <v>55500</v>
      </c>
      <c r="X602">
        <f>SUM(S602:V602)</f>
        <v>144200</v>
      </c>
      <c r="Y602">
        <f>SUM(S602:U602)+W602</f>
        <v>166400</v>
      </c>
      <c r="Z602">
        <v>0</v>
      </c>
      <c r="AA602">
        <f>X602*0.038</f>
        <v>5479.599999999999</v>
      </c>
      <c r="AB602">
        <f>X602*0.02</f>
        <v>2884</v>
      </c>
      <c r="AC602">
        <f>Y602*0.1</f>
        <v>16640</v>
      </c>
      <c r="AD602">
        <f>X602-AA602-AB602</f>
        <v>135836.4</v>
      </c>
      <c r="AE602">
        <f>Y602-AC602</f>
        <v>149760</v>
      </c>
      <c r="AF602">
        <f>AD602*0.01</f>
        <v>1358.364</v>
      </c>
      <c r="AG602">
        <f>AD602-Q602-AF602-T602</f>
        <v>23578.035999999993</v>
      </c>
      <c r="AH602">
        <f>AE602-Q602-AF602-T602</f>
        <v>37501.636</v>
      </c>
      <c r="AI602">
        <f>AG602/X602</f>
        <v>0.16350926490984738</v>
      </c>
      <c r="AJ602">
        <f>AH602/Y602</f>
        <v>0.22537040865384614</v>
      </c>
    </row>
    <row r="603">
      <c r="A603" t="str">
        <f>HYPERLINK("https://smartstore.naver.com/brickstore2019/products/4724177335","4724177335")</f>
        <v>4724177335</v>
      </c>
      <c r="C603" t="str">
        <v>빅트롤라 모던 턴테이블 블루투스 플레이어 핑크 Victrola Modern 3-Speed Bluetooth Turntable, Pink(무료배송)</v>
      </c>
      <c r="E603" t="str">
        <v>Victrola Modern 3-Speed Bluetooth Turntable with 50 Watt Speakers, Pink Piano Finish</v>
      </c>
      <c r="G603" t="str">
        <f>HYPERLINK("https://www.amazon.com/Victrola-Bluetooth-Turntable-Speakers-White/dp/B06XJ7DXFV/ref=lp_12034490011_1_13?s=boost&amp;srs=12034490011&amp;ie=UTF8&amp;qid=1571927961&amp;sr=1-13&amp;th=1","A")</f>
        <v>A</v>
      </c>
      <c r="J603">
        <v>57.42</v>
      </c>
      <c r="K603">
        <v>10.1</v>
      </c>
      <c r="L603">
        <f>IF(K603&gt;0,K603*16,)</f>
        <v>161.6</v>
      </c>
      <c r="M603">
        <f>IF(K603&gt;0,K603*0.453592,IF(L603&gt;0,L603*0.02835,))</f>
        <v>4.5812792</v>
      </c>
      <c r="N603">
        <v>0</v>
      </c>
      <c r="O603">
        <v>0</v>
      </c>
      <c r="P603">
        <v>57.42</v>
      </c>
      <c r="Q603">
        <f>P603*C$3</f>
        <v>71775</v>
      </c>
      <c r="R603">
        <v>0</v>
      </c>
      <c r="S603">
        <f>ROUND(SUM(Q603:R603), -2)</f>
        <v>71800</v>
      </c>
      <c r="T603">
        <f>ROUNDUP(HLOOKUP(ROUNDUP(K603,0),'배송비 조회'!A$10:AE$22,7,0)*C$3,-2)</f>
        <v>30900</v>
      </c>
      <c r="U603">
        <v>0</v>
      </c>
      <c r="V603">
        <f>ROUND(IF(R599&gt;0,0,(S603+T603)*0.3),-2)</f>
        <v>30800</v>
      </c>
      <c r="W603">
        <f>ROUND(IF(R599&gt;0,0,(S603+T603)*0.5),-2)</f>
        <v>51400</v>
      </c>
      <c r="X603">
        <f>SUM(S603:V603)</f>
        <v>133500</v>
      </c>
      <c r="Y603">
        <f>SUM(S603:U603)+W603</f>
        <v>154100</v>
      </c>
      <c r="Z603">
        <v>0</v>
      </c>
      <c r="AA603">
        <f>X603*0.038</f>
        <v>5073</v>
      </c>
      <c r="AB603">
        <f>X603*0.02</f>
        <v>2670</v>
      </c>
      <c r="AC603">
        <f>Y603*0.1</f>
        <v>15410</v>
      </c>
      <c r="AD603">
        <f>X603-AA603-AB603</f>
        <v>125757</v>
      </c>
      <c r="AE603">
        <f>Y603-AC603</f>
        <v>138690</v>
      </c>
      <c r="AF603">
        <f>AD603*0.01</f>
        <v>1257.57</v>
      </c>
      <c r="AG603">
        <f>AD603-Q603-AF603-T603</f>
        <v>21824.43</v>
      </c>
      <c r="AH603">
        <f>AE603-Q603-AF603-T603</f>
        <v>34757.42999999999</v>
      </c>
      <c r="AI603">
        <f>AG603/X603</f>
        <v>0.16347887640449438</v>
      </c>
      <c r="AJ603">
        <f>AH603/Y603</f>
        <v>0.2255511356262167</v>
      </c>
    </row>
    <row r="604">
      <c r="A604" t="str">
        <f>HYPERLINK("https://smartstore.naver.com/brickstore2019/products/4724184178","4724184178")</f>
        <v>4724184178</v>
      </c>
      <c r="C604" t="str">
        <v>빅트롤라 모던 턴테이블 블루투스 플레이어 화이트 Victrola Modern 3-Speed Bluetooth Turntable, White(무료배송)</v>
      </c>
      <c r="E604" t="str">
        <v>Victrola Modern 3-Speed Bluetooth Turntable with 50 Watt Speakers, White Piano Finish</v>
      </c>
      <c r="G604" t="str">
        <f>HYPERLINK("https://www.amazon.com/Victrola-Bluetooth-Turntable-Speakers-White/dp/B01G9CU1GK/ref=lp_12034490011_1_13?s=boost&amp;srs=12034490011&amp;ie=UTF8&amp;qid=1571927961&amp;sr=1-13&amp;th=1","A")</f>
        <v>A</v>
      </c>
      <c r="J604">
        <v>120</v>
      </c>
      <c r="K604">
        <v>10.1</v>
      </c>
      <c r="L604">
        <f>IF(K604&gt;0,K604*16,)</f>
        <v>161.6</v>
      </c>
      <c r="M604">
        <f>IF(K604&gt;0,K604*0.453592,IF(L604&gt;0,L604*0.02835,))</f>
        <v>4.5812792</v>
      </c>
      <c r="N604">
        <v>0</v>
      </c>
      <c r="O604">
        <v>0</v>
      </c>
      <c r="P604">
        <f>J604+O604+N604</f>
        <v>120</v>
      </c>
      <c r="Q604">
        <f>P604*C$3</f>
        <v>150000</v>
      </c>
      <c r="R604">
        <v>0</v>
      </c>
      <c r="S604">
        <f>ROUND(SUM(Q604:R604), -2)</f>
        <v>150000</v>
      </c>
      <c r="T604">
        <f>ROUNDUP(HLOOKUP(ROUNDUP(K604,0),'배송비 조회'!A$10:AE$22,7,0)*C$3,-2)</f>
        <v>30900</v>
      </c>
      <c r="U604">
        <v>0</v>
      </c>
      <c r="V604">
        <f>ROUND(IF(R600&gt;0,0,(S604+T604)*0.3),-2)</f>
        <v>54300</v>
      </c>
      <c r="W604">
        <f>ROUND(IF(R600&gt;0,0,(S604+T604)*0.5),-2)</f>
        <v>90500</v>
      </c>
      <c r="X604">
        <f>SUM(S604:V604)</f>
        <v>235200</v>
      </c>
      <c r="Y604">
        <f>SUM(S604:U604)+W604</f>
        <v>271400</v>
      </c>
      <c r="Z604">
        <v>0</v>
      </c>
      <c r="AA604">
        <f>X604*0.038</f>
        <v>8937.6</v>
      </c>
      <c r="AB604">
        <f>X604*0.02</f>
        <v>4704</v>
      </c>
      <c r="AC604">
        <f>Y604*0.1</f>
        <v>27140</v>
      </c>
      <c r="AD604">
        <f>X604-AA604-AB604</f>
        <v>221558.4</v>
      </c>
      <c r="AE604">
        <f>Y604-AC604</f>
        <v>244260</v>
      </c>
      <c r="AF604">
        <f>AD604*0.01</f>
        <v>2215.584</v>
      </c>
      <c r="AG604">
        <f>AD604-Q604-AF604-T604</f>
        <v>38442.81599999999</v>
      </c>
      <c r="AH604">
        <f>AE604-Q604-AF604-T604</f>
        <v>61144.416</v>
      </c>
      <c r="AI604">
        <f>AG604/X604</f>
        <v>0.16344734693877547</v>
      </c>
      <c r="AJ604">
        <f>AH604/Y604</f>
        <v>0.22529261606484893</v>
      </c>
    </row>
    <row r="605">
      <c r="C605" t="str">
        <v>아마존 에코버즈 Amazon Echo Buds</v>
      </c>
      <c r="E605" t="str">
        <v>Echo Buds – Wireless earbuds with immersive sound, active noise reduction, and Alexa</v>
      </c>
      <c r="G605" t="str">
        <f>HYPERLINK("https://www.amazon.com/gp/product/B07F6VM1S3/?_encoding=UTF8&amp;tag=clien04-20&amp;linkCode=ur2&amp;linkId=4ef926e41eaa57b3dcfc48b2660f5024&amp;camp=1789&amp;creative=9325","A")</f>
        <v>A</v>
      </c>
      <c r="J605">
        <v>130</v>
      </c>
      <c r="K605">
        <v>1</v>
      </c>
      <c r="L605">
        <f>IF(K605&gt;0,K605*16,)</f>
        <v>16</v>
      </c>
      <c r="M605">
        <f>IF(K605&gt;0,K605*0.453592,IF(L605&gt;0,L605*0.02835,))</f>
        <v>0.453592</v>
      </c>
      <c r="N605">
        <v>0</v>
      </c>
      <c r="O605">
        <v>0</v>
      </c>
      <c r="P605">
        <f>J605+O605+N605</f>
        <v>130</v>
      </c>
      <c r="Q605">
        <f>P605*C$3</f>
        <v>162500</v>
      </c>
      <c r="R605">
        <v>0</v>
      </c>
      <c r="S605">
        <f>ROUND(SUM(Q605:R605), -2)</f>
        <v>162500</v>
      </c>
      <c r="T605">
        <f>ROUNDUP(HLOOKUP(ROUNDUP(K605,0),'배송비 조회'!A$10:AE$22,7,0)*C$3,-2)</f>
        <v>9000</v>
      </c>
      <c r="U605">
        <v>0</v>
      </c>
      <c r="V605">
        <f>ROUND(IF(R601&gt;0,0,(S605+T605)*0.15),-2)</f>
        <v>25700</v>
      </c>
      <c r="W605">
        <f>ROUND(IF(R601&gt;0,0,(S605+T605)*0.5),-2)</f>
        <v>85800</v>
      </c>
      <c r="X605">
        <f>SUM(S605:V605)</f>
        <v>197200</v>
      </c>
      <c r="Y605">
        <f>SUM(S605:U605)+W605</f>
        <v>257300</v>
      </c>
      <c r="Z605">
        <v>0</v>
      </c>
      <c r="AA605">
        <f>X605*0.038</f>
        <v>7493.599999999999</v>
      </c>
      <c r="AB605">
        <f>X605*0.02</f>
        <v>3944</v>
      </c>
      <c r="AC605">
        <f>Y605*0.1</f>
        <v>25730</v>
      </c>
      <c r="AD605">
        <f>X605-AA605-AB605</f>
        <v>185762.4</v>
      </c>
      <c r="AE605">
        <f>Y605-AC605</f>
        <v>231570</v>
      </c>
      <c r="AF605">
        <f>AD605*0.01</f>
        <v>1857.624</v>
      </c>
      <c r="AG605">
        <f>AD605-Q605-AF605-T605</f>
        <v>12404.775999999994</v>
      </c>
      <c r="AH605">
        <f>AE605-Q605-AF605-T605</f>
        <v>58212.376000000004</v>
      </c>
      <c r="AI605">
        <f>AG605/X605</f>
        <v>0.06290454361054763</v>
      </c>
      <c r="AJ605">
        <f>AH605/Y605</f>
        <v>0.22624320248736884</v>
      </c>
    </row>
    <row r="606">
      <c r="A606" t="str">
        <f>HYPERLINK("https://smartstore.naver.com/brickstore2019/products/4727820542","4727820542")</f>
        <v>4727820542</v>
      </c>
      <c r="C606" t="str">
        <v>인케이스 슬링백 카메라 슬링백 카메라 가방</v>
      </c>
      <c r="E606" t="str">
        <v>Incase Camera Sling Pack</v>
      </c>
      <c r="G606" t="str">
        <f>HYPERLINK("https://www.amazon.com/Incase-INCP300218-BLK-Camera-Sling-Pack/dp/B071NJKQZ3/ref=sr_1_6?crid=3OF9YHUYQIWNQ&amp;keywords=incase+sling+pack&amp;qid=1573482189&amp;refinements=p_89%3AIncase&amp;rnid=2528832011&amp;sprefix=incase+sling%2Caps%2C341&amp;sr=8-6","A")</f>
        <v>A</v>
      </c>
      <c r="J606">
        <v>50</v>
      </c>
      <c r="K606">
        <v>2</v>
      </c>
      <c r="L606">
        <f>IF(K606&gt;0,K606*16,)</f>
        <v>32</v>
      </c>
      <c r="M606">
        <f>IF(K606&gt;0,K606*0.453592,IF(L606&gt;0,L606*0.02835,))</f>
        <v>0.907184</v>
      </c>
      <c r="N606">
        <v>0</v>
      </c>
      <c r="O606">
        <v>0</v>
      </c>
      <c r="P606">
        <f>J606+O606+N606</f>
        <v>50</v>
      </c>
      <c r="Q606">
        <f>P606*C$3</f>
        <v>62500</v>
      </c>
      <c r="R606">
        <v>0</v>
      </c>
      <c r="S606">
        <f>ROUND(SUM(Q606:R606), -2)</f>
        <v>62500</v>
      </c>
      <c r="T606">
        <f>ROUNDUP(HLOOKUP(ROUNDUP(K606,0),'배송비 조회'!A$10:AE$22,7,0)*C$3,-2)</f>
        <v>11200</v>
      </c>
      <c r="U606">
        <v>0</v>
      </c>
      <c r="V606">
        <f>ROUND(IF(R602&gt;0,0,(S606+T606)*0.3),-2)</f>
        <v>22100</v>
      </c>
      <c r="W606">
        <f>ROUND(IF(R602&gt;0,0,(S606+T606)*0.5),-2)</f>
        <v>36900</v>
      </c>
      <c r="X606">
        <f>SUM(S606:V606)</f>
        <v>95800</v>
      </c>
      <c r="Y606">
        <f>SUM(S606:U606)+W606</f>
        <v>110600</v>
      </c>
      <c r="Z606">
        <v>0</v>
      </c>
      <c r="AA606">
        <f>X606*0.038</f>
        <v>3640.4</v>
      </c>
      <c r="AB606">
        <f>X606*0.02</f>
        <v>1916</v>
      </c>
      <c r="AC606">
        <f>Y606*0.1</f>
        <v>11060</v>
      </c>
      <c r="AD606">
        <f>X606-AA606-AB606</f>
        <v>90243.6</v>
      </c>
      <c r="AE606">
        <f>Y606-AC606</f>
        <v>99540</v>
      </c>
      <c r="AF606">
        <f>AD606*0.01</f>
        <v>902.436</v>
      </c>
      <c r="AG606">
        <f>AD606-Q606-AF606-T606</f>
        <v>15641.164000000004</v>
      </c>
      <c r="AH606">
        <f>AE606-Q606-AF606-T606</f>
        <v>24937.564</v>
      </c>
      <c r="AI606">
        <f>AG606/X606</f>
        <v>0.1632689352818372</v>
      </c>
      <c r="AJ606">
        <f>AH606/Y606</f>
        <v>0.22547526220614827</v>
      </c>
    </row>
    <row r="607">
      <c r="A607" t="str">
        <f>HYPERLINK("https://smartstore.naver.com/brickstore2019/products/4727836954","4727836954")</f>
        <v>4727836954</v>
      </c>
      <c r="C607" t="str">
        <v>인케이스 사이드백 크로스바디 힙셋</v>
      </c>
      <c r="E607" t="str">
        <v>Incase Side Bag [Nylon] - Crossbody, Over the Shoulder Multi-Purpose Bag -</v>
      </c>
      <c r="G607" t="str">
        <f>HYPERLINK("https://www.amazon.com/Incase-Side-Bag/dp/B076B46TVK/ref=sr_1_2?crid=3OF9YHUYQIWNQ&amp;keywords=incase+sling+pack&amp;qid=1573484080&amp;refinements=p_89%3AIncase&amp;rnid=2528832011&amp;sprefix=incase+sling%2Caps%2C341&amp;sr=8-2","A")</f>
        <v>A</v>
      </c>
      <c r="J607">
        <v>35</v>
      </c>
      <c r="K607">
        <f>IF(L607&gt;0,L607*0.0625,)</f>
        <v>0.625</v>
      </c>
      <c r="L607">
        <v>10</v>
      </c>
      <c r="M607">
        <f>IF(K607&gt;0,K607*0.453592,IF(L607&gt;0,L607*0.02835,))</f>
        <v>0.283495</v>
      </c>
      <c r="N607">
        <v>0</v>
      </c>
      <c r="O607">
        <v>0</v>
      </c>
      <c r="P607">
        <f>J607+O607+N607</f>
        <v>35</v>
      </c>
      <c r="Q607">
        <f>P607*C$3</f>
        <v>43750</v>
      </c>
      <c r="R607">
        <v>0</v>
      </c>
      <c r="S607">
        <f>ROUND(SUM(Q607:R607), -2)</f>
        <v>43800</v>
      </c>
      <c r="T607">
        <f>ROUNDUP(HLOOKUP(ROUNDUP(K607,0),'배송비 조회'!A$10:AE$22,7,0)*C$3,-2)</f>
        <v>9000</v>
      </c>
      <c r="U607">
        <v>0</v>
      </c>
      <c r="V607">
        <f>ROUND(IF(R603&gt;0,0,(S607+T607)*0.4),-2)</f>
        <v>21100</v>
      </c>
      <c r="W607">
        <f>ROUND(IF(R603&gt;0,0,(S607+T607)*0.5),-2)</f>
        <v>26400</v>
      </c>
      <c r="X607">
        <f>SUM(S607:V607)</f>
        <v>73900</v>
      </c>
      <c r="Y607">
        <f>SUM(S607:U607)+W607</f>
        <v>79200</v>
      </c>
      <c r="Z607">
        <v>0</v>
      </c>
      <c r="AA607">
        <f>X607*0.038</f>
        <v>2808.2</v>
      </c>
      <c r="AB607">
        <f>X607*0.02</f>
        <v>1478</v>
      </c>
      <c r="AC607">
        <f>Y607*0.1</f>
        <v>7920</v>
      </c>
      <c r="AD607">
        <f>X607-AA607-AB607</f>
        <v>69613.8</v>
      </c>
      <c r="AE607">
        <f>Y607-AC607</f>
        <v>71280</v>
      </c>
      <c r="AF607">
        <f>AD607*0.01</f>
        <v>696.138</v>
      </c>
      <c r="AG607">
        <f>AD607-Q607-AF607-T607</f>
        <v>16167.662000000004</v>
      </c>
      <c r="AH607">
        <f>AE607-Q607-AF607-T607</f>
        <v>17833.862</v>
      </c>
      <c r="AI607">
        <f>AG607/X607</f>
        <v>0.21877756427604877</v>
      </c>
      <c r="AJ607">
        <f>AH607/Y607</f>
        <v>0.22517502525252525</v>
      </c>
    </row>
    <row r="608">
      <c r="A608" t="str">
        <f>HYPERLINK("https://smartstore.naver.com/brickstore2019/products/4728957732","4728957732")</f>
        <v>4728957732</v>
      </c>
      <c r="C608" t="str">
        <v>핀티 마이크로소프트 서피스 프로 7 6 5 4 3  슬림 키보드 케이스 Fintie Microsoft Surface pro keybboard case (무료배송)</v>
      </c>
      <c r="E608" t="str">
        <v>Fintie Microsoft Surface Pro 7 / Pro 6 / Pro 5 / Pro 4 / Pro 3 Type Cover, Ultra-Slim Portable Wireless Bluetooth Keyboard with Two-Button Trackpad and Built-in Rechargeable Battery</v>
      </c>
      <c r="F608" t="str">
        <v>Black</v>
      </c>
      <c r="G608" t="str">
        <f>HYPERLINK("https://www.amazon.com/Fintie-Microsoft-Ultra-Slim-Two-Button-Rechargeable/dp/B075XCVYZR/ref=sr_1_13?keywords=surface%2Bpro%2B7%2Bkeyboard&amp;qid=1573563650&amp;sr=8-13&amp;th=1","A")</f>
        <v>A</v>
      </c>
      <c r="J608">
        <v>53</v>
      </c>
      <c r="K608">
        <v>1.15</v>
      </c>
      <c r="L608">
        <f>IF(K608&gt;0,K608*16,)</f>
        <v>18.4</v>
      </c>
      <c r="M608">
        <f>IF(K608&gt;0,K608*0.453592,IF(L608&gt;0,L608*0.02835,))</f>
        <v>0.5216308</v>
      </c>
      <c r="N608">
        <v>0</v>
      </c>
      <c r="O608">
        <v>0</v>
      </c>
      <c r="P608">
        <f>J608+O608+N608</f>
        <v>53</v>
      </c>
      <c r="Q608">
        <f>P608*C$3</f>
        <v>66250</v>
      </c>
      <c r="R608">
        <v>0</v>
      </c>
      <c r="S608">
        <f>ROUND(SUM(Q608:R608), -2)</f>
        <v>66300</v>
      </c>
      <c r="T608">
        <f>ROUNDUP(HLOOKUP(ROUNDUP(K608,0),'배송비 조회'!A$10:AE$22,7,0)*C$3,-2)</f>
        <v>11200</v>
      </c>
      <c r="U608">
        <v>0</v>
      </c>
      <c r="V608">
        <f>ROUND(IF(R604&gt;0,0,(S608+T608)*0.3),-2)</f>
        <v>23300</v>
      </c>
      <c r="W608">
        <f>ROUND(IF(R604&gt;0,0,(S608+T608)*0.5),-2)</f>
        <v>38800</v>
      </c>
      <c r="X608">
        <f>SUM(S608:V608)</f>
        <v>100800</v>
      </c>
      <c r="Y608">
        <f>SUM(S608:U608)+W608</f>
        <v>116300</v>
      </c>
      <c r="Z608">
        <v>0</v>
      </c>
      <c r="AA608">
        <f>X608*0.038</f>
        <v>3830.4</v>
      </c>
      <c r="AB608">
        <f>X608*0.02</f>
        <v>2016</v>
      </c>
      <c r="AC608">
        <f>Y608*0.1</f>
        <v>11630</v>
      </c>
      <c r="AD608">
        <f>X608-AA608-AB608</f>
        <v>94953.6</v>
      </c>
      <c r="AE608">
        <f>Y608-AC608</f>
        <v>104670</v>
      </c>
      <c r="AF608">
        <f>AD608*0.01</f>
        <v>949.5360000000001</v>
      </c>
      <c r="AG608">
        <f>AD608-Q608-AF608-T608</f>
        <v>16554.064000000006</v>
      </c>
      <c r="AH608">
        <f>AE608-Q608-AF608-T608</f>
        <v>26270.464</v>
      </c>
      <c r="AI608">
        <f>AG608/X608</f>
        <v>0.16422682539682545</v>
      </c>
      <c r="AJ608">
        <f>AH608/Y608</f>
        <v>0.22588533104041272</v>
      </c>
    </row>
    <row r="609">
      <c r="F609" t="str">
        <v>Grey</v>
      </c>
      <c r="G609" t="str">
        <f>HYPERLINK("https://www.amazon.com/Fintie-Microsoft-Ultra-Slim-Two-Button-Rechargeable/dp/B07HNY6JNY/ref=sr_1_13?keywords=surface%2Bpro%2B7%2Bkeyboard&amp;qid=1573563650&amp;sr=8-13&amp;th=1","A")</f>
        <v>A</v>
      </c>
      <c r="H609" t="str">
        <v>품절</v>
      </c>
      <c r="J609">
        <v>52</v>
      </c>
      <c r="K609">
        <v>1.15</v>
      </c>
      <c r="L609">
        <f>IF(K609&gt;0,K609*16,)</f>
        <v>18.4</v>
      </c>
      <c r="M609">
        <f>IF(K609&gt;0,K609*0.453592,IF(L609&gt;0,L609*0.02835,))</f>
        <v>0.5216308</v>
      </c>
      <c r="N609">
        <v>0</v>
      </c>
      <c r="O609">
        <v>0</v>
      </c>
      <c r="P609">
        <f>J609+O609+N609</f>
        <v>52</v>
      </c>
      <c r="Q609">
        <f>P609*C$3</f>
        <v>65000</v>
      </c>
      <c r="R609">
        <v>0</v>
      </c>
      <c r="S609">
        <f>ROUND(SUM(Q609:R609), -2)</f>
        <v>65000</v>
      </c>
      <c r="T609">
        <f>ROUNDUP(HLOOKUP(ROUNDUP(K609,0),'배송비 조회'!A$10:AE$22,7,0)*C$3,-2)</f>
        <v>11200</v>
      </c>
      <c r="U609">
        <v>0</v>
      </c>
      <c r="V609">
        <f>ROUND(IF(R605&gt;0,0,(S609+T609)*0.3),-2)</f>
        <v>22900</v>
      </c>
      <c r="W609">
        <f>ROUND(IF(R605&gt;0,0,(S609+T609)*0.5),-2)</f>
        <v>38100</v>
      </c>
      <c r="X609">
        <f>SUM(S609:V609)</f>
        <v>99100</v>
      </c>
      <c r="Y609">
        <f>SUM(S609:U609)+W609</f>
        <v>114300</v>
      </c>
      <c r="Z609">
        <v>0</v>
      </c>
      <c r="AA609">
        <f>X609*0.038</f>
        <v>3765.7999999999997</v>
      </c>
      <c r="AB609">
        <f>X609*0.02</f>
        <v>1982</v>
      </c>
      <c r="AC609">
        <f>Y609*0.1</f>
        <v>11430</v>
      </c>
      <c r="AD609">
        <f>X609-AA609-AB609</f>
        <v>93352.2</v>
      </c>
      <c r="AE609">
        <f>Y609-AC609</f>
        <v>102870</v>
      </c>
      <c r="AF609">
        <f>AD609*0.01</f>
        <v>933.5219999999999</v>
      </c>
      <c r="AG609">
        <f>AD609-Q609-AF609-T609</f>
        <v>16218.677999999996</v>
      </c>
      <c r="AH609">
        <f>AE609-Q609-AF609-T609</f>
        <v>25736.478000000003</v>
      </c>
      <c r="AI609">
        <f>AG609/X609</f>
        <v>0.163659717457114</v>
      </c>
      <c r="AJ609">
        <f>AH609/Y609</f>
        <v>0.22516603674540686</v>
      </c>
    </row>
    <row r="610">
      <c r="A610" t="str">
        <f>HYPERLINK("https://smartstore.naver.com/brickstore2019/products/4731109509","4731109509")</f>
        <v>4731109509</v>
      </c>
      <c r="C610" t="str">
        <v>폴라로이드 원스텝2 VF i-Type 화이트 / 썸머블루 / 그라파이트 + 카메라 필름세트 + 렌즈클리너 세트 \(무료배송)</v>
      </c>
      <c r="E610" t="str">
        <v>Polaroid OneStep 2 Viewfinder i-Type Camera 9008 White Bundle with a Color i-Type Film Pack 4668 (8 Instant Photos) and a Lumintrail Cleaning Cloth</v>
      </c>
      <c r="F610" t="str">
        <v>White</v>
      </c>
      <c r="G610" t="str">
        <v>A</v>
      </c>
      <c r="J610">
        <v>130</v>
      </c>
      <c r="K610">
        <v>1.8</v>
      </c>
      <c r="L610">
        <f>IF(K610&gt;0,K610*16,)</f>
        <v>28.8</v>
      </c>
      <c r="M610">
        <f>IF(K610&gt;0,K610*0.453592,IF(L610&gt;0,L610*0.02835,))</f>
        <v>0.8164656</v>
      </c>
      <c r="N610">
        <v>0</v>
      </c>
      <c r="O610">
        <v>0</v>
      </c>
      <c r="P610">
        <f>J610+O610+N610</f>
        <v>130</v>
      </c>
      <c r="Q610">
        <f>P610*C$3</f>
        <v>162500</v>
      </c>
      <c r="R610">
        <v>0</v>
      </c>
      <c r="S610">
        <f>ROUND(SUM(Q610:R610), -2)</f>
        <v>162500</v>
      </c>
      <c r="T610">
        <f>ROUNDUP(HLOOKUP(ROUNDUP(K610,0),'배송비 조회'!A$10:AE$22,7,0)*C$3,-2)</f>
        <v>11200</v>
      </c>
      <c r="U610">
        <v>0</v>
      </c>
      <c r="V610">
        <f>ROUND(IF(R606&gt;0,0,(S610+T610)*0.3),-2)</f>
        <v>52100</v>
      </c>
      <c r="W610">
        <f>ROUND(IF(R606&gt;0,0,(S610+T610)*0.5),-2)</f>
        <v>86900</v>
      </c>
      <c r="X610">
        <f>SUM(S610:V610)</f>
        <v>225800</v>
      </c>
      <c r="Y610">
        <f>SUM(S610:U610)+W610</f>
        <v>260600</v>
      </c>
      <c r="Z610">
        <v>0</v>
      </c>
      <c r="AA610">
        <f>X610*0.038</f>
        <v>8580.4</v>
      </c>
      <c r="AB610">
        <f>X610*0.02</f>
        <v>4516</v>
      </c>
      <c r="AC610">
        <f>Y610*0.1</f>
        <v>26060</v>
      </c>
      <c r="AD610">
        <f>X610-AA610-AB610</f>
        <v>212703.6</v>
      </c>
      <c r="AE610">
        <f>Y610-AC610</f>
        <v>234540</v>
      </c>
      <c r="AF610">
        <f>AD610*0.01</f>
        <v>2127.036</v>
      </c>
      <c r="AG610">
        <f>AD610-Q610-AF610-T610</f>
        <v>36876.564000000006</v>
      </c>
      <c r="AH610">
        <f>AE610-Q610-AF610-T610</f>
        <v>58712.96400000001</v>
      </c>
      <c r="AI610">
        <f>AG610/X610</f>
        <v>0.16331516386182465</v>
      </c>
      <c r="AJ610">
        <f>AH610/Y610</f>
        <v>0.225299171143515</v>
      </c>
      <c r="AM610">
        <f>X610-X611</f>
        <v>16200</v>
      </c>
    </row>
    <row r="611">
      <c r="F611" t="str">
        <v>Summer Blue</v>
      </c>
      <c r="G611" t="str">
        <v>A</v>
      </c>
      <c r="J611">
        <v>120</v>
      </c>
      <c r="K611">
        <v>1.8</v>
      </c>
      <c r="L611">
        <f>IF(K611&gt;0,K611*16,)</f>
        <v>28.8</v>
      </c>
      <c r="M611">
        <f>IF(K611&gt;0,K611*0.453592,IF(L611&gt;0,L611*0.02835,))</f>
        <v>0.8164656</v>
      </c>
      <c r="N611">
        <v>0</v>
      </c>
      <c r="O611">
        <v>0</v>
      </c>
      <c r="P611">
        <f>J611+O611+N611</f>
        <v>120</v>
      </c>
      <c r="Q611">
        <f>P611*C$3</f>
        <v>150000</v>
      </c>
      <c r="R611">
        <v>0</v>
      </c>
      <c r="S611">
        <f>ROUND(SUM(Q611:R611), -2)</f>
        <v>150000</v>
      </c>
      <c r="T611">
        <f>ROUNDUP(HLOOKUP(ROUNDUP(K611,0),'배송비 조회'!A$10:AE$22,7,0)*C$3,-2)</f>
        <v>11200</v>
      </c>
      <c r="U611">
        <v>0</v>
      </c>
      <c r="V611">
        <f>ROUND(IF(R607&gt;0,0,(S611+T611)*0.3),-2)</f>
        <v>48400</v>
      </c>
      <c r="W611">
        <f>ROUND(IF(R607&gt;0,0,(S611+T611)*0.5),-2)</f>
        <v>80600</v>
      </c>
      <c r="X611">
        <f>SUM(S611:V611)</f>
        <v>209600</v>
      </c>
      <c r="Y611">
        <f>SUM(S611:U611)+W611</f>
        <v>241800</v>
      </c>
      <c r="Z611">
        <v>0</v>
      </c>
      <c r="AA611">
        <f>X611*0.038</f>
        <v>7964.8</v>
      </c>
      <c r="AB611">
        <f>X611*0.02</f>
        <v>4192</v>
      </c>
      <c r="AC611">
        <f>Y611*0.1</f>
        <v>24180</v>
      </c>
      <c r="AD611">
        <f>X611-AA611-AB611</f>
        <v>197443.2</v>
      </c>
      <c r="AE611">
        <f>Y611-AC611</f>
        <v>217620</v>
      </c>
      <c r="AF611">
        <f>AD611*0.01</f>
        <v>1974.4320000000002</v>
      </c>
      <c r="AG611">
        <f>AD611-Q611-AF611-T611</f>
        <v>34268.76800000001</v>
      </c>
      <c r="AH611">
        <f>AE611-Q611-AF611-T611</f>
        <v>54445.568</v>
      </c>
      <c r="AI611">
        <f>AG611/X611</f>
        <v>0.1634960305343512</v>
      </c>
      <c r="AJ611">
        <f>AH611/Y611</f>
        <v>0.22516777502067825</v>
      </c>
    </row>
    <row r="612">
      <c r="F612" t="str">
        <v>Graphite</v>
      </c>
      <c r="G612" t="str">
        <v>A</v>
      </c>
      <c r="J612">
        <v>120</v>
      </c>
      <c r="K612">
        <v>1.8</v>
      </c>
      <c r="L612">
        <f>IF(K612&gt;0,K612*16,)</f>
        <v>28.8</v>
      </c>
      <c r="M612">
        <f>IF(K612&gt;0,K612*0.453592,IF(L612&gt;0,L612*0.02835,))</f>
        <v>0.8164656</v>
      </c>
      <c r="N612">
        <v>0</v>
      </c>
      <c r="O612">
        <v>0</v>
      </c>
      <c r="P612">
        <f>J612+O612+N612</f>
        <v>120</v>
      </c>
      <c r="Q612">
        <f>P612*C$3</f>
        <v>150000</v>
      </c>
      <c r="R612">
        <v>0</v>
      </c>
      <c r="S612">
        <f>ROUND(SUM(Q612:R612), -2)</f>
        <v>150000</v>
      </c>
      <c r="T612">
        <f>ROUNDUP(HLOOKUP(ROUNDUP(K612,0),'배송비 조회'!A$10:AE$22,7,0)*C$3,-2)</f>
        <v>11200</v>
      </c>
      <c r="U612">
        <v>0</v>
      </c>
      <c r="V612">
        <f>ROUND(IF(R608&gt;0,0,(S612+T612)*0.3),-2)</f>
        <v>48400</v>
      </c>
      <c r="W612">
        <f>ROUND(IF(R608&gt;0,0,(S612+T612)*0.5),-2)</f>
        <v>80600</v>
      </c>
      <c r="X612">
        <f>SUM(S612:V612)</f>
        <v>209600</v>
      </c>
      <c r="Y612">
        <f>SUM(S612:U612)+W612</f>
        <v>241800</v>
      </c>
      <c r="Z612">
        <v>0</v>
      </c>
      <c r="AA612">
        <f>X612*0.038</f>
        <v>7964.8</v>
      </c>
      <c r="AB612">
        <f>X612*0.02</f>
        <v>4192</v>
      </c>
      <c r="AC612">
        <f>Y612*0.1</f>
        <v>24180</v>
      </c>
      <c r="AD612">
        <f>X612-AA612-AB612</f>
        <v>197443.2</v>
      </c>
      <c r="AE612">
        <f>Y612-AC612</f>
        <v>217620</v>
      </c>
      <c r="AF612">
        <f>AD612*0.01</f>
        <v>1974.4320000000002</v>
      </c>
      <c r="AG612">
        <f>AD612-Q612-AF612-T612</f>
        <v>34268.76800000001</v>
      </c>
      <c r="AH612">
        <f>AE612-Q612-AF612-T612</f>
        <v>54445.568</v>
      </c>
      <c r="AI612">
        <f>AG612/X612</f>
        <v>0.1634960305343512</v>
      </c>
      <c r="AJ612">
        <f>AH612/Y612</f>
        <v>0.22516777502067825</v>
      </c>
    </row>
    <row r="613">
      <c r="A613" t="str">
        <f>HYPERLINK("https://smartstore.naver.com/brickstore2019/products/4731133575","4731133575")</f>
        <v>4731133575</v>
      </c>
      <c r="C613" t="str">
        <v>폴라로이드 원스텝2 VF i-type 카메라 Polaroid OneStep 2 Viewfinder i-Type CameraVF i-Type (무료배송)</v>
      </c>
      <c r="E613" t="str">
        <v>Polaroid Originals OneStep 2 VF</v>
      </c>
      <c r="F613" t="str">
        <v>Coral</v>
      </c>
      <c r="G613" t="str">
        <f>HYPERLINK("https://www.amazon.com/dp/B07T8BJ4MC/ref=psdc_291227_t1_B07PKR18QB?th=1","A")</f>
        <v>A</v>
      </c>
      <c r="J613">
        <v>100</v>
      </c>
      <c r="K613">
        <v>1.55</v>
      </c>
      <c r="L613">
        <f>IF(K613&gt;0,K613*16,)</f>
        <v>24.8</v>
      </c>
      <c r="M613">
        <f>IF(K613&gt;0,K613*0.453592,IF(L613&gt;0,L613*0.02835,))</f>
        <v>0.7030676</v>
      </c>
      <c r="N613">
        <v>0</v>
      </c>
      <c r="O613">
        <v>0</v>
      </c>
      <c r="P613">
        <f>J613+O613+N613</f>
        <v>100</v>
      </c>
      <c r="Q613">
        <f>P613*C$3</f>
        <v>125000</v>
      </c>
      <c r="R613">
        <v>0</v>
      </c>
      <c r="S613">
        <f>ROUND(SUM(Q613:R613), -2)</f>
        <v>125000</v>
      </c>
      <c r="T613">
        <f>ROUNDUP(HLOOKUP(ROUNDUP(K613,0),'배송비 조회'!A$10:AE$22,7,0)*C$3,-2)</f>
        <v>11200</v>
      </c>
      <c r="U613">
        <v>0</v>
      </c>
      <c r="V613">
        <f>ROUND(IF(R609&gt;0,0,(S613+T613)*0.3),-2)</f>
        <v>40900</v>
      </c>
      <c r="W613">
        <f>ROUND(IF(R609&gt;0,0,(S613+T613)*0.5),-2)</f>
        <v>68100</v>
      </c>
      <c r="X613">
        <f>SUM(S613:V613)</f>
        <v>177100</v>
      </c>
      <c r="Y613">
        <f>SUM(S613:U613)+W613</f>
        <v>204300</v>
      </c>
      <c r="Z613">
        <v>0</v>
      </c>
      <c r="AA613">
        <f>X613*0.038</f>
        <v>6729.8</v>
      </c>
      <c r="AB613">
        <f>X613*0.02</f>
        <v>3542</v>
      </c>
      <c r="AC613">
        <f>Y613*0.1</f>
        <v>20430</v>
      </c>
      <c r="AD613">
        <f>X613-AA613-AB613</f>
        <v>166828.2</v>
      </c>
      <c r="AE613">
        <f>Y613-AC613</f>
        <v>183870</v>
      </c>
      <c r="AF613">
        <f>AD613*0.01</f>
        <v>1668.2820000000002</v>
      </c>
      <c r="AG613">
        <f>AD613-Q613-AF613-T613</f>
        <v>28959.918000000012</v>
      </c>
      <c r="AH613">
        <f>AE613-Q613-AF613-T613</f>
        <v>46001.718</v>
      </c>
      <c r="AI613">
        <f>AG613/X613</f>
        <v>0.16352297007340494</v>
      </c>
      <c r="AJ613">
        <f>AH613/Y613</f>
        <v>0.22516748898678415</v>
      </c>
      <c r="AK613">
        <f>X613-X615</f>
        <v>26000</v>
      </c>
    </row>
    <row r="614">
      <c r="F614" t="str">
        <v>Graphite</v>
      </c>
      <c r="G614" t="str">
        <f>HYPERLINK("https://www.amazon.com/dp/B07C5FVGHZ/ref=psdc_291227_t1_B07PKR18QB?th=1","A")</f>
        <v>A</v>
      </c>
      <c r="J614">
        <v>88</v>
      </c>
      <c r="K614">
        <v>1.55</v>
      </c>
      <c r="L614">
        <f>IF(K614&gt;0,K614*16,)</f>
        <v>24.8</v>
      </c>
      <c r="M614">
        <f>IF(K614&gt;0,K614*0.453592,IF(L614&gt;0,L614*0.02835,))</f>
        <v>0.7030676</v>
      </c>
      <c r="N614">
        <v>0</v>
      </c>
      <c r="O614">
        <v>0</v>
      </c>
      <c r="P614">
        <f>J614+O614+N614</f>
        <v>88</v>
      </c>
      <c r="Q614">
        <f>P614*C$3</f>
        <v>110000</v>
      </c>
      <c r="R614">
        <v>0</v>
      </c>
      <c r="S614">
        <f>ROUND(SUM(Q614:R614), -2)</f>
        <v>110000</v>
      </c>
      <c r="T614">
        <f>ROUNDUP(HLOOKUP(ROUNDUP(K614,0),'배송비 조회'!A$10:AE$22,7,0)*C$3,-2)</f>
        <v>11200</v>
      </c>
      <c r="U614">
        <v>0</v>
      </c>
      <c r="V614">
        <f>ROUND(IF(R610&gt;0,0,(S614+T614)*0.3),-2)</f>
        <v>36400</v>
      </c>
      <c r="W614">
        <f>ROUND(IF(R610&gt;0,0,(S614+T614)*0.5),-2)</f>
        <v>60600</v>
      </c>
      <c r="X614">
        <f>SUM(S614:V614)</f>
        <v>157600</v>
      </c>
      <c r="Y614">
        <f>SUM(S614:U614)+W614</f>
        <v>181800</v>
      </c>
      <c r="Z614">
        <v>0</v>
      </c>
      <c r="AA614">
        <f>X614*0.038</f>
        <v>5988.8</v>
      </c>
      <c r="AB614">
        <f>X614*0.02</f>
        <v>3152</v>
      </c>
      <c r="AC614">
        <f>Y614*0.1</f>
        <v>18180</v>
      </c>
      <c r="AD614">
        <f>X614-AA614-AB614</f>
        <v>148459.2</v>
      </c>
      <c r="AE614">
        <f>Y614-AC614</f>
        <v>163620</v>
      </c>
      <c r="AF614">
        <f>AD614*0.01</f>
        <v>1484.592</v>
      </c>
      <c r="AG614">
        <f>AD614-Q614-AF614-T614</f>
        <v>25774.608000000015</v>
      </c>
      <c r="AH614">
        <f>AE614-Q614-AF614-T614</f>
        <v>40935.408</v>
      </c>
      <c r="AI614">
        <f>AG614/X614</f>
        <v>0.16354446700507624</v>
      </c>
      <c r="AJ614">
        <f>AH614/Y614</f>
        <v>0.22516726072607263</v>
      </c>
      <c r="AK614">
        <f>X614-X615</f>
        <v>6500</v>
      </c>
    </row>
    <row r="615">
      <c r="F615" t="str">
        <v>Mint</v>
      </c>
      <c r="G615" t="str">
        <f>HYPERLINK("https://www.amazon.com/dp/B07F1QKK6H/ref=psdc_291227_t1_B07PKR18QB?th=1","A")</f>
        <v>A</v>
      </c>
      <c r="J615">
        <v>84</v>
      </c>
      <c r="K615">
        <v>1.55</v>
      </c>
      <c r="L615">
        <f>IF(K615&gt;0,K615*16,)</f>
        <v>24.8</v>
      </c>
      <c r="M615">
        <f>IF(K615&gt;0,K615*0.453592,IF(L615&gt;0,L615*0.02835,))</f>
        <v>0.7030676</v>
      </c>
      <c r="N615">
        <v>0</v>
      </c>
      <c r="O615">
        <v>0</v>
      </c>
      <c r="P615">
        <f>J615+O615+N615</f>
        <v>84</v>
      </c>
      <c r="Q615">
        <f>P615*C$3</f>
        <v>105000</v>
      </c>
      <c r="R615">
        <v>0</v>
      </c>
      <c r="S615">
        <f>ROUND(SUM(Q615:R615), -2)</f>
        <v>105000</v>
      </c>
      <c r="T615">
        <f>ROUNDUP(HLOOKUP(ROUNDUP(K615,0),'배송비 조회'!A$10:AE$22,7,0)*C$3,-2)</f>
        <v>11200</v>
      </c>
      <c r="U615">
        <v>0</v>
      </c>
      <c r="V615">
        <f>ROUND(IF(R611&gt;0,0,(S615+T615)*0.3),-2)</f>
        <v>34900</v>
      </c>
      <c r="W615">
        <f>ROUND(IF(R611&gt;0,0,(S615+T615)*0.5),-2)</f>
        <v>58100</v>
      </c>
      <c r="X615">
        <f>SUM(S615:V615)</f>
        <v>151100</v>
      </c>
      <c r="Y615">
        <f>SUM(S615:U615)+W615</f>
        <v>174300</v>
      </c>
      <c r="Z615">
        <v>0</v>
      </c>
      <c r="AA615">
        <f>X615*0.038</f>
        <v>5741.8</v>
      </c>
      <c r="AB615">
        <f>X615*0.02</f>
        <v>3022</v>
      </c>
      <c r="AC615">
        <f>Y615*0.1</f>
        <v>17430</v>
      </c>
      <c r="AD615">
        <f>X615-AA615-AB615</f>
        <v>142336.2</v>
      </c>
      <c r="AE615">
        <f>Y615-AC615</f>
        <v>156870</v>
      </c>
      <c r="AF615">
        <f>AD615*0.01</f>
        <v>1423.362</v>
      </c>
      <c r="AG615">
        <f>AD615-Q615-AF615-T615</f>
        <v>24712.83800000001</v>
      </c>
      <c r="AH615">
        <f>AE615-Q615-AF615-T615</f>
        <v>39246.638</v>
      </c>
      <c r="AI615">
        <f>AG615/X615</f>
        <v>0.16355286565188623</v>
      </c>
      <c r="AJ615">
        <f>AH615/Y615</f>
        <v>0.2251671715433161</v>
      </c>
    </row>
    <row r="616">
      <c r="F616" t="str">
        <v>Red</v>
      </c>
      <c r="G616" t="str">
        <f>HYPERLINK("https://www.amazon.com/dp/B07WJQYVYN/ref=psdc_291227_t1_B07PKR18QB?th=1","A")</f>
        <v>A</v>
      </c>
      <c r="J616">
        <v>100</v>
      </c>
      <c r="K616">
        <v>1.55</v>
      </c>
      <c r="L616">
        <f>IF(K616&gt;0,K616*16,)</f>
        <v>24.8</v>
      </c>
      <c r="M616">
        <f>IF(K616&gt;0,K616*0.453592,IF(L616&gt;0,L616*0.02835,))</f>
        <v>0.7030676</v>
      </c>
      <c r="N616">
        <v>0</v>
      </c>
      <c r="O616">
        <v>0</v>
      </c>
      <c r="P616">
        <f>J616+O616+N616</f>
        <v>100</v>
      </c>
      <c r="Q616">
        <f>P616*C$3</f>
        <v>125000</v>
      </c>
      <c r="R616">
        <v>0</v>
      </c>
      <c r="S616">
        <f>ROUND(SUM(Q616:R616), -2)</f>
        <v>125000</v>
      </c>
      <c r="T616">
        <f>ROUNDUP(HLOOKUP(ROUNDUP(K616,0),'배송비 조회'!A$10:AE$22,7,0)*C$3,-2)</f>
        <v>11200</v>
      </c>
      <c r="U616">
        <v>0</v>
      </c>
      <c r="V616">
        <f>ROUND(IF(R612&gt;0,0,(S616+T616)*0.3),-2)</f>
        <v>40900</v>
      </c>
      <c r="W616">
        <f>ROUND(IF(R612&gt;0,0,(S616+T616)*0.5),-2)</f>
        <v>68100</v>
      </c>
      <c r="X616">
        <f>SUM(S616:V616)</f>
        <v>177100</v>
      </c>
      <c r="Y616">
        <f>SUM(S616:U616)+W616</f>
        <v>204300</v>
      </c>
      <c r="Z616">
        <v>0</v>
      </c>
      <c r="AA616">
        <f>X616*0.038</f>
        <v>6729.8</v>
      </c>
      <c r="AB616">
        <f>X616*0.02</f>
        <v>3542</v>
      </c>
      <c r="AC616">
        <f>Y616*0.1</f>
        <v>20430</v>
      </c>
      <c r="AD616">
        <f>X616-AA616-AB616</f>
        <v>166828.2</v>
      </c>
      <c r="AE616">
        <f>Y616-AC616</f>
        <v>183870</v>
      </c>
      <c r="AF616">
        <f>AD616*0.01</f>
        <v>1668.2820000000002</v>
      </c>
      <c r="AG616">
        <f>AD616-Q616-AF616-T616</f>
        <v>28959.918000000012</v>
      </c>
      <c r="AH616">
        <f>AE616-Q616-AF616-T616</f>
        <v>46001.718</v>
      </c>
      <c r="AI616">
        <f>AG616/X616</f>
        <v>0.16352297007340494</v>
      </c>
      <c r="AJ616">
        <f>AH616/Y616</f>
        <v>0.22516748898678415</v>
      </c>
      <c r="AK616">
        <f>X616-X615</f>
        <v>26000</v>
      </c>
    </row>
    <row r="617">
      <c r="F617" t="str">
        <v>Strager Thins</v>
      </c>
      <c r="G617" t="str">
        <f>HYPERLINK("https://www.amazon.com/dp/B07QJ7S561/ref=psdc_291227_t1_B07PKR18QB?th=1","A")</f>
        <v>A</v>
      </c>
      <c r="J617">
        <v>100</v>
      </c>
      <c r="K617">
        <v>1.55</v>
      </c>
      <c r="L617">
        <f>IF(K617&gt;0,K617*16,)</f>
        <v>24.8</v>
      </c>
      <c r="M617">
        <f>IF(K617&gt;0,K617*0.453592,IF(L617&gt;0,L617*0.02835,))</f>
        <v>0.7030676</v>
      </c>
      <c r="N617">
        <v>0</v>
      </c>
      <c r="O617">
        <v>0</v>
      </c>
      <c r="P617">
        <f>J617+O617+N617</f>
        <v>100</v>
      </c>
      <c r="Q617">
        <f>P617*C$3</f>
        <v>125000</v>
      </c>
      <c r="R617">
        <v>0</v>
      </c>
      <c r="S617">
        <f>ROUND(SUM(Q617:R617), -2)</f>
        <v>125000</v>
      </c>
      <c r="T617">
        <f>ROUNDUP(HLOOKUP(ROUNDUP(K617,0),'배송비 조회'!A$10:AE$22,7,0)*C$3,-2)</f>
        <v>11200</v>
      </c>
      <c r="U617">
        <v>0</v>
      </c>
      <c r="V617">
        <f>ROUND(IF(R613&gt;0,0,(S617+T617)*0.3),-2)</f>
        <v>40900</v>
      </c>
      <c r="W617">
        <f>ROUND(IF(R613&gt;0,0,(S617+T617)*0.5),-2)</f>
        <v>68100</v>
      </c>
      <c r="X617">
        <f>SUM(S617:V617)</f>
        <v>177100</v>
      </c>
      <c r="Y617">
        <f>SUM(S617:U617)+W617</f>
        <v>204300</v>
      </c>
      <c r="Z617">
        <v>0</v>
      </c>
      <c r="AA617">
        <f>X617*0.038</f>
        <v>6729.8</v>
      </c>
      <c r="AB617">
        <f>X617*0.02</f>
        <v>3542</v>
      </c>
      <c r="AC617">
        <f>Y617*0.1</f>
        <v>20430</v>
      </c>
      <c r="AD617">
        <f>X617-AA617-AB617</f>
        <v>166828.2</v>
      </c>
      <c r="AE617">
        <f>Y617-AC617</f>
        <v>183870</v>
      </c>
      <c r="AF617">
        <f>AD617*0.01</f>
        <v>1668.2820000000002</v>
      </c>
      <c r="AG617">
        <f>AD617-Q617-AF617-T617</f>
        <v>28959.918000000012</v>
      </c>
      <c r="AH617">
        <f>AE617-Q617-AF617-T617</f>
        <v>46001.718</v>
      </c>
      <c r="AI617">
        <f>AG617/X617</f>
        <v>0.16352297007340494</v>
      </c>
      <c r="AJ617">
        <f>AH617/Y617</f>
        <v>0.22516748898678415</v>
      </c>
      <c r="AK617">
        <f>X617-X616</f>
        <v>0</v>
      </c>
    </row>
    <row r="618">
      <c r="F618" t="str">
        <v>Summer Blue</v>
      </c>
      <c r="G618" t="str">
        <f>HYPERLINK("https://www.amazon.com/dp/B07NDDFKBC/ref=psdc_291227_t1_B07PKR18QB?th=1","A")</f>
        <v>A</v>
      </c>
      <c r="J618">
        <v>100</v>
      </c>
      <c r="K618">
        <v>1.55</v>
      </c>
      <c r="L618">
        <f>IF(K618&gt;0,K618*16,)</f>
        <v>24.8</v>
      </c>
      <c r="M618">
        <f>IF(K618&gt;0,K618*0.453592,IF(L618&gt;0,L618*0.02835,))</f>
        <v>0.7030676</v>
      </c>
      <c r="N618">
        <v>0</v>
      </c>
      <c r="O618">
        <v>0</v>
      </c>
      <c r="P618">
        <f>J618+O618+N618</f>
        <v>100</v>
      </c>
      <c r="Q618">
        <f>P618*C$3</f>
        <v>125000</v>
      </c>
      <c r="R618">
        <v>0</v>
      </c>
      <c r="S618">
        <f>ROUND(SUM(Q618:R618), -2)</f>
        <v>125000</v>
      </c>
      <c r="T618">
        <f>ROUNDUP(HLOOKUP(ROUNDUP(K618,0),'배송비 조회'!A$10:AE$22,7,0)*C$3,-2)</f>
        <v>11200</v>
      </c>
      <c r="U618">
        <v>0</v>
      </c>
      <c r="V618">
        <f>ROUND(IF(R614&gt;0,0,(S618+T618)*0.3),-2)</f>
        <v>40900</v>
      </c>
      <c r="W618">
        <f>ROUND(IF(R614&gt;0,0,(S618+T618)*0.5),-2)</f>
        <v>68100</v>
      </c>
      <c r="X618">
        <f>SUM(S618:V618)</f>
        <v>177100</v>
      </c>
      <c r="Y618">
        <f>SUM(S618:U618)+W618</f>
        <v>204300</v>
      </c>
      <c r="Z618">
        <v>0</v>
      </c>
      <c r="AA618">
        <f>X618*0.038</f>
        <v>6729.8</v>
      </c>
      <c r="AB618">
        <f>X618*0.02</f>
        <v>3542</v>
      </c>
      <c r="AC618">
        <f>Y618*0.1</f>
        <v>20430</v>
      </c>
      <c r="AD618">
        <f>X618-AA618-AB618</f>
        <v>166828.2</v>
      </c>
      <c r="AE618">
        <f>Y618-AC618</f>
        <v>183870</v>
      </c>
      <c r="AF618">
        <f>AD618*0.01</f>
        <v>1668.2820000000002</v>
      </c>
      <c r="AG618">
        <f>AD618-Q618-AF618-T618</f>
        <v>28959.918000000012</v>
      </c>
      <c r="AH618">
        <f>AE618-Q618-AF618-T618</f>
        <v>46001.718</v>
      </c>
      <c r="AI618">
        <f>AG618/X618</f>
        <v>0.16352297007340494</v>
      </c>
      <c r="AJ618">
        <f>AH618/Y618</f>
        <v>0.22516748898678415</v>
      </c>
      <c r="AK618">
        <f>X618-X617</f>
        <v>0</v>
      </c>
    </row>
    <row r="619">
      <c r="F619" t="str">
        <v>White</v>
      </c>
      <c r="G619" t="str">
        <f>HYPERLINK("https://www.amazon.com/dp/B07C5HY1HJ/ref=psdc_291227_t1_B07PKR18QB?th=1","A")</f>
        <v>A</v>
      </c>
      <c r="J619">
        <v>88</v>
      </c>
      <c r="K619">
        <v>1.55</v>
      </c>
      <c r="L619">
        <f>IF(K619&gt;0,K619*16,)</f>
        <v>24.8</v>
      </c>
      <c r="M619">
        <f>IF(K619&gt;0,K619*0.453592,IF(L619&gt;0,L619*0.02835,))</f>
        <v>0.7030676</v>
      </c>
      <c r="N619">
        <v>0</v>
      </c>
      <c r="O619">
        <v>0</v>
      </c>
      <c r="P619">
        <f>J619+O619+N619</f>
        <v>88</v>
      </c>
      <c r="Q619">
        <f>P619*C$3</f>
        <v>110000</v>
      </c>
      <c r="R619">
        <v>0</v>
      </c>
      <c r="S619">
        <f>ROUND(SUM(Q619:R619), -2)</f>
        <v>110000</v>
      </c>
      <c r="T619">
        <f>ROUNDUP(HLOOKUP(ROUNDUP(K619,0),'배송비 조회'!A$10:AE$22,7,0)*C$3,-2)</f>
        <v>11200</v>
      </c>
      <c r="U619">
        <v>0</v>
      </c>
      <c r="V619">
        <f>ROUND(IF(R615&gt;0,0,(S619+T619)*0.3),-2)</f>
        <v>36400</v>
      </c>
      <c r="W619">
        <f>ROUND(IF(R615&gt;0,0,(S619+T619)*0.5),-2)</f>
        <v>60600</v>
      </c>
      <c r="X619">
        <f>SUM(S619:V619)</f>
        <v>157600</v>
      </c>
      <c r="Y619">
        <f>SUM(S619:U619)+W619</f>
        <v>181800</v>
      </c>
      <c r="Z619">
        <v>0</v>
      </c>
      <c r="AA619">
        <f>X619*0.038</f>
        <v>5988.8</v>
      </c>
      <c r="AB619">
        <f>X619*0.02</f>
        <v>3152</v>
      </c>
      <c r="AC619">
        <f>Y619*0.1</f>
        <v>18180</v>
      </c>
      <c r="AD619">
        <f>X619-AA619-AB619</f>
        <v>148459.2</v>
      </c>
      <c r="AE619">
        <f>Y619-AC619</f>
        <v>163620</v>
      </c>
      <c r="AF619">
        <f>AD619*0.01</f>
        <v>1484.592</v>
      </c>
      <c r="AG619">
        <f>AD619-Q619-AF619-T619</f>
        <v>25774.608000000015</v>
      </c>
      <c r="AH619">
        <f>AE619-Q619-AF619-T619</f>
        <v>40935.408</v>
      </c>
      <c r="AI619">
        <f>AG619/X619</f>
        <v>0.16354446700507624</v>
      </c>
      <c r="AJ619">
        <f>AH619/Y619</f>
        <v>0.22516726072607263</v>
      </c>
      <c r="AK619">
        <f>X619-X615</f>
        <v>6500</v>
      </c>
    </row>
    <row r="620" xml:space="preserve">
      <c r="A620" t="str">
        <f>HYPERLINK("https://smartstore.naver.com/brickstore2019/products/4732191866","4732191866")</f>
        <v>4732191866</v>
      </c>
      <c r="C620" t="str">
        <v>베큐빈 남은 와인 보관 와인세이버 스토퍼 세트 6개 그레이 (무료배송)</v>
      </c>
      <c r="E620" t="str" xml:space="preserve">
        <v xml:space="preserve">Vacu Vin Wine Saver Vacuum Stoppers Set of 6 – Grey_x000d_
</v>
      </c>
      <c r="G620" t="str">
        <f>HYPERLINK("https://www.amazon.com/Vacu-Vin-Saver-Vacuum-Stoppers/dp/B00IZ882W2/ref=sr_1_4?keywords=wine+stoppers&amp;qid=1573793176&amp;sr=8-4","A")</f>
        <v>A</v>
      </c>
      <c r="J620">
        <v>14</v>
      </c>
      <c r="K620">
        <f>IF(L620&gt;0,L620*0.0625,)</f>
        <v>0.25</v>
      </c>
      <c r="L620">
        <v>4</v>
      </c>
      <c r="M620">
        <f>IF(K620&gt;0,K620*0.453592,IF(L620&gt;0,L620*0.02835,))</f>
        <v>0.113398</v>
      </c>
      <c r="N620">
        <v>0</v>
      </c>
      <c r="O620">
        <v>0</v>
      </c>
      <c r="P620">
        <f>J620+O620+N620</f>
        <v>14</v>
      </c>
      <c r="Q620">
        <f>P620*C$3</f>
        <v>17500</v>
      </c>
      <c r="R620">
        <v>0</v>
      </c>
      <c r="S620">
        <f>ROUND(SUM(Q620:R620), -2)</f>
        <v>17500</v>
      </c>
      <c r="T620">
        <f>ROUNDUP(HLOOKUP(ROUNDUP(K620,0),'배송비 조회'!A$10:AE$22,7,0)*C$3,-2)</f>
        <v>9000</v>
      </c>
      <c r="U620">
        <v>0</v>
      </c>
      <c r="V620">
        <f>ROUND(IF(R616&gt;0,0,(S620+T620)*0.6),-2)</f>
        <v>15900</v>
      </c>
      <c r="W620">
        <f>ROUND(IF(R616&gt;0,0,(S620+T620)*0.5),-2)</f>
        <v>13300</v>
      </c>
      <c r="X620">
        <f>SUM(S620:V620)</f>
        <v>42400</v>
      </c>
      <c r="Y620">
        <f>SUM(S620:U620)+W620</f>
        <v>39800</v>
      </c>
      <c r="Z620">
        <v>0</v>
      </c>
      <c r="AA620">
        <f>X620*0.038</f>
        <v>1611.2</v>
      </c>
      <c r="AB620">
        <f>X620*0.02</f>
        <v>848</v>
      </c>
      <c r="AC620">
        <f>Y620*0.1</f>
        <v>3980</v>
      </c>
      <c r="AD620">
        <f>X620-AA620-AB620</f>
        <v>39940.8</v>
      </c>
      <c r="AE620">
        <f>Y620-AC620</f>
        <v>35820</v>
      </c>
      <c r="AF620">
        <f>AD620*0.01</f>
        <v>399.408</v>
      </c>
      <c r="AG620">
        <f>AD620-Q620-AF620-T620</f>
        <v>13041.392000000003</v>
      </c>
      <c r="AH620">
        <f>AE620-Q620-AF620-T620</f>
        <v>8920.592</v>
      </c>
      <c r="AI620">
        <f>AG620/X620</f>
        <v>0.3075800000000001</v>
      </c>
      <c r="AJ620">
        <f>AH620/Y620</f>
        <v>0.22413547738693468</v>
      </c>
    </row>
    <row r="621">
      <c r="A621" t="str">
        <f>HYPERLINK("https://smartstore.naver.com/brickstore2019/products/4736390294","4736390294")</f>
        <v>4736390294</v>
      </c>
      <c r="C621" t="str">
        <v>구글 와이파이 네스트 라우터 2세대 구글 공유기 (무료배송)</v>
      </c>
      <c r="E621" t="str">
        <v>Google Nest Wifi Router - 4x4 AC2200 Wi-Fi Mesh System with 2200 Sq ft Coverage</v>
      </c>
      <c r="G621" t="str">
        <f>HYPERLINK("https://www.amazon.com/dp/B07YMKD6SM/ref=cm_sw_r_cp_apa_i_sRr1Db1KJ5H5M?th=1","A")</f>
        <v>A</v>
      </c>
      <c r="J621">
        <v>170</v>
      </c>
      <c r="K621">
        <v>2</v>
      </c>
      <c r="L621">
        <f>IF(K621&gt;0,K621*16,)</f>
        <v>32</v>
      </c>
      <c r="M621">
        <f>IF(K621&gt;0,K621*0.453592,IF(L621&gt;0,L621*0.02835,))</f>
        <v>0.907184</v>
      </c>
      <c r="N621">
        <v>0</v>
      </c>
      <c r="O621">
        <v>0</v>
      </c>
      <c r="P621">
        <f>J621+O621+N621</f>
        <v>170</v>
      </c>
      <c r="Q621">
        <f>P621*C$3</f>
        <v>212500</v>
      </c>
      <c r="R621">
        <v>0</v>
      </c>
      <c r="S621">
        <f>ROUND(SUM(Q621:R621), -2)</f>
        <v>212500</v>
      </c>
      <c r="T621">
        <f>ROUNDUP(HLOOKUP(ROUNDUP(K621,0),'배송비 조회'!A$10:AE$22,7,0)*C$3,-2)</f>
        <v>11200</v>
      </c>
      <c r="U621">
        <v>0</v>
      </c>
      <c r="V621">
        <f>ROUND(IF(R618&gt;0,0,(S621+T621)*0.2),-2)</f>
        <v>44700</v>
      </c>
      <c r="W621">
        <f>ROUND(IF(R618&gt;0,0,(S621+T621)*0.5),-2)</f>
        <v>111900</v>
      </c>
      <c r="X621">
        <f>SUM(S621:V621)</f>
        <v>268400</v>
      </c>
      <c r="Y621">
        <f>SUM(S621:U621)+W621</f>
        <v>335600</v>
      </c>
      <c r="Z621">
        <v>0</v>
      </c>
      <c r="AA621">
        <f>X621*0.038</f>
        <v>10199.199999999999</v>
      </c>
      <c r="AB621">
        <f>X621*0.02</f>
        <v>5368</v>
      </c>
      <c r="AC621">
        <f>Y621*0.1</f>
        <v>33560</v>
      </c>
      <c r="AD621">
        <f>X621-AA621-AB621</f>
        <v>252832.8</v>
      </c>
      <c r="AE621">
        <f>Y621-AC621</f>
        <v>302040</v>
      </c>
      <c r="AF621">
        <f>AD621*0.01</f>
        <v>2528.328</v>
      </c>
      <c r="AG621">
        <f>AD621-Q621-AF621-T621</f>
        <v>26604.471999999987</v>
      </c>
      <c r="AH621">
        <f>AE621-Q621-AF621-T621</f>
        <v>75811.672</v>
      </c>
      <c r="AI621">
        <f>AG621/X621</f>
        <v>0.09912247391952306</v>
      </c>
      <c r="AJ621">
        <f>AH621/Y621</f>
        <v>0.22589890345649585</v>
      </c>
    </row>
    <row r="622" xml:space="preserve">
      <c r="A622" t="str">
        <f>HYPERLINK("https://smartstore.naver.com/brickstore2019/products/4736413862","4736413862")</f>
        <v>4736413862</v>
      </c>
      <c r="C622" t="str">
        <v>어도닛노트 플러스 팜리젝션 아이패드용 펜슬(무료배송)</v>
      </c>
      <c r="E622" t="str" xml:space="preserve">
        <v xml:space="preserve">Adonit Note+ Plus with Native Palm Rejection, Pressure Sensitivity, Programmable Shortcut Buttons, Support Tilt Work for iPad Pro (3rd Gen), iPad (6th, 7th Gen), iPad Air (3rd Gen) iPad Mini (5th Gen)_x000d_
</v>
      </c>
      <c r="G622" t="str">
        <f>HYPERLINK("https://www.amazon.com/Adonit-Rejection-Pressure-Sensitivity-Programmable/dp/B07YB65VC8/ref=sr_1_12?keywords=Adonit+Note&amp;qid=1572161756&amp;sr=8-12","A")</f>
        <v>A</v>
      </c>
      <c r="J622">
        <v>70</v>
      </c>
      <c r="K622">
        <f>IF(L622&gt;0,L622*0.0625,)</f>
        <v>0.3125</v>
      </c>
      <c r="L622">
        <v>5</v>
      </c>
      <c r="M622">
        <f>IF(K622&gt;0,K622*0.453592,IF(L622&gt;0,L622*0.02835,))</f>
        <v>0.1417475</v>
      </c>
      <c r="N622">
        <v>0</v>
      </c>
      <c r="O622">
        <v>0</v>
      </c>
      <c r="P622">
        <f>J622+O622+N622</f>
        <v>70</v>
      </c>
      <c r="Q622">
        <f>P622*C$3</f>
        <v>87500</v>
      </c>
      <c r="R622">
        <v>0</v>
      </c>
      <c r="S622">
        <f>ROUND(SUM(Q622:R622), -2)</f>
        <v>87500</v>
      </c>
      <c r="T622">
        <f>ROUNDUP(HLOOKUP(ROUNDUP(K622,0),'배송비 조회'!A$10:AE$22,7,0)*C$3,-2)</f>
        <v>9000</v>
      </c>
      <c r="U622">
        <v>0</v>
      </c>
      <c r="V622">
        <f>ROUND(IF(R619&gt;0,0,(S622+T622)*0.3),-2)</f>
        <v>29000</v>
      </c>
      <c r="W622">
        <f>ROUND(IF(R619&gt;0,0,(S622+T622)*0.5),-2)</f>
        <v>48300</v>
      </c>
      <c r="X622">
        <f>SUM(S622:V622)</f>
        <v>125500</v>
      </c>
      <c r="Y622">
        <f>SUM(S622:U622)+W622</f>
        <v>144800</v>
      </c>
      <c r="Z622">
        <v>0</v>
      </c>
      <c r="AA622">
        <f>X622*0.038</f>
        <v>4769</v>
      </c>
      <c r="AB622">
        <f>X622*0.02</f>
        <v>2510</v>
      </c>
      <c r="AC622">
        <f>Y622*0.1</f>
        <v>14480</v>
      </c>
      <c r="AD622">
        <f>X622-AA622-AB622</f>
        <v>118221</v>
      </c>
      <c r="AE622">
        <f>Y622-AC622</f>
        <v>130320</v>
      </c>
      <c r="AF622">
        <f>AD622*0.01</f>
        <v>1182.21</v>
      </c>
      <c r="AG622">
        <f>AD622-Q622-AF622-T622</f>
        <v>20538.79</v>
      </c>
      <c r="AH622">
        <f>AE622-Q622-AF622-T622</f>
        <v>32637.79</v>
      </c>
      <c r="AI622">
        <f>AG622/X622</f>
        <v>0.1636556972111554</v>
      </c>
      <c r="AJ622">
        <f>AH622/Y622</f>
        <v>0.22539910220994475</v>
      </c>
    </row>
    <row r="623">
      <c r="A623" t="str">
        <f>HYPERLINK("https://smartstore.naver.com/brickstore2019/products/4736548629","4736548629")</f>
        <v>4736548629</v>
      </c>
      <c r="C623" t="str">
        <v>위키드본 스마트본 애견 인터렉티브 토이 장난감 Wickedbone Smart Bone, Automatic &amp; Interactive Toys for Dogs (무료배송)</v>
      </c>
      <c r="E623" t="str">
        <v>Wickedbone Smart Bone, Automatic &amp; Interactive Toys for Dogs, Puppy and Cats, App Control, Safe &amp; Durable, Keep Your Pets Entertained All Day</v>
      </c>
      <c r="F623" t="str">
        <v>Blue</v>
      </c>
      <c r="G623" t="str">
        <f>HYPERLINK("https://www.amazon.com/Wickedbone-Automatic-Interactive-Durable-App-Enabled/dp/B07MR8HC3X/ref=sr_1_1?keywords=Wickedbone%2BSmart%2BBone%2C%2BAutomatic%2B%26%2BInteractive%2BToys%2Bfor%2BDogs&amp;qid=1575526577&amp;sr=8-1&amp;th=1","A")</f>
        <v>A</v>
      </c>
      <c r="J623">
        <v>99</v>
      </c>
      <c r="K623">
        <v>1.2</v>
      </c>
      <c r="L623">
        <f>IF(K623&gt;0,K623*16,)</f>
        <v>19.2</v>
      </c>
      <c r="M623">
        <f>IF(K623&gt;0,K623*0.453592,IF(L623&gt;0,L623*0.02835,))</f>
        <v>0.5443104</v>
      </c>
      <c r="N623">
        <v>0</v>
      </c>
      <c r="O623">
        <v>0</v>
      </c>
      <c r="P623">
        <f>J623+O623+N623</f>
        <v>99</v>
      </c>
      <c r="Q623">
        <f>P623*C$3</f>
        <v>123750</v>
      </c>
      <c r="R623">
        <v>0</v>
      </c>
      <c r="S623">
        <f>ROUND(SUM(Q623:R623), -2)</f>
        <v>123800</v>
      </c>
      <c r="T623">
        <f>ROUNDUP(HLOOKUP(ROUNDUP(K623,0),'배송비 조회'!A$10:AE$22,7,0)*C$3,-2)</f>
        <v>11200</v>
      </c>
      <c r="U623">
        <v>0</v>
      </c>
      <c r="V623">
        <f>ROUND(IF(R620&gt;0,0,(S623+T623)*0.3),-2)</f>
        <v>40500</v>
      </c>
      <c r="W623">
        <f>ROUND(IF(R620&gt;0,0,(S623+T623)*0.4),-2)</f>
        <v>54000</v>
      </c>
      <c r="X623">
        <f>SUM(S623:V623)</f>
        <v>175500</v>
      </c>
      <c r="Y623">
        <f>SUM(S623:U623)+W623</f>
        <v>189000</v>
      </c>
      <c r="Z623">
        <v>0</v>
      </c>
      <c r="AA623">
        <f>X623*0.038</f>
        <v>6669</v>
      </c>
      <c r="AB623">
        <f>X623*0.02</f>
        <v>3510</v>
      </c>
      <c r="AC623">
        <f>Y623*0.1</f>
        <v>18900</v>
      </c>
      <c r="AD623">
        <f>X623-AA623-AB623</f>
        <v>165321</v>
      </c>
      <c r="AE623">
        <f>Y623-AC623</f>
        <v>170100</v>
      </c>
      <c r="AF623">
        <f>AD623*0.01</f>
        <v>1653.21</v>
      </c>
      <c r="AG623">
        <f>AD623-Q623-AF623-T623</f>
        <v>28717.79</v>
      </c>
      <c r="AH623">
        <f>AE623-Q623-AF623-T623</f>
        <v>33496.79</v>
      </c>
      <c r="AI623">
        <f>AG623/X623</f>
        <v>0.16363413105413105</v>
      </c>
      <c r="AJ623">
        <f>AH623/Y623</f>
        <v>0.17723169312169312</v>
      </c>
    </row>
    <row r="624">
      <c r="F624" t="str">
        <v>White</v>
      </c>
      <c r="G624" t="str">
        <v>A</v>
      </c>
      <c r="J624">
        <v>99</v>
      </c>
      <c r="K624">
        <v>1.2</v>
      </c>
      <c r="L624">
        <f>IF(K624&gt;0,K624*16,)</f>
        <v>19.2</v>
      </c>
      <c r="M624">
        <f>IF(K624&gt;0,K624*0.453592,IF(L624&gt;0,L624*0.02835,))</f>
        <v>0.5443104</v>
      </c>
      <c r="N624">
        <v>0</v>
      </c>
      <c r="O624">
        <v>0</v>
      </c>
      <c r="P624">
        <f>J624+O624+N624</f>
        <v>99</v>
      </c>
      <c r="Q624">
        <f>P624*C$3</f>
        <v>123750</v>
      </c>
      <c r="R624">
        <v>0</v>
      </c>
      <c r="S624">
        <f>ROUND(SUM(Q624:R624), -2)</f>
        <v>123800</v>
      </c>
      <c r="T624">
        <f>ROUNDUP(HLOOKUP(ROUNDUP(K624,0),'배송비 조회'!A$10:AE$22,7,0)*C$3,-2)</f>
        <v>11200</v>
      </c>
      <c r="U624">
        <v>0</v>
      </c>
      <c r="V624">
        <f>ROUND(IF(R621&gt;0,0,(S624+T624)*0.3),-2)</f>
        <v>40500</v>
      </c>
      <c r="W624">
        <f>ROUND(IF(R621&gt;0,0,(S624+T624)*0.4),-2)</f>
        <v>54000</v>
      </c>
      <c r="X624">
        <f>SUM(S624:V624)</f>
        <v>175500</v>
      </c>
      <c r="Y624">
        <f>SUM(S624:U624)+W624</f>
        <v>189000</v>
      </c>
      <c r="Z624">
        <v>0</v>
      </c>
      <c r="AA624">
        <f>X624*0.038</f>
        <v>6669</v>
      </c>
      <c r="AB624">
        <f>X624*0.02</f>
        <v>3510</v>
      </c>
      <c r="AC624">
        <f>Y624*0.1</f>
        <v>18900</v>
      </c>
      <c r="AD624">
        <f>X624-AA624-AB624</f>
        <v>165321</v>
      </c>
      <c r="AE624">
        <f>Y624-AC624</f>
        <v>170100</v>
      </c>
      <c r="AF624">
        <f>AD624*0.01</f>
        <v>1653.21</v>
      </c>
      <c r="AG624">
        <f>AD624-Q624-AF624-T624</f>
        <v>28717.79</v>
      </c>
      <c r="AH624">
        <f>AE624-Q624-AF624-T624</f>
        <v>33496.79</v>
      </c>
      <c r="AI624">
        <f>AG624/X624</f>
        <v>0.16363413105413105</v>
      </c>
      <c r="AJ624">
        <f>AH624/Y624</f>
        <v>0.17723169312169312</v>
      </c>
    </row>
    <row r="625">
      <c r="A625" t="str">
        <f>HYPERLINK("https://smartstore.naver.com/brickstore2019/products/4736557121","4736557121")</f>
        <v>4736557121</v>
      </c>
      <c r="C625" t="str">
        <v>브레오 일렉트릭 휴대용 두피마사지기 Breo Electric Portable Scalp Head Massager (무료배송)</v>
      </c>
      <c r="E625" t="str">
        <v>Breo Electric Portable Scalp Head Massager IPX7 Waterproof Rechargeable Neck and Body Massager with Bamboo Wood Charging Base, Removable Massage Nodes (White-Robot)</v>
      </c>
      <c r="G625" t="str">
        <f>HYPERLINK("https://www.amazon.com/dp/B07H981BSK/ref=twister_B07L69WXT8?_encoding=UTF8&amp;th=1","A")</f>
        <v>A</v>
      </c>
      <c r="J625">
        <v>80</v>
      </c>
      <c r="K625">
        <v>1.2</v>
      </c>
      <c r="L625">
        <f>IF(K625&gt;0,K625*16,)</f>
        <v>19.2</v>
      </c>
      <c r="M625">
        <f>IF(K625&gt;0,K625*0.453592,IF(L625&gt;0,L625*0.02835,))</f>
        <v>0.5443104</v>
      </c>
      <c r="N625">
        <v>0</v>
      </c>
      <c r="O625">
        <v>0</v>
      </c>
      <c r="P625">
        <f>J625+O625+N625</f>
        <v>80</v>
      </c>
      <c r="Q625">
        <f>P625*C$3</f>
        <v>100000</v>
      </c>
      <c r="R625">
        <v>0</v>
      </c>
      <c r="S625">
        <f>ROUND(SUM(Q625:R625), -2)</f>
        <v>100000</v>
      </c>
      <c r="T625">
        <f>ROUNDUP(HLOOKUP(ROUNDUP(K625,0),'배송비 조회'!A$10:AE$22,7,0)*C$3,-2)</f>
        <v>11200</v>
      </c>
      <c r="U625">
        <v>0</v>
      </c>
      <c r="V625">
        <f>ROUND(IF(R622&gt;0,0,(S625+T625)*0.3),-2)</f>
        <v>33400</v>
      </c>
      <c r="W625">
        <f>ROUND(IF(R622&gt;0,0,(S625+T625)*0.4),-2)</f>
        <v>44500</v>
      </c>
      <c r="X625">
        <f>SUM(S625:V625)</f>
        <v>144600</v>
      </c>
      <c r="Y625">
        <f>SUM(S625:U625)+W625</f>
        <v>155700</v>
      </c>
      <c r="Z625">
        <v>0</v>
      </c>
      <c r="AA625">
        <f>X625*0.038</f>
        <v>5494.8</v>
      </c>
      <c r="AB625">
        <f>X625*0.02</f>
        <v>2892</v>
      </c>
      <c r="AC625">
        <f>Y625*0.1</f>
        <v>15570</v>
      </c>
      <c r="AD625">
        <f>X625-AA625-AB625</f>
        <v>136213.2</v>
      </c>
      <c r="AE625">
        <f>Y625-AC625</f>
        <v>140130</v>
      </c>
      <c r="AF625">
        <f>AD625*0.01</f>
        <v>1362.132</v>
      </c>
      <c r="AG625">
        <f>AD625-Q625-AF625-T625</f>
        <v>23651.068000000014</v>
      </c>
      <c r="AH625">
        <f>AE625-Q625-AF625-T625</f>
        <v>27567.868000000002</v>
      </c>
      <c r="AI625">
        <f>AG625/X625</f>
        <v>0.1635620193637622</v>
      </c>
      <c r="AJ625">
        <f>AH625/Y625</f>
        <v>0.17705759794476558</v>
      </c>
    </row>
    <row r="626" xml:space="preserve">
      <c r="A626" t="str">
        <f>HYPERLINK("https://smartstore.naver.com/brickstore2019/products/4743345075","4743345075")</f>
        <v>4743345075</v>
      </c>
      <c r="C626" t="str">
        <v>아이패드프로 키보드 케이스 블루투스 연결 Inateck KB02010 (무료배송)</v>
      </c>
      <c r="E626" t="str" xml:space="preserve">
        <v xml:space="preserve">Inateck iPad Pro 12.9 Inch Keyboard Case 2018 3rd Gen Only, Flexible and Stable Kickstand, with Pencil Holder, Detachable, for 2018 3rd Gen Only (No Home Button), KB02010_x000d_
</v>
      </c>
      <c r="G626" t="str">
        <f>HYPERLINK("https://www.amazon.com/Inateck-Keyboard-Flexible-Kickstand-Detachable/dp/B07Y21VZF9/ref=sr_1_5?keywords=inateck%2Bkb02010&amp;qid=1574840658&amp;smid=A3C6FYH2UWE3LL&amp;sr=8-5&amp;th=1","A")</f>
        <v>A</v>
      </c>
      <c r="J626">
        <v>40</v>
      </c>
      <c r="K626">
        <v>2.5</v>
      </c>
      <c r="L626">
        <f>IF(K626&gt;0,K626*16,)</f>
        <v>40</v>
      </c>
      <c r="M626">
        <f>IF(K626&gt;0,K626*0.453592,IF(L626&gt;0,L626*0.02835,))</f>
        <v>1.13398</v>
      </c>
      <c r="N626">
        <v>0</v>
      </c>
      <c r="O626">
        <v>0</v>
      </c>
      <c r="P626">
        <f>J626+O626+N626</f>
        <v>40</v>
      </c>
      <c r="Q626">
        <f>P626*C$3</f>
        <v>50000</v>
      </c>
      <c r="R626">
        <v>0</v>
      </c>
      <c r="S626">
        <f>ROUND(SUM(Q626:R626), -2)</f>
        <v>50000</v>
      </c>
      <c r="T626">
        <f>ROUNDUP(HLOOKUP(ROUNDUP(K626,0),'배송비 조회'!A$10:AE$22,7,0)*C$3,-2)</f>
        <v>13400</v>
      </c>
      <c r="U626">
        <v>0</v>
      </c>
      <c r="V626">
        <f>ROUND(IF(R623&gt;0,0,(S626+T626)*0.4),-2)</f>
        <v>25400</v>
      </c>
      <c r="W626">
        <f>ROUND(IF(R623&gt;0,0,(S626+T626)*0.5),-2)</f>
        <v>31700</v>
      </c>
      <c r="X626">
        <f>SUM(S626:V626)</f>
        <v>88800</v>
      </c>
      <c r="Y626">
        <f>SUM(S626:U626)+W626</f>
        <v>95100</v>
      </c>
      <c r="Z626">
        <v>0</v>
      </c>
      <c r="AA626">
        <f>X626*0.038</f>
        <v>3374.4</v>
      </c>
      <c r="AB626">
        <f>X626*0.02</f>
        <v>1776</v>
      </c>
      <c r="AC626">
        <f>Y626*0.1</f>
        <v>9510</v>
      </c>
      <c r="AD626">
        <f>X626-AA626-AB626</f>
        <v>83649.6</v>
      </c>
      <c r="AE626">
        <f>Y626-AC626</f>
        <v>85590</v>
      </c>
      <c r="AF626">
        <f>AD626*0.01</f>
        <v>836.4960000000001</v>
      </c>
      <c r="AG626">
        <f>AD626-Q626-AF626-T626</f>
        <v>19413.104000000007</v>
      </c>
      <c r="AH626">
        <f>AE626-Q626-AF626-T626</f>
        <v>21353.504</v>
      </c>
      <c r="AI626">
        <f>AG626/X626</f>
        <v>0.2186160360360361</v>
      </c>
      <c r="AJ626">
        <f>AH626/Y626</f>
        <v>0.22453737118822292</v>
      </c>
    </row>
    <row r="627">
      <c r="A627" t="str">
        <f>HYPERLINK("https://smartstore.naver.com/brickstore2019/products/4743477377","4743477377")</f>
        <v>4743477377</v>
      </c>
      <c r="C627" t="str">
        <v>에그타르트틀 알루미늄 계란타르트틀 20개 세트</v>
      </c>
      <c r="F627" t="str">
        <v>타입A</v>
      </c>
      <c r="G627" t="str">
        <f>HYPERLINK("https://www.amazon.com/Bezall-Aluminum-Cupcake-Cookie-Baking/dp/B00S0Z8162/ref=sr_1_4?keywords=Egg%2BTart&amp;qid=1574862559&amp;refinements=p_72%3A1248915011&amp;rnid=1248913011&amp;s=home-garden&amp;sr=1-4&amp;th=1","A")</f>
        <v>A</v>
      </c>
      <c r="J627">
        <v>10</v>
      </c>
      <c r="K627">
        <f>IF(L627&gt;0,L627*0.0625,)</f>
        <v>0.375</v>
      </c>
      <c r="L627">
        <v>6</v>
      </c>
      <c r="M627">
        <f>IF(K627&gt;0,K627*0.453592,IF(L627&gt;0,L627*0.02835,))</f>
        <v>0.170097</v>
      </c>
      <c r="N627">
        <v>0</v>
      </c>
      <c r="O627">
        <v>0</v>
      </c>
      <c r="P627">
        <f>J627+O627+N627</f>
        <v>10</v>
      </c>
      <c r="Q627">
        <f>P627*C$3</f>
        <v>12500</v>
      </c>
      <c r="R627">
        <v>0</v>
      </c>
      <c r="S627">
        <f>ROUND(SUM(Q627:R627), -2)</f>
        <v>12500</v>
      </c>
      <c r="T627">
        <f>ROUNDUP(HLOOKUP(ROUNDUP(K627,0),'배송비 조회'!A$10:AE$22,7,0)*C$3,-2)</f>
        <v>9000</v>
      </c>
      <c r="U627">
        <v>0</v>
      </c>
      <c r="V627">
        <f>ROUND(IF(R624&gt;0,0,(S627+T627)*0.4),-2)</f>
        <v>8600</v>
      </c>
      <c r="W627">
        <f>ROUND(IF(R624&gt;0,0,(S627+T627)*0.5),-2)</f>
        <v>10800</v>
      </c>
      <c r="X627">
        <f>SUM(S627:V627)</f>
        <v>30100</v>
      </c>
      <c r="Y627">
        <f>SUM(S627:U627)+W627</f>
        <v>32300</v>
      </c>
      <c r="Z627">
        <v>0</v>
      </c>
      <c r="AA627">
        <f>X627*0.038</f>
        <v>1143.8</v>
      </c>
      <c r="AB627">
        <f>X627*0.02</f>
        <v>602</v>
      </c>
      <c r="AC627">
        <f>Y627*0.1</f>
        <v>3230</v>
      </c>
      <c r="AD627">
        <f>X627-AA627-AB627</f>
        <v>28354.2</v>
      </c>
      <c r="AE627">
        <f>Y627-AC627</f>
        <v>29070</v>
      </c>
      <c r="AF627">
        <f>AD627*0.01</f>
        <v>283.54200000000003</v>
      </c>
      <c r="AG627">
        <f>AD627-Q627-AF627-T627</f>
        <v>6570.658000000001</v>
      </c>
      <c r="AH627">
        <f>AE627-Q627-AF627-T627</f>
        <v>7286.4580000000005</v>
      </c>
      <c r="AI627">
        <f>AG627/X627</f>
        <v>0.21829428571428575</v>
      </c>
      <c r="AJ627">
        <f>AH627/Y627</f>
        <v>0.22558693498452015</v>
      </c>
      <c r="AK627">
        <f>X627-T627</f>
        <v>21100</v>
      </c>
      <c r="AL627" t="str">
        <v>유료배송측정</v>
      </c>
    </row>
    <row r="628">
      <c r="F628" t="str">
        <v>타입B</v>
      </c>
      <c r="G628" t="str">
        <f>HYPERLINK("https://www.amazon.com/Bezall-Aluminum-Cupcake-Cookie-Baking/dp/B00SKX0M3E/ref=sr_1_4?keywords=Egg%2BTart&amp;qid=1574862559&amp;refinements=p_72%3A1248915011&amp;rnid=1248913011&amp;s=home-garden&amp;sr=1-4&amp;th=1","A")</f>
        <v>A</v>
      </c>
      <c r="J628">
        <v>10</v>
      </c>
      <c r="K628">
        <f>IF(L628&gt;0,L628*0.0625,)</f>
        <v>0.375</v>
      </c>
      <c r="L628">
        <v>6</v>
      </c>
      <c r="M628">
        <f>IF(K628&gt;0,K628*0.453592,IF(L628&gt;0,L628*0.02835,))</f>
        <v>0.170097</v>
      </c>
      <c r="N628">
        <v>0</v>
      </c>
      <c r="O628">
        <v>0</v>
      </c>
      <c r="P628">
        <f>J628+O628+N628</f>
        <v>10</v>
      </c>
      <c r="Q628">
        <f>P628*C$3</f>
        <v>12500</v>
      </c>
      <c r="R628">
        <v>0</v>
      </c>
      <c r="S628">
        <f>ROUND(SUM(Q628:R628), -2)</f>
        <v>12500</v>
      </c>
      <c r="T628">
        <f>ROUNDUP(HLOOKUP(ROUNDUP(K628,0),'배송비 조회'!A$10:AE$22,7,0)*C$3,-2)</f>
        <v>9000</v>
      </c>
      <c r="U628">
        <v>0</v>
      </c>
      <c r="V628">
        <f>ROUND(IF(R624&gt;0,0,(S628+T628)*0.4),-2)</f>
        <v>8600</v>
      </c>
      <c r="W628">
        <f>ROUND(IF(R624&gt;0,0,(S628+T628)*0.5),-2)</f>
        <v>10800</v>
      </c>
      <c r="X628">
        <f>SUM(S628:V628)</f>
        <v>30100</v>
      </c>
      <c r="Y628">
        <f>SUM(S628:U628)+W628</f>
        <v>32300</v>
      </c>
      <c r="Z628">
        <v>0</v>
      </c>
      <c r="AA628">
        <f>X628*0.038</f>
        <v>1143.8</v>
      </c>
      <c r="AB628">
        <f>X628*0.02</f>
        <v>602</v>
      </c>
      <c r="AC628">
        <f>Y628*0.1</f>
        <v>3230</v>
      </c>
      <c r="AD628">
        <f>X628-AA628-AB628</f>
        <v>28354.2</v>
      </c>
      <c r="AE628">
        <f>Y628-AC628</f>
        <v>29070</v>
      </c>
      <c r="AF628">
        <f>AD628*0.01</f>
        <v>283.54200000000003</v>
      </c>
      <c r="AG628">
        <f>AD628-Q628-AF628-T628</f>
        <v>6570.658000000001</v>
      </c>
      <c r="AH628">
        <f>AE628-Q628-AF628-T628</f>
        <v>7286.4580000000005</v>
      </c>
      <c r="AI628">
        <f>AG628/X628</f>
        <v>0.21829428571428575</v>
      </c>
      <c r="AJ628">
        <f>AH628/Y628</f>
        <v>0.22558693498452015</v>
      </c>
      <c r="AK628">
        <f>X628-T628</f>
        <v>21100</v>
      </c>
    </row>
    <row r="629">
      <c r="A629" t="str">
        <f>HYPERLINK("https://smartstore.naver.com/brickstore2019/products/4743529376","4743529376")</f>
        <v>4743529376</v>
      </c>
      <c r="C629" t="str">
        <v>에그타르트틀 계란타르트틀 카본 12개 세트(무료배송)</v>
      </c>
      <c r="E629" t="str">
        <v>Amytalk 12 Packs Egg Tart Mold, Upgrade Bigger Size 3 x 0.9inch, Cupcake Cake Muffin Mold Tin Pan Baking Tool, Carbon Steel</v>
      </c>
      <c r="F629" t="str">
        <v>2.6인치</v>
      </c>
      <c r="G629" t="str">
        <f>HYPERLINK("https://www.amazon.com/Amytalk-Upgrade-Bigger-0-9inch-Cupcake/dp/B07L5TT6LR/ref=sr_1_9?keywords=Egg%2BTart&amp;qid=1574862559&amp;refinements=p_72%3A1248915011&amp;rnid=1248913011&amp;s=home-garden&amp;sr=1-9&amp;th=1","A")</f>
        <v>A</v>
      </c>
      <c r="J629">
        <v>15</v>
      </c>
      <c r="K629">
        <f>IF(L629&gt;0,L629*0.0625,)</f>
        <v>0.6875</v>
      </c>
      <c r="L629">
        <v>11</v>
      </c>
      <c r="M629">
        <f>IF(K629&gt;0,K629*0.453592,IF(L629&gt;0,L629*0.02835,))</f>
        <v>0.31184449999999997</v>
      </c>
      <c r="N629">
        <v>0</v>
      </c>
      <c r="O629">
        <v>0</v>
      </c>
      <c r="P629">
        <f>J629+O629+N629</f>
        <v>15</v>
      </c>
      <c r="Q629">
        <f>P629*C$3</f>
        <v>18750</v>
      </c>
      <c r="R629">
        <v>0</v>
      </c>
      <c r="S629">
        <f>ROUND(SUM(Q629:R629), -2)</f>
        <v>18800</v>
      </c>
      <c r="T629">
        <f>ROUNDUP(HLOOKUP(ROUNDUP(K629,0),'배송비 조회'!A$10:AE$22,7,0)*C$3,-2)</f>
        <v>9000</v>
      </c>
      <c r="U629">
        <v>0</v>
      </c>
      <c r="V629">
        <f>ROUND(IF(R625&gt;0,0,(S629+T629)*0.4),-2)</f>
        <v>11100</v>
      </c>
      <c r="W629">
        <f>ROUND(IF(R625&gt;0,0,(S629+T629)*0.5),-2)</f>
        <v>13900</v>
      </c>
      <c r="X629">
        <f>SUM(S629:V629)</f>
        <v>38900</v>
      </c>
      <c r="Y629">
        <f>SUM(S629:U629)+W629</f>
        <v>41700</v>
      </c>
      <c r="Z629">
        <v>0</v>
      </c>
      <c r="AA629">
        <f>X629*0.038</f>
        <v>1478.2</v>
      </c>
      <c r="AB629">
        <f>X629*0.02</f>
        <v>778</v>
      </c>
      <c r="AC629">
        <f>Y629*0.1</f>
        <v>4170</v>
      </c>
      <c r="AD629">
        <f>X629-AA629-AB629</f>
        <v>36643.8</v>
      </c>
      <c r="AE629">
        <f>Y629-AC629</f>
        <v>37530</v>
      </c>
      <c r="AF629">
        <f>AD629*0.01</f>
        <v>366.43800000000005</v>
      </c>
      <c r="AG629">
        <f>AD629-Q629-AF629-T629</f>
        <v>8527.362000000005</v>
      </c>
      <c r="AH629">
        <f>AE629-Q629-AF629-T629</f>
        <v>9413.562000000002</v>
      </c>
      <c r="AI629">
        <f>AG629/X629</f>
        <v>0.21921239074550142</v>
      </c>
      <c r="AJ629">
        <f>AH629/Y629</f>
        <v>0.22574489208633097</v>
      </c>
    </row>
    <row r="630">
      <c r="F630" t="str">
        <v>3인치</v>
      </c>
      <c r="G630" t="str">
        <f>HYPERLINK("https://www.amazon.com/Amytalk-Upgrade-Bigger-0-9inch-Cupcake/dp/B07RFKNLXT/ref=sr_1_9?keywords=Egg%2BTart&amp;qid=1574862559&amp;refinements=p_72%3A1248915011&amp;rnid=1248913011&amp;s=home-garden&amp;sr=1-9&amp;th=1","A")</f>
        <v>A</v>
      </c>
      <c r="J630">
        <v>17</v>
      </c>
      <c r="K630">
        <f>IF(L630&gt;0,L630*0.0625,)</f>
        <v>0.6875</v>
      </c>
      <c r="L630">
        <v>11</v>
      </c>
      <c r="M630">
        <f>IF(K630&gt;0,K630*0.453592,IF(L630&gt;0,L630*0.02835,))</f>
        <v>0.31184449999999997</v>
      </c>
      <c r="N630">
        <v>0</v>
      </c>
      <c r="O630">
        <v>0</v>
      </c>
      <c r="P630">
        <f>J630+O630+N630</f>
        <v>17</v>
      </c>
      <c r="Q630">
        <f>P630*C$3</f>
        <v>21250</v>
      </c>
      <c r="R630">
        <v>0</v>
      </c>
      <c r="S630">
        <f>ROUND(SUM(Q630:R630), -2)</f>
        <v>21300</v>
      </c>
      <c r="T630">
        <f>ROUNDUP(HLOOKUP(ROUNDUP(K630,0),'배송비 조회'!A$10:AE$22,7,0)*C$3,-2)</f>
        <v>9000</v>
      </c>
      <c r="U630">
        <v>0</v>
      </c>
      <c r="V630">
        <f>ROUND(IF(R626&gt;0,0,(S630+T630)*0.4),-2)</f>
        <v>12100</v>
      </c>
      <c r="W630">
        <f>ROUND(IF(R626&gt;0,0,(S630+T630)*0.5),-2)</f>
        <v>15200</v>
      </c>
      <c r="X630">
        <f>SUM(S630:V630)</f>
        <v>42400</v>
      </c>
      <c r="Y630">
        <f>SUM(S630:U630)+W630</f>
        <v>45500</v>
      </c>
      <c r="Z630">
        <v>0</v>
      </c>
      <c r="AA630">
        <f>X630*0.038</f>
        <v>1611.2</v>
      </c>
      <c r="AB630">
        <f>X630*0.02</f>
        <v>848</v>
      </c>
      <c r="AC630">
        <f>Y630*0.1</f>
        <v>4550</v>
      </c>
      <c r="AD630">
        <f>X630-AA630-AB630</f>
        <v>39940.8</v>
      </c>
      <c r="AE630">
        <f>Y630-AC630</f>
        <v>40950</v>
      </c>
      <c r="AF630">
        <f>AD630*0.01</f>
        <v>399.408</v>
      </c>
      <c r="AG630">
        <f>AD630-Q630-AF630-T630</f>
        <v>9291.392000000003</v>
      </c>
      <c r="AH630">
        <f>AE630-Q630-AF630-T630</f>
        <v>10300.592</v>
      </c>
      <c r="AI630">
        <f>AG630/X630</f>
        <v>0.219136603773585</v>
      </c>
      <c r="AJ630">
        <f>AH630/Y630</f>
        <v>0.22638663736263737</v>
      </c>
    </row>
    <row r="631" xml:space="preserve">
      <c r="A631" t="str">
        <f>HYPERLINK("https://smartstore.naver.com/brickstore2019/products/4744641840","4744641840")</f>
        <v>4744641840</v>
      </c>
      <c r="C631" t="str">
        <v>사테치 맥미니 스탠드 허브 Satechi Type-C Aluminum Stand &amp; Hub ST-ABHFM(무료배송)</v>
      </c>
      <c r="E631" t="str" xml:space="preserve">
        <v xml:space="preserve">Satechi Type-C Aluminum Stand &amp; Hub - USB-C Data Port, Micro/SD Card Readers, USB 3.0 &amp; Headphone Jack Port - Compatible with Mac Mini (2018 &amp; Later)_x000d_
</v>
      </c>
      <c r="G631" t="str">
        <f>HYPERLINK("https://www.amazon.com/dp/B07YSWZNNW/ref=cm_sw_r_cp_apa_i_bQ63Db61JCSW5","A")</f>
        <v>A</v>
      </c>
      <c r="J631">
        <v>80</v>
      </c>
      <c r="K631">
        <v>2</v>
      </c>
      <c r="L631">
        <f>IF(K631&gt;0,K631*16,)</f>
        <v>32</v>
      </c>
      <c r="M631">
        <f>IF(K631&gt;0,K631*0.453592,IF(L631&gt;0,L631*0.02835,))</f>
        <v>0.907184</v>
      </c>
      <c r="N631">
        <v>0</v>
      </c>
      <c r="O631">
        <v>0</v>
      </c>
      <c r="P631">
        <f>J631+O631+N631</f>
        <v>80</v>
      </c>
      <c r="Q631">
        <f>P631*C$3</f>
        <v>100000</v>
      </c>
      <c r="R631">
        <v>0</v>
      </c>
      <c r="S631">
        <f>ROUND(SUM(Q631:R631), -2)</f>
        <v>100000</v>
      </c>
      <c r="T631">
        <f>ROUNDUP(HLOOKUP(ROUNDUP(K631,0),'배송비 조회'!A$10:AE$22,7,0)*C$3,-2)</f>
        <v>11200</v>
      </c>
      <c r="U631">
        <v>0</v>
      </c>
      <c r="V631">
        <f>ROUND(IF(R627&gt;0,0,(S631+T631)*0.3),-2)</f>
        <v>33400</v>
      </c>
      <c r="W631">
        <f>ROUND(IF(R627&gt;0,0,(S631+T631)*0.5),-2)</f>
        <v>55600</v>
      </c>
      <c r="X631">
        <f>SUM(S631:V631)</f>
        <v>144600</v>
      </c>
      <c r="Y631">
        <f>SUM(S631:U631)+W631</f>
        <v>166800</v>
      </c>
      <c r="Z631">
        <v>0</v>
      </c>
      <c r="AA631">
        <f>X631*0.038</f>
        <v>5494.8</v>
      </c>
      <c r="AB631">
        <f>X631*0.02</f>
        <v>2892</v>
      </c>
      <c r="AC631">
        <f>Y631*0.1</f>
        <v>16680</v>
      </c>
      <c r="AD631">
        <f>X631-AA631-AB631</f>
        <v>136213.2</v>
      </c>
      <c r="AE631">
        <f>Y631-AC631</f>
        <v>150120</v>
      </c>
      <c r="AF631">
        <f>AD631*0.01</f>
        <v>1362.132</v>
      </c>
      <c r="AG631">
        <f>AD631-Q631-AF631-T631</f>
        <v>23651.068000000014</v>
      </c>
      <c r="AH631">
        <f>AE631-Q631-AF631-T631</f>
        <v>37557.868</v>
      </c>
      <c r="AI631">
        <f>AG631/X631</f>
        <v>0.1635620193637622</v>
      </c>
      <c r="AJ631">
        <f>AH631/Y631</f>
        <v>0.2251670743405276</v>
      </c>
    </row>
    <row r="632">
      <c r="A632" t="str">
        <f>HYPERLINK("https://smartstore.naver.com/brickstore2019/products/4744701679","4744701679")</f>
        <v>4744701679</v>
      </c>
      <c r="C632" t="str">
        <v>라크 자동세척 자동정수 적외선 위생 텀블러 LARQ Bottle (무료배송)</v>
      </c>
      <c r="E632" t="str">
        <v>LARQ Bottle - Self-Cleaning Water Bottle and Water Purification System</v>
      </c>
      <c r="F632" t="str">
        <v>Granite White</v>
      </c>
      <c r="G632" t="str">
        <f>HYPERLINK("https://www.amazon.com/LARQ-Bottle-Self-Cleaning-Purification-System/dp/B00CWXPEPE/ref=zg_bsnr_boost_6?_encoding=UTF8&amp;refRID=3FJY8B1DR64G62RCYGX4&amp;th=1&amp;psc=1","A")</f>
        <v>A</v>
      </c>
      <c r="J632">
        <v>95</v>
      </c>
      <c r="K632">
        <v>1.4</v>
      </c>
      <c r="L632">
        <f>IF(K632&gt;0,K632*16,)</f>
        <v>22.4</v>
      </c>
      <c r="M632">
        <f>IF(K632&gt;0,K632*0.453592,IF(L632&gt;0,L632*0.02835,))</f>
        <v>0.6350288</v>
      </c>
      <c r="N632">
        <v>0</v>
      </c>
      <c r="O632">
        <v>0</v>
      </c>
      <c r="P632">
        <f>J632+O632+N632</f>
        <v>95</v>
      </c>
      <c r="Q632">
        <f>P632*C$3</f>
        <v>118750</v>
      </c>
      <c r="R632">
        <v>0</v>
      </c>
      <c r="S632">
        <f>ROUND(SUM(Q632:R632), -2)</f>
        <v>118800</v>
      </c>
      <c r="T632">
        <f>ROUNDUP(HLOOKUP(ROUNDUP(K632,0),'배송비 조회'!A$10:AE$22,7,0)*C$3,-2)</f>
        <v>11200</v>
      </c>
      <c r="U632">
        <v>0</v>
      </c>
      <c r="V632">
        <f>ROUND(IF(R628&gt;0,0,(S632+T632)*0.2),-2)</f>
        <v>26000</v>
      </c>
      <c r="W632">
        <f>ROUND(IF(R628&gt;0,0,(S632+T632)*0.5),-2)</f>
        <v>65000</v>
      </c>
      <c r="X632">
        <f>SUM(S632:V632)</f>
        <v>156000</v>
      </c>
      <c r="Y632">
        <f>SUM(S632:U632)+W632</f>
        <v>195000</v>
      </c>
      <c r="Z632">
        <v>0</v>
      </c>
      <c r="AA632">
        <f>X632*0.038</f>
        <v>5928</v>
      </c>
      <c r="AB632">
        <f>X632*0.02</f>
        <v>3120</v>
      </c>
      <c r="AC632">
        <f>Y632*0.1</f>
        <v>19500</v>
      </c>
      <c r="AD632">
        <f>X632-AA632-AB632</f>
        <v>146952</v>
      </c>
      <c r="AE632">
        <f>Y632-AC632</f>
        <v>175500</v>
      </c>
      <c r="AF632">
        <f>AD632*0.01</f>
        <v>1469.52</v>
      </c>
      <c r="AG632">
        <f>AD632-Q632-AF632-T632</f>
        <v>15532.48</v>
      </c>
      <c r="AH632">
        <f>AE632-Q632-AF632-T632</f>
        <v>44080.48</v>
      </c>
      <c r="AI632">
        <f>AG632/X632</f>
        <v>0.09956717948717948</v>
      </c>
      <c r="AJ632">
        <f>AH632/Y632</f>
        <v>0.22605374358974362</v>
      </c>
    </row>
    <row r="633">
      <c r="F633" t="str">
        <v>Himalayan Pink</v>
      </c>
      <c r="G633" t="str">
        <f>HYPERLINK("https://www.amazon.com/LARQ-Bottle-Self-Cleaning-Purification-System/dp/B07YGWVGPD/ref=zg_bsnr_boost_6?_encoding=UTF8&amp;refRID=3FJY8B1DR64G62RCYGX4&amp;th=1&amp;psc=1","A")</f>
        <v>A</v>
      </c>
      <c r="J633">
        <v>95</v>
      </c>
      <c r="K633">
        <v>1.4</v>
      </c>
      <c r="L633">
        <f>IF(K633&gt;0,K633*16,)</f>
        <v>22.4</v>
      </c>
      <c r="M633">
        <f>IF(K633&gt;0,K633*0.453592,IF(L633&gt;0,L633*0.02835,))</f>
        <v>0.6350288</v>
      </c>
      <c r="N633">
        <v>0</v>
      </c>
      <c r="O633">
        <v>0</v>
      </c>
      <c r="P633">
        <f>J633+O633+N633</f>
        <v>95</v>
      </c>
      <c r="Q633">
        <f>P633*C$3</f>
        <v>118750</v>
      </c>
      <c r="R633">
        <v>0</v>
      </c>
      <c r="S633">
        <f>ROUND(SUM(Q633:R633), -2)</f>
        <v>118800</v>
      </c>
      <c r="T633">
        <f>ROUNDUP(HLOOKUP(ROUNDUP(K633,0),'배송비 조회'!A$10:AE$22,7,0)*C$3,-2)</f>
        <v>11200</v>
      </c>
      <c r="U633">
        <v>0</v>
      </c>
      <c r="V633">
        <f>ROUND(IF(R629&gt;0,0,(S633+T633)*0.2),-2)</f>
        <v>26000</v>
      </c>
      <c r="W633">
        <f>ROUND(IF(R629&gt;0,0,(S633+T633)*0.5),-2)</f>
        <v>65000</v>
      </c>
      <c r="X633">
        <f>SUM(S633:V633)</f>
        <v>156000</v>
      </c>
      <c r="Y633">
        <f>SUM(S633:U633)+W633</f>
        <v>195000</v>
      </c>
      <c r="Z633">
        <v>0</v>
      </c>
      <c r="AA633">
        <f>X633*0.038</f>
        <v>5928</v>
      </c>
      <c r="AB633">
        <f>X633*0.02</f>
        <v>3120</v>
      </c>
      <c r="AC633">
        <f>Y633*0.1</f>
        <v>19500</v>
      </c>
      <c r="AD633">
        <f>X633-AA633-AB633</f>
        <v>146952</v>
      </c>
      <c r="AE633">
        <f>Y633-AC633</f>
        <v>175500</v>
      </c>
      <c r="AF633">
        <f>AD633*0.01</f>
        <v>1469.52</v>
      </c>
      <c r="AG633">
        <f>AD633-Q633-AF633-T633</f>
        <v>15532.48</v>
      </c>
      <c r="AH633">
        <f>AE633-Q633-AF633-T633</f>
        <v>44080.48</v>
      </c>
      <c r="AI633">
        <f>AG633/X633</f>
        <v>0.09956717948717948</v>
      </c>
      <c r="AJ633">
        <f>AH633/Y633</f>
        <v>0.22605374358974362</v>
      </c>
    </row>
    <row r="634">
      <c r="F634" t="str">
        <v>Monaco Blue</v>
      </c>
      <c r="G634" t="str">
        <f>HYPERLINK("https://www.amazon.com/LARQ-Bottle-Self-Cleaning-Purification-System/dp/B07YGVR8QL/ref=zg_bsnr_boost_6?_encoding=UTF8&amp;refRID=3FJY8B1DR64G62RCYGX4&amp;th=1&amp;psc=1","A")</f>
        <v>A</v>
      </c>
      <c r="J634">
        <v>95</v>
      </c>
      <c r="K634">
        <v>1.4</v>
      </c>
      <c r="L634">
        <f>IF(K634&gt;0,K634*16,)</f>
        <v>22.4</v>
      </c>
      <c r="M634">
        <f>IF(K634&gt;0,K634*0.453592,IF(L634&gt;0,L634*0.02835,))</f>
        <v>0.6350288</v>
      </c>
      <c r="N634">
        <v>0</v>
      </c>
      <c r="O634">
        <v>0</v>
      </c>
      <c r="P634">
        <f>J634+O634+N634</f>
        <v>95</v>
      </c>
      <c r="Q634">
        <f>P634*C$3</f>
        <v>118750</v>
      </c>
      <c r="R634">
        <v>0</v>
      </c>
      <c r="S634">
        <f>ROUND(SUM(Q634:R634), -2)</f>
        <v>118800</v>
      </c>
      <c r="T634">
        <f>ROUNDUP(HLOOKUP(ROUNDUP(K634,0),'배송비 조회'!A$10:AE$22,7,0)*C$3,-2)</f>
        <v>11200</v>
      </c>
      <c r="U634">
        <v>0</v>
      </c>
      <c r="V634">
        <f>ROUND(IF(R630&gt;0,0,(S634+T634)*0.2),-2)</f>
        <v>26000</v>
      </c>
      <c r="W634">
        <f>ROUND(IF(R630&gt;0,0,(S634+T634)*0.5),-2)</f>
        <v>65000</v>
      </c>
      <c r="X634">
        <f>SUM(S634:V634)</f>
        <v>156000</v>
      </c>
      <c r="Y634">
        <f>SUM(S634:U634)+W634</f>
        <v>195000</v>
      </c>
      <c r="Z634">
        <v>0</v>
      </c>
      <c r="AA634">
        <f>X634*0.038</f>
        <v>5928</v>
      </c>
      <c r="AB634">
        <f>X634*0.02</f>
        <v>3120</v>
      </c>
      <c r="AC634">
        <f>Y634*0.1</f>
        <v>19500</v>
      </c>
      <c r="AD634">
        <f>X634-AA634-AB634</f>
        <v>146952</v>
      </c>
      <c r="AE634">
        <f>Y634-AC634</f>
        <v>175500</v>
      </c>
      <c r="AF634">
        <f>AD634*0.01</f>
        <v>1469.52</v>
      </c>
      <c r="AG634">
        <f>AD634-Q634-AF634-T634</f>
        <v>15532.48</v>
      </c>
      <c r="AH634">
        <f>AE634-Q634-AF634-T634</f>
        <v>44080.48</v>
      </c>
      <c r="AI634">
        <f>AG634/X634</f>
        <v>0.09956717948717948</v>
      </c>
      <c r="AJ634">
        <f>AH634/Y634</f>
        <v>0.22605374358974362</v>
      </c>
    </row>
    <row r="635">
      <c r="F635" t="str">
        <v>Obsidian Black</v>
      </c>
      <c r="G635" t="str">
        <f>HYPERLINK("https://www.amazon.com/LARQ-Bottle-Self-Cleaning-Purification-System/dp/B07YGYKWVQ/ref=zg_bsnr_boost_6?_encoding=UTF8&amp;refRID=3FJY8B1DR64G62RCYGX4&amp;th=1&amp;psc=1","A")</f>
        <v>A</v>
      </c>
      <c r="J635">
        <v>102</v>
      </c>
      <c r="K635">
        <v>1.4</v>
      </c>
      <c r="L635">
        <f>IF(K635&gt;0,K635*16,)</f>
        <v>22.4</v>
      </c>
      <c r="M635">
        <f>IF(K635&gt;0,K635*0.453592,IF(L635&gt;0,L635*0.02835,))</f>
        <v>0.6350288</v>
      </c>
      <c r="N635">
        <v>0</v>
      </c>
      <c r="O635">
        <v>0</v>
      </c>
      <c r="P635">
        <f>J635+O635+N635</f>
        <v>102</v>
      </c>
      <c r="Q635">
        <f>P635*C$3</f>
        <v>127500</v>
      </c>
      <c r="R635">
        <v>0</v>
      </c>
      <c r="S635">
        <f>ROUND(SUM(Q635:R635), -2)</f>
        <v>127500</v>
      </c>
      <c r="T635">
        <f>ROUNDUP(HLOOKUP(ROUNDUP(K635,0),'배송비 조회'!A$10:AE$22,7,0)*C$3,-2)</f>
        <v>11200</v>
      </c>
      <c r="U635">
        <v>0</v>
      </c>
      <c r="V635">
        <f>ROUND(IF(R631&gt;0,0,(S635+T635)*0.2),-2)</f>
        <v>27700</v>
      </c>
      <c r="W635">
        <f>ROUND(IF(R631&gt;0,0,(S635+T635)*0.5),-2)</f>
        <v>69400</v>
      </c>
      <c r="X635">
        <f>SUM(S635:V635)</f>
        <v>166400</v>
      </c>
      <c r="Y635">
        <f>SUM(S635:U635)+W635</f>
        <v>208100</v>
      </c>
      <c r="Z635">
        <v>0</v>
      </c>
      <c r="AA635">
        <f>X635*0.038</f>
        <v>6323.2</v>
      </c>
      <c r="AB635">
        <f>X635*0.02</f>
        <v>3328</v>
      </c>
      <c r="AC635">
        <f>Y635*0.1</f>
        <v>20810</v>
      </c>
      <c r="AD635">
        <f>X635-AA635-AB635</f>
        <v>156748.8</v>
      </c>
      <c r="AE635">
        <f>Y635-AC635</f>
        <v>187290</v>
      </c>
      <c r="AF635">
        <f>AD635*0.01</f>
        <v>1567.4879999999998</v>
      </c>
      <c r="AG635">
        <f>AD635-Q635-AF635-T635</f>
        <v>16481.311999999987</v>
      </c>
      <c r="AH635">
        <f>AE635-Q635-AF635-T635</f>
        <v>47022.512</v>
      </c>
      <c r="AI635">
        <f>AG635/X635</f>
        <v>0.09904634615384608</v>
      </c>
      <c r="AJ635">
        <f>AH635/Y635</f>
        <v>0.22596113407015858</v>
      </c>
    </row>
    <row r="636">
      <c r="F636" t="str">
        <v>Seaside Mint</v>
      </c>
      <c r="G636" t="str">
        <f>HYPERLINK("https://www.amazon.com/LARQ-Bottle-Self-Cleaning-Purification-System/dp/B07YGWV4T2/ref=zg_bsnr_boost_6?_encoding=UTF8&amp;refRID=3FJY8B1DR64G62RCYGX4&amp;th=1&amp;psc=1","A")</f>
        <v>A</v>
      </c>
      <c r="J636">
        <v>95</v>
      </c>
      <c r="K636">
        <v>1.4</v>
      </c>
      <c r="L636">
        <f>IF(K636&gt;0,K636*16,)</f>
        <v>22.4</v>
      </c>
      <c r="M636">
        <f>IF(K636&gt;0,K636*0.453592,IF(L636&gt;0,L636*0.02835,))</f>
        <v>0.6350288</v>
      </c>
      <c r="N636">
        <v>0</v>
      </c>
      <c r="O636">
        <v>0</v>
      </c>
      <c r="P636">
        <f>J636+O636+N636</f>
        <v>95</v>
      </c>
      <c r="Q636">
        <f>P636*C$3</f>
        <v>118750</v>
      </c>
      <c r="R636">
        <v>0</v>
      </c>
      <c r="S636">
        <f>ROUND(SUM(Q636:R636), -2)</f>
        <v>118800</v>
      </c>
      <c r="T636">
        <f>ROUNDUP(HLOOKUP(ROUNDUP(K636,0),'배송비 조회'!A$10:AE$22,7,0)*C$3,-2)</f>
        <v>11200</v>
      </c>
      <c r="U636">
        <v>0</v>
      </c>
      <c r="V636">
        <f>ROUND(IF(R632&gt;0,0,(S636+T636)*0.2),-2)</f>
        <v>26000</v>
      </c>
      <c r="W636">
        <f>ROUND(IF(R632&gt;0,0,(S636+T636)*0.5),-2)</f>
        <v>65000</v>
      </c>
      <c r="X636">
        <f>SUM(S636:V636)</f>
        <v>156000</v>
      </c>
      <c r="Y636">
        <f>SUM(S636:U636)+W636</f>
        <v>195000</v>
      </c>
      <c r="Z636">
        <v>0</v>
      </c>
      <c r="AA636">
        <f>X636*0.038</f>
        <v>5928</v>
      </c>
      <c r="AB636">
        <f>X636*0.02</f>
        <v>3120</v>
      </c>
      <c r="AC636">
        <f>Y636*0.1</f>
        <v>19500</v>
      </c>
      <c r="AD636">
        <f>X636-AA636-AB636</f>
        <v>146952</v>
      </c>
      <c r="AE636">
        <f>Y636-AC636</f>
        <v>175500</v>
      </c>
      <c r="AF636">
        <f>AD636*0.01</f>
        <v>1469.52</v>
      </c>
      <c r="AG636">
        <f>AD636-Q636-AF636-T636</f>
        <v>15532.48</v>
      </c>
      <c r="AH636">
        <f>AE636-Q636-AF636-T636</f>
        <v>44080.48</v>
      </c>
      <c r="AI636">
        <f>AG636/X636</f>
        <v>0.09956717948717948</v>
      </c>
      <c r="AJ636">
        <f>AH636/Y636</f>
        <v>0.22605374358974362</v>
      </c>
    </row>
    <row r="637" xml:space="preserve">
      <c r="A637" t="str">
        <f>HYPERLINK("https://smartstore.naver.com/brickstore2019/products/4744694105","4744694105")</f>
        <v>4744694105</v>
      </c>
      <c r="C637" t="str">
        <v xml:space="preserve">필립스 피델리오 X2HR </v>
      </c>
      <c r="E637" t="str" xml:space="preserve">
        <v xml:space="preserve">Philips Fidelio X2HR Over-Ear Open-Air Headphone 50mm Drivers- Black_x000d_
</v>
      </c>
      <c r="G637" t="str">
        <f>HYPERLINK("https://www.amazon.com/dp/B01N5VHLUG/ref=cm_sw_r_cp_apa_i_nB73DbDY80AZM","A")</f>
        <v>A</v>
      </c>
      <c r="J637">
        <v>120</v>
      </c>
      <c r="K637">
        <v>2</v>
      </c>
      <c r="L637">
        <f>IF(K637&gt;0,K637*16,)</f>
        <v>32</v>
      </c>
      <c r="M637">
        <f>IF(K637&gt;0,K637*0.453592,IF(L637&gt;0,L637*0.02835,))</f>
        <v>0.907184</v>
      </c>
      <c r="N637">
        <v>0</v>
      </c>
      <c r="O637">
        <v>0</v>
      </c>
      <c r="P637">
        <f>J637+O637+N637</f>
        <v>120</v>
      </c>
      <c r="Q637">
        <f>P637*C$3</f>
        <v>150000</v>
      </c>
      <c r="R637">
        <v>0</v>
      </c>
      <c r="S637">
        <f>ROUND(SUM(Q637:R637), -2)</f>
        <v>150000</v>
      </c>
      <c r="T637">
        <f>ROUNDUP(HLOOKUP(ROUNDUP(K637,0),'배송비 조회'!A$10:AE$22,7,0)*C$3,-2)</f>
        <v>11200</v>
      </c>
      <c r="U637">
        <v>0</v>
      </c>
      <c r="V637">
        <f>ROUND(IF(R633&gt;0,0,(S637+T637)*0.2),-2)</f>
        <v>32200</v>
      </c>
      <c r="W637">
        <f>ROUND(IF(R633&gt;0,0,(S637+T637)*0.5),-2)</f>
        <v>80600</v>
      </c>
      <c r="X637">
        <f>SUM(S637:V637)</f>
        <v>193400</v>
      </c>
      <c r="Y637">
        <f>SUM(S637:U637)+W637</f>
        <v>241800</v>
      </c>
      <c r="Z637">
        <v>0</v>
      </c>
      <c r="AA637">
        <f>X637*0.038</f>
        <v>7349.2</v>
      </c>
      <c r="AB637">
        <f>X637*0.02</f>
        <v>3868</v>
      </c>
      <c r="AC637">
        <f>Y637*0.1</f>
        <v>24180</v>
      </c>
      <c r="AD637">
        <f>X637-AA637-AB637</f>
        <v>182182.8</v>
      </c>
      <c r="AE637">
        <f>Y637-AC637</f>
        <v>217620</v>
      </c>
      <c r="AF637">
        <f>AD637*0.01</f>
        <v>1821.828</v>
      </c>
      <c r="AG637">
        <f>AD637-Q637-AF637-T637</f>
        <v>19160.971999999987</v>
      </c>
      <c r="AH637">
        <f>AE637-Q637-AF637-T637</f>
        <v>54598.172000000006</v>
      </c>
      <c r="AI637">
        <f>AG637/X637</f>
        <v>0.09907431230610128</v>
      </c>
      <c r="AJ637">
        <f>AH637/Y637</f>
        <v>0.22579889164598843</v>
      </c>
    </row>
    <row r="638">
      <c r="A638" t="str">
        <f>HYPERLINK("https://smartstore.naver.com/brickstore2019/products/4745494034","4745494034")</f>
        <v>4745494034</v>
      </c>
      <c r="C638" t="str">
        <v>로쿠 울트라 유투브 넷플릭스 스트리밍 4K Roku Ultra 4K HD HDR (무료배송)</v>
      </c>
      <c r="E638" t="str">
        <v>Roku Ultra | Streaming Media Player 4K/HD/HDR 2019 with Premium JBL Headphones</v>
      </c>
      <c r="G638" t="str">
        <f>HYPERLINK("https://www.amazon.com/Roku-Streaming-Player-Premium-Headphones/dp/B07WVF9SL5/ref=zg_bsnr_electronics_home_2?_encoding=UTF8&amp;psc=1&amp;refRID=JTZ3YKRJJ29MTYS9NXFN","A")</f>
        <v>A</v>
      </c>
      <c r="J638">
        <v>80</v>
      </c>
      <c r="K638">
        <v>1.45</v>
      </c>
      <c r="L638">
        <f>IF(K638&gt;0,K638*16,)</f>
        <v>23.2</v>
      </c>
      <c r="M638">
        <f>IF(K638&gt;0,K638*0.453592,IF(L638&gt;0,L638*0.02835,))</f>
        <v>0.6577084</v>
      </c>
      <c r="N638">
        <v>0</v>
      </c>
      <c r="O638">
        <v>0</v>
      </c>
      <c r="P638">
        <f>J638+O638+N638</f>
        <v>80</v>
      </c>
      <c r="Q638">
        <f>P638*C$3</f>
        <v>100000</v>
      </c>
      <c r="R638">
        <v>0</v>
      </c>
      <c r="S638">
        <f>ROUND(SUM(Q638:R638), -2)</f>
        <v>100000</v>
      </c>
      <c r="T638">
        <f>ROUNDUP(HLOOKUP(ROUNDUP(K638,0),'배송비 조회'!A$10:AE$22,7,0)*C$3,-2)</f>
        <v>11200</v>
      </c>
      <c r="U638">
        <v>0</v>
      </c>
      <c r="V638">
        <f>ROUND(IF(R634&gt;0,0,(S638+T638)*0.3),-2)</f>
        <v>33400</v>
      </c>
      <c r="W638">
        <f>ROUND(IF(R634&gt;0,0,(S638+T638)*0.5),-2)</f>
        <v>55600</v>
      </c>
      <c r="X638">
        <f>SUM(S638:V638)</f>
        <v>144600</v>
      </c>
      <c r="Y638">
        <f>SUM(S638:U638)+W638</f>
        <v>166800</v>
      </c>
      <c r="Z638">
        <v>0</v>
      </c>
      <c r="AA638">
        <f>X638*0.038</f>
        <v>5494.8</v>
      </c>
      <c r="AB638">
        <f>X638*0.02</f>
        <v>2892</v>
      </c>
      <c r="AC638">
        <f>Y638*0.1</f>
        <v>16680</v>
      </c>
      <c r="AD638">
        <f>X638-AA638-AB638</f>
        <v>136213.2</v>
      </c>
      <c r="AE638">
        <f>Y638-AC638</f>
        <v>150120</v>
      </c>
      <c r="AF638">
        <f>AD638*0.01</f>
        <v>1362.132</v>
      </c>
      <c r="AG638">
        <f>AD638-Q638-AF638-T638</f>
        <v>23651.068000000014</v>
      </c>
      <c r="AH638">
        <f>AE638-Q638-AF638-T638</f>
        <v>37557.868</v>
      </c>
      <c r="AI638">
        <f>AG638/X638</f>
        <v>0.1635620193637622</v>
      </c>
      <c r="AJ638">
        <f>AH638/Y638</f>
        <v>0.2251670743405276</v>
      </c>
    </row>
    <row r="639" xml:space="preserve">
      <c r="A639" t="str">
        <f>HYPERLINK("https://smartstore.naver.com/brickstore2019/products/4749026802","4749026802")</f>
        <v>4749026802</v>
      </c>
      <c r="C639" t="str">
        <v>씨투써밋클로스라인 캠핑 배낭여행 튼튼한 빨랫줄</v>
      </c>
      <c r="E639" t="str" xml:space="preserve">
        <v xml:space="preserve">Sea to Summit Lite Line Clothesline_x000d_
</v>
      </c>
      <c r="G639" t="str">
        <f>HYPERLINK("https://www.amazon.com/Sea-Summit-Lite-Line-Clothesline/dp/B000T28X4E","A")</f>
        <v>A</v>
      </c>
      <c r="H639" t="str">
        <f>HYPERLINK("https://item.taobao.com/item.htm?spm=a230r.1.14.86.715e7a524fghF8&amp;id=42751683623&amp;ns=1&amp;abbucket=13#detail","T")</f>
        <v>T</v>
      </c>
      <c r="J639">
        <v>14</v>
      </c>
      <c r="K639">
        <f>IF(L639&gt;0,L639*0.0625,)</f>
        <v>0.21875</v>
      </c>
      <c r="L639">
        <v>3.5</v>
      </c>
      <c r="M639">
        <f>IF(K639&gt;0,K639*0.453592,IF(L639&gt;0,L639*0.02835,))</f>
        <v>0.09922325</v>
      </c>
      <c r="N639">
        <v>0</v>
      </c>
      <c r="O639">
        <v>0</v>
      </c>
      <c r="P639">
        <f>J639+O639+N639</f>
        <v>14</v>
      </c>
      <c r="Q639">
        <f>P639*C$3</f>
        <v>17500</v>
      </c>
      <c r="R639">
        <v>0</v>
      </c>
      <c r="S639">
        <f>ROUND(SUM(Q639:R639), -2)</f>
        <v>17500</v>
      </c>
      <c r="T639">
        <f>ROUNDUP(HLOOKUP(ROUNDUP(K639,0),'배송비 조회'!A$10:AE$22,7,0)*C$3,-2)</f>
        <v>9000</v>
      </c>
      <c r="U639">
        <v>0</v>
      </c>
      <c r="V639">
        <f>ROUND(IF(R636&gt;0,0,(S639+T639)*0.3),-2)</f>
        <v>8000</v>
      </c>
      <c r="W639">
        <f>ROUND(IF(R636&gt;0,0,(S639+T639)*0.5),-2)</f>
        <v>13300</v>
      </c>
      <c r="X639">
        <f>SUM(S639:V639)</f>
        <v>34500</v>
      </c>
      <c r="Y639">
        <f>SUM(S639:U639)+W639</f>
        <v>39800</v>
      </c>
      <c r="Z639">
        <v>0</v>
      </c>
      <c r="AA639">
        <f>X639*0.038</f>
        <v>1311</v>
      </c>
      <c r="AB639">
        <f>X639*0.02</f>
        <v>690</v>
      </c>
      <c r="AC639">
        <f>Y639*0.1</f>
        <v>3980</v>
      </c>
      <c r="AD639">
        <f>X639-AA639-AB639</f>
        <v>32499</v>
      </c>
      <c r="AE639">
        <f>Y639-AC639</f>
        <v>35820</v>
      </c>
      <c r="AF639">
        <f>AD639*0.01</f>
        <v>324.99</v>
      </c>
      <c r="AG639">
        <f>AD639-Q639-AF639-T639</f>
        <v>5674.01</v>
      </c>
      <c r="AH639">
        <f>AE639-Q639-AF639-T639</f>
        <v>8995.009999999998</v>
      </c>
      <c r="AI639">
        <f>AG639/X639</f>
        <v>0.1644640579710145</v>
      </c>
      <c r="AJ639">
        <f>AH639/Y639</f>
        <v>0.2260052763819095</v>
      </c>
      <c r="AK639">
        <v>10000</v>
      </c>
      <c r="AL639">
        <f>X639-AK639</f>
        <v>24500</v>
      </c>
    </row>
    <row r="640" xml:space="preserve">
      <c r="A640" t="str">
        <f>HYPERLINK("https://smartstore.naver.com/brickstore2019/products/4750209951","4750209951")</f>
        <v>4750209951</v>
      </c>
      <c r="C640" t="str">
        <v>쉴드 tv 2019 엔비디아 4K HDR Streaming</v>
      </c>
      <c r="E640" t="str" xml:space="preserve">
        <v xml:space="preserve">NVIDIA Shield TV | 4K HDR Streaming Media Player, High Performance, Dolby Vision, Works with Alexa_x000d_
</v>
      </c>
      <c r="G640" t="str">
        <f>HYPERLINK("https://www.amazon.com/NVIDIA-Shield-Streaming-Player-Performance/dp/B07YP94PBJ/ref=sr_1_5?keywords=2019+NVIDIA+Shield+TV&amp;qid=1575171123&amp;sr=8-5","A")</f>
        <v>A</v>
      </c>
      <c r="J640">
        <v>150</v>
      </c>
      <c r="K640">
        <v>1.5</v>
      </c>
      <c r="L640">
        <f>IF(K640&gt;0,K640*16,)</f>
        <v>24</v>
      </c>
      <c r="M640">
        <f>IF(K640&gt;0,K640*0.453592,IF(L640&gt;0,L640*0.02835,))</f>
        <v>0.680388</v>
      </c>
      <c r="N640">
        <v>0</v>
      </c>
      <c r="O640">
        <v>0</v>
      </c>
      <c r="P640">
        <f>J640+O640+N640</f>
        <v>150</v>
      </c>
      <c r="Q640">
        <f>P640*C$3</f>
        <v>187500</v>
      </c>
      <c r="R640">
        <v>0</v>
      </c>
      <c r="S640">
        <f>ROUND(SUM(Q640:R640), -2)</f>
        <v>187500</v>
      </c>
      <c r="T640">
        <f>ROUNDUP(HLOOKUP(ROUNDUP(K640,0),'배송비 조회'!A$10:AE$22,7,0)*C$3,-2)</f>
        <v>11200</v>
      </c>
      <c r="U640">
        <v>0</v>
      </c>
      <c r="V640">
        <f>ROUND(IF(R637&gt;0,0,(S640+T640)*0.2),-2)</f>
        <v>39700</v>
      </c>
      <c r="W640">
        <f>ROUND(IF(R637&gt;0,0,(S640+T640)*0.5),-2)</f>
        <v>99400</v>
      </c>
      <c r="X640">
        <f>SUM(S640:V640)</f>
        <v>238400</v>
      </c>
      <c r="Y640">
        <f>SUM(S640:U640)+W640</f>
        <v>298100</v>
      </c>
      <c r="Z640">
        <v>0</v>
      </c>
      <c r="AA640">
        <f>X640*0.038</f>
        <v>9059.199999999999</v>
      </c>
      <c r="AB640">
        <f>X640*0.02</f>
        <v>4768</v>
      </c>
      <c r="AC640">
        <f>Y640*0.1</f>
        <v>29810</v>
      </c>
      <c r="AD640">
        <f>X640-AA640-AB640</f>
        <v>224572.8</v>
      </c>
      <c r="AE640">
        <f>Y640-AC640</f>
        <v>268290</v>
      </c>
      <c r="AF640">
        <f>AD640*0.01</f>
        <v>2245.728</v>
      </c>
      <c r="AG640">
        <f>AD640-Q640-AF640-T640</f>
        <v>23627.071999999986</v>
      </c>
      <c r="AH640">
        <f>AE640-Q640-AF640-T640</f>
        <v>67344.272</v>
      </c>
      <c r="AI640">
        <f>AG640/X640</f>
        <v>0.09910684563758383</v>
      </c>
      <c r="AJ640">
        <f>AH640/Y640</f>
        <v>0.22591168064407915</v>
      </c>
      <c r="AK640">
        <v>40000</v>
      </c>
      <c r="AL640">
        <f>X640-AK640</f>
        <v>198400</v>
      </c>
    </row>
    <row r="641">
      <c r="A641" t="str">
        <f>HYPERLINK("https://smartstore.naver.com/brickstore2019/products/4750213107","4750213107")</f>
        <v>4750213107</v>
      </c>
      <c r="C641" t="str">
        <v xml:space="preserve">넬리 드라이어 볼 Nellie's All-Natural Dryerballs - 2 ct(무료배송) </v>
      </c>
      <c r="E641" t="str">
        <v>Nellie's All-Natural Dryerballs - 2 ct</v>
      </c>
      <c r="G641" t="str">
        <f>HYPERLINK("https://www.amazon.com/Nellies-Blue-Dryerballs-Naturally-Non-Toxic/dp/B0045Z12LW/ref=sr_1_1?keywords=nellie%27s+ball&amp;qid=1575466677&amp;sr=8-1","A")</f>
        <v>A</v>
      </c>
      <c r="J641">
        <v>14.4</v>
      </c>
      <c r="K641">
        <f>IF(L641&gt;0,L641*0.0625,)</f>
        <v>0.45</v>
      </c>
      <c r="L641">
        <v>7.2</v>
      </c>
      <c r="M641">
        <f>IF(K641&gt;0,K641*0.453592,IF(L641&gt;0,L641*0.02835,))</f>
        <v>0.2041164</v>
      </c>
      <c r="N641">
        <v>0</v>
      </c>
      <c r="O641">
        <v>0</v>
      </c>
      <c r="P641">
        <f>J641+O641+N641</f>
        <v>14.4</v>
      </c>
      <c r="Q641">
        <f>P641*C$3</f>
        <v>18000</v>
      </c>
      <c r="R641">
        <v>0</v>
      </c>
      <c r="S641">
        <f>ROUND(SUM(Q641:R641), -2)</f>
        <v>18000</v>
      </c>
      <c r="T641">
        <f>ROUNDUP(HLOOKUP(ROUNDUP(K641,0),'배송비 조회'!A$10:AE$22,7,0)*C$3,-2)</f>
        <v>9000</v>
      </c>
      <c r="U641">
        <v>0</v>
      </c>
      <c r="V641">
        <f>ROUND(IF(R638&gt;0,0,(S641+T641)*0.3),-2)</f>
        <v>8100</v>
      </c>
      <c r="W641">
        <f>ROUND(IF(R638&gt;0,0,(S641+T641)*0.5),-2)</f>
        <v>13500</v>
      </c>
      <c r="X641">
        <f>SUM(S641:V641)</f>
        <v>35100</v>
      </c>
      <c r="Y641">
        <f>SUM(S641:U641)+W641</f>
        <v>40500</v>
      </c>
      <c r="Z641">
        <v>0</v>
      </c>
      <c r="AA641">
        <f>X641*0.038</f>
        <v>1333.8</v>
      </c>
      <c r="AB641">
        <f>X641*0.02</f>
        <v>702</v>
      </c>
      <c r="AC641">
        <f>Y641*0.1</f>
        <v>4050</v>
      </c>
      <c r="AD641">
        <f>X641-AA641-AB641</f>
        <v>33064.2</v>
      </c>
      <c r="AE641">
        <f>Y641-AC641</f>
        <v>36450</v>
      </c>
      <c r="AF641">
        <f>AD641*0.01</f>
        <v>330.642</v>
      </c>
      <c r="AG641">
        <f>AD641-Q641-AF641-T641</f>
        <v>5733.557999999997</v>
      </c>
      <c r="AH641">
        <f>AE641-Q641-AF641-T641</f>
        <v>9119.358</v>
      </c>
      <c r="AI641">
        <f>AG641/X641</f>
        <v>0.1633492307692307</v>
      </c>
      <c r="AJ641">
        <f>AH641/Y641</f>
        <v>0.22516933333333333</v>
      </c>
    </row>
    <row r="642">
      <c r="G642" t="str">
        <v>A</v>
      </c>
      <c r="J642">
        <v>100</v>
      </c>
      <c r="K642">
        <v>3</v>
      </c>
      <c r="L642">
        <f>IF(K642&gt;0,K642*16,)</f>
        <v>48</v>
      </c>
      <c r="M642">
        <f>IF(K642&gt;0,K642*0.453592,IF(L642&gt;0,L642*0.02835,))</f>
        <v>1.360776</v>
      </c>
      <c r="P642">
        <f>J642+O642+N642</f>
        <v>100</v>
      </c>
      <c r="Q642">
        <f>P642*C$3</f>
        <v>125000</v>
      </c>
      <c r="R642">
        <v>0</v>
      </c>
      <c r="S642">
        <f>ROUND(SUM(Q642:R642), -2)</f>
        <v>125000</v>
      </c>
      <c r="T642">
        <f>ROUNDUP(HLOOKUP(ROUNDUP(K642,0),'배송비 조회'!A$10:AE$22,7,0)*C$3,-2)</f>
        <v>13400</v>
      </c>
      <c r="U642">
        <v>0</v>
      </c>
      <c r="V642">
        <f>ROUND(IF(R643&gt;0,0,(S642+T642)*0.2),-2)</f>
        <v>27700</v>
      </c>
      <c r="W642">
        <f>ROUND(IF(R643&gt;0,0,(S642+T642)*0.5),-2)</f>
        <v>69200</v>
      </c>
      <c r="X642">
        <f>SUM(S642:V642)</f>
        <v>166100</v>
      </c>
      <c r="Y642">
        <f>SUM(S642:U642)+W642</f>
        <v>207600</v>
      </c>
      <c r="Z642">
        <v>0</v>
      </c>
      <c r="AA642">
        <f>X642*0.038</f>
        <v>6311.8</v>
      </c>
      <c r="AB642">
        <f>X642*0.02</f>
        <v>3322</v>
      </c>
      <c r="AC642">
        <f>Y642*0.1</f>
        <v>20760</v>
      </c>
      <c r="AD642">
        <f>X642-AA642-AB642</f>
        <v>156466.2</v>
      </c>
      <c r="AE642">
        <f>Y642-AC642</f>
        <v>186840</v>
      </c>
      <c r="AF642">
        <f>AD642*0.01</f>
        <v>1564.6620000000003</v>
      </c>
      <c r="AG642">
        <f>AD642-Q642-AF642-T642</f>
        <v>16501.53800000001</v>
      </c>
      <c r="AH642">
        <f>AE642-Q642-AF642-T642</f>
        <v>46875.338</v>
      </c>
      <c r="AI642">
        <f>AG642/X642</f>
        <v>0.09934700782661054</v>
      </c>
      <c r="AJ642">
        <f>AH642/Y642</f>
        <v>0.22579642581888248</v>
      </c>
    </row>
    <row r="643">
      <c r="C643" t="str">
        <v>아마존 에코닷 3세대 Amazon Echo Dot (3rd gen)</v>
      </c>
      <c r="E643" t="str">
        <v>Echo Dot (3rd Gen) - Smart speaker with Alexa</v>
      </c>
      <c r="G643" t="str">
        <f>HYPERLINK("https://www.amazon.com/Echo-Dot-3rd-Gen-speaker/dp/B07W95GZNH/ref=zg_bsnr_electronics_1?_encoding=UTF8&amp;psc=1&amp;refRID=01Y9T4CVFWZ94W3TGQYK","A")</f>
        <v>A</v>
      </c>
      <c r="J643">
        <v>8.24</v>
      </c>
      <c r="K643">
        <f>IF(L643&gt;0,L643*0.0625,)</f>
        <v>0.71875</v>
      </c>
      <c r="L643">
        <v>11.5</v>
      </c>
      <c r="M643">
        <f>IF(K643&gt;0,K643*0.453592,IF(L643&gt;0,L643*0.02835,))</f>
        <v>0.32601925</v>
      </c>
      <c r="N643">
        <v>0</v>
      </c>
      <c r="O643">
        <v>0</v>
      </c>
      <c r="P643">
        <f>J643+O643+N643</f>
        <v>8.24</v>
      </c>
      <c r="Q643">
        <f>P643*C$3</f>
        <v>10300</v>
      </c>
      <c r="R643">
        <v>0</v>
      </c>
      <c r="S643">
        <f>ROUND(SUM(Q643:R643), -2)</f>
        <v>10300</v>
      </c>
      <c r="T643">
        <f>ROUNDUP(HLOOKUP(ROUNDUP(K643,0),'배송비 조회'!A$10:AE$22,7,0)*C$3,-2)</f>
        <v>9000</v>
      </c>
      <c r="U643">
        <v>0</v>
      </c>
      <c r="V643">
        <f>ROUND(IF(R635&gt;0,0,(S643+T643)*0.3),-2)</f>
        <v>5800</v>
      </c>
      <c r="W643">
        <f>ROUND(IF(R635&gt;0,0,(S643+T643)*0.4),-2)</f>
        <v>7700</v>
      </c>
      <c r="X643">
        <f>SUM(S643:V643)</f>
        <v>25100</v>
      </c>
      <c r="Y643">
        <f>SUM(S643:U643)+W643</f>
        <v>27000</v>
      </c>
      <c r="Z643">
        <v>0</v>
      </c>
      <c r="AA643">
        <f>X643*0.038</f>
        <v>953.8</v>
      </c>
      <c r="AB643">
        <f>X643*0.02</f>
        <v>502</v>
      </c>
      <c r="AC643">
        <f>Y643*0.1</f>
        <v>2700</v>
      </c>
      <c r="AD643">
        <f>X643-AA643-AB643</f>
        <v>23644.2</v>
      </c>
      <c r="AE643">
        <f>Y643-AC643</f>
        <v>24300</v>
      </c>
      <c r="AF643">
        <f>AD643*0.01</f>
        <v>236.442</v>
      </c>
      <c r="AG643">
        <f>AD643-Q643-AF643-T643</f>
        <v>4107.758000000002</v>
      </c>
      <c r="AH643">
        <f>AE643-Q643-AF643-T643</f>
        <v>4763.558000000001</v>
      </c>
      <c r="AI643">
        <f>AG643/X643</f>
        <v>0.16365569721115544</v>
      </c>
      <c r="AJ643">
        <f>AH643/Y643</f>
        <v>0.1764280740740741</v>
      </c>
    </row>
    <row r="644" xml:space="preserve">
      <c r="A644" t="str">
        <f>HYPERLINK("https://smartstore.naver.com/brickstore2019/products/4755052024","4755052024")</f>
        <v>4755052024</v>
      </c>
      <c r="C644" t="str">
        <v>픽디자인 슬링백 5L 캐논카메라가방(무료배송)</v>
      </c>
      <c r="E644" t="str" xml:space="preserve">
        <v xml:space="preserve">Peak Design Everyday Sling 5L (Camera Bag)_x000d_
</v>
      </c>
      <c r="F644" t="str">
        <v>Ash</v>
      </c>
      <c r="G644" t="str">
        <f>HYPERLINK("https://www.amazon.com/dp/B0769RPR52/ref=twister_B0769YLRSV?_encoding=UTF8&amp;th=1","A")</f>
        <v>A</v>
      </c>
      <c r="J644">
        <v>80</v>
      </c>
      <c r="K644">
        <v>2</v>
      </c>
      <c r="L644">
        <f>IF(K644&gt;0,K644*16,)</f>
        <v>32</v>
      </c>
      <c r="M644">
        <f>IF(K644&gt;0,K644*0.453592,IF(L644&gt;0,L644*0.02835,))</f>
        <v>0.907184</v>
      </c>
      <c r="N644">
        <v>0</v>
      </c>
      <c r="O644">
        <v>0</v>
      </c>
      <c r="P644">
        <f>J644+O644+N644</f>
        <v>80</v>
      </c>
      <c r="Q644">
        <f>P644*C$3</f>
        <v>100000</v>
      </c>
      <c r="R644">
        <v>0</v>
      </c>
      <c r="S644">
        <f>ROUND(SUM(Q644:R644), -2)</f>
        <v>100000</v>
      </c>
      <c r="T644">
        <f>ROUNDUP(HLOOKUP(ROUNDUP(K644,0),'배송비 조회'!A$10:AE$22,7,0)*C$3,-2)</f>
        <v>11200</v>
      </c>
      <c r="U644">
        <v>0</v>
      </c>
      <c r="V644">
        <f>ROUND(IF(R639&gt;0,0,(S644+T644)*0.25),-2)</f>
        <v>27800</v>
      </c>
      <c r="W644">
        <f>ROUND(IF(R639&gt;0,0,(S644+T644)*0.5),-2)</f>
        <v>55600</v>
      </c>
      <c r="X644">
        <f>SUM(S644:V644)</f>
        <v>139000</v>
      </c>
      <c r="Y644">
        <f>SUM(S644:U644)+W644</f>
        <v>166800</v>
      </c>
      <c r="Z644">
        <v>0</v>
      </c>
      <c r="AA644">
        <f>X644*0.038</f>
        <v>5282</v>
      </c>
      <c r="AB644">
        <f>X644*0.02</f>
        <v>2780</v>
      </c>
      <c r="AC644">
        <f>Y644*0.1</f>
        <v>16680</v>
      </c>
      <c r="AD644">
        <f>X644-AA644-AB644</f>
        <v>130938</v>
      </c>
      <c r="AE644">
        <f>Y644-AC644</f>
        <v>150120</v>
      </c>
      <c r="AF644">
        <f>AD644*0.01</f>
        <v>1309.38</v>
      </c>
      <c r="AG644">
        <f>AD644-Q644-AF644-T644</f>
        <v>18428.62</v>
      </c>
      <c r="AH644">
        <f>AE644-Q644-AF644-T644</f>
        <v>37610.62</v>
      </c>
      <c r="AI644">
        <f>AG644/X644</f>
        <v>0.13258</v>
      </c>
      <c r="AJ644">
        <f>AH644/Y644</f>
        <v>0.22548333333333334</v>
      </c>
    </row>
    <row r="645">
      <c r="F645" t="str">
        <v>Black</v>
      </c>
      <c r="G645" t="str">
        <f>HYPERLINK("https://www.amazon.com/dp/B076B2NYGC/ref=twister_B0769YLRSV?_encoding=UTF8&amp;th=1","A")</f>
        <v>A</v>
      </c>
      <c r="J645">
        <v>80</v>
      </c>
      <c r="K645">
        <v>2</v>
      </c>
      <c r="L645">
        <f>IF(K645&gt;0,K645*16,)</f>
        <v>32</v>
      </c>
      <c r="M645">
        <f>IF(K645&gt;0,K645*0.453592,IF(L645&gt;0,L645*0.02835,))</f>
        <v>0.907184</v>
      </c>
      <c r="N645">
        <v>0</v>
      </c>
      <c r="O645">
        <v>0</v>
      </c>
      <c r="P645">
        <f>J645+O645+N645</f>
        <v>80</v>
      </c>
      <c r="Q645">
        <f>P645*C$3</f>
        <v>100000</v>
      </c>
      <c r="R645">
        <v>0</v>
      </c>
      <c r="S645">
        <f>ROUND(SUM(Q645:R645), -2)</f>
        <v>100000</v>
      </c>
      <c r="T645">
        <f>ROUNDUP(HLOOKUP(ROUNDUP(K645,0),'배송비 조회'!A$10:AE$22,7,0)*C$3,-2)</f>
        <v>11200</v>
      </c>
      <c r="U645">
        <v>0</v>
      </c>
      <c r="V645">
        <f>ROUND(IF(R640&gt;0,0,(S645+T645)*0.25),-2)</f>
        <v>27800</v>
      </c>
      <c r="W645">
        <f>ROUND(IF(R640&gt;0,0,(S645+T645)*0.5),-2)</f>
        <v>55600</v>
      </c>
      <c r="X645">
        <f>SUM(S645:V645)</f>
        <v>139000</v>
      </c>
      <c r="Y645">
        <f>SUM(S645:U645)+W645</f>
        <v>166800</v>
      </c>
      <c r="Z645">
        <v>0</v>
      </c>
      <c r="AA645">
        <f>X645*0.038</f>
        <v>5282</v>
      </c>
      <c r="AB645">
        <f>X645*0.02</f>
        <v>2780</v>
      </c>
      <c r="AC645">
        <f>Y645*0.1</f>
        <v>16680</v>
      </c>
      <c r="AD645">
        <f>X645-AA645-AB645</f>
        <v>130938</v>
      </c>
      <c r="AE645">
        <f>Y645-AC645</f>
        <v>150120</v>
      </c>
      <c r="AF645">
        <f>AD645*0.01</f>
        <v>1309.38</v>
      </c>
      <c r="AG645">
        <f>AD645-Q645-AF645-T645</f>
        <v>18428.62</v>
      </c>
      <c r="AH645">
        <f>AE645-Q645-AF645-T645</f>
        <v>37610.62</v>
      </c>
      <c r="AI645">
        <f>AG645/X645</f>
        <v>0.13258</v>
      </c>
      <c r="AJ645">
        <f>AH645/Y645</f>
        <v>0.22548333333333334</v>
      </c>
    </row>
    <row r="646" xml:space="preserve">
      <c r="A646" t="str">
        <f>HYPERLINK("https://smartstore.naver.com/brickstore2019/products/4756465274","4756465274")</f>
        <v>4756465274</v>
      </c>
      <c r="C646" t="str">
        <v>JBL Pro 104 입문용 모니터 스피커</v>
      </c>
      <c r="E646" t="str" xml:space="preserve">
        <v xml:space="preserve">JBL Professional 1 Series, 104 Compact Powered Desktop Reference Monitors (sold as pair), Black (JBL104)_x000d_
</v>
      </c>
      <c r="G646" t="str">
        <v>A</v>
      </c>
      <c r="J646">
        <v>90</v>
      </c>
      <c r="K646">
        <v>11</v>
      </c>
      <c r="L646">
        <f>IF(K646&gt;0,K646*16,)</f>
        <v>176</v>
      </c>
      <c r="M646">
        <f>IF(K646&gt;0,K646*0.453592,IF(L646&gt;0,L646*0.02835,))</f>
        <v>4.9895119999999995</v>
      </c>
      <c r="N646">
        <v>0</v>
      </c>
      <c r="O646">
        <v>0</v>
      </c>
      <c r="P646">
        <f>J646+O645+N646</f>
        <v>90</v>
      </c>
      <c r="Q646">
        <f>P646*C$3</f>
        <v>112500</v>
      </c>
      <c r="R646">
        <v>0</v>
      </c>
      <c r="S646">
        <f>ROUND(SUM(Q646:R646), -2)</f>
        <v>112500</v>
      </c>
      <c r="T646">
        <f>ROUNDUP(HLOOKUP(ROUNDUP(K646,0),'배송비 조회'!A$10:AE$22,7,0)*C$3,-2)</f>
        <v>30900</v>
      </c>
      <c r="U646">
        <v>0</v>
      </c>
      <c r="V646">
        <f>ROUND(IF(R641&gt;0,0,(S646+T646)*0.3),-2)</f>
        <v>43000</v>
      </c>
      <c r="W646">
        <f>ROUND(IF(R641&gt;0,0,(S646+T646)*0.5),-2)</f>
        <v>71700</v>
      </c>
      <c r="X646">
        <f>SUM(S646:V646)</f>
        <v>186400</v>
      </c>
      <c r="Y646">
        <f>SUM(S646:U646)+W646</f>
        <v>215100</v>
      </c>
      <c r="Z646">
        <v>0</v>
      </c>
      <c r="AA646">
        <f>X646*0.038</f>
        <v>7083.2</v>
      </c>
      <c r="AB646">
        <f>X646*0.02</f>
        <v>3728</v>
      </c>
      <c r="AC646">
        <f>Y646*0.1</f>
        <v>21510</v>
      </c>
      <c r="AD646">
        <f>X646-AA646-AB646</f>
        <v>175588.8</v>
      </c>
      <c r="AE646">
        <f>Y646-AC646</f>
        <v>193590</v>
      </c>
      <c r="AF646">
        <f>AD646*0.01</f>
        <v>1755.888</v>
      </c>
      <c r="AG646">
        <f>AD646-Q646-AF646-T646</f>
        <v>30432.91199999999</v>
      </c>
      <c r="AH646">
        <f>AE646-Q646-AF646-T646</f>
        <v>48434.111999999994</v>
      </c>
      <c r="AI646">
        <f>AG646/X646</f>
        <v>0.1632666952789699</v>
      </c>
      <c r="AJ646">
        <f>AH646/Y646</f>
        <v>0.2251702092050209</v>
      </c>
      <c r="AK646">
        <v>40000</v>
      </c>
      <c r="AL646">
        <f>X646-AK646</f>
        <v>146400</v>
      </c>
    </row>
    <row r="647" xml:space="preserve">
      <c r="A647" t="str">
        <f>HYPERLINK("https://smartstore.naver.com/brickstore2019/products/4760230409","4760230409")</f>
        <v>4760230409</v>
      </c>
      <c r="C647" t="str">
        <v xml:space="preserve">아수스 로그 델타 USB C 타입 게이밍 헤드셋 ASUS ROG Delta </v>
      </c>
      <c r="E647" t="str" xml:space="preserve">
        <v xml:space="preserve">ASUS ROG DELTA USB-C Gaming Headset for PC, Mac, PlayStation 4, Teamspeak, and Discord with Hi-Res ESS Quad-DAC, Digital Microphone, and Aura Sync RGB Lighting_x000d_
</v>
      </c>
      <c r="G647" t="str">
        <f>HYPERLINK("https://www.amazon.com/ROG-Playstation-Teamspeak-Quad-DAC-Microphone/dp/B07KK31T7T/ref=sr_1_1?keywords=asus%2Brog%2Bdelta&amp;qid=1576259739&amp;sr=8-1&amp;th=1","A")</f>
        <v>A</v>
      </c>
      <c r="J647">
        <v>178.17</v>
      </c>
      <c r="K647">
        <v>2.56</v>
      </c>
      <c r="L647">
        <f>IF(K647&gt;0,K647*16,)</f>
        <v>40.96</v>
      </c>
      <c r="M647">
        <f>IF(K647&gt;0,K647*0.453592,IF(L647&gt;0,L647*0.02835,))</f>
        <v>1.16119552</v>
      </c>
      <c r="N647">
        <v>0</v>
      </c>
      <c r="O647">
        <v>0</v>
      </c>
      <c r="P647">
        <f>J647+O647+N647</f>
        <v>178.17</v>
      </c>
      <c r="Q647">
        <f>P647*C$3</f>
        <v>222712.49999999997</v>
      </c>
      <c r="R647">
        <v>0</v>
      </c>
      <c r="S647">
        <f>ROUND(SUM(Q647:R647), -2)</f>
        <v>222700</v>
      </c>
      <c r="T647">
        <f>ROUNDUP(HLOOKUP(ROUNDUP(K647,0),'배송비 조회'!A$10:AE$22,7,0)*C$3,-2)</f>
        <v>13400</v>
      </c>
      <c r="U647">
        <v>0</v>
      </c>
      <c r="V647">
        <f>ROUND(IF(R642&gt;0,0,(S647+T647)*0.2),-2)</f>
        <v>47200</v>
      </c>
      <c r="W647">
        <f>ROUND(IF(R642&gt;0,0,(S647+T647)*0.5),-2)</f>
        <v>118100</v>
      </c>
      <c r="X647">
        <f>SUM(S647:V647)</f>
        <v>283300</v>
      </c>
      <c r="Y647">
        <f>SUM(S647:U647)+W647</f>
        <v>354200</v>
      </c>
      <c r="Z647">
        <v>0</v>
      </c>
      <c r="AA647">
        <f>X647*0.038</f>
        <v>10765.4</v>
      </c>
      <c r="AB647">
        <f>X647*0.02</f>
        <v>5666</v>
      </c>
      <c r="AC647">
        <f>Y647*0.1</f>
        <v>35420</v>
      </c>
      <c r="AD647">
        <f>X647-AA647-AB647</f>
        <v>266868.6</v>
      </c>
      <c r="AE647">
        <f>Y647-AC647</f>
        <v>318780</v>
      </c>
      <c r="AF647">
        <f>AD647*0.01</f>
        <v>2668.6859999999997</v>
      </c>
      <c r="AG647">
        <f>AD647-Q647-AF647-T647</f>
        <v>28087.414000000004</v>
      </c>
      <c r="AH647">
        <f>AE647-Q647-AF647-T647</f>
        <v>79998.81400000003</v>
      </c>
      <c r="AI647">
        <f>AG647/X647</f>
        <v>0.09914371337804449</v>
      </c>
      <c r="AJ647">
        <f>AH647/Y647</f>
        <v>0.2258577470355732</v>
      </c>
      <c r="AK647">
        <v>30000</v>
      </c>
      <c r="AL647">
        <f>X647-AK647</f>
        <v>253300</v>
      </c>
    </row>
    <row r="648">
      <c r="A648" t="str">
        <f>HYPERLINK("https://smartstore.naver.com/brickstore2019/products/4763422782","4763422782")</f>
        <v>4763422782</v>
      </c>
      <c r="C648" t="str">
        <v>아수스 로그 델타 코어 게이밍 헤드셋 ASUS ROG DELTA CORE</v>
      </c>
      <c r="E648" t="str">
        <v>ASUS ROG DELTA CORE Gaming Headset for PC, Mac, PlayStation 4, Xbox One and Nintendo Switch with Hi-Res Audio, and Exclusive Airtight-Chamber Design</v>
      </c>
      <c r="G648" t="str">
        <f>HYPERLINK("https://www.amazon.com/ROG-Playstation-Teamspeak-Quad-DAC-Microphone/dp/B07S5QJWQ5/ref=sr_1_1?keywords=asus%2Brog%2Bdelta&amp;qid=1576259739&amp;sr=8-1&amp;th=1","A")</f>
        <v>A</v>
      </c>
      <c r="J648">
        <v>80</v>
      </c>
      <c r="K648">
        <v>2.15</v>
      </c>
      <c r="L648">
        <f>IF(K648&gt;0,K648*16,)</f>
        <v>34.4</v>
      </c>
      <c r="M648">
        <f>IF(K648&gt;0,K648*0.453592,IF(L648&gt;0,L648*0.02835,))</f>
        <v>0.9752228</v>
      </c>
      <c r="N648">
        <v>0</v>
      </c>
      <c r="O648">
        <v>0</v>
      </c>
      <c r="P648">
        <f>J648+O648+N648</f>
        <v>80</v>
      </c>
      <c r="Q648">
        <f>P648*C$3</f>
        <v>100000</v>
      </c>
      <c r="R648">
        <v>0</v>
      </c>
      <c r="S648">
        <f>ROUND(SUM(Q648:R648), -2)</f>
        <v>100000</v>
      </c>
      <c r="T648">
        <f>ROUNDUP(HLOOKUP(ROUNDUP(K648,0),'배송비 조회'!A$10:AE$22,7,0)*C$3,-2)</f>
        <v>13400</v>
      </c>
      <c r="U648">
        <v>0</v>
      </c>
      <c r="V648">
        <f>ROUND(IF(R644&gt;0,0,(S648+T648)*0.3),-2)</f>
        <v>34000</v>
      </c>
      <c r="W648">
        <f>ROUND(IF(R644&gt;0,0,(S648+T648)*0.5),-2)</f>
        <v>56700</v>
      </c>
      <c r="X648">
        <f>SUM(S648:V648)</f>
        <v>147400</v>
      </c>
      <c r="Y648">
        <f>SUM(S648:U648)+W648</f>
        <v>170100</v>
      </c>
      <c r="Z648">
        <v>0</v>
      </c>
      <c r="AA648">
        <f>X648*0.038</f>
        <v>5601.2</v>
      </c>
      <c r="AB648">
        <f>X648*0.02</f>
        <v>2948</v>
      </c>
      <c r="AC648">
        <f>Y648*0.1</f>
        <v>17010</v>
      </c>
      <c r="AD648">
        <f>X648-AA648-AB648</f>
        <v>138850.8</v>
      </c>
      <c r="AE648">
        <f>Y648-AC648</f>
        <v>153090</v>
      </c>
      <c r="AF648">
        <f>AD648*0.01</f>
        <v>1388.5079999999998</v>
      </c>
      <c r="AG648">
        <f>AD648-Q648-AF648-T648</f>
        <v>24062.291999999987</v>
      </c>
      <c r="AH648">
        <f>AE648-Q648-AF648-T648</f>
        <v>38301.492</v>
      </c>
      <c r="AI648">
        <f>AG648/X648</f>
        <v>0.16324485753052909</v>
      </c>
      <c r="AJ648">
        <f>AH648/Y648</f>
        <v>0.22517044091710758</v>
      </c>
    </row>
    <row r="649">
      <c r="A649" t="str">
        <f>HYPERLINK("https://smartstore.naver.com/brickstore2019/products/4763573896","4763573896")</f>
        <v>4763573896</v>
      </c>
      <c r="C649" t="str">
        <v>g502se 로지텍 게이밍 마우스 910-005728</v>
      </c>
      <c r="G649" t="str">
        <f>HYPERLINK("https://www.amazon.com/Logitech-G-910-005728-G502-Hero/dp/B07PHLBBQR/ref=sr_1_1?keywords=g502se&amp;qid=1576385933&amp;sr=8-1","A")</f>
        <v>A</v>
      </c>
      <c r="J649">
        <v>35</v>
      </c>
      <c r="K649">
        <f>IF(L649&gt;0,L649*0.0625,)</f>
        <v>0.625</v>
      </c>
      <c r="L649">
        <v>10</v>
      </c>
      <c r="M649">
        <f>IF(K649&gt;0,K649*0.453592,IF(L649&gt;0,L649*0.02835,))</f>
        <v>0.283495</v>
      </c>
      <c r="N649">
        <v>0</v>
      </c>
      <c r="O649">
        <v>0</v>
      </c>
      <c r="P649">
        <f>J649+O649+N649</f>
        <v>35</v>
      </c>
      <c r="Q649">
        <f>P649*C$3</f>
        <v>43750</v>
      </c>
      <c r="R649">
        <v>0</v>
      </c>
      <c r="S649">
        <f>ROUND(SUM(Q649:R649), -2)</f>
        <v>43800</v>
      </c>
      <c r="T649">
        <f>ROUNDUP(HLOOKUP(ROUNDUP(K649,0),'배송비 조회'!A$10:AE$22,7,0)*C$3,-2)</f>
        <v>9000</v>
      </c>
      <c r="U649">
        <v>0</v>
      </c>
      <c r="V649">
        <f>ROUND(IF(R645&gt;0,0,(S649+T649)*0.25),-2)</f>
        <v>13200</v>
      </c>
      <c r="W649">
        <f>ROUND(IF(R645&gt;0,0,(S649+T649)*0.5),-2)</f>
        <v>26400</v>
      </c>
      <c r="X649">
        <f>SUM(S649:V649)</f>
        <v>66000</v>
      </c>
      <c r="Y649">
        <f>SUM(S649:U649)+W649</f>
        <v>79200</v>
      </c>
      <c r="Z649">
        <v>0</v>
      </c>
      <c r="AA649">
        <f>X649*0.038</f>
        <v>2508</v>
      </c>
      <c r="AB649">
        <f>X649*0.02</f>
        <v>1320</v>
      </c>
      <c r="AC649">
        <f>Y649*0.1</f>
        <v>7920</v>
      </c>
      <c r="AD649">
        <f>X649-AA649-AB649</f>
        <v>62172</v>
      </c>
      <c r="AE649">
        <f>Y649-AC649</f>
        <v>71280</v>
      </c>
      <c r="AF649">
        <f>AD649*0.01</f>
        <v>621.72</v>
      </c>
      <c r="AG649">
        <f>AD649-Q649-AF649-T649</f>
        <v>8800.279999999999</v>
      </c>
      <c r="AH649">
        <f>AE649-Q649-AF649-T649</f>
        <v>17908.28</v>
      </c>
      <c r="AI649">
        <f>AG649/X649</f>
        <v>0.13333757575757574</v>
      </c>
      <c r="AJ649">
        <f>AH649/Y649</f>
        <v>0.22611464646464646</v>
      </c>
      <c r="AK649">
        <v>20000</v>
      </c>
      <c r="AL649">
        <f>X649-AK649</f>
        <v>46000</v>
      </c>
    </row>
    <row r="650">
      <c r="A650" t="str">
        <f>HYPERLINK("https://smartstore.naver.com/brickstore2019/products/4764754370","4764754370")</f>
        <v>4764754370</v>
      </c>
      <c r="C650" t="str">
        <v>레이버 맘바 크로마 무선 게이밍 마우스 크로마 RGB Razer Mamba Wireless Gaming Mouse Chroma RGB</v>
      </c>
      <c r="E650" t="str">
        <v>Razer Mamba Wireless Gaming Mouse: 16,000 DPI Optical Sensor - Chroma RGB Lighting - 7 Programmable Buttons - Mechanical Switches - Up to 50 Hr Battery Life</v>
      </c>
      <c r="G650" t="str">
        <f>HYPERLINK("https://www.amazon.com/Razer-Mamba-Wireless-Programmable-Gaming/dp/B07GBYYSMF/ref=sr_1_2?keywords=razer%2Bmamba%2Bwireless&amp;qid=1576259063&amp;sr=8-2&amp;th=1","A")</f>
        <v>A</v>
      </c>
      <c r="H650" t="str">
        <f>HYPERLINK("https://detail.tmall.com/item.htm?spm=a230r.1.14.27.46661f15QtvQYu&amp;id=578587029836&amp;ns=1&amp;abbucket=7","T")</f>
        <v>T</v>
      </c>
      <c r="J650">
        <v>50</v>
      </c>
      <c r="K650">
        <f>IF(L650&gt;0,L650*0.0625,)</f>
        <v>0.61875</v>
      </c>
      <c r="L650">
        <v>9.9</v>
      </c>
      <c r="M650">
        <f>IF(K650&gt;0,K650*0.453592,IF(L650&gt;0,L650*0.02835,))</f>
        <v>0.28066005</v>
      </c>
      <c r="N650">
        <v>0</v>
      </c>
      <c r="O650">
        <v>0</v>
      </c>
      <c r="P650">
        <f>J650+O650+N650</f>
        <v>50</v>
      </c>
      <c r="Q650">
        <f>P650*C$3</f>
        <v>62500</v>
      </c>
      <c r="R650">
        <v>0</v>
      </c>
      <c r="S650">
        <f>ROUND(SUM(Q650:R650), -2)</f>
        <v>62500</v>
      </c>
      <c r="T650">
        <f>ROUNDUP(HLOOKUP(ROUNDUP(K650,0),'배송비 조회'!A$10:AE$22,7,0)*C$3,-2)</f>
        <v>9000</v>
      </c>
      <c r="U650">
        <v>0</v>
      </c>
      <c r="V650">
        <f>ROUND(IF(R646&gt;0,0,(S650+T650)*0.3),-2)</f>
        <v>21500</v>
      </c>
      <c r="W650">
        <f>ROUND(IF(R646&gt;0,0,(S650+T650)*0.5),-2)</f>
        <v>35800</v>
      </c>
      <c r="X650">
        <f>SUM(S650:V650)</f>
        <v>93000</v>
      </c>
      <c r="Y650">
        <f>SUM(S650:U650)+W650</f>
        <v>107300</v>
      </c>
      <c r="Z650">
        <v>0</v>
      </c>
      <c r="AA650">
        <f>X650*0.038</f>
        <v>3534</v>
      </c>
      <c r="AB650">
        <f>X650*0.02</f>
        <v>1860</v>
      </c>
      <c r="AC650">
        <f>Y650*0.1</f>
        <v>10730</v>
      </c>
      <c r="AD650">
        <f>X650-AA650-AB650</f>
        <v>87606</v>
      </c>
      <c r="AE650">
        <f>Y650-AC650</f>
        <v>96570</v>
      </c>
      <c r="AF650">
        <f>AD650*0.01</f>
        <v>876.0600000000001</v>
      </c>
      <c r="AG650">
        <f>AD650-Q650-AF650-T650</f>
        <v>15229.939999999999</v>
      </c>
      <c r="AH650">
        <f>AE650-Q650-AF650-T650</f>
        <v>24193.940000000002</v>
      </c>
      <c r="AI650">
        <f>AG650/X650</f>
        <v>0.1637627956989247</v>
      </c>
      <c r="AJ650">
        <f>AH650/Y650</f>
        <v>0.22547940354147253</v>
      </c>
    </row>
    <row r="651">
      <c r="A651" t="str">
        <v>추가상품</v>
      </c>
      <c r="C651" t="str">
        <v>RGB 마우스메트</v>
      </c>
      <c r="G651" t="str">
        <f>HYPERLINK("https://www.amazon.com/Razer-Mamba-Wireless-Programmable-Gaming/dp/B07VGTKKZZ/ref=sr_1_2?keywords=razer%2Bmamba%2Bwireless&amp;qid=1576259063&amp;sr=8-2&amp;th=1","A")</f>
        <v>A</v>
      </c>
      <c r="J651">
        <v>42</v>
      </c>
      <c r="K651">
        <v>3.25</v>
      </c>
      <c r="L651">
        <f>IF(K651&gt;0,K651*16,)</f>
        <v>52</v>
      </c>
      <c r="M651">
        <f>IF(K651&gt;0,K651*0.453592,IF(L651&gt;0,L651*0.02835,))</f>
        <v>1.474174</v>
      </c>
      <c r="N651">
        <v>0</v>
      </c>
      <c r="O651">
        <v>0</v>
      </c>
      <c r="P651">
        <f>J651+O651+N651</f>
        <v>42</v>
      </c>
      <c r="Q651">
        <f>P651*C$3</f>
        <v>52500</v>
      </c>
      <c r="R651">
        <v>0</v>
      </c>
      <c r="S651">
        <f>ROUND(SUM(Q651:R651), -2)</f>
        <v>52500</v>
      </c>
      <c r="T651">
        <f>ROUNDUP(HLOOKUP(ROUNDUP(K651,0),'배송비 조회'!A$10:AE$22,7,0)*C$3,-2)</f>
        <v>15600</v>
      </c>
      <c r="U651">
        <v>0</v>
      </c>
      <c r="V651">
        <f>ROUND(IF(R651&gt;0,0,(S651+T651)*0.3),-2)</f>
        <v>20400</v>
      </c>
      <c r="W651">
        <f>ROUND(IF(R647&gt;0,0,(S651+T651)*0.5),-2)</f>
        <v>34100</v>
      </c>
      <c r="X651">
        <f>SUM(S651:V651)</f>
        <v>88500</v>
      </c>
      <c r="Y651">
        <f>SUM(S651:U651)+W651</f>
        <v>102200</v>
      </c>
      <c r="Z651">
        <v>0</v>
      </c>
      <c r="AA651">
        <f>X651*0.038</f>
        <v>3363</v>
      </c>
      <c r="AB651">
        <f>X651*0.02</f>
        <v>1770</v>
      </c>
      <c r="AC651">
        <f>Y651*0.1</f>
        <v>10220</v>
      </c>
      <c r="AD651">
        <f>X651-AA651-AB651</f>
        <v>83367</v>
      </c>
      <c r="AE651">
        <f>Y651-AC651</f>
        <v>91980</v>
      </c>
      <c r="AF651">
        <f>AD651*0.01</f>
        <v>833.6700000000001</v>
      </c>
      <c r="AG651">
        <f>AD651-Q651-AF651-T651</f>
        <v>14433.330000000002</v>
      </c>
      <c r="AH651">
        <f>AE651-Q651-AF651-T651</f>
        <v>23046.33</v>
      </c>
      <c r="AI651">
        <f>AG651/X651</f>
        <v>0.1630884745762712</v>
      </c>
      <c r="AJ651">
        <f>AH651/Y651</f>
        <v>0.2255022504892368</v>
      </c>
    </row>
    <row r="652" xml:space="preserve">
      <c r="A652" t="str">
        <f>HYPERLINK("https://smartstore.naver.com/brickstore2019/products/4764802192","4764802192")</f>
        <v>4764802192</v>
      </c>
      <c r="C652" t="str">
        <v>에볼루언트 버티컬마우스 VM4SW 스몰 사이즈</v>
      </c>
      <c r="E652" t="str" xml:space="preserve">
        <v xml:space="preserve">Evoluent VM4SW VerticalMouse 4 Right Hand Ergonomic Mouse with Wireless Connection (Small Size)_x000d_
</v>
      </c>
      <c r="G652" t="str">
        <f>HYPERLINK("https://www.amazon.com/Evoluent-VM4SW-VerticalMouse-Ergonomic-Connection/dp/B00EZCCVTM?ref_=ast_sto_dp","A")</f>
        <v>A</v>
      </c>
      <c r="J652">
        <v>110</v>
      </c>
      <c r="K652">
        <f>IF(L652&gt;0,L652*0.0625,)</f>
        <v>0.625</v>
      </c>
      <c r="L652">
        <v>10</v>
      </c>
      <c r="M652">
        <f>IF(K652&gt;0,K652*0.453592,IF(L652&gt;0,L652*0.02835,))</f>
        <v>0.283495</v>
      </c>
      <c r="N652">
        <v>0</v>
      </c>
      <c r="O652">
        <v>0</v>
      </c>
      <c r="P652">
        <f>J652+O652+N652</f>
        <v>110</v>
      </c>
      <c r="Q652">
        <f>P652*C$3</f>
        <v>137500</v>
      </c>
      <c r="R652">
        <v>0</v>
      </c>
      <c r="S652">
        <f>ROUND(SUM(Q652:R652), -2)</f>
        <v>137500</v>
      </c>
      <c r="T652">
        <f>ROUNDUP(HLOOKUP(ROUNDUP(K652,0),'배송비 조회'!A$10:AE$22,7,0)*C$3,-2)</f>
        <v>9000</v>
      </c>
      <c r="U652">
        <v>0</v>
      </c>
      <c r="V652">
        <f>ROUND(IF(R652&gt;0,0,(S652+T652)*0.3),-2)</f>
        <v>44000</v>
      </c>
      <c r="W652">
        <f>ROUND(IF(R649&gt;0,0,(S652+T652)*0.5),-2)</f>
        <v>73300</v>
      </c>
      <c r="X652">
        <f>SUM(S652:V652)</f>
        <v>190500</v>
      </c>
      <c r="Y652">
        <f>SUM(S652:U652)+W652</f>
        <v>219800</v>
      </c>
      <c r="Z652">
        <v>0</v>
      </c>
      <c r="AA652">
        <f>X652*0.038</f>
        <v>7239</v>
      </c>
      <c r="AB652">
        <f>X652*0.02</f>
        <v>3810</v>
      </c>
      <c r="AC652">
        <f>Y652*0.1</f>
        <v>21980</v>
      </c>
      <c r="AD652">
        <f>X652-AA652-AB652</f>
        <v>179451</v>
      </c>
      <c r="AE652">
        <f>Y652-AC652</f>
        <v>197820</v>
      </c>
      <c r="AF652">
        <f>AD652*0.01</f>
        <v>1794.51</v>
      </c>
      <c r="AG652">
        <f>AD652-Q652-AF652-T652</f>
        <v>31156.489999999998</v>
      </c>
      <c r="AH652">
        <f>AE652-Q652-AF652-T652</f>
        <v>49525.49</v>
      </c>
      <c r="AI652">
        <f>AG652/X652</f>
        <v>0.16355112860892387</v>
      </c>
      <c r="AJ652">
        <f>AH652/Y652</f>
        <v>0.22532070063694268</v>
      </c>
      <c r="AK652">
        <v>10000</v>
      </c>
      <c r="AL652">
        <f>X652-AK652</f>
        <v>180500</v>
      </c>
    </row>
    <row r="653">
      <c r="A653" t="str">
        <f>HYPERLINK("https://smartstore.naver.com/brickstore2019/products/4765987389","4765987389")</f>
        <v>4765987389</v>
      </c>
      <c r="C653" t="str">
        <v>웨이퍼페이퍼 오아시스 공급 20매 Oasis Supply Wafer Paper</v>
      </c>
      <c r="F653" t="str">
        <v>20매</v>
      </c>
      <c r="G653" t="str">
        <v>A</v>
      </c>
      <c r="J653">
        <v>12</v>
      </c>
      <c r="K653">
        <v>1.5</v>
      </c>
      <c r="L653">
        <f>IF(K653&gt;0,K653*16,)</f>
        <v>24</v>
      </c>
      <c r="M653">
        <f>IF(K653&gt;0,K653*0.453592,IF(L653&gt;0,L653*0.02835,))</f>
        <v>0.680388</v>
      </c>
      <c r="N653">
        <v>0</v>
      </c>
      <c r="O653">
        <v>0</v>
      </c>
      <c r="P653">
        <f>J653+O653+N653</f>
        <v>12</v>
      </c>
      <c r="Q653">
        <f>P653*C$3</f>
        <v>15000</v>
      </c>
      <c r="R653">
        <v>0</v>
      </c>
      <c r="S653">
        <f>ROUND(SUM(Q653:R653), -2)</f>
        <v>15000</v>
      </c>
      <c r="T653">
        <f>ROUNDUP(HLOOKUP(ROUNDUP(K653,0),'배송비 조회'!A$10:AE$22,7,0)*C$3,-2)</f>
        <v>11200</v>
      </c>
      <c r="U653">
        <v>0</v>
      </c>
      <c r="V653">
        <f>ROUND(IF(R653&gt;0,0,(S653+T653)*0.3),-2)</f>
        <v>7900</v>
      </c>
      <c r="W653">
        <f>ROUND(IF(R650&gt;0,0,(S653+T653)*0.5),-2)</f>
        <v>13100</v>
      </c>
      <c r="X653">
        <f>SUM(S653:V653)</f>
        <v>34100</v>
      </c>
      <c r="Y653">
        <f>SUM(S653:U653)+W653</f>
        <v>39300</v>
      </c>
      <c r="Z653">
        <v>0</v>
      </c>
      <c r="AA653">
        <f>X653*0.038</f>
        <v>1295.8</v>
      </c>
      <c r="AB653">
        <f>X653*0.02</f>
        <v>682</v>
      </c>
      <c r="AC653">
        <f>Y653*0.1</f>
        <v>3930</v>
      </c>
      <c r="AD653">
        <f>X653-AA653-AB653</f>
        <v>32122.199999999997</v>
      </c>
      <c r="AE653">
        <f>Y653-AC653</f>
        <v>35370</v>
      </c>
      <c r="AF653">
        <f>AD653*0.01</f>
        <v>321.222</v>
      </c>
      <c r="AG653">
        <f>AD653-Q653-AF653-T653</f>
        <v>5600.9779999999955</v>
      </c>
      <c r="AH653">
        <f>AE653-Q653-AF653-T653</f>
        <v>8848.777999999998</v>
      </c>
      <c r="AI653">
        <f>AG653/X653</f>
        <v>0.16425155425219928</v>
      </c>
      <c r="AJ653">
        <f>AH653/Y653</f>
        <v>0.22515974554707374</v>
      </c>
      <c r="AK653">
        <v>15000</v>
      </c>
      <c r="AL653">
        <f>X653-AK653</f>
        <v>19100</v>
      </c>
    </row>
    <row r="654">
      <c r="A654" t="str">
        <f>HYPERLINK("https://smartstore.naver.com/brickstore2019/products/4765987753","4765987753")</f>
        <v>4765987753</v>
      </c>
      <c r="C654" t="str">
        <v>웨이퍼페이퍼 오아시스 공급 100매 Oasis Supply Wafer Paper</v>
      </c>
      <c r="D654" t="str">
        <v>Fg</v>
      </c>
      <c r="F654" t="str">
        <v>100매</v>
      </c>
      <c r="G654" t="str">
        <v>A</v>
      </c>
      <c r="J654">
        <v>24</v>
      </c>
      <c r="K654">
        <v>1.5</v>
      </c>
      <c r="L654">
        <f>IF(K654&gt;0,K654*16,)</f>
        <v>24</v>
      </c>
      <c r="M654">
        <f>IF(K654&gt;0,K654*0.453592,IF(L654&gt;0,L654*0.02835,))</f>
        <v>0.680388</v>
      </c>
      <c r="N654">
        <v>0</v>
      </c>
      <c r="O654">
        <v>0</v>
      </c>
      <c r="P654">
        <f>J654+O654+N654</f>
        <v>24</v>
      </c>
      <c r="Q654">
        <f>P654*C$3</f>
        <v>30000</v>
      </c>
      <c r="R654">
        <v>0</v>
      </c>
      <c r="S654">
        <f>ROUND(SUM(Q654:R654), -2)</f>
        <v>30000</v>
      </c>
      <c r="T654">
        <f>ROUNDUP(HLOOKUP(ROUNDUP(K654,0),'배송비 조회'!A$10:AE$22,7,0)*C$3,-2)</f>
        <v>11200</v>
      </c>
      <c r="U654">
        <v>0</v>
      </c>
      <c r="V654">
        <f>ROUND(IF(R654&gt;0,0,(S654+T654)*0.3),-2)</f>
        <v>12400</v>
      </c>
      <c r="W654">
        <f>ROUND(IF(R651&gt;0,0,(S654+T654)*0.5),-2)</f>
        <v>20600</v>
      </c>
      <c r="X654">
        <f>SUM(S654:V654)</f>
        <v>53600</v>
      </c>
      <c r="Y654">
        <f>SUM(S654:U654)+W654</f>
        <v>61800</v>
      </c>
      <c r="Z654">
        <v>0</v>
      </c>
      <c r="AA654">
        <f>X654*0.038</f>
        <v>2036.8</v>
      </c>
      <c r="AB654">
        <f>X654*0.02</f>
        <v>1072</v>
      </c>
      <c r="AC654">
        <f>Y654*0.1</f>
        <v>6180</v>
      </c>
      <c r="AD654">
        <f>X654-AA654-AB654</f>
        <v>50491.2</v>
      </c>
      <c r="AE654">
        <f>Y654-AC654</f>
        <v>55620</v>
      </c>
      <c r="AF654">
        <f>AD654*0.01</f>
        <v>504.912</v>
      </c>
      <c r="AG654">
        <f>AD654-Q654-AF654-T654</f>
        <v>8786.287999999997</v>
      </c>
      <c r="AH654">
        <f>AE654-Q654-AF654-T654</f>
        <v>13915.088</v>
      </c>
      <c r="AI654">
        <f>AG654/X654</f>
        <v>0.1639232835820895</v>
      </c>
      <c r="AJ654">
        <f>AH654/Y654</f>
        <v>0.2251632362459547</v>
      </c>
      <c r="AK654">
        <v>15000</v>
      </c>
      <c r="AL654">
        <f>X654-AK654</f>
        <v>38600</v>
      </c>
      <c r="AM654">
        <f>AL654-AL653</f>
        <v>19500</v>
      </c>
    </row>
    <row r="655" xml:space="preserve">
      <c r="A655" t="str">
        <f>HYPERLINK("https://smartstore.naver.com/brickstore2019/products/4768152640","4768152640")</f>
        <v>4768152640</v>
      </c>
      <c r="C655" t="str">
        <v>인케이스 슬링백 dslr 가방 Incase CL58067</v>
      </c>
      <c r="E655" t="str" xml:space="preserve">
        <v xml:space="preserve">Incase Designs DSLR Sling Pack, Black 2, One Size_x000d_
</v>
      </c>
      <c r="G655" t="str">
        <f>HYPERLINK("https://www.amazon.com/Incase-DSLR-Sling-Backpack-Black/dp/B00T6SIRAC/ref=sr_1_7?crid=YRFQ20OJBNQN&amp;dchild=1&amp;keywords=incase+camera+side+bag&amp;qid=1576989213&amp;sprefix=incase+ca%2Caps%2C376&amp;sr=8-7","A")</f>
        <v>A</v>
      </c>
      <c r="J655">
        <v>70</v>
      </c>
      <c r="K655">
        <v>1.8</v>
      </c>
      <c r="L655">
        <f>IF(K655&gt;0,K655*16,)</f>
        <v>28.8</v>
      </c>
      <c r="M655">
        <f>IF(K655&gt;0,K655*0.453592,IF(L655&gt;0,L655*0.02835,))</f>
        <v>0.8164656</v>
      </c>
      <c r="N655">
        <v>0</v>
      </c>
      <c r="O655">
        <v>0</v>
      </c>
      <c r="P655">
        <f>J655+O655+N655</f>
        <v>70</v>
      </c>
      <c r="Q655">
        <f>P655*C$3</f>
        <v>87500</v>
      </c>
      <c r="R655">
        <v>0</v>
      </c>
      <c r="S655">
        <f>ROUND(SUM(Q655:R655), -2)</f>
        <v>87500</v>
      </c>
      <c r="T655">
        <f>ROUNDUP(HLOOKUP(ROUNDUP(K655,0),'배송비 조회'!A$10:AE$22,7,0)*C$3,-2)</f>
        <v>11200</v>
      </c>
      <c r="U655">
        <v>0</v>
      </c>
      <c r="V655">
        <f>ROUND(IF(R655&gt;0,0,(S655+T655)*0.3),-2)</f>
        <v>29600</v>
      </c>
      <c r="W655">
        <f>ROUND(IF(R652&gt;0,0,(S655+T655)*0.5),-2)</f>
        <v>49400</v>
      </c>
      <c r="X655">
        <f>SUM(S655:V655)</f>
        <v>128300</v>
      </c>
      <c r="Y655">
        <f>SUM(S655:U655)+W655</f>
        <v>148100</v>
      </c>
      <c r="Z655">
        <v>0</v>
      </c>
      <c r="AA655">
        <f>X655*0.038</f>
        <v>4875.4</v>
      </c>
      <c r="AB655">
        <f>X655*0.02</f>
        <v>2566</v>
      </c>
      <c r="AC655">
        <f>Y655*0.1</f>
        <v>14810</v>
      </c>
      <c r="AD655">
        <f>X655-AA655-AB655</f>
        <v>120858.6</v>
      </c>
      <c r="AE655">
        <f>Y655-AC655</f>
        <v>133290</v>
      </c>
      <c r="AF655">
        <f>AD655*0.01</f>
        <v>1208.586</v>
      </c>
      <c r="AG655">
        <f>AD655-Q655-AF655-T655</f>
        <v>20950.014000000006</v>
      </c>
      <c r="AH655">
        <f>AE655-Q655-AF655-T655</f>
        <v>33381.414</v>
      </c>
      <c r="AI655">
        <f>AG655/X655</f>
        <v>0.16328927513639913</v>
      </c>
      <c r="AJ655">
        <f>AH655/Y655</f>
        <v>0.22539779878460497</v>
      </c>
      <c r="AK655">
        <v>20000</v>
      </c>
      <c r="AL655">
        <f>X655-AK655</f>
        <v>108300</v>
      </c>
    </row>
    <row r="656" xml:space="preserve">
      <c r="A656" t="str">
        <f>HYPERLINK("https://smartstore.naver.com/brickstore2019/products/4768174627","4768174627")</f>
        <v>4768174627</v>
      </c>
      <c r="C656" t="str">
        <v>인케이스 슬링백 카메라 맥북 수납 가능 Incase CL58067</v>
      </c>
      <c r="E656" t="str" xml:space="preserve">
        <v xml:space="preserve">Incase DSLR Sling Pack_x000d_
</v>
      </c>
      <c r="F656" t="str">
        <v>Black</v>
      </c>
      <c r="G656" t="str">
        <v>A</v>
      </c>
      <c r="J656">
        <v>63</v>
      </c>
      <c r="K656">
        <v>2</v>
      </c>
      <c r="L656">
        <f>IF(K656&gt;0,K656*16,)</f>
        <v>32</v>
      </c>
      <c r="M656">
        <f>IF(K656&gt;0,K656*0.453592,IF(L656&gt;0,L656*0.02835,))</f>
        <v>0.907184</v>
      </c>
      <c r="N656">
        <v>0</v>
      </c>
      <c r="O656">
        <v>0</v>
      </c>
      <c r="P656">
        <f>J656+O656+N656</f>
        <v>63</v>
      </c>
      <c r="Q656">
        <f>P656*C$3</f>
        <v>78750</v>
      </c>
      <c r="R656">
        <v>0</v>
      </c>
      <c r="S656">
        <f>ROUND(SUM(Q656:R656), -2)</f>
        <v>78800</v>
      </c>
      <c r="T656">
        <f>ROUNDUP(HLOOKUP(ROUNDUP(K656,0),'배송비 조회'!A$10:AE$22,7,0)*C$3,-2)</f>
        <v>11200</v>
      </c>
      <c r="U656">
        <v>0</v>
      </c>
      <c r="V656">
        <f>ROUND(IF(R652&gt;0,0,(S656+T656)*0.3),-2)</f>
        <v>27000</v>
      </c>
      <c r="W656">
        <f>ROUND(IF(R652&gt;0,0,(S656+T656)*0.5),-2)</f>
        <v>45000</v>
      </c>
      <c r="X656">
        <f>SUM(S656:V656)</f>
        <v>117000</v>
      </c>
      <c r="Y656">
        <f>SUM(S656:U656)+W656</f>
        <v>135000</v>
      </c>
      <c r="Z656">
        <v>0</v>
      </c>
      <c r="AA656">
        <f>X656*0.038</f>
        <v>4446</v>
      </c>
      <c r="AB656">
        <f>X656*0.02</f>
        <v>2340</v>
      </c>
      <c r="AC656">
        <f>Y656*0.1</f>
        <v>13500</v>
      </c>
      <c r="AD656">
        <f>X656-AA656-AB656</f>
        <v>110214</v>
      </c>
      <c r="AE656">
        <f>Y656-AC656</f>
        <v>121500</v>
      </c>
      <c r="AF656">
        <f>AD656*0.01</f>
        <v>1102.14</v>
      </c>
      <c r="AG656">
        <f>AD656-Q656-AF656-T656</f>
        <v>19161.86</v>
      </c>
      <c r="AH656">
        <f>AE656-Q656-AF656-T656</f>
        <v>30447.86</v>
      </c>
      <c r="AI656">
        <f>AG656/X656</f>
        <v>0.1637765811965812</v>
      </c>
      <c r="AJ656">
        <f>AH656/Y656</f>
        <v>0.22553970370370371</v>
      </c>
      <c r="AK656">
        <v>20000</v>
      </c>
      <c r="AL656">
        <f>X656-AK656</f>
        <v>97000</v>
      </c>
    </row>
    <row r="657">
      <c r="F657" t="str">
        <v>Navy</v>
      </c>
      <c r="G657" t="str">
        <v>A</v>
      </c>
      <c r="J657">
        <v>63</v>
      </c>
      <c r="K657">
        <v>2</v>
      </c>
      <c r="L657">
        <f>IF(K657&gt;0,K657*16,)</f>
        <v>32</v>
      </c>
      <c r="M657">
        <f>IF(K657&gt;0,K657*0.453592,IF(L657&gt;0,L657*0.02835,))</f>
        <v>0.907184</v>
      </c>
      <c r="N657">
        <v>0</v>
      </c>
      <c r="O657">
        <v>0</v>
      </c>
      <c r="P657">
        <f>J657+O657+N657</f>
        <v>63</v>
      </c>
      <c r="Q657">
        <f>P657*C$3</f>
        <v>78750</v>
      </c>
      <c r="R657">
        <v>0</v>
      </c>
      <c r="S657">
        <f>ROUND(SUM(Q657:R657), -2)</f>
        <v>78800</v>
      </c>
      <c r="T657">
        <f>ROUNDUP(HLOOKUP(ROUNDUP(K657,0),'배송비 조회'!A$10:AE$22,7,0)*C$3,-2)</f>
        <v>11200</v>
      </c>
      <c r="U657">
        <v>0</v>
      </c>
      <c r="V657">
        <f>ROUND(IF(R653&gt;0,0,(S657+T657)*0.3),-2)</f>
        <v>27000</v>
      </c>
      <c r="W657">
        <f>ROUND(IF(R653&gt;0,0,(S657+T657)*0.5),-2)</f>
        <v>45000</v>
      </c>
      <c r="X657">
        <f>SUM(S657:V657)</f>
        <v>117000</v>
      </c>
      <c r="Y657">
        <f>SUM(S657:U657)+W657</f>
        <v>135000</v>
      </c>
      <c r="Z657">
        <v>0</v>
      </c>
      <c r="AA657">
        <f>X657*0.038</f>
        <v>4446</v>
      </c>
      <c r="AB657">
        <f>X657*0.02</f>
        <v>2340</v>
      </c>
      <c r="AC657">
        <f>Y657*0.1</f>
        <v>13500</v>
      </c>
      <c r="AD657">
        <f>X657-AA657-AB657</f>
        <v>110214</v>
      </c>
      <c r="AE657">
        <f>Y657-AC657</f>
        <v>121500</v>
      </c>
      <c r="AF657">
        <f>AD657*0.01</f>
        <v>1102.14</v>
      </c>
      <c r="AG657">
        <f>AD657-Q657-AF657-T657</f>
        <v>19161.86</v>
      </c>
      <c r="AH657">
        <f>AE657-Q657-AF657-T657</f>
        <v>30447.86</v>
      </c>
      <c r="AI657">
        <f>AG657/X657</f>
        <v>0.1637765811965812</v>
      </c>
      <c r="AJ657">
        <f>AH657/Y657</f>
        <v>0.22553970370370371</v>
      </c>
      <c r="AK657">
        <v>20000</v>
      </c>
      <c r="AL657">
        <f>X657-AK657</f>
        <v>97000</v>
      </c>
    </row>
    <row r="658">
      <c r="F658" t="str">
        <v>Anthracite</v>
      </c>
      <c r="G658" t="str">
        <v>A</v>
      </c>
      <c r="J658">
        <v>63</v>
      </c>
      <c r="K658">
        <v>2</v>
      </c>
      <c r="L658">
        <f>IF(K658&gt;0,K658*16,)</f>
        <v>32</v>
      </c>
      <c r="M658">
        <f>IF(K658&gt;0,K658*0.453592,IF(L658&gt;0,L658*0.02835,))</f>
        <v>0.907184</v>
      </c>
      <c r="N658">
        <v>0</v>
      </c>
      <c r="O658">
        <v>0</v>
      </c>
      <c r="P658">
        <f>J658+O658+N658</f>
        <v>63</v>
      </c>
      <c r="Q658">
        <f>P658*C$3</f>
        <v>78750</v>
      </c>
      <c r="R658">
        <v>0</v>
      </c>
      <c r="S658">
        <f>ROUND(SUM(Q658:R658), -2)</f>
        <v>78800</v>
      </c>
      <c r="T658">
        <f>ROUNDUP(HLOOKUP(ROUNDUP(K658,0),'배송비 조회'!A$10:AE$22,7,0)*C$3,-2)</f>
        <v>11200</v>
      </c>
      <c r="U658">
        <v>0</v>
      </c>
      <c r="V658">
        <f>ROUND(IF(R654&gt;0,0,(S658+T658)*0.3),-2)</f>
        <v>27000</v>
      </c>
      <c r="W658">
        <f>ROUND(IF(R654&gt;0,0,(S658+T658)*0.5),-2)</f>
        <v>45000</v>
      </c>
      <c r="X658">
        <f>SUM(S658:V658)</f>
        <v>117000</v>
      </c>
      <c r="Y658">
        <f>SUM(S658:U658)+W658</f>
        <v>135000</v>
      </c>
      <c r="Z658">
        <v>0</v>
      </c>
      <c r="AA658">
        <f>X658*0.038</f>
        <v>4446</v>
      </c>
      <c r="AB658">
        <f>X658*0.02</f>
        <v>2340</v>
      </c>
      <c r="AC658">
        <f>Y658*0.1</f>
        <v>13500</v>
      </c>
      <c r="AD658">
        <f>X658-AA658-AB658</f>
        <v>110214</v>
      </c>
      <c r="AE658">
        <f>Y658-AC658</f>
        <v>121500</v>
      </c>
      <c r="AF658">
        <f>AD658*0.01</f>
        <v>1102.14</v>
      </c>
      <c r="AG658">
        <f>AD658-Q658-AF658-T658</f>
        <v>19161.86</v>
      </c>
      <c r="AH658">
        <f>AE658-Q658-AF658-T658</f>
        <v>30447.86</v>
      </c>
      <c r="AI658">
        <f>AG658/X658</f>
        <v>0.1637765811965812</v>
      </c>
      <c r="AJ658">
        <f>AH658/Y658</f>
        <v>0.22553970370370371</v>
      </c>
      <c r="AK658">
        <v>20000</v>
      </c>
      <c r="AL658">
        <f>X658-AK658</f>
        <v>97000</v>
      </c>
    </row>
    <row r="659">
      <c r="A659" t="str">
        <f>HYPERLINK("https://smartstore.naver.com/brickstore2019/products/4768344006","4768344006")</f>
        <v>4768344006</v>
      </c>
      <c r="C659" t="str">
        <v>커세어 K70 RGB MK.2 SE 레피드파이어 기계식 게이밍 키보드 스페셜 에디션</v>
      </c>
      <c r="E659" t="str">
        <v>CORSAIR K70 RGB MK.2 SE Mechanical RAPIDFIRE Gaming Keyboard - USB Passthrough &amp; Media Controls - PBT Double-Shot Keycaps - Cherry MX Speed - RGB LED Backlit</v>
      </c>
      <c r="G659" t="str">
        <f>HYPERLINK("https://www.amazon.com/CORSAIR-Mechanical-RAPIDFIRE-Gaming-Keyboard/dp/B07D5S24BP/ref=sr_1_4?keywords=K70%2BMK2%2BSE&amp;qid=1576923750&amp;sr=8-4&amp;th=1","A")</f>
        <v>A</v>
      </c>
      <c r="J659">
        <v>109.99</v>
      </c>
      <c r="K659">
        <v>4.2</v>
      </c>
      <c r="L659">
        <f>IF(K659&gt;0,K659*16,)</f>
        <v>67.2</v>
      </c>
      <c r="M659">
        <f>IF(K659&gt;0,K659*0.453592,IF(L659&gt;0,L659*0.02835,))</f>
        <v>1.9050864</v>
      </c>
      <c r="N659">
        <v>0</v>
      </c>
      <c r="O659">
        <v>0</v>
      </c>
      <c r="P659">
        <f>J659+O659+N659</f>
        <v>109.99</v>
      </c>
      <c r="Q659">
        <f>P659*C$3</f>
        <v>137487.5</v>
      </c>
      <c r="R659">
        <v>0</v>
      </c>
      <c r="S659">
        <f>ROUND(SUM(Q659:R659), -2)</f>
        <v>137500</v>
      </c>
      <c r="T659">
        <f>ROUNDUP(HLOOKUP(ROUNDUP(K659,0),'배송비 조회'!A$10:AE$22,7,0)*C$3,-2)</f>
        <v>17800</v>
      </c>
      <c r="U659">
        <v>0</v>
      </c>
      <c r="V659">
        <f>ROUND(IF(R655&gt;0,0,(S659+T659)*0.3),-2)</f>
        <v>46600</v>
      </c>
      <c r="W659">
        <f>ROUND(IF(R655&gt;0,0,(S659+T659)*0.5),-2)</f>
        <v>77700</v>
      </c>
      <c r="X659">
        <f>SUM(S659:V659)</f>
        <v>201900</v>
      </c>
      <c r="Y659">
        <f>SUM(S659:U659)+W659</f>
        <v>233000</v>
      </c>
      <c r="Z659">
        <v>0</v>
      </c>
      <c r="AA659">
        <f>X659*0.038</f>
        <v>7672.2</v>
      </c>
      <c r="AB659">
        <f>X659*0.02</f>
        <v>4038</v>
      </c>
      <c r="AC659">
        <f>Y659*0.1</f>
        <v>23300</v>
      </c>
      <c r="AD659">
        <f>X659-AA659-AB659</f>
        <v>190189.8</v>
      </c>
      <c r="AE659">
        <f>Y659-AC659</f>
        <v>209700</v>
      </c>
      <c r="AF659">
        <f>AD659*0.01</f>
        <v>1901.898</v>
      </c>
      <c r="AG659">
        <f>AD659-Q659-AF659-T659</f>
        <v>33000.40199999999</v>
      </c>
      <c r="AH659">
        <f>AE659-Q659-AF659-T659</f>
        <v>52510.602</v>
      </c>
      <c r="AI659">
        <f>AG659/X659</f>
        <v>0.16344924219910842</v>
      </c>
      <c r="AJ659">
        <f>AH659/Y659</f>
        <v>0.22536739055793992</v>
      </c>
    </row>
    <row r="660">
      <c r="G660" t="str">
        <v>A</v>
      </c>
      <c r="K660" t="str">
        <f>IF(L660&gt;0,L660*0.0625,)</f>
        <v>#REF!</v>
      </c>
      <c r="L660" t="str">
        <f>IF(K660&gt;0,K660*16,)</f>
        <v>#REF!</v>
      </c>
      <c r="M660" t="str">
        <f>IF(K660&gt;0,K660*0.453592,IF(L660&gt;0,L660*0.02835,))</f>
        <v>#REF!</v>
      </c>
      <c r="P660">
        <f>J660+O660+N660</f>
        <v>0</v>
      </c>
      <c r="Q660">
        <f>P660*C$3</f>
        <v>0</v>
      </c>
      <c r="R660">
        <v>0</v>
      </c>
      <c r="S660">
        <f>ROUND(SUM(Q660:R660), -2)</f>
        <v>0</v>
      </c>
      <c r="T660" t="str">
        <f>ROUNDUP(HLOOKUP(ROUNDUP(K660,0),'배송비 조회'!A$10:AE$22,7,0)*C$3,-2)</f>
        <v>#REF!</v>
      </c>
      <c r="U660">
        <v>0</v>
      </c>
      <c r="V660" t="str">
        <f>ROUND(IF(R656&gt;0,0,(S660+T660)*0.3),-2)</f>
        <v>#REF!</v>
      </c>
      <c r="W660" t="str">
        <f>ROUND(IF(R656&gt;0,0,(S660+T660)*0.5),-2)</f>
        <v>#REF!</v>
      </c>
      <c r="X660" t="str">
        <f>SUM(S660:V660)</f>
        <v>#REF!</v>
      </c>
      <c r="Y660" t="str">
        <f>SUM(S660:U660)+W660</f>
        <v>#REF!</v>
      </c>
      <c r="Z660">
        <v>0</v>
      </c>
      <c r="AA660" t="str">
        <f>X660*0.038</f>
        <v>#REF!</v>
      </c>
      <c r="AB660" t="str">
        <f>X660*0.02</f>
        <v>#REF!</v>
      </c>
      <c r="AC660" t="str">
        <f>Y660*0.1</f>
        <v>#REF!</v>
      </c>
      <c r="AD660" t="str">
        <f>X660-AA660-AB660</f>
        <v>#REF!</v>
      </c>
      <c r="AE660" t="str">
        <f>Y660-AC660</f>
        <v>#REF!</v>
      </c>
      <c r="AF660" t="str">
        <f>AD660*0.01</f>
        <v>#REF!</v>
      </c>
      <c r="AG660" t="str">
        <f>AD660-Q660-AF660-T660</f>
        <v>#REF!</v>
      </c>
      <c r="AH660" t="str">
        <f>AE660-Q660-AF660-T660</f>
        <v>#REF!</v>
      </c>
      <c r="AI660" t="str">
        <f>AG660/X660</f>
        <v>#REF!</v>
      </c>
      <c r="AJ660" t="str">
        <f>AH660/Y660</f>
        <v>#REF!</v>
      </c>
    </row>
    <row r="661">
      <c r="G661" t="str">
        <v>A</v>
      </c>
      <c r="K661" t="str">
        <f>IF(L661&gt;0,L661*0.0625,)</f>
        <v>#REF!</v>
      </c>
      <c r="L661" t="str">
        <f>IF(K661&gt;0,K661*16,)</f>
        <v>#REF!</v>
      </c>
      <c r="M661" t="str">
        <f>IF(K661&gt;0,K661*0.453592,IF(L661&gt;0,L661*0.02835,))</f>
        <v>#REF!</v>
      </c>
      <c r="P661">
        <f>J661+O661+N661</f>
        <v>0</v>
      </c>
      <c r="Q661">
        <f>P661*C$3</f>
        <v>0</v>
      </c>
      <c r="R661">
        <v>0</v>
      </c>
      <c r="S661">
        <f>ROUND(SUM(Q661:R661), -2)</f>
        <v>0</v>
      </c>
      <c r="T661" t="str">
        <f>ROUNDUP(HLOOKUP(ROUNDUP(K661,0),'배송비 조회'!A$10:AE$22,7,0)*C$3,-2)</f>
        <v>#REF!</v>
      </c>
      <c r="U661">
        <v>0</v>
      </c>
      <c r="V661" t="str">
        <f>ROUND(IF(R657&gt;0,0,(S661+T661)*0.3),-2)</f>
        <v>#REF!</v>
      </c>
      <c r="W661" t="str">
        <f>ROUND(IF(R657&gt;0,0,(S661+T661)*0.5),-2)</f>
        <v>#REF!</v>
      </c>
      <c r="X661" t="str">
        <f>SUM(S661:V661)</f>
        <v>#REF!</v>
      </c>
      <c r="Y661" t="str">
        <f>SUM(S661:U661)+W661</f>
        <v>#REF!</v>
      </c>
      <c r="Z661">
        <v>0</v>
      </c>
      <c r="AA661" t="str">
        <f>X661*0.038</f>
        <v>#REF!</v>
      </c>
      <c r="AB661" t="str">
        <f>X661*0.02</f>
        <v>#REF!</v>
      </c>
      <c r="AC661" t="str">
        <f>Y661*0.1</f>
        <v>#REF!</v>
      </c>
      <c r="AD661" t="str">
        <f>X661-AA661-AB661</f>
        <v>#REF!</v>
      </c>
      <c r="AE661" t="str">
        <f>Y661-AC661</f>
        <v>#REF!</v>
      </c>
      <c r="AF661" t="str">
        <f>AD661*0.01</f>
        <v>#REF!</v>
      </c>
      <c r="AG661" t="str">
        <f>AD661-Q661-AF661-T661</f>
        <v>#REF!</v>
      </c>
      <c r="AH661" t="str">
        <f>AE661-Q661-AF661-T661</f>
        <v>#REF!</v>
      </c>
      <c r="AI661" t="str">
        <f>AG661/X661</f>
        <v>#REF!</v>
      </c>
      <c r="AJ661" t="str">
        <f>AH661/Y661</f>
        <v>#REF!</v>
      </c>
    </row>
    <row r="662">
      <c r="G662" t="str">
        <v>A</v>
      </c>
      <c r="K662" t="str">
        <f>IF(L662&gt;0,L662*0.0625,)</f>
        <v>#REF!</v>
      </c>
      <c r="L662" t="str">
        <f>IF(K662&gt;0,K662*16,)</f>
        <v>#REF!</v>
      </c>
      <c r="M662" t="str">
        <f>IF(K662&gt;0,K662*0.453592,IF(L662&gt;0,L662*0.02835,))</f>
        <v>#REF!</v>
      </c>
      <c r="P662">
        <f>J662+O662+N662</f>
        <v>0</v>
      </c>
      <c r="Q662">
        <f>P662*C$3</f>
        <v>0</v>
      </c>
      <c r="R662">
        <v>0</v>
      </c>
      <c r="S662">
        <f>ROUND(SUM(Q662:R662), -2)</f>
        <v>0</v>
      </c>
      <c r="T662" t="str">
        <f>ROUNDUP(HLOOKUP(ROUNDUP(K662,0),'배송비 조회'!A$10:AE$22,7,0)*C$3,-2)</f>
        <v>#REF!</v>
      </c>
      <c r="U662">
        <v>0</v>
      </c>
      <c r="V662" t="str">
        <f>ROUND(IF(R658&gt;0,0,(S662+T662)*0.3),-2)</f>
        <v>#REF!</v>
      </c>
      <c r="W662" t="str">
        <f>ROUND(IF(R658&gt;0,0,(S662+T662)*0.5),-2)</f>
        <v>#REF!</v>
      </c>
      <c r="X662" t="str">
        <f>SUM(S662:V662)</f>
        <v>#REF!</v>
      </c>
      <c r="Y662" t="str">
        <f>SUM(S662:U662)+W662</f>
        <v>#REF!</v>
      </c>
      <c r="Z662">
        <v>0</v>
      </c>
      <c r="AA662" t="str">
        <f>X662*0.038</f>
        <v>#REF!</v>
      </c>
      <c r="AB662" t="str">
        <f>X662*0.02</f>
        <v>#REF!</v>
      </c>
      <c r="AC662" t="str">
        <f>Y662*0.1</f>
        <v>#REF!</v>
      </c>
      <c r="AD662" t="str">
        <f>X662-AA662-AB662</f>
        <v>#REF!</v>
      </c>
      <c r="AE662" t="str">
        <f>Y662-AC662</f>
        <v>#REF!</v>
      </c>
      <c r="AF662" t="str">
        <f>AD662*0.01</f>
        <v>#REF!</v>
      </c>
      <c r="AG662" t="str">
        <f>AD662-Q662-AF662-T662</f>
        <v>#REF!</v>
      </c>
      <c r="AH662" t="str">
        <f>AE662-Q662-AF662-T662</f>
        <v>#REF!</v>
      </c>
      <c r="AI662" t="str">
        <f>AG662/X662</f>
        <v>#REF!</v>
      </c>
      <c r="AJ662" t="str">
        <f>AH662/Y662</f>
        <v>#REF!</v>
      </c>
    </row>
    <row r="663">
      <c r="G663" t="str">
        <v>A</v>
      </c>
      <c r="K663" t="str">
        <f>IF(L663&gt;0,L663*0.0625,)</f>
        <v>#REF!</v>
      </c>
      <c r="L663" t="str">
        <f>IF(K663&gt;0,K663*16,)</f>
        <v>#REF!</v>
      </c>
      <c r="M663" t="str">
        <f>IF(K663&gt;0,K663*0.453592,IF(L663&gt;0,L663*0.02835,))</f>
        <v>#REF!</v>
      </c>
      <c r="P663">
        <f>J663+O663+N663</f>
        <v>0</v>
      </c>
      <c r="Q663">
        <f>P663*C$3</f>
        <v>0</v>
      </c>
      <c r="R663">
        <v>0</v>
      </c>
      <c r="S663">
        <f>ROUND(SUM(Q663:R663), -2)</f>
        <v>0</v>
      </c>
      <c r="T663" t="str">
        <f>ROUNDUP(HLOOKUP(ROUNDUP(K663,0),'배송비 조회'!A$10:AE$22,7,0)*C$3,-2)</f>
        <v>#REF!</v>
      </c>
      <c r="U663">
        <v>0</v>
      </c>
      <c r="V663" t="str">
        <f>ROUND(IF(R659&gt;0,0,(S663+T663)*0.3),-2)</f>
        <v>#REF!</v>
      </c>
      <c r="W663" t="str">
        <f>ROUND(IF(R659&gt;0,0,(S663+T663)*0.5),-2)</f>
        <v>#REF!</v>
      </c>
      <c r="X663" t="str">
        <f>SUM(S663:V663)</f>
        <v>#REF!</v>
      </c>
      <c r="Y663" t="str">
        <f>SUM(S663:U663)+W663</f>
        <v>#REF!</v>
      </c>
      <c r="Z663">
        <v>0</v>
      </c>
      <c r="AA663" t="str">
        <f>X663*0.038</f>
        <v>#REF!</v>
      </c>
      <c r="AB663" t="str">
        <f>X663*0.02</f>
        <v>#REF!</v>
      </c>
      <c r="AC663" t="str">
        <f>Y663*0.1</f>
        <v>#REF!</v>
      </c>
      <c r="AD663" t="str">
        <f>X663-AA663-AB663</f>
        <v>#REF!</v>
      </c>
      <c r="AE663" t="str">
        <f>Y663-AC663</f>
        <v>#REF!</v>
      </c>
      <c r="AF663" t="str">
        <f>AD663*0.01</f>
        <v>#REF!</v>
      </c>
      <c r="AG663" t="str">
        <f>AD663-Q663-AF663-T663</f>
        <v>#REF!</v>
      </c>
      <c r="AH663" t="str">
        <f>AE663-Q663-AF663-T663</f>
        <v>#REF!</v>
      </c>
      <c r="AI663" t="str">
        <f>AG663/X663</f>
        <v>#REF!</v>
      </c>
      <c r="AJ663" t="str">
        <f>AH663/Y663</f>
        <v>#REF!</v>
      </c>
    </row>
    <row r="664">
      <c r="G664" t="str">
        <v>A</v>
      </c>
      <c r="K664" t="str">
        <f>IF(L664&gt;0,L664*0.0625,)</f>
        <v>#REF!</v>
      </c>
      <c r="L664" t="str">
        <f>IF(K664&gt;0,K664*16,)</f>
        <v>#REF!</v>
      </c>
      <c r="M664" t="str">
        <f>IF(K664&gt;0,K664*0.453592,IF(L664&gt;0,L664*0.02835,))</f>
        <v>#REF!</v>
      </c>
      <c r="P664">
        <f>J664+O664+N664</f>
        <v>0</v>
      </c>
      <c r="Q664">
        <f>P664*C$3</f>
        <v>0</v>
      </c>
      <c r="R664">
        <v>0</v>
      </c>
      <c r="S664">
        <f>ROUND(SUM(Q664:R664), -2)</f>
        <v>0</v>
      </c>
      <c r="T664" t="str">
        <f>ROUNDUP(HLOOKUP(ROUNDUP(K664,0),'배송비 조회'!A$10:AE$22,7,0)*C$3,-2)</f>
        <v>#REF!</v>
      </c>
      <c r="U664">
        <v>0</v>
      </c>
      <c r="V664" t="str">
        <f>ROUND(IF(R660&gt;0,0,(S664+T664)*0.3),-2)</f>
        <v>#REF!</v>
      </c>
      <c r="W664" t="str">
        <f>ROUND(IF(R660&gt;0,0,(S664+T664)*0.5),-2)</f>
        <v>#REF!</v>
      </c>
      <c r="X664" t="str">
        <f>SUM(S664:V664)</f>
        <v>#REF!</v>
      </c>
      <c r="Y664" t="str">
        <f>SUM(S664:U664)+W664</f>
        <v>#REF!</v>
      </c>
      <c r="Z664">
        <v>0</v>
      </c>
      <c r="AA664" t="str">
        <f>X664*0.038</f>
        <v>#REF!</v>
      </c>
      <c r="AB664" t="str">
        <f>X664*0.02</f>
        <v>#REF!</v>
      </c>
      <c r="AC664" t="str">
        <f>Y664*0.1</f>
        <v>#REF!</v>
      </c>
      <c r="AD664" t="str">
        <f>X664-AA664-AB664</f>
        <v>#REF!</v>
      </c>
      <c r="AE664" t="str">
        <f>Y664-AC664</f>
        <v>#REF!</v>
      </c>
      <c r="AF664" t="str">
        <f>AD664*0.01</f>
        <v>#REF!</v>
      </c>
      <c r="AG664" t="str">
        <f>AD664-Q664-AF664-T664</f>
        <v>#REF!</v>
      </c>
      <c r="AH664" t="str">
        <f>AE664-Q664-AF664-T664</f>
        <v>#REF!</v>
      </c>
      <c r="AI664" t="str">
        <f>AG664/X664</f>
        <v>#REF!</v>
      </c>
      <c r="AJ664" t="str">
        <f>AH664/Y664</f>
        <v>#REF!</v>
      </c>
    </row>
    <row r="665">
      <c r="G665" t="str">
        <v>A</v>
      </c>
      <c r="K665" t="str">
        <f>IF(L665&gt;0,L665*0.0625,)</f>
        <v>#REF!</v>
      </c>
      <c r="L665" t="str">
        <f>IF(K665&gt;0,K665*16,)</f>
        <v>#REF!</v>
      </c>
      <c r="M665" t="str">
        <f>IF(K665&gt;0,K665*0.453592,IF(L665&gt;0,L665*0.02835,))</f>
        <v>#REF!</v>
      </c>
      <c r="P665">
        <f>J665+O665+N665</f>
        <v>0</v>
      </c>
      <c r="Q665">
        <f>P665*C$3</f>
        <v>0</v>
      </c>
      <c r="R665">
        <v>0</v>
      </c>
      <c r="S665">
        <f>ROUND(SUM(Q665:R665), -2)</f>
        <v>0</v>
      </c>
      <c r="T665" t="str">
        <f>ROUNDUP(HLOOKUP(ROUNDUP(K665,0),'배송비 조회'!A$10:AE$22,7,0)*C$3,-2)</f>
        <v>#REF!</v>
      </c>
      <c r="U665">
        <v>0</v>
      </c>
      <c r="V665" t="str">
        <f>ROUND(IF(R661&gt;0,0,(S665+T665)*0.3),-2)</f>
        <v>#REF!</v>
      </c>
      <c r="W665" t="str">
        <f>ROUND(IF(R661&gt;0,0,(S665+T665)*0.5),-2)</f>
        <v>#REF!</v>
      </c>
      <c r="X665" t="str">
        <f>SUM(S665:V665)</f>
        <v>#REF!</v>
      </c>
      <c r="Y665" t="str">
        <f>SUM(S665:U665)+W665</f>
        <v>#REF!</v>
      </c>
      <c r="Z665">
        <v>0</v>
      </c>
      <c r="AA665" t="str">
        <f>X665*0.038</f>
        <v>#REF!</v>
      </c>
      <c r="AB665" t="str">
        <f>X665*0.02</f>
        <v>#REF!</v>
      </c>
      <c r="AC665" t="str">
        <f>Y665*0.1</f>
        <v>#REF!</v>
      </c>
      <c r="AD665" t="str">
        <f>X665-AA665-AB665</f>
        <v>#REF!</v>
      </c>
      <c r="AE665" t="str">
        <f>Y665-AC665</f>
        <v>#REF!</v>
      </c>
      <c r="AF665" t="str">
        <f>AD665*0.01</f>
        <v>#REF!</v>
      </c>
      <c r="AG665" t="str">
        <f>AD665-Q665-AF665-T665</f>
        <v>#REF!</v>
      </c>
      <c r="AH665" t="str">
        <f>AE665-Q665-AF665-T665</f>
        <v>#REF!</v>
      </c>
      <c r="AI665" t="str">
        <f>AG665/X665</f>
        <v>#REF!</v>
      </c>
      <c r="AJ665" t="str">
        <f>AH665/Y665</f>
        <v>#REF!</v>
      </c>
    </row>
    <row r="666">
      <c r="G666" t="str">
        <v>A</v>
      </c>
      <c r="K666" t="str">
        <f>IF(L666&gt;0,L666*0.0625,)</f>
        <v>#REF!</v>
      </c>
      <c r="L666" t="str">
        <f>IF(K666&gt;0,K666*16,)</f>
        <v>#REF!</v>
      </c>
      <c r="M666" t="str">
        <f>IF(K666&gt;0,K666*0.453592,IF(L666&gt;0,L666*0.02835,))</f>
        <v>#REF!</v>
      </c>
      <c r="P666">
        <f>J666+O666+N666</f>
        <v>0</v>
      </c>
      <c r="Q666">
        <f>P666*C$3</f>
        <v>0</v>
      </c>
      <c r="R666">
        <v>0</v>
      </c>
      <c r="S666">
        <f>ROUND(SUM(Q666:R666), -2)</f>
        <v>0</v>
      </c>
      <c r="T666" t="str">
        <f>ROUNDUP(HLOOKUP(ROUNDUP(K666,0),'배송비 조회'!A$10:AE$22,7,0)*C$3,-2)</f>
        <v>#REF!</v>
      </c>
      <c r="U666">
        <v>0</v>
      </c>
      <c r="V666" t="str">
        <f>ROUND(IF(R662&gt;0,0,(S666+T666)*0.3),-2)</f>
        <v>#REF!</v>
      </c>
      <c r="W666" t="str">
        <f>ROUND(IF(R662&gt;0,0,(S666+T666)*0.5),-2)</f>
        <v>#REF!</v>
      </c>
      <c r="X666" t="str">
        <f>SUM(S666:V666)</f>
        <v>#REF!</v>
      </c>
      <c r="Y666" t="str">
        <f>SUM(S666:U666)+W666</f>
        <v>#REF!</v>
      </c>
      <c r="Z666">
        <v>0</v>
      </c>
      <c r="AA666" t="str">
        <f>X666*0.038</f>
        <v>#REF!</v>
      </c>
      <c r="AB666" t="str">
        <f>X666*0.02</f>
        <v>#REF!</v>
      </c>
      <c r="AC666" t="str">
        <f>Y666*0.1</f>
        <v>#REF!</v>
      </c>
      <c r="AD666" t="str">
        <f>X666-AA666-AB666</f>
        <v>#REF!</v>
      </c>
      <c r="AE666" t="str">
        <f>Y666-AC666</f>
        <v>#REF!</v>
      </c>
      <c r="AF666" t="str">
        <f>AD666*0.01</f>
        <v>#REF!</v>
      </c>
      <c r="AG666" t="str">
        <f>AD666-Q666-AF666-T666</f>
        <v>#REF!</v>
      </c>
      <c r="AH666" t="str">
        <f>AE666-Q666-AF666-T666</f>
        <v>#REF!</v>
      </c>
      <c r="AI666" t="str">
        <f>AG666/X666</f>
        <v>#REF!</v>
      </c>
      <c r="AJ666" t="str">
        <f>AH666/Y666</f>
        <v>#REF!</v>
      </c>
    </row>
    <row r="667">
      <c r="G667" t="str">
        <v>A</v>
      </c>
      <c r="K667" t="str">
        <f>IF(L667&gt;0,L667*0.0625,)</f>
        <v>#REF!</v>
      </c>
      <c r="L667" t="str">
        <f>IF(K667&gt;0,K667*16,)</f>
        <v>#REF!</v>
      </c>
      <c r="M667" t="str">
        <f>IF(K667&gt;0,K667*0.453592,IF(L667&gt;0,L667*0.02835,))</f>
        <v>#REF!</v>
      </c>
      <c r="P667">
        <f>J667+O667+N667</f>
        <v>0</v>
      </c>
      <c r="Q667">
        <f>P667*C$3</f>
        <v>0</v>
      </c>
      <c r="R667">
        <v>0</v>
      </c>
      <c r="S667">
        <f>ROUND(SUM(Q667:R667), -2)</f>
        <v>0</v>
      </c>
      <c r="T667" t="str">
        <f>ROUNDUP(HLOOKUP(ROUNDUP(K667,0),'배송비 조회'!A$10:AE$22,7,0)*C$3,-2)</f>
        <v>#REF!</v>
      </c>
      <c r="U667">
        <v>0</v>
      </c>
      <c r="V667" t="str">
        <f>ROUND(IF(R663&gt;0,0,(S667+T667)*0.3),-2)</f>
        <v>#REF!</v>
      </c>
      <c r="W667" t="str">
        <f>ROUND(IF(R663&gt;0,0,(S667+T667)*0.5),-2)</f>
        <v>#REF!</v>
      </c>
      <c r="X667" t="str">
        <f>SUM(S667:V667)</f>
        <v>#REF!</v>
      </c>
      <c r="Y667" t="str">
        <f>SUM(S667:U667)+W667</f>
        <v>#REF!</v>
      </c>
      <c r="Z667">
        <v>0</v>
      </c>
      <c r="AA667" t="str">
        <f>X667*0.038</f>
        <v>#REF!</v>
      </c>
      <c r="AB667" t="str">
        <f>X667*0.02</f>
        <v>#REF!</v>
      </c>
      <c r="AC667" t="str">
        <f>Y667*0.1</f>
        <v>#REF!</v>
      </c>
      <c r="AD667" t="str">
        <f>X667-AA667-AB667</f>
        <v>#REF!</v>
      </c>
      <c r="AE667" t="str">
        <f>Y667-AC667</f>
        <v>#REF!</v>
      </c>
      <c r="AF667" t="str">
        <f>AD667*0.01</f>
        <v>#REF!</v>
      </c>
      <c r="AG667" t="str">
        <f>AD667-Q667-AF667-T667</f>
        <v>#REF!</v>
      </c>
      <c r="AH667" t="str">
        <f>AE667-Q667-AF667-T667</f>
        <v>#REF!</v>
      </c>
      <c r="AI667" t="str">
        <f>AG667/X667</f>
        <v>#REF!</v>
      </c>
      <c r="AJ667" t="str">
        <f>AH667/Y667</f>
        <v>#REF!</v>
      </c>
    </row>
    <row r="668">
      <c r="G668" t="str">
        <v>A</v>
      </c>
      <c r="K668" t="str">
        <f>IF(L668&gt;0,L668*0.0625,)</f>
        <v>#REF!</v>
      </c>
      <c r="L668" t="str">
        <f>IF(K668&gt;0,K668*16,)</f>
        <v>#REF!</v>
      </c>
      <c r="M668" t="str">
        <f>IF(K668&gt;0,K668*0.453592,IF(L668&gt;0,L668*0.02835,))</f>
        <v>#REF!</v>
      </c>
      <c r="P668">
        <f>J668+O668+N668</f>
        <v>0</v>
      </c>
      <c r="Q668">
        <f>P668*C$3</f>
        <v>0</v>
      </c>
      <c r="R668">
        <v>0</v>
      </c>
      <c r="S668">
        <f>ROUND(SUM(Q668:R668), -2)</f>
        <v>0</v>
      </c>
      <c r="T668" t="str">
        <f>ROUNDUP(HLOOKUP(ROUNDUP(K668,0),'배송비 조회'!A$10:AE$22,7,0)*C$3,-2)</f>
        <v>#REF!</v>
      </c>
      <c r="U668">
        <v>0</v>
      </c>
      <c r="V668" t="str">
        <f>ROUND(IF(R664&gt;0,0,(S668+T668)*0.3),-2)</f>
        <v>#REF!</v>
      </c>
      <c r="W668" t="str">
        <f>ROUND(IF(R664&gt;0,0,(S668+T668)*0.5),-2)</f>
        <v>#REF!</v>
      </c>
      <c r="X668" t="str">
        <f>SUM(S668:V668)</f>
        <v>#REF!</v>
      </c>
      <c r="Y668" t="str">
        <f>SUM(S668:U668)+W668</f>
        <v>#REF!</v>
      </c>
      <c r="Z668">
        <v>0</v>
      </c>
      <c r="AA668" t="str">
        <f>X668*0.038</f>
        <v>#REF!</v>
      </c>
      <c r="AB668" t="str">
        <f>X668*0.02</f>
        <v>#REF!</v>
      </c>
      <c r="AC668" t="str">
        <f>Y668*0.1</f>
        <v>#REF!</v>
      </c>
      <c r="AD668" t="str">
        <f>X668-AA668-AB668</f>
        <v>#REF!</v>
      </c>
      <c r="AE668" t="str">
        <f>Y668-AC668</f>
        <v>#REF!</v>
      </c>
      <c r="AF668" t="str">
        <f>AD668*0.01</f>
        <v>#REF!</v>
      </c>
      <c r="AG668" t="str">
        <f>AD668-Q668-AF668-T668</f>
        <v>#REF!</v>
      </c>
      <c r="AH668" t="str">
        <f>AE668-Q668-AF668-T668</f>
        <v>#REF!</v>
      </c>
      <c r="AI668" t="str">
        <f>AG668/X668</f>
        <v>#REF!</v>
      </c>
      <c r="AJ668" t="str">
        <f>AH668/Y668</f>
        <v>#REF!</v>
      </c>
    </row>
    <row r="669">
      <c r="G669" t="str">
        <v>A</v>
      </c>
      <c r="K669" t="str">
        <f>IF(L669&gt;0,L669*0.0625,)</f>
        <v>#REF!</v>
      </c>
      <c r="L669" t="str">
        <f>IF(K669&gt;0,K669*16,)</f>
        <v>#REF!</v>
      </c>
      <c r="M669" t="str">
        <f>IF(K669&gt;0,K669*0.453592,IF(L669&gt;0,L669*0.02835,))</f>
        <v>#REF!</v>
      </c>
      <c r="P669">
        <f>J669+O669+N669</f>
        <v>0</v>
      </c>
      <c r="Q669">
        <f>P669*C$3</f>
        <v>0</v>
      </c>
      <c r="R669">
        <v>0</v>
      </c>
      <c r="S669">
        <f>ROUND(SUM(Q669:R669), -2)</f>
        <v>0</v>
      </c>
      <c r="T669" t="str">
        <f>ROUNDUP(HLOOKUP(ROUNDUP(K669,0),'배송비 조회'!A$10:AE$22,7,0)*C$3,-2)</f>
        <v>#REF!</v>
      </c>
      <c r="U669">
        <v>0</v>
      </c>
      <c r="V669" t="str">
        <f>ROUND(IF(R665&gt;0,0,(S669+T669)*0.3),-2)</f>
        <v>#REF!</v>
      </c>
      <c r="W669" t="str">
        <f>ROUND(IF(R665&gt;0,0,(S669+T669)*0.5),-2)</f>
        <v>#REF!</v>
      </c>
      <c r="X669" t="str">
        <f>SUM(S669:V669)</f>
        <v>#REF!</v>
      </c>
      <c r="Y669" t="str">
        <f>SUM(S669:U669)+W669</f>
        <v>#REF!</v>
      </c>
      <c r="Z669">
        <v>0</v>
      </c>
      <c r="AA669" t="str">
        <f>X669*0.038</f>
        <v>#REF!</v>
      </c>
      <c r="AB669" t="str">
        <f>X669*0.02</f>
        <v>#REF!</v>
      </c>
      <c r="AC669" t="str">
        <f>Y669*0.1</f>
        <v>#REF!</v>
      </c>
      <c r="AD669" t="str">
        <f>X669-AA669-AB669</f>
        <v>#REF!</v>
      </c>
      <c r="AE669" t="str">
        <f>Y669-AC669</f>
        <v>#REF!</v>
      </c>
      <c r="AF669" t="str">
        <f>AD669*0.01</f>
        <v>#REF!</v>
      </c>
      <c r="AG669" t="str">
        <f>AD669-Q669-AF669-T669</f>
        <v>#REF!</v>
      </c>
      <c r="AH669" t="str">
        <f>AE669-Q669-AF669-T669</f>
        <v>#REF!</v>
      </c>
      <c r="AI669" t="str">
        <f>AG669/X669</f>
        <v>#REF!</v>
      </c>
      <c r="AJ669" t="str">
        <f>AH669/Y669</f>
        <v>#REF!</v>
      </c>
    </row>
    <row r="670">
      <c r="G670" t="str">
        <v>A</v>
      </c>
      <c r="K670" t="str">
        <f>IF(L670&gt;0,L670*0.0625,)</f>
        <v>#REF!</v>
      </c>
      <c r="L670" t="str">
        <f>IF(K670&gt;0,K670*16,)</f>
        <v>#REF!</v>
      </c>
      <c r="M670" t="str">
        <f>IF(K670&gt;0,K670*0.453592,IF(L670&gt;0,L670*0.02835,))</f>
        <v>#REF!</v>
      </c>
      <c r="P670">
        <f>J670+O670+N670</f>
        <v>0</v>
      </c>
      <c r="Q670">
        <f>P670*C$3</f>
        <v>0</v>
      </c>
      <c r="R670">
        <v>0</v>
      </c>
      <c r="S670">
        <f>ROUND(SUM(Q670:R670), -2)</f>
        <v>0</v>
      </c>
      <c r="T670" t="str">
        <f>ROUNDUP(HLOOKUP(ROUNDUP(K670,0),'배송비 조회'!A$10:AE$22,7,0)*C$3,-2)</f>
        <v>#REF!</v>
      </c>
      <c r="U670">
        <v>0</v>
      </c>
      <c r="V670" t="str">
        <f>ROUND(IF(R666&gt;0,0,(S670+T670)*0.3),-2)</f>
        <v>#REF!</v>
      </c>
      <c r="W670" t="str">
        <f>ROUND(IF(R666&gt;0,0,(S670+T670)*0.5),-2)</f>
        <v>#REF!</v>
      </c>
      <c r="X670" t="str">
        <f>SUM(S670:V670)</f>
        <v>#REF!</v>
      </c>
      <c r="Y670" t="str">
        <f>SUM(S670:U670)+W670</f>
        <v>#REF!</v>
      </c>
      <c r="Z670">
        <v>0</v>
      </c>
      <c r="AA670" t="str">
        <f>X670*0.038</f>
        <v>#REF!</v>
      </c>
      <c r="AB670" t="str">
        <f>X670*0.02</f>
        <v>#REF!</v>
      </c>
      <c r="AC670" t="str">
        <f>Y670*0.1</f>
        <v>#REF!</v>
      </c>
      <c r="AD670" t="str">
        <f>X670-AA670-AB670</f>
        <v>#REF!</v>
      </c>
      <c r="AE670" t="str">
        <f>Y670-AC670</f>
        <v>#REF!</v>
      </c>
      <c r="AF670" t="str">
        <f>AD670*0.01</f>
        <v>#REF!</v>
      </c>
      <c r="AG670" t="str">
        <f>AD670-Q670-AF670-T670</f>
        <v>#REF!</v>
      </c>
      <c r="AH670" t="str">
        <f>AE670-Q670-AF670-T670</f>
        <v>#REF!</v>
      </c>
      <c r="AI670" t="str">
        <f>AG670/X670</f>
        <v>#REF!</v>
      </c>
      <c r="AJ670" t="str">
        <f>AH670/Y670</f>
        <v>#REF!</v>
      </c>
    </row>
    <row r="671">
      <c r="G671" t="str">
        <v>A</v>
      </c>
      <c r="K671" t="str">
        <f>IF(L671&gt;0,L671*0.0625,)</f>
        <v>#REF!</v>
      </c>
      <c r="L671" t="str">
        <f>IF(K671&gt;0,K671*16,)</f>
        <v>#REF!</v>
      </c>
      <c r="M671" t="str">
        <f>IF(K671&gt;0,K671*0.453592,IF(L671&gt;0,L671*0.02835,))</f>
        <v>#REF!</v>
      </c>
      <c r="P671">
        <f>J671+O671+N671</f>
        <v>0</v>
      </c>
      <c r="Q671">
        <f>P671*C$3</f>
        <v>0</v>
      </c>
      <c r="R671">
        <v>0</v>
      </c>
      <c r="S671">
        <f>ROUND(SUM(Q671:R671), -2)</f>
        <v>0</v>
      </c>
      <c r="T671" t="str">
        <f>ROUNDUP(HLOOKUP(ROUNDUP(K671,0),'배송비 조회'!A$10:AE$22,7,0)*C$3,-2)</f>
        <v>#REF!</v>
      </c>
      <c r="U671">
        <v>0</v>
      </c>
      <c r="V671" t="str">
        <f>ROUND(IF(R667&gt;0,0,(S671+T671)*0.3),-2)</f>
        <v>#REF!</v>
      </c>
      <c r="W671" t="str">
        <f>ROUND(IF(R667&gt;0,0,(S671+T671)*0.5),-2)</f>
        <v>#REF!</v>
      </c>
      <c r="X671" t="str">
        <f>SUM(S671:V671)</f>
        <v>#REF!</v>
      </c>
      <c r="Y671" t="str">
        <f>SUM(S671:U671)+W671</f>
        <v>#REF!</v>
      </c>
      <c r="Z671">
        <v>0</v>
      </c>
      <c r="AA671" t="str">
        <f>X671*0.038</f>
        <v>#REF!</v>
      </c>
      <c r="AB671" t="str">
        <f>X671*0.02</f>
        <v>#REF!</v>
      </c>
      <c r="AC671" t="str">
        <f>Y671*0.1</f>
        <v>#REF!</v>
      </c>
      <c r="AD671" t="str">
        <f>X671-AA671-AB671</f>
        <v>#REF!</v>
      </c>
      <c r="AE671" t="str">
        <f>Y671-AC671</f>
        <v>#REF!</v>
      </c>
      <c r="AF671" t="str">
        <f>AD671*0.01</f>
        <v>#REF!</v>
      </c>
      <c r="AG671" t="str">
        <f>AD671-Q671-AF671-T671</f>
        <v>#REF!</v>
      </c>
      <c r="AH671" t="str">
        <f>AE671-Q671-AF671-T671</f>
        <v>#REF!</v>
      </c>
      <c r="AI671" t="str">
        <f>AG671/X671</f>
        <v>#REF!</v>
      </c>
      <c r="AJ671" t="str">
        <f>AH671/Y671</f>
        <v>#REF!</v>
      </c>
    </row>
    <row r="672">
      <c r="G672" t="str">
        <v>A</v>
      </c>
      <c r="K672" t="str">
        <f>IF(L672&gt;0,L672*0.0625,)</f>
        <v>#REF!</v>
      </c>
      <c r="L672" t="str">
        <f>IF(K672&gt;0,K672*16,)</f>
        <v>#REF!</v>
      </c>
      <c r="M672" t="str">
        <f>IF(K672&gt;0,K672*0.453592,IF(L672&gt;0,L672*0.02835,))</f>
        <v>#REF!</v>
      </c>
      <c r="P672">
        <f>J672+O672+N672</f>
        <v>0</v>
      </c>
      <c r="Q672">
        <f>P672*C$3</f>
        <v>0</v>
      </c>
      <c r="R672">
        <v>0</v>
      </c>
      <c r="S672">
        <f>ROUND(SUM(Q672:R672), -2)</f>
        <v>0</v>
      </c>
      <c r="T672" t="str">
        <f>ROUNDUP(HLOOKUP(ROUNDUP(K672,0),'배송비 조회'!A$10:AE$22,7,0)*C$3,-2)</f>
        <v>#REF!</v>
      </c>
      <c r="U672">
        <v>0</v>
      </c>
      <c r="V672" t="str">
        <f>ROUND(IF(R668&gt;0,0,(S672+T672)*0.3),-2)</f>
        <v>#REF!</v>
      </c>
      <c r="W672" t="str">
        <f>ROUND(IF(R668&gt;0,0,(S672+T672)*0.5),-2)</f>
        <v>#REF!</v>
      </c>
      <c r="X672" t="str">
        <f>SUM(S672:V672)</f>
        <v>#REF!</v>
      </c>
      <c r="Y672" t="str">
        <f>SUM(S672:U672)+W672</f>
        <v>#REF!</v>
      </c>
      <c r="Z672">
        <v>0</v>
      </c>
      <c r="AA672" t="str">
        <f>X672*0.038</f>
        <v>#REF!</v>
      </c>
      <c r="AB672" t="str">
        <f>X672*0.02</f>
        <v>#REF!</v>
      </c>
      <c r="AC672" t="str">
        <f>Y672*0.1</f>
        <v>#REF!</v>
      </c>
      <c r="AD672" t="str">
        <f>X672-AA672-AB672</f>
        <v>#REF!</v>
      </c>
      <c r="AE672" t="str">
        <f>Y672-AC672</f>
        <v>#REF!</v>
      </c>
      <c r="AF672" t="str">
        <f>AD672*0.01</f>
        <v>#REF!</v>
      </c>
      <c r="AG672" t="str">
        <f>AD672-Q672-AF672-T672</f>
        <v>#REF!</v>
      </c>
      <c r="AH672" t="str">
        <f>AE672-Q672-AF672-T672</f>
        <v>#REF!</v>
      </c>
      <c r="AI672" t="str">
        <f>AG672/X672</f>
        <v>#REF!</v>
      </c>
      <c r="AJ672" t="str">
        <f>AH672/Y672</f>
        <v>#REF!</v>
      </c>
    </row>
    <row r="673">
      <c r="G673" t="str">
        <v>A</v>
      </c>
      <c r="K673" t="str">
        <f>IF(L673&gt;0,L673*0.0625,)</f>
        <v>#REF!</v>
      </c>
      <c r="L673" t="str">
        <f>IF(K673&gt;0,K673*16,)</f>
        <v>#REF!</v>
      </c>
      <c r="M673" t="str">
        <f>IF(K673&gt;0,K673*0.453592,IF(L673&gt;0,L673*0.02835,))</f>
        <v>#REF!</v>
      </c>
      <c r="P673">
        <f>J673+O673+N673</f>
        <v>0</v>
      </c>
      <c r="Q673">
        <f>P673*C$3</f>
        <v>0</v>
      </c>
      <c r="R673">
        <v>0</v>
      </c>
      <c r="S673">
        <f>ROUND(SUM(Q673:R673), -2)</f>
        <v>0</v>
      </c>
      <c r="T673" t="str">
        <f>ROUNDUP(HLOOKUP(ROUNDUP(K673,0),'배송비 조회'!A$10:AE$22,7,0)*C$3,-2)</f>
        <v>#REF!</v>
      </c>
      <c r="U673">
        <v>0</v>
      </c>
      <c r="V673" t="str">
        <f>ROUND(IF(R669&gt;0,0,(S673+T673)*0.3),-2)</f>
        <v>#REF!</v>
      </c>
      <c r="W673" t="str">
        <f>ROUND(IF(R669&gt;0,0,(S673+T673)*0.5),-2)</f>
        <v>#REF!</v>
      </c>
      <c r="X673" t="str">
        <f>SUM(S673:V673)</f>
        <v>#REF!</v>
      </c>
      <c r="Y673" t="str">
        <f>SUM(S673:U673)+W673</f>
        <v>#REF!</v>
      </c>
      <c r="Z673">
        <v>0</v>
      </c>
      <c r="AA673" t="str">
        <f>X673*0.038</f>
        <v>#REF!</v>
      </c>
      <c r="AB673" t="str">
        <f>X673*0.02</f>
        <v>#REF!</v>
      </c>
      <c r="AC673" t="str">
        <f>Y673*0.1</f>
        <v>#REF!</v>
      </c>
      <c r="AD673" t="str">
        <f>X673-AA673-AB673</f>
        <v>#REF!</v>
      </c>
      <c r="AE673" t="str">
        <f>Y673-AC673</f>
        <v>#REF!</v>
      </c>
      <c r="AF673" t="str">
        <f>AD673*0.01</f>
        <v>#REF!</v>
      </c>
      <c r="AG673" t="str">
        <f>AD673-Q673-AF673-T673</f>
        <v>#REF!</v>
      </c>
      <c r="AH673" t="str">
        <f>AE673-Q673-AF673-T673</f>
        <v>#REF!</v>
      </c>
      <c r="AI673" t="str">
        <f>AG673/X673</f>
        <v>#REF!</v>
      </c>
      <c r="AJ673" t="str">
        <f>AH673/Y673</f>
        <v>#REF!</v>
      </c>
    </row>
    <row r="674">
      <c r="G674" t="str">
        <v>A</v>
      </c>
      <c r="K674" t="str">
        <f>IF(L674&gt;0,L674*0.0625,)</f>
        <v>#REF!</v>
      </c>
      <c r="L674" t="str">
        <f>IF(K674&gt;0,K674*16,)</f>
        <v>#REF!</v>
      </c>
      <c r="M674" t="str">
        <f>IF(K674&gt;0,K674*0.453592,IF(L674&gt;0,L674*0.02835,))</f>
        <v>#REF!</v>
      </c>
      <c r="P674">
        <f>J674+O674+N674</f>
        <v>0</v>
      </c>
      <c r="Q674">
        <f>P674*C$3</f>
        <v>0</v>
      </c>
      <c r="R674">
        <v>0</v>
      </c>
      <c r="S674">
        <f>ROUND(SUM(Q674:R674), -2)</f>
        <v>0</v>
      </c>
      <c r="T674" t="str">
        <f>ROUNDUP(HLOOKUP(ROUNDUP(K674,0),'배송비 조회'!A$10:AE$22,7,0)*C$3,-2)</f>
        <v>#REF!</v>
      </c>
      <c r="U674">
        <v>0</v>
      </c>
      <c r="V674" t="str">
        <f>ROUND(IF(R670&gt;0,0,(S674+T674)*0.3),-2)</f>
        <v>#REF!</v>
      </c>
      <c r="W674" t="str">
        <f>ROUND(IF(R670&gt;0,0,(S674+T674)*0.5),-2)</f>
        <v>#REF!</v>
      </c>
      <c r="X674" t="str">
        <f>SUM(S674:V674)</f>
        <v>#REF!</v>
      </c>
      <c r="Y674" t="str">
        <f>SUM(S674:U674)+W674</f>
        <v>#REF!</v>
      </c>
      <c r="Z674">
        <v>0</v>
      </c>
      <c r="AA674" t="str">
        <f>X674*0.038</f>
        <v>#REF!</v>
      </c>
      <c r="AB674" t="str">
        <f>X674*0.02</f>
        <v>#REF!</v>
      </c>
      <c r="AC674" t="str">
        <f>Y674*0.1</f>
        <v>#REF!</v>
      </c>
      <c r="AD674" t="str">
        <f>X674-AA674-AB674</f>
        <v>#REF!</v>
      </c>
      <c r="AE674" t="str">
        <f>Y674-AC674</f>
        <v>#REF!</v>
      </c>
      <c r="AF674" t="str">
        <f>AD674*0.01</f>
        <v>#REF!</v>
      </c>
      <c r="AG674" t="str">
        <f>AD674-Q674-AF674-T674</f>
        <v>#REF!</v>
      </c>
      <c r="AH674" t="str">
        <f>AE674-Q674-AF674-T674</f>
        <v>#REF!</v>
      </c>
      <c r="AI674" t="str">
        <f>AG674/X674</f>
        <v>#REF!</v>
      </c>
      <c r="AJ674" t="str">
        <f>AH674/Y674</f>
        <v>#REF!</v>
      </c>
    </row>
    <row r="675">
      <c r="G675" t="str">
        <v>A</v>
      </c>
      <c r="K675" t="str">
        <f>IF(L675&gt;0,L675*0.0625,)</f>
        <v>#REF!</v>
      </c>
      <c r="L675" t="str">
        <f>IF(K675&gt;0,K675*16,)</f>
        <v>#REF!</v>
      </c>
      <c r="M675" t="str">
        <f>IF(K675&gt;0,K675*0.453592,IF(L675&gt;0,L675*0.02835,))</f>
        <v>#REF!</v>
      </c>
      <c r="P675">
        <f>J675+O675+N675</f>
        <v>0</v>
      </c>
      <c r="Q675">
        <f>P675*C$3</f>
        <v>0</v>
      </c>
      <c r="R675">
        <v>0</v>
      </c>
      <c r="S675">
        <f>ROUND(SUM(Q675:R675), -2)</f>
        <v>0</v>
      </c>
      <c r="T675" t="str">
        <f>ROUNDUP(HLOOKUP(ROUNDUP(K675,0),'배송비 조회'!A$10:AE$22,7,0)*C$3,-2)</f>
        <v>#REF!</v>
      </c>
      <c r="U675">
        <v>0</v>
      </c>
      <c r="V675" t="str">
        <f>ROUND(IF(R671&gt;0,0,(S675+T675)*0.3),-2)</f>
        <v>#REF!</v>
      </c>
      <c r="W675" t="str">
        <f>ROUND(IF(R671&gt;0,0,(S675+T675)*0.5),-2)</f>
        <v>#REF!</v>
      </c>
      <c r="X675" t="str">
        <f>SUM(S675:V675)</f>
        <v>#REF!</v>
      </c>
      <c r="Y675" t="str">
        <f>SUM(S675:U675)+W675</f>
        <v>#REF!</v>
      </c>
      <c r="Z675">
        <v>0</v>
      </c>
      <c r="AA675" t="str">
        <f>X675*0.038</f>
        <v>#REF!</v>
      </c>
      <c r="AB675" t="str">
        <f>X675*0.02</f>
        <v>#REF!</v>
      </c>
      <c r="AC675" t="str">
        <f>Y675*0.1</f>
        <v>#REF!</v>
      </c>
      <c r="AD675" t="str">
        <f>X675-AA675-AB675</f>
        <v>#REF!</v>
      </c>
      <c r="AE675" t="str">
        <f>Y675-AC675</f>
        <v>#REF!</v>
      </c>
      <c r="AF675" t="str">
        <f>AD675*0.01</f>
        <v>#REF!</v>
      </c>
      <c r="AG675" t="str">
        <f>AD675-Q675-AF675-T675</f>
        <v>#REF!</v>
      </c>
      <c r="AH675" t="str">
        <f>AE675-Q675-AF675-T675</f>
        <v>#REF!</v>
      </c>
      <c r="AI675" t="str">
        <f>AG675/X675</f>
        <v>#REF!</v>
      </c>
      <c r="AJ675" t="str">
        <f>AH675/Y675</f>
        <v>#REF!</v>
      </c>
    </row>
    <row r="676">
      <c r="G676" t="str">
        <v>A</v>
      </c>
      <c r="K676" t="str">
        <f>IF(L676&gt;0,L676*0.0625,)</f>
        <v>#REF!</v>
      </c>
      <c r="L676" t="str">
        <f>IF(K676&gt;0,K676*16,)</f>
        <v>#REF!</v>
      </c>
      <c r="M676" t="str">
        <f>IF(K676&gt;0,K676*0.453592,IF(L676&gt;0,L676*0.02835,))</f>
        <v>#REF!</v>
      </c>
      <c r="P676">
        <f>J676+O676+N676</f>
        <v>0</v>
      </c>
      <c r="Q676">
        <f>P676*C$3</f>
        <v>0</v>
      </c>
      <c r="R676">
        <v>0</v>
      </c>
      <c r="S676">
        <f>ROUND(SUM(Q676:R676), -2)</f>
        <v>0</v>
      </c>
      <c r="T676" t="str">
        <f>ROUNDUP(HLOOKUP(ROUNDUP(K676,0),'배송비 조회'!A$10:AE$22,7,0)*C$3,-2)</f>
        <v>#REF!</v>
      </c>
      <c r="U676">
        <v>0</v>
      </c>
      <c r="V676" t="str">
        <f>ROUND(IF(R672&gt;0,0,(S676+T676)*0.3),-2)</f>
        <v>#REF!</v>
      </c>
      <c r="W676" t="str">
        <f>ROUND(IF(R672&gt;0,0,(S676+T676)*0.5),-2)</f>
        <v>#REF!</v>
      </c>
      <c r="X676" t="str">
        <f>SUM(S676:V676)</f>
        <v>#REF!</v>
      </c>
      <c r="Y676" t="str">
        <f>SUM(S676:U676)+W676</f>
        <v>#REF!</v>
      </c>
      <c r="Z676">
        <v>0</v>
      </c>
      <c r="AA676" t="str">
        <f>X676*0.038</f>
        <v>#REF!</v>
      </c>
      <c r="AB676" t="str">
        <f>X676*0.02</f>
        <v>#REF!</v>
      </c>
      <c r="AC676" t="str">
        <f>Y676*0.1</f>
        <v>#REF!</v>
      </c>
      <c r="AD676" t="str">
        <f>X676-AA676-AB676</f>
        <v>#REF!</v>
      </c>
      <c r="AE676" t="str">
        <f>Y676-AC676</f>
        <v>#REF!</v>
      </c>
      <c r="AF676" t="str">
        <f>AD676*0.01</f>
        <v>#REF!</v>
      </c>
      <c r="AG676" t="str">
        <f>AD676-Q676-AF676-T676</f>
        <v>#REF!</v>
      </c>
      <c r="AH676" t="str">
        <f>AE676-Q676-AF676-T676</f>
        <v>#REF!</v>
      </c>
      <c r="AI676" t="str">
        <f>AG676/X676</f>
        <v>#REF!</v>
      </c>
      <c r="AJ676" t="str">
        <f>AH676/Y676</f>
        <v>#REF!</v>
      </c>
    </row>
    <row r="677">
      <c r="G677" t="str">
        <v>A</v>
      </c>
      <c r="K677" t="str">
        <f>IF(L677&gt;0,L677*0.0625,)</f>
        <v>#REF!</v>
      </c>
      <c r="L677" t="str">
        <f>IF(K677&gt;0,K677*16,)</f>
        <v>#REF!</v>
      </c>
      <c r="M677" t="str">
        <f>IF(K677&gt;0,K677*0.453592,IF(L677&gt;0,L677*0.02835,))</f>
        <v>#REF!</v>
      </c>
      <c r="P677">
        <f>J677+O677+N677</f>
        <v>0</v>
      </c>
      <c r="Q677">
        <f>P677*C$3</f>
        <v>0</v>
      </c>
      <c r="R677">
        <v>0</v>
      </c>
      <c r="S677">
        <f>ROUND(SUM(Q677:R677), -2)</f>
        <v>0</v>
      </c>
      <c r="T677" t="str">
        <f>ROUNDUP(HLOOKUP(ROUNDUP(K677,0),'배송비 조회'!A$10:AE$22,7,0)*C$3,-2)</f>
        <v>#REF!</v>
      </c>
      <c r="U677">
        <v>0</v>
      </c>
      <c r="V677" t="str">
        <f>ROUND(IF(R673&gt;0,0,(S677+T677)*0.3),-2)</f>
        <v>#REF!</v>
      </c>
      <c r="W677" t="str">
        <f>ROUND(IF(R673&gt;0,0,(S677+T677)*0.5),-2)</f>
        <v>#REF!</v>
      </c>
      <c r="X677" t="str">
        <f>SUM(S677:V677)</f>
        <v>#REF!</v>
      </c>
      <c r="Y677" t="str">
        <f>SUM(S677:U677)+W677</f>
        <v>#REF!</v>
      </c>
      <c r="Z677">
        <v>0</v>
      </c>
      <c r="AA677" t="str">
        <f>X677*0.038</f>
        <v>#REF!</v>
      </c>
      <c r="AB677" t="str">
        <f>X677*0.02</f>
        <v>#REF!</v>
      </c>
      <c r="AC677" t="str">
        <f>Y677*0.1</f>
        <v>#REF!</v>
      </c>
      <c r="AD677" t="str">
        <f>X677-AA677-AB677</f>
        <v>#REF!</v>
      </c>
      <c r="AE677" t="str">
        <f>Y677-AC677</f>
        <v>#REF!</v>
      </c>
      <c r="AF677" t="str">
        <f>AD677*0.01</f>
        <v>#REF!</v>
      </c>
      <c r="AG677" t="str">
        <f>AD677-Q677-AF677-T677</f>
        <v>#REF!</v>
      </c>
      <c r="AH677" t="str">
        <f>AE677-Q677-AF677-T677</f>
        <v>#REF!</v>
      </c>
      <c r="AI677" t="str">
        <f>AG677/X677</f>
        <v>#REF!</v>
      </c>
      <c r="AJ677" t="str">
        <f>AH677/Y677</f>
        <v>#REF!</v>
      </c>
    </row>
    <row r="678">
      <c r="G678" t="str">
        <v>A</v>
      </c>
      <c r="K678" t="str">
        <f>IF(L678&gt;0,L678*0.0625,)</f>
        <v>#REF!</v>
      </c>
      <c r="L678" t="str">
        <f>IF(K678&gt;0,K678*16,)</f>
        <v>#REF!</v>
      </c>
      <c r="M678" t="str">
        <f>IF(K678&gt;0,K678*0.453592,IF(L678&gt;0,L678*0.02835,))</f>
        <v>#REF!</v>
      </c>
      <c r="P678">
        <f>J678+O678+N678</f>
        <v>0</v>
      </c>
      <c r="Q678">
        <f>P678*C$3</f>
        <v>0</v>
      </c>
      <c r="R678">
        <v>0</v>
      </c>
      <c r="S678">
        <f>ROUND(SUM(Q678:R678), -2)</f>
        <v>0</v>
      </c>
      <c r="T678" t="str">
        <f>ROUNDUP(HLOOKUP(ROUNDUP(K678,0),'배송비 조회'!A$10:AE$22,7,0)*C$3,-2)</f>
        <v>#REF!</v>
      </c>
      <c r="U678">
        <v>0</v>
      </c>
      <c r="V678" t="str">
        <f>ROUND(IF(R674&gt;0,0,(S678+T678)*0.3),-2)</f>
        <v>#REF!</v>
      </c>
      <c r="W678" t="str">
        <f>ROUND(IF(R674&gt;0,0,(S678+T678)*0.5),-2)</f>
        <v>#REF!</v>
      </c>
      <c r="X678" t="str">
        <f>SUM(S678:V678)</f>
        <v>#REF!</v>
      </c>
      <c r="Y678" t="str">
        <f>SUM(S678:U678)+W678</f>
        <v>#REF!</v>
      </c>
      <c r="Z678">
        <v>0</v>
      </c>
      <c r="AA678" t="str">
        <f>X678*0.038</f>
        <v>#REF!</v>
      </c>
      <c r="AB678" t="str">
        <f>X678*0.02</f>
        <v>#REF!</v>
      </c>
      <c r="AC678" t="str">
        <f>Y678*0.1</f>
        <v>#REF!</v>
      </c>
      <c r="AD678" t="str">
        <f>X678-AA678-AB678</f>
        <v>#REF!</v>
      </c>
      <c r="AE678" t="str">
        <f>Y678-AC678</f>
        <v>#REF!</v>
      </c>
      <c r="AF678" t="str">
        <f>AD678*0.01</f>
        <v>#REF!</v>
      </c>
      <c r="AG678" t="str">
        <f>AD678-Q678-AF678-T678</f>
        <v>#REF!</v>
      </c>
      <c r="AH678" t="str">
        <f>AE678-Q678-AF678-T678</f>
        <v>#REF!</v>
      </c>
      <c r="AI678" t="str">
        <f>AG678/X678</f>
        <v>#REF!</v>
      </c>
      <c r="AJ678" t="str">
        <f>AH678/Y678</f>
        <v>#REF!</v>
      </c>
    </row>
    <row r="679">
      <c r="G679" t="str">
        <v>A</v>
      </c>
      <c r="K679" t="str">
        <f>IF(L679&gt;0,L679*0.0625,)</f>
        <v>#REF!</v>
      </c>
      <c r="L679" t="str">
        <f>IF(K679&gt;0,K679*16,)</f>
        <v>#REF!</v>
      </c>
      <c r="M679" t="str">
        <f>IF(K679&gt;0,K679*0.453592,IF(L679&gt;0,L679*0.02835,))</f>
        <v>#REF!</v>
      </c>
      <c r="P679">
        <f>J679+O679+N679</f>
        <v>0</v>
      </c>
      <c r="Q679">
        <f>P679*C$3</f>
        <v>0</v>
      </c>
      <c r="R679">
        <v>0</v>
      </c>
      <c r="S679">
        <f>ROUND(SUM(Q679:R679), -2)</f>
        <v>0</v>
      </c>
      <c r="T679" t="str">
        <f>ROUNDUP(HLOOKUP(ROUNDUP(K679,0),'배송비 조회'!A$10:AE$22,7,0)*C$3,-2)</f>
        <v>#REF!</v>
      </c>
      <c r="U679">
        <v>0</v>
      </c>
      <c r="V679" t="str">
        <f>ROUND(IF(R675&gt;0,0,(S679+T679)*0.3),-2)</f>
        <v>#REF!</v>
      </c>
      <c r="W679" t="str">
        <f>ROUND(IF(R675&gt;0,0,(S679+T679)*0.5),-2)</f>
        <v>#REF!</v>
      </c>
      <c r="X679" t="str">
        <f>SUM(S679:V679)</f>
        <v>#REF!</v>
      </c>
      <c r="Y679" t="str">
        <f>SUM(S679:U679)+W679</f>
        <v>#REF!</v>
      </c>
      <c r="Z679">
        <v>0</v>
      </c>
      <c r="AA679" t="str">
        <f>X679*0.038</f>
        <v>#REF!</v>
      </c>
      <c r="AB679" t="str">
        <f>X679*0.02</f>
        <v>#REF!</v>
      </c>
      <c r="AC679" t="str">
        <f>Y679*0.1</f>
        <v>#REF!</v>
      </c>
      <c r="AD679" t="str">
        <f>X679-AA679-AB679</f>
        <v>#REF!</v>
      </c>
      <c r="AE679" t="str">
        <f>Y679-AC679</f>
        <v>#REF!</v>
      </c>
      <c r="AF679" t="str">
        <f>AD679*0.01</f>
        <v>#REF!</v>
      </c>
      <c r="AG679" t="str">
        <f>AD679-Q679-AF679-T679</f>
        <v>#REF!</v>
      </c>
      <c r="AH679" t="str">
        <f>AE679-Q679-AF679-T679</f>
        <v>#REF!</v>
      </c>
      <c r="AI679" t="str">
        <f>AG679/X679</f>
        <v>#REF!</v>
      </c>
      <c r="AJ679" t="str">
        <f>AH679/Y679</f>
        <v>#REF!</v>
      </c>
    </row>
    <row r="680">
      <c r="G680" t="str">
        <v>A</v>
      </c>
      <c r="K680" t="str">
        <f>IF(L680&gt;0,L680*0.0625,)</f>
        <v>#REF!</v>
      </c>
      <c r="L680" t="str">
        <f>IF(K680&gt;0,K680*16,)</f>
        <v>#REF!</v>
      </c>
      <c r="M680" t="str">
        <f>IF(K680&gt;0,K680*0.453592,IF(L680&gt;0,L680*0.02835,))</f>
        <v>#REF!</v>
      </c>
      <c r="P680">
        <f>J680+O680+N680</f>
        <v>0</v>
      </c>
      <c r="Q680">
        <f>P680*C$3</f>
        <v>0</v>
      </c>
      <c r="R680">
        <v>0</v>
      </c>
      <c r="S680">
        <f>ROUND(SUM(Q680:R680), -2)</f>
        <v>0</v>
      </c>
      <c r="T680" t="str">
        <f>ROUNDUP(HLOOKUP(ROUNDUP(K680,0),'배송비 조회'!A$10:AE$22,7,0)*C$3,-2)</f>
        <v>#REF!</v>
      </c>
      <c r="U680">
        <v>0</v>
      </c>
      <c r="V680" t="str">
        <f>ROUND(IF(R676&gt;0,0,(S680+T680)*0.3),-2)</f>
        <v>#REF!</v>
      </c>
      <c r="W680" t="str">
        <f>ROUND(IF(R676&gt;0,0,(S680+T680)*0.5),-2)</f>
        <v>#REF!</v>
      </c>
      <c r="X680" t="str">
        <f>SUM(S680:V680)</f>
        <v>#REF!</v>
      </c>
      <c r="Y680" t="str">
        <f>SUM(S680:U680)+W680</f>
        <v>#REF!</v>
      </c>
      <c r="Z680">
        <v>0</v>
      </c>
      <c r="AA680" t="str">
        <f>X680*0.038</f>
        <v>#REF!</v>
      </c>
      <c r="AB680" t="str">
        <f>X680*0.02</f>
        <v>#REF!</v>
      </c>
      <c r="AC680" t="str">
        <f>Y680*0.1</f>
        <v>#REF!</v>
      </c>
      <c r="AD680" t="str">
        <f>X680-AA680-AB680</f>
        <v>#REF!</v>
      </c>
      <c r="AE680" t="str">
        <f>Y680-AC680</f>
        <v>#REF!</v>
      </c>
      <c r="AF680" t="str">
        <f>AD680*0.01</f>
        <v>#REF!</v>
      </c>
      <c r="AG680" t="str">
        <f>AD680-Q680-AF680-T680</f>
        <v>#REF!</v>
      </c>
      <c r="AH680" t="str">
        <f>AE680-Q680-AF680-T680</f>
        <v>#REF!</v>
      </c>
      <c r="AI680" t="str">
        <f>AG680/X680</f>
        <v>#REF!</v>
      </c>
      <c r="AJ680" t="str">
        <f>AH680/Y680</f>
        <v>#REF!</v>
      </c>
    </row>
    <row r="681">
      <c r="G681" t="str">
        <v>A</v>
      </c>
      <c r="K681" t="str">
        <f>IF(L681&gt;0,L681*0.0625,)</f>
        <v>#REF!</v>
      </c>
      <c r="L681" t="str">
        <f>IF(K681&gt;0,K681*16,)</f>
        <v>#REF!</v>
      </c>
      <c r="M681" t="str">
        <f>IF(K681&gt;0,K681*0.453592,IF(L681&gt;0,L681*0.02835,))</f>
        <v>#REF!</v>
      </c>
      <c r="P681">
        <f>J681+O681+N681</f>
        <v>0</v>
      </c>
      <c r="Q681">
        <f>P681*C$3</f>
        <v>0</v>
      </c>
      <c r="R681">
        <v>0</v>
      </c>
      <c r="S681">
        <f>ROUND(SUM(Q681:R681), -2)</f>
        <v>0</v>
      </c>
      <c r="T681" t="str">
        <f>ROUNDUP(HLOOKUP(ROUNDUP(K681,0),'배송비 조회'!A$10:AE$22,7,0)*C$3,-2)</f>
        <v>#REF!</v>
      </c>
      <c r="U681">
        <v>0</v>
      </c>
      <c r="V681" t="str">
        <f>ROUND(IF(R677&gt;0,0,(S681+T681)*0.3),-2)</f>
        <v>#REF!</v>
      </c>
      <c r="W681" t="str">
        <f>ROUND(IF(R677&gt;0,0,(S681+T681)*0.5),-2)</f>
        <v>#REF!</v>
      </c>
      <c r="X681" t="str">
        <f>SUM(S681:V681)</f>
        <v>#REF!</v>
      </c>
      <c r="Y681" t="str">
        <f>SUM(S681:U681)+W681</f>
        <v>#REF!</v>
      </c>
      <c r="Z681">
        <v>0</v>
      </c>
      <c r="AA681" t="str">
        <f>X681*0.038</f>
        <v>#REF!</v>
      </c>
      <c r="AB681" t="str">
        <f>X681*0.02</f>
        <v>#REF!</v>
      </c>
      <c r="AC681" t="str">
        <f>Y681*0.1</f>
        <v>#REF!</v>
      </c>
      <c r="AD681" t="str">
        <f>X681-AA681-AB681</f>
        <v>#REF!</v>
      </c>
      <c r="AE681" t="str">
        <f>Y681-AC681</f>
        <v>#REF!</v>
      </c>
      <c r="AF681" t="str">
        <f>AD681*0.01</f>
        <v>#REF!</v>
      </c>
      <c r="AG681" t="str">
        <f>AD681-Q681-AF681-T681</f>
        <v>#REF!</v>
      </c>
      <c r="AH681" t="str">
        <f>AE681-Q681-AF681-T681</f>
        <v>#REF!</v>
      </c>
      <c r="AI681" t="str">
        <f>AG681/X681</f>
        <v>#REF!</v>
      </c>
      <c r="AJ681" t="str">
        <f>AH681/Y681</f>
        <v>#REF!</v>
      </c>
    </row>
    <row r="682">
      <c r="G682" t="str">
        <v>A</v>
      </c>
      <c r="K682" t="str">
        <f>IF(L682&gt;0,L682*0.0625,)</f>
        <v>#REF!</v>
      </c>
      <c r="L682" t="str">
        <f>IF(K682&gt;0,K682*16,)</f>
        <v>#REF!</v>
      </c>
      <c r="M682" t="str">
        <f>IF(K682&gt;0,K682*0.453592,IF(L682&gt;0,L682*0.02835,))</f>
        <v>#REF!</v>
      </c>
      <c r="P682">
        <f>J682+O682+N682</f>
        <v>0</v>
      </c>
      <c r="Q682">
        <f>P682*C$3</f>
        <v>0</v>
      </c>
      <c r="R682">
        <v>0</v>
      </c>
      <c r="S682">
        <f>ROUND(SUM(Q682:R682), -2)</f>
        <v>0</v>
      </c>
      <c r="T682" t="str">
        <f>ROUNDUP(HLOOKUP(ROUNDUP(K682,0),'배송비 조회'!A$10:AE$22,7,0)*C$3,-2)</f>
        <v>#REF!</v>
      </c>
      <c r="U682">
        <v>0</v>
      </c>
      <c r="V682" t="str">
        <f>ROUND(IF(R678&gt;0,0,(S682+T682)*0.3),-2)</f>
        <v>#REF!</v>
      </c>
      <c r="W682" t="str">
        <f>ROUND(IF(R678&gt;0,0,(S682+T682)*0.5),-2)</f>
        <v>#REF!</v>
      </c>
      <c r="X682" t="str">
        <f>SUM(S682:V682)</f>
        <v>#REF!</v>
      </c>
      <c r="Y682" t="str">
        <f>SUM(S682:U682)+W682</f>
        <v>#REF!</v>
      </c>
      <c r="Z682">
        <v>0</v>
      </c>
      <c r="AA682" t="str">
        <f>X682*0.038</f>
        <v>#REF!</v>
      </c>
      <c r="AB682" t="str">
        <f>X682*0.02</f>
        <v>#REF!</v>
      </c>
      <c r="AC682" t="str">
        <f>Y682*0.1</f>
        <v>#REF!</v>
      </c>
      <c r="AD682" t="str">
        <f>X682-AA682-AB682</f>
        <v>#REF!</v>
      </c>
      <c r="AE682" t="str">
        <f>Y682-AC682</f>
        <v>#REF!</v>
      </c>
      <c r="AF682" t="str">
        <f>AD682*0.01</f>
        <v>#REF!</v>
      </c>
      <c r="AG682" t="str">
        <f>AD682-Q682-AF682-T682</f>
        <v>#REF!</v>
      </c>
      <c r="AH682" t="str">
        <f>AE682-Q682-AF682-T682</f>
        <v>#REF!</v>
      </c>
      <c r="AI682" t="str">
        <f>AG682/X682</f>
        <v>#REF!</v>
      </c>
      <c r="AJ682" t="str">
        <f>AH682/Y682</f>
        <v>#REF!</v>
      </c>
    </row>
    <row r="683">
      <c r="G683" t="str">
        <v>A</v>
      </c>
      <c r="K683" t="str">
        <f>IF(L683&gt;0,L683*0.0625,)</f>
        <v>#REF!</v>
      </c>
      <c r="L683" t="str">
        <f>IF(K683&gt;0,K683*16,)</f>
        <v>#REF!</v>
      </c>
      <c r="M683" t="str">
        <f>IF(K683&gt;0,K683*0.453592,IF(L683&gt;0,L683*0.02835,))</f>
        <v>#REF!</v>
      </c>
      <c r="P683">
        <f>J683+O683+N683</f>
        <v>0</v>
      </c>
      <c r="Q683">
        <f>P683*C$3</f>
        <v>0</v>
      </c>
      <c r="R683">
        <v>0</v>
      </c>
      <c r="S683">
        <f>ROUND(SUM(Q683:R683), -2)</f>
        <v>0</v>
      </c>
      <c r="T683" t="str">
        <f>ROUNDUP(HLOOKUP(ROUNDUP(K683,0),'배송비 조회'!A$10:AE$22,7,0)*C$3,-2)</f>
        <v>#REF!</v>
      </c>
      <c r="U683">
        <v>0</v>
      </c>
      <c r="V683" t="str">
        <f>ROUND(IF(R679&gt;0,0,(S683+T683)*0.3),-2)</f>
        <v>#REF!</v>
      </c>
      <c r="W683" t="str">
        <f>ROUND(IF(R679&gt;0,0,(S683+T683)*0.5),-2)</f>
        <v>#REF!</v>
      </c>
      <c r="X683" t="str">
        <f>SUM(S683:V683)</f>
        <v>#REF!</v>
      </c>
      <c r="Y683" t="str">
        <f>SUM(S683:U683)+W683</f>
        <v>#REF!</v>
      </c>
      <c r="Z683">
        <v>0</v>
      </c>
      <c r="AA683" t="str">
        <f>X683*0.038</f>
        <v>#REF!</v>
      </c>
      <c r="AB683" t="str">
        <f>X683*0.02</f>
        <v>#REF!</v>
      </c>
      <c r="AC683" t="str">
        <f>Y683*0.1</f>
        <v>#REF!</v>
      </c>
      <c r="AD683" t="str">
        <f>X683-AA683-AB683</f>
        <v>#REF!</v>
      </c>
      <c r="AE683" t="str">
        <f>Y683-AC683</f>
        <v>#REF!</v>
      </c>
      <c r="AF683" t="str">
        <f>AD683*0.01</f>
        <v>#REF!</v>
      </c>
      <c r="AG683" t="str">
        <f>AD683-Q683-AF683-T683</f>
        <v>#REF!</v>
      </c>
      <c r="AH683" t="str">
        <f>AE683-Q683-AF683-T683</f>
        <v>#REF!</v>
      </c>
      <c r="AI683" t="str">
        <f>AG683/X683</f>
        <v>#REF!</v>
      </c>
      <c r="AJ683" t="str">
        <f>AH683/Y683</f>
        <v>#REF!</v>
      </c>
    </row>
    <row r="684">
      <c r="G684" t="str">
        <v>A</v>
      </c>
      <c r="K684" t="str">
        <f>IF(L684&gt;0,L684*0.0625,)</f>
        <v>#REF!</v>
      </c>
      <c r="L684" t="str">
        <f>IF(K684&gt;0,K684*16,)</f>
        <v>#REF!</v>
      </c>
      <c r="M684" t="str">
        <f>IF(K684&gt;0,K684*0.453592,IF(L684&gt;0,L684*0.02835,))</f>
        <v>#REF!</v>
      </c>
      <c r="P684">
        <f>J684+O684+N684</f>
        <v>0</v>
      </c>
      <c r="Q684">
        <f>P684*C$3</f>
        <v>0</v>
      </c>
      <c r="R684">
        <v>0</v>
      </c>
      <c r="S684">
        <f>ROUND(SUM(Q684:R684), -2)</f>
        <v>0</v>
      </c>
      <c r="T684" t="str">
        <f>ROUNDUP(HLOOKUP(ROUNDUP(K684,0),'배송비 조회'!A$10:AE$22,7,0)*C$3,-2)</f>
        <v>#REF!</v>
      </c>
      <c r="U684">
        <v>0</v>
      </c>
      <c r="V684" t="str">
        <f>ROUND(IF(R680&gt;0,0,(S684+T684)*0.3),-2)</f>
        <v>#REF!</v>
      </c>
      <c r="W684" t="str">
        <f>ROUND(IF(R680&gt;0,0,(S684+T684)*0.5),-2)</f>
        <v>#REF!</v>
      </c>
      <c r="X684" t="str">
        <f>SUM(S684:V684)</f>
        <v>#REF!</v>
      </c>
      <c r="Y684" t="str">
        <f>SUM(S684:U684)+W684</f>
        <v>#REF!</v>
      </c>
      <c r="Z684">
        <v>0</v>
      </c>
      <c r="AA684" t="str">
        <f>X684*0.038</f>
        <v>#REF!</v>
      </c>
      <c r="AB684" t="str">
        <f>X684*0.02</f>
        <v>#REF!</v>
      </c>
      <c r="AC684" t="str">
        <f>Y684*0.1</f>
        <v>#REF!</v>
      </c>
      <c r="AD684" t="str">
        <f>X684-AA684-AB684</f>
        <v>#REF!</v>
      </c>
      <c r="AE684" t="str">
        <f>Y684-AC684</f>
        <v>#REF!</v>
      </c>
      <c r="AF684" t="str">
        <f>AD684*0.01</f>
        <v>#REF!</v>
      </c>
      <c r="AG684" t="str">
        <f>AD684-Q684-AF684-T684</f>
        <v>#REF!</v>
      </c>
      <c r="AH684" t="str">
        <f>AE684-Q684-AF684-T684</f>
        <v>#REF!</v>
      </c>
      <c r="AI684" t="str">
        <f>AG684/X684</f>
        <v>#REF!</v>
      </c>
      <c r="AJ684" t="str">
        <f>AH684/Y684</f>
        <v>#REF!</v>
      </c>
    </row>
    <row r="685">
      <c r="G685" t="str">
        <v>A</v>
      </c>
      <c r="K685" t="str">
        <f>IF(L685&gt;0,L685*0.0625,)</f>
        <v>#REF!</v>
      </c>
      <c r="L685" t="str">
        <f>IF(K685&gt;0,K685*16,)</f>
        <v>#REF!</v>
      </c>
      <c r="M685" t="str">
        <f>IF(K685&gt;0,K685*0.453592,IF(L685&gt;0,L685*0.02835,))</f>
        <v>#REF!</v>
      </c>
      <c r="P685">
        <f>J685+O685+N685</f>
        <v>0</v>
      </c>
      <c r="Q685">
        <f>P685*C$3</f>
        <v>0</v>
      </c>
      <c r="R685">
        <v>0</v>
      </c>
      <c r="S685">
        <f>ROUND(SUM(Q685:R685), -2)</f>
        <v>0</v>
      </c>
      <c r="T685" t="str">
        <f>ROUNDUP(HLOOKUP(ROUNDUP(K685,0),'배송비 조회'!A$10:AE$22,7,0)*C$3,-2)</f>
        <v>#REF!</v>
      </c>
      <c r="U685">
        <v>0</v>
      </c>
      <c r="V685" t="str">
        <f>ROUND(IF(R681&gt;0,0,(S685+T685)*0.3),-2)</f>
        <v>#REF!</v>
      </c>
      <c r="W685" t="str">
        <f>ROUND(IF(R681&gt;0,0,(S685+T685)*0.5),-2)</f>
        <v>#REF!</v>
      </c>
      <c r="X685" t="str">
        <f>SUM(S685:V685)</f>
        <v>#REF!</v>
      </c>
      <c r="Y685" t="str">
        <f>SUM(S685:U685)+W685</f>
        <v>#REF!</v>
      </c>
      <c r="Z685">
        <v>0</v>
      </c>
      <c r="AA685" t="str">
        <f>X685*0.038</f>
        <v>#REF!</v>
      </c>
      <c r="AB685" t="str">
        <f>X685*0.02</f>
        <v>#REF!</v>
      </c>
      <c r="AC685" t="str">
        <f>Y685*0.1</f>
        <v>#REF!</v>
      </c>
      <c r="AD685" t="str">
        <f>X685-AA685-AB685</f>
        <v>#REF!</v>
      </c>
      <c r="AE685" t="str">
        <f>Y685-AC685</f>
        <v>#REF!</v>
      </c>
      <c r="AF685" t="str">
        <f>AD685*0.01</f>
        <v>#REF!</v>
      </c>
      <c r="AG685" t="str">
        <f>AD685-Q685-AF685-T685</f>
        <v>#REF!</v>
      </c>
      <c r="AH685" t="str">
        <f>AE685-Q685-AF685-T685</f>
        <v>#REF!</v>
      </c>
      <c r="AI685" t="str">
        <f>AG685/X685</f>
        <v>#REF!</v>
      </c>
      <c r="AJ685" t="str">
        <f>AH685/Y685</f>
        <v>#REF!</v>
      </c>
    </row>
    <row r="686">
      <c r="G686" t="str">
        <v>A</v>
      </c>
      <c r="K686" t="str">
        <f>IF(L686&gt;0,L686*0.0625,)</f>
        <v>#REF!</v>
      </c>
      <c r="L686" t="str">
        <f>IF(K686&gt;0,K686*16,)</f>
        <v>#REF!</v>
      </c>
      <c r="M686" t="str">
        <f>IF(K686&gt;0,K686*0.453592,IF(L686&gt;0,L686*0.02835,))</f>
        <v>#REF!</v>
      </c>
      <c r="P686">
        <f>J686+O686+N686</f>
        <v>0</v>
      </c>
      <c r="Q686">
        <f>P686*C$3</f>
        <v>0</v>
      </c>
      <c r="R686">
        <v>0</v>
      </c>
      <c r="S686">
        <f>ROUND(SUM(Q686:R686), -2)</f>
        <v>0</v>
      </c>
      <c r="T686" t="str">
        <f>ROUNDUP(HLOOKUP(ROUNDUP(K686,0),'배송비 조회'!A$10:AE$22,7,0)*C$3,-2)</f>
        <v>#REF!</v>
      </c>
      <c r="U686">
        <v>0</v>
      </c>
      <c r="V686" t="str">
        <f>ROUND(IF(R682&gt;0,0,(S686+T686)*0.3),-2)</f>
        <v>#REF!</v>
      </c>
      <c r="W686" t="str">
        <f>ROUND(IF(R682&gt;0,0,(S686+T686)*0.5),-2)</f>
        <v>#REF!</v>
      </c>
      <c r="X686" t="str">
        <f>SUM(S686:V686)</f>
        <v>#REF!</v>
      </c>
      <c r="Y686" t="str">
        <f>SUM(S686:U686)+W686</f>
        <v>#REF!</v>
      </c>
      <c r="Z686">
        <v>0</v>
      </c>
      <c r="AA686" t="str">
        <f>X686*0.038</f>
        <v>#REF!</v>
      </c>
      <c r="AB686" t="str">
        <f>X686*0.02</f>
        <v>#REF!</v>
      </c>
      <c r="AC686" t="str">
        <f>Y686*0.1</f>
        <v>#REF!</v>
      </c>
      <c r="AD686" t="str">
        <f>X686-AA686-AB686</f>
        <v>#REF!</v>
      </c>
      <c r="AE686" t="str">
        <f>Y686-AC686</f>
        <v>#REF!</v>
      </c>
      <c r="AF686" t="str">
        <f>AD686*0.01</f>
        <v>#REF!</v>
      </c>
      <c r="AG686" t="str">
        <f>AD686-Q686-AF686-T686</f>
        <v>#REF!</v>
      </c>
      <c r="AH686" t="str">
        <f>AE686-Q686-AF686-T686</f>
        <v>#REF!</v>
      </c>
      <c r="AI686" t="str">
        <f>AG686/X686</f>
        <v>#REF!</v>
      </c>
      <c r="AJ686" t="str">
        <f>AH686/Y686</f>
        <v>#REF!</v>
      </c>
    </row>
    <row r="687">
      <c r="G687" t="str">
        <v>A</v>
      </c>
      <c r="K687" t="str">
        <f>IF(L687&gt;0,L687*0.0625,)</f>
        <v>#REF!</v>
      </c>
      <c r="L687" t="str">
        <f>IF(K687&gt;0,K687*16,)</f>
        <v>#REF!</v>
      </c>
      <c r="M687" t="str">
        <f>IF(K687&gt;0,K687*0.453592,IF(L687&gt;0,L687*0.02835,))</f>
        <v>#REF!</v>
      </c>
      <c r="P687">
        <f>J687+O687+N687</f>
        <v>0</v>
      </c>
      <c r="Q687">
        <f>P687*C$3</f>
        <v>0</v>
      </c>
      <c r="R687">
        <v>0</v>
      </c>
      <c r="S687">
        <f>ROUND(SUM(Q687:R687), -2)</f>
        <v>0</v>
      </c>
      <c r="T687" t="str">
        <f>ROUNDUP(HLOOKUP(ROUNDUP(K687,0),'배송비 조회'!A$10:AE$22,7,0)*C$3,-2)</f>
        <v>#REF!</v>
      </c>
      <c r="U687">
        <v>0</v>
      </c>
      <c r="V687" t="str">
        <f>ROUND(IF(R683&gt;0,0,(S687+T687)*0.3),-2)</f>
        <v>#REF!</v>
      </c>
      <c r="W687" t="str">
        <f>ROUND(IF(R683&gt;0,0,(S687+T687)*0.5),-2)</f>
        <v>#REF!</v>
      </c>
      <c r="X687" t="str">
        <f>SUM(S687:V687)</f>
        <v>#REF!</v>
      </c>
      <c r="Y687" t="str">
        <f>SUM(S687:U687)+W687</f>
        <v>#REF!</v>
      </c>
      <c r="Z687">
        <v>0</v>
      </c>
      <c r="AA687" t="str">
        <f>X687*0.038</f>
        <v>#REF!</v>
      </c>
      <c r="AB687" t="str">
        <f>X687*0.02</f>
        <v>#REF!</v>
      </c>
      <c r="AC687" t="str">
        <f>Y687*0.1</f>
        <v>#REF!</v>
      </c>
      <c r="AD687" t="str">
        <f>X687-AA687-AB687</f>
        <v>#REF!</v>
      </c>
      <c r="AE687" t="str">
        <f>Y687-AC687</f>
        <v>#REF!</v>
      </c>
      <c r="AF687" t="str">
        <f>AD687*0.01</f>
        <v>#REF!</v>
      </c>
      <c r="AG687" t="str">
        <f>AD687-Q687-AF687-T687</f>
        <v>#REF!</v>
      </c>
      <c r="AH687" t="str">
        <f>AE687-Q687-AF687-T687</f>
        <v>#REF!</v>
      </c>
      <c r="AI687" t="str">
        <f>AG687/X687</f>
        <v>#REF!</v>
      </c>
      <c r="AJ687" t="str">
        <f>AH687/Y687</f>
        <v>#REF!</v>
      </c>
    </row>
    <row r="688">
      <c r="G688" t="str">
        <v>A</v>
      </c>
      <c r="K688" t="str">
        <f>IF(L688&gt;0,L688*0.0625,)</f>
        <v>#REF!</v>
      </c>
      <c r="L688" t="str">
        <f>IF(K688&gt;0,K688*16,)</f>
        <v>#REF!</v>
      </c>
      <c r="M688" t="str">
        <f>IF(K688&gt;0,K688*0.453592,IF(L688&gt;0,L688*0.02835,))</f>
        <v>#REF!</v>
      </c>
      <c r="P688">
        <f>J688+O688+N688</f>
        <v>0</v>
      </c>
      <c r="Q688">
        <f>P688*C$3</f>
        <v>0</v>
      </c>
      <c r="R688">
        <v>0</v>
      </c>
      <c r="S688">
        <f>ROUND(SUM(Q688:R688), -2)</f>
        <v>0</v>
      </c>
      <c r="T688" t="str">
        <f>ROUNDUP(HLOOKUP(ROUNDUP(K688,0),'배송비 조회'!A$10:AE$22,7,0)*C$3,-2)</f>
        <v>#REF!</v>
      </c>
      <c r="U688">
        <v>0</v>
      </c>
      <c r="V688" t="str">
        <f>ROUND(IF(R684&gt;0,0,(S688+T688)*0.3),-2)</f>
        <v>#REF!</v>
      </c>
      <c r="W688" t="str">
        <f>ROUND(IF(R684&gt;0,0,(S688+T688)*0.5),-2)</f>
        <v>#REF!</v>
      </c>
      <c r="X688" t="str">
        <f>SUM(S688:V688)</f>
        <v>#REF!</v>
      </c>
      <c r="Y688" t="str">
        <f>SUM(S688:U688)+W688</f>
        <v>#REF!</v>
      </c>
      <c r="Z688">
        <v>0</v>
      </c>
      <c r="AA688" t="str">
        <f>X688*0.038</f>
        <v>#REF!</v>
      </c>
      <c r="AB688" t="str">
        <f>X688*0.02</f>
        <v>#REF!</v>
      </c>
      <c r="AC688" t="str">
        <f>Y688*0.1</f>
        <v>#REF!</v>
      </c>
      <c r="AD688" t="str">
        <f>X688-AA688-AB688</f>
        <v>#REF!</v>
      </c>
      <c r="AE688" t="str">
        <f>Y688-AC688</f>
        <v>#REF!</v>
      </c>
      <c r="AF688" t="str">
        <f>AD688*0.01</f>
        <v>#REF!</v>
      </c>
      <c r="AG688" t="str">
        <f>AD688-Q688-AF688-T688</f>
        <v>#REF!</v>
      </c>
      <c r="AH688" t="str">
        <f>AE688-Q688-AF688-T688</f>
        <v>#REF!</v>
      </c>
      <c r="AI688" t="str">
        <f>AG688/X688</f>
        <v>#REF!</v>
      </c>
      <c r="AJ688" t="str">
        <f>AH688/Y688</f>
        <v>#REF!</v>
      </c>
    </row>
    <row r="689">
      <c r="G689" t="str">
        <v>A</v>
      </c>
      <c r="K689" t="str">
        <f>IF(L689&gt;0,L689*0.0625,)</f>
        <v>#REF!</v>
      </c>
      <c r="L689" t="str">
        <f>IF(K689&gt;0,K689*16,)</f>
        <v>#REF!</v>
      </c>
      <c r="M689" t="str">
        <f>IF(K689&gt;0,K689*0.453592,IF(L689&gt;0,L689*0.02835,))</f>
        <v>#REF!</v>
      </c>
      <c r="P689">
        <f>J689+O689+N689</f>
        <v>0</v>
      </c>
      <c r="Q689">
        <f>P689*C$3</f>
        <v>0</v>
      </c>
      <c r="R689">
        <v>0</v>
      </c>
      <c r="S689">
        <f>ROUND(SUM(Q689:R689), -2)</f>
        <v>0</v>
      </c>
      <c r="T689" t="str">
        <f>ROUNDUP(HLOOKUP(ROUNDUP(K689,0),'배송비 조회'!A$10:AE$22,7,0)*C$3,-2)</f>
        <v>#REF!</v>
      </c>
      <c r="U689">
        <v>0</v>
      </c>
      <c r="V689" t="str">
        <f>ROUND(IF(R685&gt;0,0,(S689+T689)*0.3),-2)</f>
        <v>#REF!</v>
      </c>
      <c r="W689" t="str">
        <f>ROUND(IF(R685&gt;0,0,(S689+T689)*0.5),-2)</f>
        <v>#REF!</v>
      </c>
      <c r="X689" t="str">
        <f>SUM(S689:V689)</f>
        <v>#REF!</v>
      </c>
      <c r="Y689" t="str">
        <f>SUM(S689:U689)+W689</f>
        <v>#REF!</v>
      </c>
      <c r="Z689">
        <v>0</v>
      </c>
      <c r="AA689" t="str">
        <f>X689*0.038</f>
        <v>#REF!</v>
      </c>
      <c r="AB689" t="str">
        <f>X689*0.02</f>
        <v>#REF!</v>
      </c>
      <c r="AC689" t="str">
        <f>Y689*0.1</f>
        <v>#REF!</v>
      </c>
      <c r="AD689" t="str">
        <f>X689-AA689-AB689</f>
        <v>#REF!</v>
      </c>
      <c r="AE689" t="str">
        <f>Y689-AC689</f>
        <v>#REF!</v>
      </c>
      <c r="AF689" t="str">
        <f>AD689*0.01</f>
        <v>#REF!</v>
      </c>
      <c r="AG689" t="str">
        <f>AD689-Q689-AF689-T689</f>
        <v>#REF!</v>
      </c>
      <c r="AH689" t="str">
        <f>AE689-Q689-AF689-T689</f>
        <v>#REF!</v>
      </c>
      <c r="AI689" t="str">
        <f>AG689/X689</f>
        <v>#REF!</v>
      </c>
      <c r="AJ689" t="str">
        <f>AH689/Y689</f>
        <v>#REF!</v>
      </c>
    </row>
    <row r="690">
      <c r="G690" t="str">
        <v>A</v>
      </c>
      <c r="K690" t="str">
        <f>IF(L690&gt;0,L690*0.0625,)</f>
        <v>#REF!</v>
      </c>
      <c r="L690" t="str">
        <f>IF(K690&gt;0,K690*16,)</f>
        <v>#REF!</v>
      </c>
      <c r="M690" t="str">
        <f>IF(K690&gt;0,K690*0.453592,IF(L690&gt;0,L690*0.02835,))</f>
        <v>#REF!</v>
      </c>
      <c r="P690">
        <f>J690+O690+N690</f>
        <v>0</v>
      </c>
      <c r="Q690">
        <f>P690*C$3</f>
        <v>0</v>
      </c>
      <c r="R690">
        <v>0</v>
      </c>
      <c r="S690">
        <f>ROUND(SUM(Q690:R690), -2)</f>
        <v>0</v>
      </c>
      <c r="T690" t="str">
        <f>ROUNDUP(HLOOKUP(ROUNDUP(K690,0),'배송비 조회'!A$10:AE$22,7,0)*C$3,-2)</f>
        <v>#REF!</v>
      </c>
      <c r="U690">
        <v>0</v>
      </c>
      <c r="V690" t="str">
        <f>ROUND(IF(R686&gt;0,0,(S690+T690)*0.3),-2)</f>
        <v>#REF!</v>
      </c>
      <c r="W690" t="str">
        <f>ROUND(IF(R686&gt;0,0,(S690+T690)*0.5),-2)</f>
        <v>#REF!</v>
      </c>
      <c r="X690" t="str">
        <f>SUM(S690:V690)</f>
        <v>#REF!</v>
      </c>
      <c r="Y690" t="str">
        <f>SUM(S690:U690)+W690</f>
        <v>#REF!</v>
      </c>
      <c r="Z690">
        <v>0</v>
      </c>
      <c r="AA690" t="str">
        <f>X690*0.038</f>
        <v>#REF!</v>
      </c>
      <c r="AB690" t="str">
        <f>X690*0.02</f>
        <v>#REF!</v>
      </c>
      <c r="AC690" t="str">
        <f>Y690*0.1</f>
        <v>#REF!</v>
      </c>
      <c r="AD690" t="str">
        <f>X690-AA690-AB690</f>
        <v>#REF!</v>
      </c>
      <c r="AE690" t="str">
        <f>Y690-AC690</f>
        <v>#REF!</v>
      </c>
      <c r="AF690" t="str">
        <f>AD690*0.01</f>
        <v>#REF!</v>
      </c>
      <c r="AG690" t="str">
        <f>AD690-Q690-AF690-T690</f>
        <v>#REF!</v>
      </c>
      <c r="AH690" t="str">
        <f>AE690-Q690-AF690-T690</f>
        <v>#REF!</v>
      </c>
      <c r="AI690" t="str">
        <f>AG690/X690</f>
        <v>#REF!</v>
      </c>
      <c r="AJ690" t="str">
        <f>AH690/Y690</f>
        <v>#REF!</v>
      </c>
    </row>
    <row r="691">
      <c r="G691" t="str">
        <v>A</v>
      </c>
      <c r="K691" t="str">
        <f>IF(L691&gt;0,L691*0.0625,)</f>
        <v>#REF!</v>
      </c>
      <c r="L691" t="str">
        <f>IF(K691&gt;0,K691*16,)</f>
        <v>#REF!</v>
      </c>
      <c r="M691" t="str">
        <f>IF(K691&gt;0,K691*0.453592,IF(L691&gt;0,L691*0.02835,))</f>
        <v>#REF!</v>
      </c>
      <c r="P691">
        <f>J691+O691+N691</f>
        <v>0</v>
      </c>
      <c r="Q691">
        <f>P691*C$3</f>
        <v>0</v>
      </c>
      <c r="R691">
        <v>0</v>
      </c>
      <c r="S691">
        <f>ROUND(SUM(Q691:R691), -2)</f>
        <v>0</v>
      </c>
      <c r="T691" t="str">
        <f>ROUNDUP(HLOOKUP(ROUNDUP(K691,0),'배송비 조회'!A$10:AE$22,7,0)*C$3,-2)</f>
        <v>#REF!</v>
      </c>
      <c r="U691">
        <v>0</v>
      </c>
      <c r="V691" t="str">
        <f>ROUND(IF(R687&gt;0,0,(S691+T691)*0.3),-2)</f>
        <v>#REF!</v>
      </c>
      <c r="W691" t="str">
        <f>ROUND(IF(R687&gt;0,0,(S691+T691)*0.5),-2)</f>
        <v>#REF!</v>
      </c>
      <c r="X691" t="str">
        <f>SUM(S691:V691)</f>
        <v>#REF!</v>
      </c>
      <c r="Y691" t="str">
        <f>SUM(S691:U691)+W691</f>
        <v>#REF!</v>
      </c>
      <c r="Z691">
        <v>0</v>
      </c>
      <c r="AA691" t="str">
        <f>X691*0.038</f>
        <v>#REF!</v>
      </c>
      <c r="AB691" t="str">
        <f>X691*0.02</f>
        <v>#REF!</v>
      </c>
      <c r="AC691" t="str">
        <f>Y691*0.1</f>
        <v>#REF!</v>
      </c>
      <c r="AD691" t="str">
        <f>X691-AA691-AB691</f>
        <v>#REF!</v>
      </c>
      <c r="AE691" t="str">
        <f>Y691-AC691</f>
        <v>#REF!</v>
      </c>
      <c r="AF691" t="str">
        <f>AD691*0.01</f>
        <v>#REF!</v>
      </c>
      <c r="AG691" t="str">
        <f>AD691-Q691-AF691-T691</f>
        <v>#REF!</v>
      </c>
      <c r="AH691" t="str">
        <f>AE691-Q691-AF691-T691</f>
        <v>#REF!</v>
      </c>
      <c r="AI691" t="str">
        <f>AG691/X691</f>
        <v>#REF!</v>
      </c>
      <c r="AJ691" t="str">
        <f>AH691/Y691</f>
        <v>#REF!</v>
      </c>
    </row>
    <row r="692">
      <c r="G692" t="str">
        <v>A</v>
      </c>
      <c r="K692" t="str">
        <f>IF(L692&gt;0,L692*0.0625,)</f>
        <v>#REF!</v>
      </c>
      <c r="L692" t="str">
        <f>IF(K692&gt;0,K692*16,)</f>
        <v>#REF!</v>
      </c>
      <c r="M692" t="str">
        <f>IF(K692&gt;0,K692*0.453592,IF(L692&gt;0,L692*0.02835,))</f>
        <v>#REF!</v>
      </c>
      <c r="P692">
        <f>J692+O692+N692</f>
        <v>0</v>
      </c>
      <c r="Q692">
        <f>P692*C$3</f>
        <v>0</v>
      </c>
      <c r="R692">
        <v>0</v>
      </c>
      <c r="S692">
        <f>ROUND(SUM(Q692:R692), -2)</f>
        <v>0</v>
      </c>
      <c r="T692" t="str">
        <f>ROUNDUP(HLOOKUP(ROUNDUP(K692,0),'배송비 조회'!A$10:AE$22,7,0)*C$3,-2)</f>
        <v>#REF!</v>
      </c>
      <c r="U692">
        <v>0</v>
      </c>
      <c r="V692" t="str">
        <f>ROUND(IF(R688&gt;0,0,(S692+T692)*0.3),-2)</f>
        <v>#REF!</v>
      </c>
      <c r="W692" t="str">
        <f>ROUND(IF(R688&gt;0,0,(S692+T692)*0.5),-2)</f>
        <v>#REF!</v>
      </c>
      <c r="X692" t="str">
        <f>SUM(S692:V692)</f>
        <v>#REF!</v>
      </c>
      <c r="Y692" t="str">
        <f>SUM(S692:U692)+W692</f>
        <v>#REF!</v>
      </c>
      <c r="Z692">
        <v>0</v>
      </c>
      <c r="AA692" t="str">
        <f>X692*0.038</f>
        <v>#REF!</v>
      </c>
      <c r="AB692" t="str">
        <f>X692*0.02</f>
        <v>#REF!</v>
      </c>
      <c r="AC692" t="str">
        <f>Y692*0.1</f>
        <v>#REF!</v>
      </c>
      <c r="AD692" t="str">
        <f>X692-AA692-AB692</f>
        <v>#REF!</v>
      </c>
      <c r="AE692" t="str">
        <f>Y692-AC692</f>
        <v>#REF!</v>
      </c>
      <c r="AF692" t="str">
        <f>AD692*0.01</f>
        <v>#REF!</v>
      </c>
      <c r="AG692" t="str">
        <f>AD692-Q692-AF692-T692</f>
        <v>#REF!</v>
      </c>
      <c r="AH692" t="str">
        <f>AE692-Q692-AF692-T692</f>
        <v>#REF!</v>
      </c>
      <c r="AI692" t="str">
        <f>AG692/X692</f>
        <v>#REF!</v>
      </c>
      <c r="AJ692" t="str">
        <f>AH692/Y692</f>
        <v>#REF!</v>
      </c>
    </row>
    <row r="693">
      <c r="G693" t="str">
        <v>A</v>
      </c>
      <c r="K693" t="str">
        <f>IF(L693&gt;0,L693*0.0625,)</f>
        <v>#REF!</v>
      </c>
      <c r="L693" t="str">
        <f>IF(K693&gt;0,K693*16,)</f>
        <v>#REF!</v>
      </c>
      <c r="M693" t="str">
        <f>IF(K693&gt;0,K693*0.453592,IF(L693&gt;0,L693*0.02835,))</f>
        <v>#REF!</v>
      </c>
      <c r="P693">
        <f>J693+O693+N693</f>
        <v>0</v>
      </c>
      <c r="Q693">
        <f>P693*C$3</f>
        <v>0</v>
      </c>
      <c r="R693">
        <v>0</v>
      </c>
      <c r="S693">
        <f>ROUND(SUM(Q693:R693), -2)</f>
        <v>0</v>
      </c>
      <c r="T693" t="str">
        <f>ROUNDUP(HLOOKUP(ROUNDUP(K693,0),'배송비 조회'!A$10:AE$22,7,0)*C$3,-2)</f>
        <v>#REF!</v>
      </c>
      <c r="U693">
        <v>0</v>
      </c>
      <c r="V693" t="str">
        <f>ROUND(IF(R689&gt;0,0,(S693+T693)*0.3),-2)</f>
        <v>#REF!</v>
      </c>
      <c r="W693" t="str">
        <f>ROUND(IF(R689&gt;0,0,(S693+T693)*0.5),-2)</f>
        <v>#REF!</v>
      </c>
      <c r="X693" t="str">
        <f>SUM(S693:V693)</f>
        <v>#REF!</v>
      </c>
      <c r="Y693" t="str">
        <f>SUM(S693:U693)+W693</f>
        <v>#REF!</v>
      </c>
      <c r="Z693">
        <v>0</v>
      </c>
      <c r="AA693" t="str">
        <f>X693*0.038</f>
        <v>#REF!</v>
      </c>
      <c r="AB693" t="str">
        <f>X693*0.02</f>
        <v>#REF!</v>
      </c>
      <c r="AC693" t="str">
        <f>Y693*0.1</f>
        <v>#REF!</v>
      </c>
      <c r="AD693" t="str">
        <f>X693-AA693-AB693</f>
        <v>#REF!</v>
      </c>
      <c r="AE693" t="str">
        <f>Y693-AC693</f>
        <v>#REF!</v>
      </c>
      <c r="AF693" t="str">
        <f>AD693*0.01</f>
        <v>#REF!</v>
      </c>
      <c r="AG693" t="str">
        <f>AD693-Q693-AF693-T693</f>
        <v>#REF!</v>
      </c>
      <c r="AH693" t="str">
        <f>AE693-Q693-AF693-T693</f>
        <v>#REF!</v>
      </c>
      <c r="AI693" t="str">
        <f>AG693/X693</f>
        <v>#REF!</v>
      </c>
      <c r="AJ693" t="str">
        <f>AH693/Y693</f>
        <v>#REF!</v>
      </c>
    </row>
    <row r="694">
      <c r="G694" t="str">
        <v>A</v>
      </c>
      <c r="K694" t="str">
        <f>IF(L694&gt;0,L694*0.0625,)</f>
        <v>#REF!</v>
      </c>
      <c r="L694" t="str">
        <f>IF(K694&gt;0,K694*16,)</f>
        <v>#REF!</v>
      </c>
      <c r="M694" t="str">
        <f>IF(K694&gt;0,K694*0.453592,IF(L694&gt;0,L694*0.02835,))</f>
        <v>#REF!</v>
      </c>
      <c r="P694">
        <f>J694+O694+N694</f>
        <v>0</v>
      </c>
      <c r="Q694">
        <f>P694*C$3</f>
        <v>0</v>
      </c>
      <c r="R694">
        <v>0</v>
      </c>
      <c r="S694">
        <f>ROUND(SUM(Q694:R694), -2)</f>
        <v>0</v>
      </c>
      <c r="T694" t="str">
        <f>ROUNDUP(HLOOKUP(ROUNDUP(K694,0),'배송비 조회'!A$10:AE$22,7,0)*C$3,-2)</f>
        <v>#REF!</v>
      </c>
      <c r="U694">
        <v>0</v>
      </c>
      <c r="V694" t="str">
        <f>ROUND(IF(R690&gt;0,0,(S694+T694)*0.3),-2)</f>
        <v>#REF!</v>
      </c>
      <c r="W694" t="str">
        <f>ROUND(IF(R690&gt;0,0,(S694+T694)*0.5),-2)</f>
        <v>#REF!</v>
      </c>
      <c r="X694" t="str">
        <f>SUM(S694:V694)</f>
        <v>#REF!</v>
      </c>
      <c r="Y694" t="str">
        <f>SUM(S694:U694)+W694</f>
        <v>#REF!</v>
      </c>
      <c r="Z694">
        <v>0</v>
      </c>
      <c r="AA694" t="str">
        <f>X694*0.038</f>
        <v>#REF!</v>
      </c>
      <c r="AB694" t="str">
        <f>X694*0.02</f>
        <v>#REF!</v>
      </c>
      <c r="AC694" t="str">
        <f>Y694*0.1</f>
        <v>#REF!</v>
      </c>
      <c r="AD694" t="str">
        <f>X694-AA694-AB694</f>
        <v>#REF!</v>
      </c>
      <c r="AE694" t="str">
        <f>Y694-AC694</f>
        <v>#REF!</v>
      </c>
      <c r="AF694" t="str">
        <f>AD694*0.01</f>
        <v>#REF!</v>
      </c>
      <c r="AG694" t="str">
        <f>AD694-Q694-AF694-T694</f>
        <v>#REF!</v>
      </c>
      <c r="AH694" t="str">
        <f>AE694-Q694-AF694-T694</f>
        <v>#REF!</v>
      </c>
      <c r="AI694" t="str">
        <f>AG694/X694</f>
        <v>#REF!</v>
      </c>
      <c r="AJ694" t="str">
        <f>AH694/Y694</f>
        <v>#REF!</v>
      </c>
    </row>
    <row r="695">
      <c r="G695" t="str">
        <v>A</v>
      </c>
      <c r="K695" t="str">
        <f>IF(L695&gt;0,L695*0.0625,)</f>
        <v>#REF!</v>
      </c>
      <c r="L695" t="str">
        <f>IF(K695&gt;0,K695*16,)</f>
        <v>#REF!</v>
      </c>
      <c r="M695" t="str">
        <f>IF(K695&gt;0,K695*0.453592,IF(L695&gt;0,L695*0.02835,))</f>
        <v>#REF!</v>
      </c>
      <c r="P695">
        <f>J695+O695+N695</f>
        <v>0</v>
      </c>
      <c r="Q695">
        <f>P695*C$3</f>
        <v>0</v>
      </c>
      <c r="R695">
        <v>0</v>
      </c>
      <c r="S695">
        <f>ROUND(SUM(Q695:R695), -2)</f>
        <v>0</v>
      </c>
      <c r="T695" t="str">
        <f>ROUNDUP(HLOOKUP(ROUNDUP(K695,0),'배송비 조회'!A$10:AE$22,7,0)*C$3,-2)</f>
        <v>#REF!</v>
      </c>
      <c r="U695">
        <v>0</v>
      </c>
      <c r="V695" t="str">
        <f>ROUND(IF(R691&gt;0,0,(S695+T695)*0.3),-2)</f>
        <v>#REF!</v>
      </c>
      <c r="W695" t="str">
        <f>ROUND(IF(R691&gt;0,0,(S695+T695)*0.5),-2)</f>
        <v>#REF!</v>
      </c>
      <c r="X695" t="str">
        <f>SUM(S695:V695)</f>
        <v>#REF!</v>
      </c>
      <c r="Y695" t="str">
        <f>SUM(S695:U695)+W695</f>
        <v>#REF!</v>
      </c>
      <c r="Z695">
        <v>0</v>
      </c>
      <c r="AA695" t="str">
        <f>X695*0.038</f>
        <v>#REF!</v>
      </c>
      <c r="AB695" t="str">
        <f>X695*0.02</f>
        <v>#REF!</v>
      </c>
      <c r="AC695" t="str">
        <f>Y695*0.1</f>
        <v>#REF!</v>
      </c>
      <c r="AD695" t="str">
        <f>X695-AA695-AB695</f>
        <v>#REF!</v>
      </c>
      <c r="AE695" t="str">
        <f>Y695-AC695</f>
        <v>#REF!</v>
      </c>
      <c r="AF695" t="str">
        <f>AD695*0.01</f>
        <v>#REF!</v>
      </c>
      <c r="AG695" t="str">
        <f>AD695-Q695-AF695-T695</f>
        <v>#REF!</v>
      </c>
      <c r="AH695" t="str">
        <f>AE695-Q695-AF695-T695</f>
        <v>#REF!</v>
      </c>
      <c r="AI695" t="str">
        <f>AG695/X695</f>
        <v>#REF!</v>
      </c>
      <c r="AJ695" t="str">
        <f>AH695/Y695</f>
        <v>#REF!</v>
      </c>
    </row>
    <row r="696">
      <c r="G696" t="str">
        <v>A</v>
      </c>
      <c r="K696" t="str">
        <f>IF(L696&gt;0,L696*0.0625,)</f>
        <v>#REF!</v>
      </c>
      <c r="L696" t="str">
        <f>IF(K696&gt;0,K696*16,)</f>
        <v>#REF!</v>
      </c>
      <c r="M696" t="str">
        <f>IF(K696&gt;0,K696*0.453592,IF(L696&gt;0,L696*0.02835,))</f>
        <v>#REF!</v>
      </c>
      <c r="P696">
        <f>J696+O696+N696</f>
        <v>0</v>
      </c>
      <c r="Q696">
        <f>P696*C$3</f>
        <v>0</v>
      </c>
      <c r="R696">
        <v>0</v>
      </c>
      <c r="S696">
        <f>ROUND(SUM(Q696:R696), -2)</f>
        <v>0</v>
      </c>
      <c r="T696" t="str">
        <f>ROUNDUP(HLOOKUP(ROUNDUP(K696,0),'배송비 조회'!A$10:AE$22,7,0)*C$3,-2)</f>
        <v>#REF!</v>
      </c>
      <c r="U696">
        <v>0</v>
      </c>
      <c r="V696" t="str">
        <f>ROUND(IF(R692&gt;0,0,(S696+T696)*0.3),-2)</f>
        <v>#REF!</v>
      </c>
      <c r="W696" t="str">
        <f>ROUND(IF(R692&gt;0,0,(S696+T696)*0.5),-2)</f>
        <v>#REF!</v>
      </c>
      <c r="X696" t="str">
        <f>SUM(S696:V696)</f>
        <v>#REF!</v>
      </c>
      <c r="Y696" t="str">
        <f>SUM(S696:U696)+W696</f>
        <v>#REF!</v>
      </c>
      <c r="Z696">
        <v>0</v>
      </c>
      <c r="AA696" t="str">
        <f>X696*0.038</f>
        <v>#REF!</v>
      </c>
      <c r="AB696" t="str">
        <f>X696*0.02</f>
        <v>#REF!</v>
      </c>
      <c r="AC696" t="str">
        <f>Y696*0.1</f>
        <v>#REF!</v>
      </c>
      <c r="AD696" t="str">
        <f>X696-AA696-AB696</f>
        <v>#REF!</v>
      </c>
      <c r="AE696" t="str">
        <f>Y696-AC696</f>
        <v>#REF!</v>
      </c>
      <c r="AF696" t="str">
        <f>AD696*0.01</f>
        <v>#REF!</v>
      </c>
      <c r="AG696" t="str">
        <f>AD696-Q696-AF696-T696</f>
        <v>#REF!</v>
      </c>
      <c r="AH696" t="str">
        <f>AE696-Q696-AF696-T696</f>
        <v>#REF!</v>
      </c>
      <c r="AI696" t="str">
        <f>AG696/X696</f>
        <v>#REF!</v>
      </c>
      <c r="AJ696" t="str">
        <f>AH696/Y696</f>
        <v>#REF!</v>
      </c>
    </row>
    <row r="697">
      <c r="G697" t="str">
        <v>A</v>
      </c>
      <c r="K697" t="str">
        <f>IF(L697&gt;0,L697*0.0625,)</f>
        <v>#REF!</v>
      </c>
      <c r="L697" t="str">
        <f>IF(K697&gt;0,K697*16,)</f>
        <v>#REF!</v>
      </c>
      <c r="M697" t="str">
        <f>IF(K697&gt;0,K697*0.453592,IF(L697&gt;0,L697*0.02835,))</f>
        <v>#REF!</v>
      </c>
      <c r="P697">
        <f>J697+O697+N697</f>
        <v>0</v>
      </c>
      <c r="Q697">
        <f>P697*C$3</f>
        <v>0</v>
      </c>
      <c r="R697">
        <v>0</v>
      </c>
      <c r="S697">
        <f>ROUND(SUM(Q697:R697), -2)</f>
        <v>0</v>
      </c>
      <c r="T697" t="str">
        <f>ROUNDUP(HLOOKUP(ROUNDUP(K697,0),'배송비 조회'!A$10:AE$22,7,0)*C$3,-2)</f>
        <v>#REF!</v>
      </c>
      <c r="U697">
        <v>0</v>
      </c>
      <c r="V697" t="str">
        <f>ROUND(IF(R693&gt;0,0,(S697+T697)*0.3),-2)</f>
        <v>#REF!</v>
      </c>
      <c r="W697" t="str">
        <f>ROUND(IF(R693&gt;0,0,(S697+T697)*0.5),-2)</f>
        <v>#REF!</v>
      </c>
      <c r="X697" t="str">
        <f>SUM(S697:V697)</f>
        <v>#REF!</v>
      </c>
      <c r="Y697" t="str">
        <f>SUM(S697:U697)+W697</f>
        <v>#REF!</v>
      </c>
      <c r="Z697">
        <v>0</v>
      </c>
      <c r="AA697" t="str">
        <f>X697*0.038</f>
        <v>#REF!</v>
      </c>
      <c r="AB697" t="str">
        <f>X697*0.02</f>
        <v>#REF!</v>
      </c>
      <c r="AC697" t="str">
        <f>Y697*0.1</f>
        <v>#REF!</v>
      </c>
      <c r="AD697" t="str">
        <f>X697-AA697-AB697</f>
        <v>#REF!</v>
      </c>
      <c r="AE697" t="str">
        <f>Y697-AC697</f>
        <v>#REF!</v>
      </c>
      <c r="AF697" t="str">
        <f>AD697*0.01</f>
        <v>#REF!</v>
      </c>
      <c r="AG697" t="str">
        <f>AD697-Q697-AF697-T697</f>
        <v>#REF!</v>
      </c>
      <c r="AH697" t="str">
        <f>AE697-Q697-AF697-T697</f>
        <v>#REF!</v>
      </c>
      <c r="AI697" t="str">
        <f>AG697/X697</f>
        <v>#REF!</v>
      </c>
      <c r="AJ697" t="str">
        <f>AH697/Y697</f>
        <v>#REF!</v>
      </c>
    </row>
    <row r="698">
      <c r="G698" t="str">
        <v>A</v>
      </c>
      <c r="K698" t="str">
        <f>IF(L698&gt;0,L698*0.0625,)</f>
        <v>#REF!</v>
      </c>
      <c r="L698" t="str">
        <f>IF(K698&gt;0,K698*16,)</f>
        <v>#REF!</v>
      </c>
      <c r="M698" t="str">
        <f>IF(K698&gt;0,K698*0.453592,IF(L698&gt;0,L698*0.02835,))</f>
        <v>#REF!</v>
      </c>
      <c r="P698">
        <f>J698+O698+N698</f>
        <v>0</v>
      </c>
      <c r="Q698">
        <f>P698*C$3</f>
        <v>0</v>
      </c>
      <c r="R698">
        <v>0</v>
      </c>
      <c r="S698">
        <f>ROUND(SUM(Q698:R698), -2)</f>
        <v>0</v>
      </c>
      <c r="T698" t="str">
        <f>ROUNDUP(HLOOKUP(ROUNDUP(K698,0),'배송비 조회'!A$10:AE$22,7,0)*C$3,-2)</f>
        <v>#REF!</v>
      </c>
      <c r="U698">
        <v>0</v>
      </c>
      <c r="V698" t="str">
        <f>ROUND(IF(R694&gt;0,0,(S698+T698)*0.3),-2)</f>
        <v>#REF!</v>
      </c>
      <c r="W698" t="str">
        <f>ROUND(IF(R694&gt;0,0,(S698+T698)*0.5),-2)</f>
        <v>#REF!</v>
      </c>
      <c r="X698" t="str">
        <f>SUM(S698:V698)</f>
        <v>#REF!</v>
      </c>
      <c r="Y698" t="str">
        <f>SUM(S698:U698)+W698</f>
        <v>#REF!</v>
      </c>
      <c r="Z698">
        <v>0</v>
      </c>
      <c r="AA698" t="str">
        <f>X698*0.038</f>
        <v>#REF!</v>
      </c>
      <c r="AB698" t="str">
        <f>X698*0.02</f>
        <v>#REF!</v>
      </c>
      <c r="AC698" t="str">
        <f>Y698*0.1</f>
        <v>#REF!</v>
      </c>
      <c r="AD698" t="str">
        <f>X698-AA698-AB698</f>
        <v>#REF!</v>
      </c>
      <c r="AE698" t="str">
        <f>Y698-AC698</f>
        <v>#REF!</v>
      </c>
      <c r="AF698" t="str">
        <f>AD698*0.01</f>
        <v>#REF!</v>
      </c>
      <c r="AG698" t="str">
        <f>AD698-Q698-AF698-T698</f>
        <v>#REF!</v>
      </c>
      <c r="AH698" t="str">
        <f>AE698-Q698-AF698-T698</f>
        <v>#REF!</v>
      </c>
      <c r="AI698" t="str">
        <f>AG698/X698</f>
        <v>#REF!</v>
      </c>
      <c r="AJ698" t="str">
        <f>AH698/Y698</f>
        <v>#REF!</v>
      </c>
    </row>
    <row r="699">
      <c r="G699" t="str">
        <v>A</v>
      </c>
      <c r="K699" t="str">
        <f>IF(L699&gt;0,L699*0.0625,)</f>
        <v>#REF!</v>
      </c>
      <c r="L699" t="str">
        <f>IF(K699&gt;0,K699*16,)</f>
        <v>#REF!</v>
      </c>
      <c r="M699" t="str">
        <f>IF(K699&gt;0,K699*0.453592,IF(L699&gt;0,L699*0.02835,))</f>
        <v>#REF!</v>
      </c>
      <c r="P699">
        <f>J699+O699+N699</f>
        <v>0</v>
      </c>
      <c r="Q699">
        <f>P699*C$3</f>
        <v>0</v>
      </c>
      <c r="R699">
        <v>0</v>
      </c>
      <c r="S699">
        <f>ROUND(SUM(Q699:R699), -2)</f>
        <v>0</v>
      </c>
      <c r="T699" t="str">
        <f>ROUNDUP(HLOOKUP(ROUNDUP(K699,0),'배송비 조회'!A$10:AE$22,7,0)*C$3,-2)</f>
        <v>#REF!</v>
      </c>
      <c r="U699">
        <v>0</v>
      </c>
      <c r="V699" t="str">
        <f>ROUND(IF(R695&gt;0,0,(S699+T699)*0.3),-2)</f>
        <v>#REF!</v>
      </c>
      <c r="W699" t="str">
        <f>ROUND(IF(R695&gt;0,0,(S699+T699)*0.5),-2)</f>
        <v>#REF!</v>
      </c>
      <c r="X699" t="str">
        <f>SUM(S699:V699)</f>
        <v>#REF!</v>
      </c>
      <c r="Y699" t="str">
        <f>SUM(S699:U699)+W699</f>
        <v>#REF!</v>
      </c>
      <c r="Z699">
        <v>0</v>
      </c>
      <c r="AA699" t="str">
        <f>X699*0.038</f>
        <v>#REF!</v>
      </c>
      <c r="AB699" t="str">
        <f>X699*0.02</f>
        <v>#REF!</v>
      </c>
      <c r="AC699" t="str">
        <f>Y699*0.1</f>
        <v>#REF!</v>
      </c>
      <c r="AD699" t="str">
        <f>X699-AA699-AB699</f>
        <v>#REF!</v>
      </c>
      <c r="AE699" t="str">
        <f>Y699-AC699</f>
        <v>#REF!</v>
      </c>
      <c r="AF699" t="str">
        <f>AD699*0.01</f>
        <v>#REF!</v>
      </c>
      <c r="AG699" t="str">
        <f>AD699-Q699-AF699-T699</f>
        <v>#REF!</v>
      </c>
      <c r="AH699" t="str">
        <f>AE699-Q699-AF699-T699</f>
        <v>#REF!</v>
      </c>
      <c r="AI699" t="str">
        <f>AG699/X699</f>
        <v>#REF!</v>
      </c>
      <c r="AJ699" t="str">
        <f>AH699/Y699</f>
        <v>#REF!</v>
      </c>
    </row>
    <row r="700">
      <c r="G700" t="str">
        <v>A</v>
      </c>
      <c r="K700" t="str">
        <f>IF(L700&gt;0,L700*0.0625,)</f>
        <v>#REF!</v>
      </c>
      <c r="L700" t="str">
        <f>IF(K700&gt;0,K700*16,)</f>
        <v>#REF!</v>
      </c>
      <c r="M700" t="str">
        <f>IF(K700&gt;0,K700*0.453592,IF(L700&gt;0,L700*0.02835,))</f>
        <v>#REF!</v>
      </c>
      <c r="P700">
        <f>J700+O700+N700</f>
        <v>0</v>
      </c>
      <c r="Q700">
        <f>P700*C$3</f>
        <v>0</v>
      </c>
      <c r="R700">
        <v>0</v>
      </c>
      <c r="S700">
        <f>ROUND(SUM(Q700:R700), -2)</f>
        <v>0</v>
      </c>
      <c r="T700" t="str">
        <f>ROUNDUP(HLOOKUP(ROUNDUP(K700,0),'배송비 조회'!A$10:AE$22,7,0)*C$3,-2)</f>
        <v>#REF!</v>
      </c>
      <c r="U700">
        <v>0</v>
      </c>
      <c r="V700" t="str">
        <f>ROUND(IF(R696&gt;0,0,(S700+T700)*0.3),-2)</f>
        <v>#REF!</v>
      </c>
      <c r="W700" t="str">
        <f>ROUND(IF(R696&gt;0,0,(S700+T700)*0.5),-2)</f>
        <v>#REF!</v>
      </c>
      <c r="X700" t="str">
        <f>SUM(S700:V700)</f>
        <v>#REF!</v>
      </c>
      <c r="Y700" t="str">
        <f>SUM(S700:U700)+W700</f>
        <v>#REF!</v>
      </c>
      <c r="Z700">
        <v>0</v>
      </c>
      <c r="AA700" t="str">
        <f>X700*0.038</f>
        <v>#REF!</v>
      </c>
      <c r="AB700" t="str">
        <f>X700*0.02</f>
        <v>#REF!</v>
      </c>
      <c r="AC700" t="str">
        <f>Y700*0.1</f>
        <v>#REF!</v>
      </c>
      <c r="AD700" t="str">
        <f>X700-AA700-AB700</f>
        <v>#REF!</v>
      </c>
      <c r="AE700" t="str">
        <f>Y700-AC700</f>
        <v>#REF!</v>
      </c>
      <c r="AF700" t="str">
        <f>AD700*0.01</f>
        <v>#REF!</v>
      </c>
      <c r="AG700" t="str">
        <f>AD700-Q700-AF700-T700</f>
        <v>#REF!</v>
      </c>
      <c r="AH700" t="str">
        <f>AE700-Q700-AF700-T700</f>
        <v>#REF!</v>
      </c>
      <c r="AI700" t="str">
        <f>AG700/X700</f>
        <v>#REF!</v>
      </c>
      <c r="AJ700" t="str">
        <f>AH700/Y700</f>
        <v>#REF!</v>
      </c>
    </row>
    <row r="701">
      <c r="G701" t="str">
        <v>A</v>
      </c>
      <c r="K701" t="str">
        <f>IF(L701&gt;0,L701*0.0625,)</f>
        <v>#REF!</v>
      </c>
      <c r="L701" t="str">
        <f>IF(K701&gt;0,K701*16,)</f>
        <v>#REF!</v>
      </c>
      <c r="M701" t="str">
        <f>IF(K701&gt;0,K701*0.453592,IF(L701&gt;0,L701*0.02835,))</f>
        <v>#REF!</v>
      </c>
      <c r="P701">
        <f>J701+O701+N701</f>
        <v>0</v>
      </c>
      <c r="Q701">
        <f>P701*C$3</f>
        <v>0</v>
      </c>
      <c r="R701">
        <v>0</v>
      </c>
      <c r="S701">
        <f>ROUND(SUM(Q701:R701), -2)</f>
        <v>0</v>
      </c>
      <c r="T701" t="str">
        <f>ROUNDUP(HLOOKUP(ROUNDUP(K701,0),'배송비 조회'!A$10:AE$22,7,0)*C$3,-2)</f>
        <v>#REF!</v>
      </c>
      <c r="U701">
        <v>0</v>
      </c>
      <c r="V701" t="str">
        <f>ROUND(IF(R697&gt;0,0,(S701+T701)*0.3),-2)</f>
        <v>#REF!</v>
      </c>
      <c r="W701" t="str">
        <f>ROUND(IF(R697&gt;0,0,(S701+T701)*0.5),-2)</f>
        <v>#REF!</v>
      </c>
      <c r="X701" t="str">
        <f>SUM(S701:V701)</f>
        <v>#REF!</v>
      </c>
      <c r="Y701" t="str">
        <f>SUM(S701:U701)+W701</f>
        <v>#REF!</v>
      </c>
      <c r="Z701">
        <v>0</v>
      </c>
      <c r="AA701" t="str">
        <f>X701*0.038</f>
        <v>#REF!</v>
      </c>
      <c r="AB701" t="str">
        <f>X701*0.02</f>
        <v>#REF!</v>
      </c>
      <c r="AC701" t="str">
        <f>Y701*0.1</f>
        <v>#REF!</v>
      </c>
      <c r="AD701" t="str">
        <f>X701-AA701-AB701</f>
        <v>#REF!</v>
      </c>
      <c r="AE701" t="str">
        <f>Y701-AC701</f>
        <v>#REF!</v>
      </c>
      <c r="AF701" t="str">
        <f>AD701*0.01</f>
        <v>#REF!</v>
      </c>
      <c r="AG701" t="str">
        <f>AD701-Q701-AF701-T701</f>
        <v>#REF!</v>
      </c>
      <c r="AH701" t="str">
        <f>AE701-Q701-AF701-T701</f>
        <v>#REF!</v>
      </c>
      <c r="AI701" t="str">
        <f>AG701/X701</f>
        <v>#REF!</v>
      </c>
      <c r="AJ701" t="str">
        <f>AH701/Y701</f>
        <v>#REF!</v>
      </c>
    </row>
    <row r="702">
      <c r="G702" t="str">
        <v>A</v>
      </c>
      <c r="K702" t="str">
        <f>IF(L702&gt;0,L702*0.0625,)</f>
        <v>#REF!</v>
      </c>
      <c r="L702" t="str">
        <f>IF(K702&gt;0,K702*16,)</f>
        <v>#REF!</v>
      </c>
      <c r="M702" t="str">
        <f>IF(K702&gt;0,K702*0.453592,IF(L702&gt;0,L702*0.02835,))</f>
        <v>#REF!</v>
      </c>
      <c r="P702">
        <f>J702+O702+N702</f>
        <v>0</v>
      </c>
      <c r="Q702">
        <f>P702*C$3</f>
        <v>0</v>
      </c>
      <c r="R702">
        <v>0</v>
      </c>
      <c r="S702">
        <f>ROUND(SUM(Q702:R702), -2)</f>
        <v>0</v>
      </c>
      <c r="T702" t="str">
        <f>ROUNDUP(HLOOKUP(ROUNDUP(K702,0),'배송비 조회'!A$10:AE$22,7,0)*C$3,-2)</f>
        <v>#REF!</v>
      </c>
      <c r="U702">
        <v>0</v>
      </c>
      <c r="V702" t="str">
        <f>ROUND(IF(R698&gt;0,0,(S702+T702)*0.3),-2)</f>
        <v>#REF!</v>
      </c>
      <c r="W702" t="str">
        <f>ROUND(IF(R698&gt;0,0,(S702+T702)*0.5),-2)</f>
        <v>#REF!</v>
      </c>
      <c r="X702" t="str">
        <f>SUM(S702:V702)</f>
        <v>#REF!</v>
      </c>
      <c r="Y702" t="str">
        <f>SUM(S702:U702)+W702</f>
        <v>#REF!</v>
      </c>
      <c r="Z702">
        <v>0</v>
      </c>
      <c r="AA702" t="str">
        <f>X702*0.038</f>
        <v>#REF!</v>
      </c>
      <c r="AB702" t="str">
        <f>X702*0.02</f>
        <v>#REF!</v>
      </c>
      <c r="AC702" t="str">
        <f>Y702*0.1</f>
        <v>#REF!</v>
      </c>
      <c r="AD702" t="str">
        <f>X702-AA702-AB702</f>
        <v>#REF!</v>
      </c>
      <c r="AE702" t="str">
        <f>Y702-AC702</f>
        <v>#REF!</v>
      </c>
      <c r="AF702" t="str">
        <f>AD702*0.01</f>
        <v>#REF!</v>
      </c>
      <c r="AG702" t="str">
        <f>AD702-Q702-AF702-T702</f>
        <v>#REF!</v>
      </c>
      <c r="AH702" t="str">
        <f>AE702-Q702-AF702-T702</f>
        <v>#REF!</v>
      </c>
      <c r="AI702" t="str">
        <f>AG702/X702</f>
        <v>#REF!</v>
      </c>
      <c r="AJ702" t="str">
        <f>AH702/Y702</f>
        <v>#REF!</v>
      </c>
    </row>
    <row r="703">
      <c r="G703" t="str">
        <v>A</v>
      </c>
      <c r="K703" t="str">
        <f>IF(L703&gt;0,L703*0.0625,)</f>
        <v>#REF!</v>
      </c>
      <c r="L703" t="str">
        <f>IF(K703&gt;0,K703*16,)</f>
        <v>#REF!</v>
      </c>
      <c r="M703" t="str">
        <f>IF(K703&gt;0,K703*0.453592,IF(L703&gt;0,L703*0.02835,))</f>
        <v>#REF!</v>
      </c>
      <c r="P703">
        <f>J703+O703+N703</f>
        <v>0</v>
      </c>
      <c r="Q703">
        <f>P703*C$3</f>
        <v>0</v>
      </c>
      <c r="R703">
        <v>0</v>
      </c>
      <c r="S703">
        <f>ROUND(SUM(Q703:R703), -2)</f>
        <v>0</v>
      </c>
      <c r="T703" t="str">
        <f>ROUNDUP(HLOOKUP(ROUNDUP(K703,0),'배송비 조회'!A$10:AE$22,7,0)*C$3,-2)</f>
        <v>#REF!</v>
      </c>
      <c r="U703">
        <v>0</v>
      </c>
      <c r="V703" t="str">
        <f>ROUND(IF(R699&gt;0,0,(S703+T703)*0.3),-2)</f>
        <v>#REF!</v>
      </c>
      <c r="W703" t="str">
        <f>ROUND(IF(R699&gt;0,0,(S703+T703)*0.5),-2)</f>
        <v>#REF!</v>
      </c>
      <c r="X703" t="str">
        <f>SUM(S703:V703)</f>
        <v>#REF!</v>
      </c>
      <c r="Y703" t="str">
        <f>SUM(S703:U703)+W703</f>
        <v>#REF!</v>
      </c>
      <c r="Z703">
        <v>0</v>
      </c>
      <c r="AA703" t="str">
        <f>X703*0.038</f>
        <v>#REF!</v>
      </c>
      <c r="AB703" t="str">
        <f>X703*0.02</f>
        <v>#REF!</v>
      </c>
      <c r="AC703" t="str">
        <f>Y703*0.1</f>
        <v>#REF!</v>
      </c>
      <c r="AD703" t="str">
        <f>X703-AA703-AB703</f>
        <v>#REF!</v>
      </c>
      <c r="AE703" t="str">
        <f>Y703-AC703</f>
        <v>#REF!</v>
      </c>
      <c r="AF703" t="str">
        <f>AD703*0.01</f>
        <v>#REF!</v>
      </c>
      <c r="AG703" t="str">
        <f>AD703-Q703-AF703-T703</f>
        <v>#REF!</v>
      </c>
      <c r="AH703" t="str">
        <f>AE703-Q703-AF703-T703</f>
        <v>#REF!</v>
      </c>
      <c r="AI703" t="str">
        <f>AG703/X703</f>
        <v>#REF!</v>
      </c>
      <c r="AJ703" t="str">
        <f>AH703/Y703</f>
        <v>#REF!</v>
      </c>
    </row>
    <row r="704">
      <c r="G704" t="str">
        <v>A</v>
      </c>
      <c r="K704" t="str">
        <f>IF(L704&gt;0,L704*0.0625,)</f>
        <v>#REF!</v>
      </c>
      <c r="L704" t="str">
        <f>IF(K704&gt;0,K704*16,)</f>
        <v>#REF!</v>
      </c>
      <c r="M704" t="str">
        <f>IF(K704&gt;0,K704*0.453592,IF(L704&gt;0,L704*0.02835,))</f>
        <v>#REF!</v>
      </c>
      <c r="P704">
        <f>J704+O704+N704</f>
        <v>0</v>
      </c>
      <c r="Q704">
        <f>P704*C$3</f>
        <v>0</v>
      </c>
      <c r="R704">
        <v>0</v>
      </c>
      <c r="S704">
        <f>ROUND(SUM(Q704:R704), -2)</f>
        <v>0</v>
      </c>
      <c r="T704" t="str">
        <f>ROUNDUP(HLOOKUP(ROUNDUP(K704,0),'배송비 조회'!A$10:AE$22,7,0)*C$3,-2)</f>
        <v>#REF!</v>
      </c>
      <c r="U704">
        <v>0</v>
      </c>
      <c r="V704" t="str">
        <f>ROUND(IF(R700&gt;0,0,(S704+T704)*0.3),-2)</f>
        <v>#REF!</v>
      </c>
      <c r="W704" t="str">
        <f>ROUND(IF(R700&gt;0,0,(S704+T704)*0.5),-2)</f>
        <v>#REF!</v>
      </c>
      <c r="X704" t="str">
        <f>SUM(S704:V704)</f>
        <v>#REF!</v>
      </c>
      <c r="Y704" t="str">
        <f>SUM(S704:U704)+W704</f>
        <v>#REF!</v>
      </c>
      <c r="Z704">
        <v>0</v>
      </c>
      <c r="AA704" t="str">
        <f>X704*0.038</f>
        <v>#REF!</v>
      </c>
      <c r="AB704" t="str">
        <f>X704*0.02</f>
        <v>#REF!</v>
      </c>
      <c r="AC704" t="str">
        <f>Y704*0.1</f>
        <v>#REF!</v>
      </c>
      <c r="AD704" t="str">
        <f>X704-AA704-AB704</f>
        <v>#REF!</v>
      </c>
      <c r="AE704" t="str">
        <f>Y704-AC704</f>
        <v>#REF!</v>
      </c>
      <c r="AF704" t="str">
        <f>AD704*0.01</f>
        <v>#REF!</v>
      </c>
      <c r="AG704" t="str">
        <f>AD704-Q704-AF704-T704</f>
        <v>#REF!</v>
      </c>
      <c r="AH704" t="str">
        <f>AE704-Q704-AF704-T704</f>
        <v>#REF!</v>
      </c>
      <c r="AI704" t="str">
        <f>AG704/X704</f>
        <v>#REF!</v>
      </c>
      <c r="AJ704" t="str">
        <f>AH704/Y704</f>
        <v>#REF!</v>
      </c>
    </row>
    <row r="705">
      <c r="G705" t="str">
        <v>A</v>
      </c>
      <c r="K705" t="str">
        <f>IF(L705&gt;0,L705*0.0625,)</f>
        <v>#REF!</v>
      </c>
      <c r="L705" t="str">
        <f>IF(K705&gt;0,K705*16,)</f>
        <v>#REF!</v>
      </c>
      <c r="M705" t="str">
        <f>IF(K705&gt;0,K705*0.453592,IF(L705&gt;0,L705*0.02835,))</f>
        <v>#REF!</v>
      </c>
      <c r="P705">
        <f>J705+O705+N705</f>
        <v>0</v>
      </c>
      <c r="Q705">
        <f>P705*C$3</f>
        <v>0</v>
      </c>
      <c r="R705">
        <v>0</v>
      </c>
      <c r="S705">
        <f>ROUND(SUM(Q705:R705), -2)</f>
        <v>0</v>
      </c>
      <c r="T705" t="str">
        <f>ROUNDUP(HLOOKUP(ROUNDUP(K705,0),'배송비 조회'!A$10:AE$22,7,0)*C$3,-2)</f>
        <v>#REF!</v>
      </c>
      <c r="U705">
        <v>0</v>
      </c>
      <c r="V705" t="str">
        <f>ROUND(IF(R701&gt;0,0,(S705+T705)*0.3),-2)</f>
        <v>#REF!</v>
      </c>
      <c r="W705" t="str">
        <f>ROUND(IF(R701&gt;0,0,(S705+T705)*0.5),-2)</f>
        <v>#REF!</v>
      </c>
      <c r="X705" t="str">
        <f>SUM(S705:V705)</f>
        <v>#REF!</v>
      </c>
      <c r="Y705" t="str">
        <f>SUM(S705:U705)+W705</f>
        <v>#REF!</v>
      </c>
      <c r="Z705">
        <v>0</v>
      </c>
      <c r="AA705" t="str">
        <f>X705*0.038</f>
        <v>#REF!</v>
      </c>
      <c r="AB705" t="str">
        <f>X705*0.02</f>
        <v>#REF!</v>
      </c>
      <c r="AC705" t="str">
        <f>Y705*0.1</f>
        <v>#REF!</v>
      </c>
      <c r="AD705" t="str">
        <f>X705-AA705-AB705</f>
        <v>#REF!</v>
      </c>
      <c r="AE705" t="str">
        <f>Y705-AC705</f>
        <v>#REF!</v>
      </c>
      <c r="AF705" t="str">
        <f>AD705*0.01</f>
        <v>#REF!</v>
      </c>
      <c r="AG705" t="str">
        <f>AD705-Q705-AF705-T705</f>
        <v>#REF!</v>
      </c>
      <c r="AH705" t="str">
        <f>AE705-Q705-AF705-T705</f>
        <v>#REF!</v>
      </c>
      <c r="AI705" t="str">
        <f>AG705/X705</f>
        <v>#REF!</v>
      </c>
      <c r="AJ705" t="str">
        <f>AH705/Y705</f>
        <v>#REF!</v>
      </c>
    </row>
    <row r="706">
      <c r="G706" t="str">
        <v>A</v>
      </c>
      <c r="K706" t="str">
        <f>IF(L706&gt;0,L706*0.0625,)</f>
        <v>#REF!</v>
      </c>
      <c r="L706" t="str">
        <f>IF(K706&gt;0,K706*16,)</f>
        <v>#REF!</v>
      </c>
      <c r="M706" t="str">
        <f>IF(K706&gt;0,K706*0.453592,IF(L706&gt;0,L706*0.02835,))</f>
        <v>#REF!</v>
      </c>
      <c r="P706">
        <f>J706+O706+N706</f>
        <v>0</v>
      </c>
      <c r="Q706">
        <f>P706*C$3</f>
        <v>0</v>
      </c>
      <c r="R706">
        <v>0</v>
      </c>
      <c r="S706">
        <f>ROUND(SUM(Q706:R706), -2)</f>
        <v>0</v>
      </c>
      <c r="T706" t="str">
        <f>ROUNDUP(HLOOKUP(ROUNDUP(K706,0),'배송비 조회'!A$10:AE$22,7,0)*C$3,-2)</f>
        <v>#REF!</v>
      </c>
      <c r="U706">
        <v>0</v>
      </c>
      <c r="V706" t="str">
        <f>ROUND(IF(R702&gt;0,0,(S706+T706)*0.3),-2)</f>
        <v>#REF!</v>
      </c>
      <c r="W706" t="str">
        <f>ROUND(IF(R702&gt;0,0,(S706+T706)*0.5),-2)</f>
        <v>#REF!</v>
      </c>
      <c r="X706" t="str">
        <f>SUM(S706:V706)</f>
        <v>#REF!</v>
      </c>
      <c r="Y706" t="str">
        <f>SUM(S706:U706)+W706</f>
        <v>#REF!</v>
      </c>
      <c r="Z706">
        <v>0</v>
      </c>
      <c r="AA706" t="str">
        <f>X706*0.038</f>
        <v>#REF!</v>
      </c>
      <c r="AB706" t="str">
        <f>X706*0.02</f>
        <v>#REF!</v>
      </c>
      <c r="AC706" t="str">
        <f>Y706*0.1</f>
        <v>#REF!</v>
      </c>
      <c r="AD706" t="str">
        <f>X706-AA706-AB706</f>
        <v>#REF!</v>
      </c>
      <c r="AE706" t="str">
        <f>Y706-AC706</f>
        <v>#REF!</v>
      </c>
      <c r="AF706" t="str">
        <f>AD706*0.01</f>
        <v>#REF!</v>
      </c>
      <c r="AG706" t="str">
        <f>AD706-Q706-AF706-T706</f>
        <v>#REF!</v>
      </c>
      <c r="AH706" t="str">
        <f>AE706-Q706-AF706-T706</f>
        <v>#REF!</v>
      </c>
      <c r="AI706" t="str">
        <f>AG706/X706</f>
        <v>#REF!</v>
      </c>
      <c r="AJ706" t="str">
        <f>AH706/Y706</f>
        <v>#REF!</v>
      </c>
    </row>
    <row r="707">
      <c r="G707" t="str">
        <v>A</v>
      </c>
      <c r="K707" t="str">
        <f>IF(L707&gt;0,L707*0.0625,)</f>
        <v>#REF!</v>
      </c>
      <c r="L707" t="str">
        <f>IF(K707&gt;0,K707*16,)</f>
        <v>#REF!</v>
      </c>
      <c r="M707" t="str">
        <f>IF(K707&gt;0,K707*0.453592,IF(L707&gt;0,L707*0.02835,))</f>
        <v>#REF!</v>
      </c>
      <c r="P707">
        <f>J707+O707+N707</f>
        <v>0</v>
      </c>
      <c r="Q707">
        <f>P707*C$3</f>
        <v>0</v>
      </c>
      <c r="R707">
        <v>0</v>
      </c>
      <c r="S707">
        <f>ROUND(SUM(Q707:R707), -2)</f>
        <v>0</v>
      </c>
      <c r="T707" t="str">
        <f>ROUNDUP(HLOOKUP(ROUNDUP(K707,0),'배송비 조회'!A$10:AE$22,7,0)*C$3,-2)</f>
        <v>#REF!</v>
      </c>
      <c r="U707">
        <v>0</v>
      </c>
      <c r="V707" t="str">
        <f>ROUND(IF(R703&gt;0,0,(S707+T707)*0.3),-2)</f>
        <v>#REF!</v>
      </c>
      <c r="W707" t="str">
        <f>ROUND(IF(R703&gt;0,0,(S707+T707)*0.5),-2)</f>
        <v>#REF!</v>
      </c>
      <c r="X707" t="str">
        <f>SUM(S707:V707)</f>
        <v>#REF!</v>
      </c>
      <c r="Y707" t="str">
        <f>SUM(S707:U707)+W707</f>
        <v>#REF!</v>
      </c>
      <c r="Z707">
        <v>0</v>
      </c>
      <c r="AA707" t="str">
        <f>X707*0.038</f>
        <v>#REF!</v>
      </c>
      <c r="AB707" t="str">
        <f>X707*0.02</f>
        <v>#REF!</v>
      </c>
      <c r="AC707" t="str">
        <f>Y707*0.1</f>
        <v>#REF!</v>
      </c>
      <c r="AD707" t="str">
        <f>X707-AA707-AB707</f>
        <v>#REF!</v>
      </c>
      <c r="AE707" t="str">
        <f>Y707-AC707</f>
        <v>#REF!</v>
      </c>
      <c r="AF707" t="str">
        <f>AD707*0.01</f>
        <v>#REF!</v>
      </c>
      <c r="AG707" t="str">
        <f>AD707-Q707-AF707-T707</f>
        <v>#REF!</v>
      </c>
      <c r="AH707" t="str">
        <f>AE707-Q707-AF707-T707</f>
        <v>#REF!</v>
      </c>
      <c r="AI707" t="str">
        <f>AG707/X707</f>
        <v>#REF!</v>
      </c>
      <c r="AJ707" t="str">
        <f>AH707/Y707</f>
        <v>#REF!</v>
      </c>
    </row>
    <row r="708">
      <c r="G708" t="str">
        <v>A</v>
      </c>
      <c r="K708" t="str">
        <f>IF(L708&gt;0,L708*0.0625,)</f>
        <v>#REF!</v>
      </c>
      <c r="L708" t="str">
        <f>IF(K708&gt;0,K708*16,)</f>
        <v>#REF!</v>
      </c>
      <c r="M708" t="str">
        <f>IF(K708&gt;0,K708*0.453592,IF(L708&gt;0,L708*0.02835,))</f>
        <v>#REF!</v>
      </c>
      <c r="P708">
        <f>J708+O708+N708</f>
        <v>0</v>
      </c>
      <c r="Q708">
        <f>P708*C$3</f>
        <v>0</v>
      </c>
      <c r="R708">
        <v>0</v>
      </c>
      <c r="S708">
        <f>ROUND(SUM(Q708:R708), -2)</f>
        <v>0</v>
      </c>
      <c r="T708" t="str">
        <f>ROUNDUP(HLOOKUP(ROUNDUP(K708,0),'배송비 조회'!A$10:AE$22,7,0)*C$3,-2)</f>
        <v>#REF!</v>
      </c>
      <c r="U708">
        <v>0</v>
      </c>
      <c r="V708" t="str">
        <f>ROUND(IF(R704&gt;0,0,(S708+T708)*0.3),-2)</f>
        <v>#REF!</v>
      </c>
      <c r="W708" t="str">
        <f>ROUND(IF(R704&gt;0,0,(S708+T708)*0.5),-2)</f>
        <v>#REF!</v>
      </c>
      <c r="X708" t="str">
        <f>SUM(S708:V708)</f>
        <v>#REF!</v>
      </c>
      <c r="Y708" t="str">
        <f>SUM(S708:U708)+W708</f>
        <v>#REF!</v>
      </c>
      <c r="Z708">
        <v>0</v>
      </c>
      <c r="AA708" t="str">
        <f>X708*0.038</f>
        <v>#REF!</v>
      </c>
      <c r="AB708" t="str">
        <f>X708*0.02</f>
        <v>#REF!</v>
      </c>
      <c r="AC708" t="str">
        <f>Y708*0.1</f>
        <v>#REF!</v>
      </c>
      <c r="AD708" t="str">
        <f>X708-AA708-AB708</f>
        <v>#REF!</v>
      </c>
      <c r="AE708" t="str">
        <f>Y708-AC708</f>
        <v>#REF!</v>
      </c>
      <c r="AF708" t="str">
        <f>AD708*0.01</f>
        <v>#REF!</v>
      </c>
      <c r="AG708" t="str">
        <f>AD708-Q708-AF708-T708</f>
        <v>#REF!</v>
      </c>
      <c r="AH708" t="str">
        <f>AE708-Q708-AF708-T708</f>
        <v>#REF!</v>
      </c>
      <c r="AI708" t="str">
        <f>AG708/X708</f>
        <v>#REF!</v>
      </c>
      <c r="AJ708" t="str">
        <f>AH708/Y708</f>
        <v>#REF!</v>
      </c>
    </row>
    <row r="709">
      <c r="G709" t="str">
        <v>A</v>
      </c>
      <c r="K709" t="str">
        <f>IF(L709&gt;0,L709*0.0625,)</f>
        <v>#REF!</v>
      </c>
      <c r="L709" t="str">
        <f>IF(K709&gt;0,K709*16,)</f>
        <v>#REF!</v>
      </c>
      <c r="M709" t="str">
        <f>IF(K709&gt;0,K709*0.453592,IF(L709&gt;0,L709*0.02835,))</f>
        <v>#REF!</v>
      </c>
      <c r="P709">
        <f>J709+O709+N709</f>
        <v>0</v>
      </c>
      <c r="Q709">
        <f>P709*C$3</f>
        <v>0</v>
      </c>
      <c r="R709">
        <v>0</v>
      </c>
      <c r="S709">
        <f>ROUND(SUM(Q709:R709), -2)</f>
        <v>0</v>
      </c>
      <c r="T709" t="str">
        <f>ROUNDUP(HLOOKUP(ROUNDUP(K709,0),'배송비 조회'!A$10:AE$22,7,0)*C$3,-2)</f>
        <v>#REF!</v>
      </c>
      <c r="U709">
        <v>0</v>
      </c>
      <c r="V709" t="str">
        <f>ROUND(IF(R705&gt;0,0,(S709+T709)*0.3),-2)</f>
        <v>#REF!</v>
      </c>
      <c r="W709" t="str">
        <f>ROUND(IF(R705&gt;0,0,(S709+T709)*0.5),-2)</f>
        <v>#REF!</v>
      </c>
      <c r="X709" t="str">
        <f>SUM(S709:V709)</f>
        <v>#REF!</v>
      </c>
      <c r="Y709" t="str">
        <f>SUM(S709:U709)+W709</f>
        <v>#REF!</v>
      </c>
      <c r="Z709">
        <v>0</v>
      </c>
      <c r="AA709" t="str">
        <f>X709*0.038</f>
        <v>#REF!</v>
      </c>
      <c r="AB709" t="str">
        <f>X709*0.02</f>
        <v>#REF!</v>
      </c>
      <c r="AC709" t="str">
        <f>Y709*0.1</f>
        <v>#REF!</v>
      </c>
      <c r="AD709" t="str">
        <f>X709-AA709-AB709</f>
        <v>#REF!</v>
      </c>
      <c r="AE709" t="str">
        <f>Y709-AC709</f>
        <v>#REF!</v>
      </c>
      <c r="AF709" t="str">
        <f>AD709*0.01</f>
        <v>#REF!</v>
      </c>
      <c r="AG709" t="str">
        <f>AD709-Q709-AF709-T709</f>
        <v>#REF!</v>
      </c>
      <c r="AH709" t="str">
        <f>AE709-Q709-AF709-T709</f>
        <v>#REF!</v>
      </c>
      <c r="AI709" t="str">
        <f>AG709/X709</f>
        <v>#REF!</v>
      </c>
      <c r="AJ709" t="str">
        <f>AH709/Y709</f>
        <v>#REF!</v>
      </c>
    </row>
    <row r="710">
      <c r="G710" t="str">
        <v>A</v>
      </c>
      <c r="K710" t="str">
        <f>IF(L710&gt;0,L710*0.0625,)</f>
        <v>#REF!</v>
      </c>
      <c r="L710" t="str">
        <f>IF(K710&gt;0,K710*16,)</f>
        <v>#REF!</v>
      </c>
      <c r="M710" t="str">
        <f>IF(K710&gt;0,K710*0.453592,IF(L710&gt;0,L710*0.02835,))</f>
        <v>#REF!</v>
      </c>
      <c r="P710">
        <f>J710+O710+N710</f>
        <v>0</v>
      </c>
      <c r="Q710">
        <f>P710*C$3</f>
        <v>0</v>
      </c>
      <c r="R710">
        <v>0</v>
      </c>
      <c r="S710">
        <f>ROUND(SUM(Q710:R710), -2)</f>
        <v>0</v>
      </c>
      <c r="T710" t="str">
        <f>ROUNDUP(HLOOKUP(ROUNDUP(K710,0),'배송비 조회'!A$10:AE$22,7,0)*C$3,-2)</f>
        <v>#REF!</v>
      </c>
      <c r="U710">
        <v>0</v>
      </c>
      <c r="V710" t="str">
        <f>ROUND(IF(R706&gt;0,0,(S710+T710)*0.3),-2)</f>
        <v>#REF!</v>
      </c>
      <c r="W710" t="str">
        <f>ROUND(IF(R706&gt;0,0,(S710+T710)*0.5),-2)</f>
        <v>#REF!</v>
      </c>
      <c r="X710" t="str">
        <f>SUM(S710:V710)</f>
        <v>#REF!</v>
      </c>
      <c r="Y710" t="str">
        <f>SUM(S710:U710)+W710</f>
        <v>#REF!</v>
      </c>
      <c r="Z710">
        <v>0</v>
      </c>
      <c r="AA710" t="str">
        <f>X710*0.038</f>
        <v>#REF!</v>
      </c>
      <c r="AB710" t="str">
        <f>X710*0.02</f>
        <v>#REF!</v>
      </c>
      <c r="AC710" t="str">
        <f>Y710*0.1</f>
        <v>#REF!</v>
      </c>
      <c r="AD710" t="str">
        <f>X710-AA710-AB710</f>
        <v>#REF!</v>
      </c>
      <c r="AE710" t="str">
        <f>Y710-AC710</f>
        <v>#REF!</v>
      </c>
      <c r="AF710" t="str">
        <f>AD710*0.01</f>
        <v>#REF!</v>
      </c>
      <c r="AG710" t="str">
        <f>AD710-Q710-AF710-T710</f>
        <v>#REF!</v>
      </c>
      <c r="AH710" t="str">
        <f>AE710-Q710-AF710-T710</f>
        <v>#REF!</v>
      </c>
      <c r="AI710" t="str">
        <f>AG710/X710</f>
        <v>#REF!</v>
      </c>
      <c r="AJ710" t="str">
        <f>AH710/Y710</f>
        <v>#REF!</v>
      </c>
    </row>
    <row r="711">
      <c r="G711" t="str">
        <v>A</v>
      </c>
      <c r="K711" t="str">
        <f>IF(L711&gt;0,L711*0.0625,)</f>
        <v>#REF!</v>
      </c>
      <c r="L711" t="str">
        <f>IF(K711&gt;0,K711*16,)</f>
        <v>#REF!</v>
      </c>
      <c r="M711" t="str">
        <f>IF(K711&gt;0,K711*0.453592,IF(L711&gt;0,L711*0.02835,))</f>
        <v>#REF!</v>
      </c>
      <c r="P711">
        <f>J711+O711+N711</f>
        <v>0</v>
      </c>
      <c r="Q711">
        <f>P711*C$3</f>
        <v>0</v>
      </c>
      <c r="R711">
        <v>0</v>
      </c>
      <c r="S711">
        <f>ROUND(SUM(Q711:R711), -2)</f>
        <v>0</v>
      </c>
      <c r="T711" t="str">
        <f>ROUNDUP(HLOOKUP(ROUNDUP(K711,0),'배송비 조회'!A$10:AE$22,7,0)*C$3,-2)</f>
        <v>#REF!</v>
      </c>
      <c r="U711">
        <v>0</v>
      </c>
      <c r="V711" t="str">
        <f>ROUND(IF(R707&gt;0,0,(S711+T711)*0.3),-2)</f>
        <v>#REF!</v>
      </c>
      <c r="W711" t="str">
        <f>ROUND(IF(R707&gt;0,0,(S711+T711)*0.5),-2)</f>
        <v>#REF!</v>
      </c>
      <c r="X711" t="str">
        <f>SUM(S711:V711)</f>
        <v>#REF!</v>
      </c>
      <c r="Y711" t="str">
        <f>SUM(S711:U711)+W711</f>
        <v>#REF!</v>
      </c>
      <c r="Z711">
        <v>0</v>
      </c>
      <c r="AA711" t="str">
        <f>X711*0.038</f>
        <v>#REF!</v>
      </c>
      <c r="AB711" t="str">
        <f>X711*0.02</f>
        <v>#REF!</v>
      </c>
      <c r="AC711" t="str">
        <f>Y711*0.1</f>
        <v>#REF!</v>
      </c>
      <c r="AD711" t="str">
        <f>X711-AA711-AB711</f>
        <v>#REF!</v>
      </c>
      <c r="AE711" t="str">
        <f>Y711-AC711</f>
        <v>#REF!</v>
      </c>
      <c r="AF711" t="str">
        <f>AD711*0.01</f>
        <v>#REF!</v>
      </c>
      <c r="AG711" t="str">
        <f>AD711-Q711-AF711-T711</f>
        <v>#REF!</v>
      </c>
      <c r="AH711" t="str">
        <f>AE711-Q711-AF711-T711</f>
        <v>#REF!</v>
      </c>
      <c r="AI711" t="str">
        <f>AG711/X711</f>
        <v>#REF!</v>
      </c>
      <c r="AJ711" t="str">
        <f>AH711/Y711</f>
        <v>#REF!</v>
      </c>
    </row>
    <row r="712">
      <c r="G712" t="str">
        <v>A</v>
      </c>
      <c r="K712" t="str">
        <f>IF(L712&gt;0,L712*0.0625,)</f>
        <v>#REF!</v>
      </c>
      <c r="L712" t="str">
        <f>IF(K712&gt;0,K712*16,)</f>
        <v>#REF!</v>
      </c>
      <c r="M712" t="str">
        <f>IF(K712&gt;0,K712*0.453592,IF(L712&gt;0,L712*0.02835,))</f>
        <v>#REF!</v>
      </c>
      <c r="P712">
        <f>J712+O712+N712</f>
        <v>0</v>
      </c>
      <c r="Q712">
        <f>P712*C$3</f>
        <v>0</v>
      </c>
      <c r="R712">
        <v>0</v>
      </c>
      <c r="S712">
        <f>ROUND(SUM(Q712:R712), -2)</f>
        <v>0</v>
      </c>
      <c r="T712" t="str">
        <f>ROUNDUP(HLOOKUP(ROUNDUP(K712,0),'배송비 조회'!A$10:AE$22,7,0)*C$3,-2)</f>
        <v>#REF!</v>
      </c>
      <c r="U712">
        <v>0</v>
      </c>
      <c r="V712" t="str">
        <f>ROUND(IF(R708&gt;0,0,(S712+T712)*0.3),-2)</f>
        <v>#REF!</v>
      </c>
      <c r="W712" t="str">
        <f>ROUND(IF(R708&gt;0,0,(S712+T712)*0.5),-2)</f>
        <v>#REF!</v>
      </c>
      <c r="X712" t="str">
        <f>SUM(S712:V712)</f>
        <v>#REF!</v>
      </c>
      <c r="Y712" t="str">
        <f>SUM(S712:U712)+W712</f>
        <v>#REF!</v>
      </c>
      <c r="Z712">
        <v>0</v>
      </c>
      <c r="AA712" t="str">
        <f>X712*0.038</f>
        <v>#REF!</v>
      </c>
      <c r="AB712" t="str">
        <f>X712*0.02</f>
        <v>#REF!</v>
      </c>
      <c r="AC712" t="str">
        <f>Y712*0.1</f>
        <v>#REF!</v>
      </c>
      <c r="AD712" t="str">
        <f>X712-AA712-AB712</f>
        <v>#REF!</v>
      </c>
      <c r="AE712" t="str">
        <f>Y712-AC712</f>
        <v>#REF!</v>
      </c>
      <c r="AF712" t="str">
        <f>AD712*0.01</f>
        <v>#REF!</v>
      </c>
      <c r="AG712" t="str">
        <f>AD712-Q712-AF712-T712</f>
        <v>#REF!</v>
      </c>
      <c r="AH712" t="str">
        <f>AE712-Q712-AF712-T712</f>
        <v>#REF!</v>
      </c>
      <c r="AI712" t="str">
        <f>AG712/X712</f>
        <v>#REF!</v>
      </c>
      <c r="AJ712" t="str">
        <f>AH712/Y712</f>
        <v>#REF!</v>
      </c>
    </row>
    <row r="713">
      <c r="G713" t="str">
        <v>A</v>
      </c>
      <c r="K713" t="str">
        <f>IF(L713&gt;0,L713*0.0625,)</f>
        <v>#REF!</v>
      </c>
      <c r="L713" t="str">
        <f>IF(K713&gt;0,K713*16,)</f>
        <v>#REF!</v>
      </c>
      <c r="M713" t="str">
        <f>IF(K713&gt;0,K713*0.453592,IF(L713&gt;0,L713*0.02835,))</f>
        <v>#REF!</v>
      </c>
      <c r="P713">
        <f>J713+O713+N713</f>
        <v>0</v>
      </c>
      <c r="Q713">
        <f>P713*C$3</f>
        <v>0</v>
      </c>
      <c r="R713">
        <v>0</v>
      </c>
      <c r="S713">
        <f>ROUND(SUM(Q713:R713), -2)</f>
        <v>0</v>
      </c>
      <c r="T713" t="str">
        <f>ROUNDUP(HLOOKUP(ROUNDUP(K713,0),'배송비 조회'!A$10:AE$22,7,0)*C$3,-2)</f>
        <v>#REF!</v>
      </c>
      <c r="U713">
        <v>0</v>
      </c>
      <c r="V713" t="str">
        <f>ROUND(IF(R709&gt;0,0,(S713+T713)*0.3),-2)</f>
        <v>#REF!</v>
      </c>
      <c r="W713" t="str">
        <f>ROUND(IF(R709&gt;0,0,(S713+T713)*0.5),-2)</f>
        <v>#REF!</v>
      </c>
      <c r="X713" t="str">
        <f>SUM(S713:V713)</f>
        <v>#REF!</v>
      </c>
      <c r="Y713" t="str">
        <f>SUM(S713:U713)+W713</f>
        <v>#REF!</v>
      </c>
      <c r="Z713">
        <v>0</v>
      </c>
      <c r="AA713" t="str">
        <f>X713*0.038</f>
        <v>#REF!</v>
      </c>
      <c r="AB713" t="str">
        <f>X713*0.02</f>
        <v>#REF!</v>
      </c>
      <c r="AC713" t="str">
        <f>Y713*0.1</f>
        <v>#REF!</v>
      </c>
      <c r="AD713" t="str">
        <f>X713-AA713-AB713</f>
        <v>#REF!</v>
      </c>
      <c r="AE713" t="str">
        <f>Y713-AC713</f>
        <v>#REF!</v>
      </c>
      <c r="AF713" t="str">
        <f>AD713*0.01</f>
        <v>#REF!</v>
      </c>
      <c r="AG713" t="str">
        <f>AD713-Q713-AF713-T713</f>
        <v>#REF!</v>
      </c>
      <c r="AH713" t="str">
        <f>AE713-Q713-AF713-T713</f>
        <v>#REF!</v>
      </c>
      <c r="AI713" t="str">
        <f>AG713/X713</f>
        <v>#REF!</v>
      </c>
      <c r="AJ713" t="str">
        <f>AH713/Y713</f>
        <v>#REF!</v>
      </c>
    </row>
    <row r="714">
      <c r="G714" t="str">
        <v>A</v>
      </c>
      <c r="K714" t="str">
        <f>IF(L714&gt;0,L714*0.0625,)</f>
        <v>#REF!</v>
      </c>
      <c r="L714" t="str">
        <f>IF(K714&gt;0,K714*16,)</f>
        <v>#REF!</v>
      </c>
      <c r="M714" t="str">
        <f>IF(K714&gt;0,K714*0.453592,IF(L714&gt;0,L714*0.02835,))</f>
        <v>#REF!</v>
      </c>
      <c r="P714">
        <f>J714+O714+N714</f>
        <v>0</v>
      </c>
      <c r="Q714">
        <f>P714*C$3</f>
        <v>0</v>
      </c>
      <c r="R714">
        <v>0</v>
      </c>
      <c r="S714">
        <f>ROUND(SUM(Q714:R714), -2)</f>
        <v>0</v>
      </c>
      <c r="T714" t="str">
        <f>ROUNDUP(HLOOKUP(ROUNDUP(K714,0),'배송비 조회'!A$10:AE$22,7,0)*C$3,-2)</f>
        <v>#REF!</v>
      </c>
      <c r="U714">
        <v>0</v>
      </c>
      <c r="V714" t="str">
        <f>ROUND(IF(R710&gt;0,0,(S714+T714)*0.3),-2)</f>
        <v>#REF!</v>
      </c>
      <c r="W714" t="str">
        <f>ROUND(IF(R710&gt;0,0,(S714+T714)*0.5),-2)</f>
        <v>#REF!</v>
      </c>
      <c r="X714" t="str">
        <f>SUM(S714:V714)</f>
        <v>#REF!</v>
      </c>
      <c r="Y714" t="str">
        <f>SUM(S714:U714)+W714</f>
        <v>#REF!</v>
      </c>
      <c r="Z714">
        <v>0</v>
      </c>
      <c r="AA714" t="str">
        <f>X714*0.038</f>
        <v>#REF!</v>
      </c>
      <c r="AB714" t="str">
        <f>X714*0.02</f>
        <v>#REF!</v>
      </c>
      <c r="AC714" t="str">
        <f>Y714*0.1</f>
        <v>#REF!</v>
      </c>
      <c r="AD714" t="str">
        <f>X714-AA714-AB714</f>
        <v>#REF!</v>
      </c>
      <c r="AE714" t="str">
        <f>Y714-AC714</f>
        <v>#REF!</v>
      </c>
      <c r="AF714" t="str">
        <f>AD714*0.01</f>
        <v>#REF!</v>
      </c>
      <c r="AG714" t="str">
        <f>AD714-Q714-AF714-T714</f>
        <v>#REF!</v>
      </c>
      <c r="AH714" t="str">
        <f>AE714-Q714-AF714-T714</f>
        <v>#REF!</v>
      </c>
      <c r="AI714" t="str">
        <f>AG714/X714</f>
        <v>#REF!</v>
      </c>
      <c r="AJ714" t="str">
        <f>AH714/Y714</f>
        <v>#REF!</v>
      </c>
    </row>
    <row r="715">
      <c r="G715" t="str">
        <v>A</v>
      </c>
      <c r="K715" t="str">
        <f>IF(L715&gt;0,L715*0.0625,)</f>
        <v>#REF!</v>
      </c>
      <c r="L715" t="str">
        <f>IF(K715&gt;0,K715*16,)</f>
        <v>#REF!</v>
      </c>
      <c r="M715" t="str">
        <f>IF(K715&gt;0,K715*0.453592,IF(L715&gt;0,L715*0.02835,))</f>
        <v>#REF!</v>
      </c>
      <c r="P715">
        <f>J715+O715+N715</f>
        <v>0</v>
      </c>
      <c r="Q715">
        <f>P715*C$3</f>
        <v>0</v>
      </c>
      <c r="R715">
        <v>0</v>
      </c>
      <c r="S715">
        <f>ROUND(SUM(Q715:R715), -2)</f>
        <v>0</v>
      </c>
      <c r="T715" t="str">
        <f>ROUNDUP(HLOOKUP(ROUNDUP(K715,0),'배송비 조회'!A$10:AE$22,7,0)*C$3,-2)</f>
        <v>#REF!</v>
      </c>
      <c r="U715">
        <v>0</v>
      </c>
      <c r="V715" t="str">
        <f>ROUND(IF(R711&gt;0,0,(S715+T715)*0.3),-2)</f>
        <v>#REF!</v>
      </c>
      <c r="W715" t="str">
        <f>ROUND(IF(R711&gt;0,0,(S715+T715)*0.5),-2)</f>
        <v>#REF!</v>
      </c>
      <c r="X715" t="str">
        <f>SUM(S715:V715)</f>
        <v>#REF!</v>
      </c>
      <c r="Y715" t="str">
        <f>SUM(S715:U715)+W715</f>
        <v>#REF!</v>
      </c>
      <c r="Z715">
        <v>0</v>
      </c>
      <c r="AA715" t="str">
        <f>X715*0.038</f>
        <v>#REF!</v>
      </c>
      <c r="AB715" t="str">
        <f>X715*0.02</f>
        <v>#REF!</v>
      </c>
      <c r="AC715" t="str">
        <f>Y715*0.1</f>
        <v>#REF!</v>
      </c>
      <c r="AD715" t="str">
        <f>X715-AA715-AB715</f>
        <v>#REF!</v>
      </c>
      <c r="AE715" t="str">
        <f>Y715-AC715</f>
        <v>#REF!</v>
      </c>
      <c r="AF715" t="str">
        <f>AD715*0.01</f>
        <v>#REF!</v>
      </c>
      <c r="AG715" t="str">
        <f>AD715-Q715-AF715-T715</f>
        <v>#REF!</v>
      </c>
      <c r="AH715" t="str">
        <f>AE715-Q715-AF715-T715</f>
        <v>#REF!</v>
      </c>
      <c r="AI715" t="str">
        <f>AG715/X715</f>
        <v>#REF!</v>
      </c>
      <c r="AJ715" t="str">
        <f>AH715/Y715</f>
        <v>#REF!</v>
      </c>
    </row>
    <row r="716">
      <c r="G716" t="str">
        <v>A</v>
      </c>
      <c r="K716" t="str">
        <f>IF(L716&gt;0,L716*0.0625,)</f>
        <v>#REF!</v>
      </c>
      <c r="L716" t="str">
        <f>IF(K716&gt;0,K716*16,)</f>
        <v>#REF!</v>
      </c>
      <c r="M716" t="str">
        <f>IF(K716&gt;0,K716*0.453592,IF(L716&gt;0,L716*0.02835,))</f>
        <v>#REF!</v>
      </c>
      <c r="P716">
        <f>J716+O716+N716</f>
        <v>0</v>
      </c>
      <c r="Q716">
        <f>P716*C$3</f>
        <v>0</v>
      </c>
      <c r="R716">
        <v>0</v>
      </c>
      <c r="S716">
        <f>ROUND(SUM(Q716:R716), -2)</f>
        <v>0</v>
      </c>
      <c r="T716" t="str">
        <f>ROUNDUP(HLOOKUP(ROUNDUP(K716,0),'배송비 조회'!A$10:AE$22,7,0)*C$3,-2)</f>
        <v>#REF!</v>
      </c>
      <c r="U716">
        <v>0</v>
      </c>
      <c r="V716" t="str">
        <f>ROUND(IF(R712&gt;0,0,(S716+T716)*0.3),-2)</f>
        <v>#REF!</v>
      </c>
      <c r="W716" t="str">
        <f>ROUND(IF(R712&gt;0,0,(S716+T716)*0.5),-2)</f>
        <v>#REF!</v>
      </c>
      <c r="X716" t="str">
        <f>SUM(S716:V716)</f>
        <v>#REF!</v>
      </c>
      <c r="Y716" t="str">
        <f>SUM(S716:U716)+W716</f>
        <v>#REF!</v>
      </c>
      <c r="Z716">
        <v>0</v>
      </c>
      <c r="AA716" t="str">
        <f>X716*0.038</f>
        <v>#REF!</v>
      </c>
      <c r="AB716" t="str">
        <f>X716*0.02</f>
        <v>#REF!</v>
      </c>
      <c r="AC716" t="str">
        <f>Y716*0.1</f>
        <v>#REF!</v>
      </c>
      <c r="AD716" t="str">
        <f>X716-AA716-AB716</f>
        <v>#REF!</v>
      </c>
      <c r="AE716" t="str">
        <f>Y716-AC716</f>
        <v>#REF!</v>
      </c>
      <c r="AF716" t="str">
        <f>AD716*0.01</f>
        <v>#REF!</v>
      </c>
      <c r="AG716" t="str">
        <f>AD716-Q716-AF716-T716</f>
        <v>#REF!</v>
      </c>
      <c r="AH716" t="str">
        <f>AE716-Q716-AF716-T716</f>
        <v>#REF!</v>
      </c>
      <c r="AI716" t="str">
        <f>AG716/X716</f>
        <v>#REF!</v>
      </c>
      <c r="AJ716" t="str">
        <f>AH716/Y716</f>
        <v>#REF!</v>
      </c>
    </row>
    <row r="717">
      <c r="G717" t="str">
        <v>A</v>
      </c>
      <c r="K717" t="str">
        <f>IF(L717&gt;0,L717*0.0625,)</f>
        <v>#REF!</v>
      </c>
      <c r="L717" t="str">
        <f>IF(K717&gt;0,K717*16,)</f>
        <v>#REF!</v>
      </c>
      <c r="M717" t="str">
        <f>IF(K717&gt;0,K717*0.453592,IF(L717&gt;0,L717*0.02835,))</f>
        <v>#REF!</v>
      </c>
      <c r="P717">
        <f>J717+O717+N717</f>
        <v>0</v>
      </c>
      <c r="Q717">
        <f>P717*C$3</f>
        <v>0</v>
      </c>
      <c r="R717">
        <v>0</v>
      </c>
      <c r="S717">
        <f>ROUND(SUM(Q717:R717), -2)</f>
        <v>0</v>
      </c>
      <c r="T717" t="str">
        <f>ROUNDUP(HLOOKUP(ROUNDUP(K717,0),'배송비 조회'!A$10:AE$22,7,0)*C$3,-2)</f>
        <v>#REF!</v>
      </c>
      <c r="U717">
        <v>0</v>
      </c>
      <c r="V717" t="str">
        <f>ROUND(IF(R713&gt;0,0,(S717+T717)*0.3),-2)</f>
        <v>#REF!</v>
      </c>
      <c r="W717" t="str">
        <f>ROUND(IF(R713&gt;0,0,(S717+T717)*0.5),-2)</f>
        <v>#REF!</v>
      </c>
      <c r="X717" t="str">
        <f>SUM(S717:V717)</f>
        <v>#REF!</v>
      </c>
      <c r="Y717" t="str">
        <f>SUM(S717:U717)+W717</f>
        <v>#REF!</v>
      </c>
      <c r="Z717">
        <v>0</v>
      </c>
      <c r="AA717" t="str">
        <f>X717*0.038</f>
        <v>#REF!</v>
      </c>
      <c r="AB717" t="str">
        <f>X717*0.02</f>
        <v>#REF!</v>
      </c>
      <c r="AC717" t="str">
        <f>Y717*0.1</f>
        <v>#REF!</v>
      </c>
      <c r="AD717" t="str">
        <f>X717-AA717-AB717</f>
        <v>#REF!</v>
      </c>
      <c r="AE717" t="str">
        <f>Y717-AC717</f>
        <v>#REF!</v>
      </c>
      <c r="AF717" t="str">
        <f>AD717*0.01</f>
        <v>#REF!</v>
      </c>
      <c r="AG717" t="str">
        <f>AD717-Q717-AF717-T717</f>
        <v>#REF!</v>
      </c>
      <c r="AH717" t="str">
        <f>AE717-Q717-AF717-T717</f>
        <v>#REF!</v>
      </c>
      <c r="AI717" t="str">
        <f>AG717/X717</f>
        <v>#REF!</v>
      </c>
      <c r="AJ717" t="str">
        <f>AH717/Y717</f>
        <v>#REF!</v>
      </c>
    </row>
    <row r="718">
      <c r="G718" t="str">
        <v>A</v>
      </c>
      <c r="K718" t="str">
        <f>IF(L718&gt;0,L718*0.0625,)</f>
        <v>#REF!</v>
      </c>
      <c r="L718" t="str">
        <f>IF(K718&gt;0,K718*16,)</f>
        <v>#REF!</v>
      </c>
      <c r="M718" t="str">
        <f>IF(K718&gt;0,K718*0.453592,IF(L718&gt;0,L718*0.02835,))</f>
        <v>#REF!</v>
      </c>
      <c r="P718">
        <f>J718+O718+N718</f>
        <v>0</v>
      </c>
      <c r="Q718">
        <f>P718*C$3</f>
        <v>0</v>
      </c>
      <c r="R718">
        <v>0</v>
      </c>
      <c r="S718">
        <f>ROUND(SUM(Q718:R718), -2)</f>
        <v>0</v>
      </c>
      <c r="T718" t="str">
        <f>ROUNDUP(HLOOKUP(ROUNDUP(K718,0),'배송비 조회'!A$10:AE$22,7,0)*C$3,-2)</f>
        <v>#REF!</v>
      </c>
      <c r="U718">
        <v>0</v>
      </c>
      <c r="V718" t="str">
        <f>ROUND(IF(R714&gt;0,0,(S718+T718)*0.3),-2)</f>
        <v>#REF!</v>
      </c>
      <c r="W718" t="str">
        <f>ROUND(IF(R714&gt;0,0,(S718+T718)*0.5),-2)</f>
        <v>#REF!</v>
      </c>
      <c r="X718" t="str">
        <f>SUM(S718:V718)</f>
        <v>#REF!</v>
      </c>
      <c r="Y718" t="str">
        <f>SUM(S718:U718)+W718</f>
        <v>#REF!</v>
      </c>
      <c r="Z718">
        <v>0</v>
      </c>
      <c r="AA718" t="str">
        <f>X718*0.038</f>
        <v>#REF!</v>
      </c>
      <c r="AB718" t="str">
        <f>X718*0.02</f>
        <v>#REF!</v>
      </c>
      <c r="AC718" t="str">
        <f>Y718*0.1</f>
        <v>#REF!</v>
      </c>
      <c r="AD718" t="str">
        <f>X718-AA718-AB718</f>
        <v>#REF!</v>
      </c>
      <c r="AE718" t="str">
        <f>Y718-AC718</f>
        <v>#REF!</v>
      </c>
      <c r="AF718" t="str">
        <f>AD718*0.01</f>
        <v>#REF!</v>
      </c>
      <c r="AG718" t="str">
        <f>AD718-Q718-AF718-T718</f>
        <v>#REF!</v>
      </c>
      <c r="AH718" t="str">
        <f>AE718-Q718-AF718-T718</f>
        <v>#REF!</v>
      </c>
      <c r="AI718" t="str">
        <f>AG718/X718</f>
        <v>#REF!</v>
      </c>
      <c r="AJ718" t="str">
        <f>AH718/Y718</f>
        <v>#REF!</v>
      </c>
    </row>
    <row r="719">
      <c r="G719" t="str">
        <v>A</v>
      </c>
      <c r="K719" t="str">
        <f>IF(L719&gt;0,L719*0.0625,)</f>
        <v>#REF!</v>
      </c>
      <c r="L719" t="str">
        <f>IF(K719&gt;0,K719*16,)</f>
        <v>#REF!</v>
      </c>
      <c r="M719" t="str">
        <f>IF(K719&gt;0,K719*0.453592,IF(L719&gt;0,L719*0.02835,))</f>
        <v>#REF!</v>
      </c>
      <c r="P719">
        <f>J719+O719+N719</f>
        <v>0</v>
      </c>
      <c r="Q719">
        <f>P719*C$3</f>
        <v>0</v>
      </c>
      <c r="R719">
        <v>0</v>
      </c>
      <c r="S719">
        <f>ROUND(SUM(Q719:R719), -2)</f>
        <v>0</v>
      </c>
      <c r="T719" t="str">
        <f>ROUNDUP(HLOOKUP(ROUNDUP(K719,0),'배송비 조회'!A$10:AE$22,7,0)*C$3,-2)</f>
        <v>#REF!</v>
      </c>
      <c r="U719">
        <v>0</v>
      </c>
      <c r="V719" t="str">
        <f>ROUND(IF(R715&gt;0,0,(S719+T719)*0.3),-2)</f>
        <v>#REF!</v>
      </c>
      <c r="W719" t="str">
        <f>ROUND(IF(R715&gt;0,0,(S719+T719)*0.5),-2)</f>
        <v>#REF!</v>
      </c>
      <c r="X719" t="str">
        <f>SUM(S719:V719)</f>
        <v>#REF!</v>
      </c>
      <c r="Y719" t="str">
        <f>SUM(S719:U719)+W719</f>
        <v>#REF!</v>
      </c>
      <c r="Z719">
        <v>0</v>
      </c>
      <c r="AA719" t="str">
        <f>X719*0.038</f>
        <v>#REF!</v>
      </c>
      <c r="AB719" t="str">
        <f>X719*0.02</f>
        <v>#REF!</v>
      </c>
      <c r="AC719" t="str">
        <f>Y719*0.1</f>
        <v>#REF!</v>
      </c>
      <c r="AD719" t="str">
        <f>X719-AA719-AB719</f>
        <v>#REF!</v>
      </c>
      <c r="AE719" t="str">
        <f>Y719-AC719</f>
        <v>#REF!</v>
      </c>
      <c r="AF719" t="str">
        <f>AD719*0.01</f>
        <v>#REF!</v>
      </c>
      <c r="AG719" t="str">
        <f>AD719-Q719-AF719-T719</f>
        <v>#REF!</v>
      </c>
      <c r="AH719" t="str">
        <f>AE719-Q719-AF719-T719</f>
        <v>#REF!</v>
      </c>
      <c r="AI719" t="str">
        <f>AG719/X719</f>
        <v>#REF!</v>
      </c>
      <c r="AJ719" t="str">
        <f>AH719/Y719</f>
        <v>#REF!</v>
      </c>
    </row>
    <row r="720">
      <c r="G720" t="str">
        <v>A</v>
      </c>
      <c r="K720" t="str">
        <f>IF(L720&gt;0,L720*0.0625,)</f>
        <v>#REF!</v>
      </c>
      <c r="L720" t="str">
        <f>IF(K720&gt;0,K720*16,)</f>
        <v>#REF!</v>
      </c>
      <c r="M720" t="str">
        <f>IF(K720&gt;0,K720*0.453592,IF(L720&gt;0,L720*0.02835,))</f>
        <v>#REF!</v>
      </c>
      <c r="P720">
        <f>J720+O720+N720</f>
        <v>0</v>
      </c>
      <c r="Q720">
        <f>P720*C$3</f>
        <v>0</v>
      </c>
      <c r="R720">
        <v>0</v>
      </c>
      <c r="S720">
        <f>ROUND(SUM(Q720:R720), -2)</f>
        <v>0</v>
      </c>
      <c r="T720" t="str">
        <f>ROUNDUP(HLOOKUP(ROUNDUP(K720,0),'배송비 조회'!A$10:AE$22,7,0)*C$3,-2)</f>
        <v>#REF!</v>
      </c>
      <c r="U720">
        <v>0</v>
      </c>
      <c r="V720" t="str">
        <f>ROUND(IF(R716&gt;0,0,(S720+T720)*0.3),-2)</f>
        <v>#REF!</v>
      </c>
      <c r="W720" t="str">
        <f>ROUND(IF(R716&gt;0,0,(S720+T720)*0.5),-2)</f>
        <v>#REF!</v>
      </c>
      <c r="X720" t="str">
        <f>SUM(S720:V720)</f>
        <v>#REF!</v>
      </c>
      <c r="Y720" t="str">
        <f>SUM(S720:U720)+W720</f>
        <v>#REF!</v>
      </c>
      <c r="Z720">
        <v>0</v>
      </c>
      <c r="AA720" t="str">
        <f>X720*0.038</f>
        <v>#REF!</v>
      </c>
      <c r="AB720" t="str">
        <f>X720*0.02</f>
        <v>#REF!</v>
      </c>
      <c r="AC720" t="str">
        <f>Y720*0.1</f>
        <v>#REF!</v>
      </c>
      <c r="AD720" t="str">
        <f>X720-AA720-AB720</f>
        <v>#REF!</v>
      </c>
      <c r="AE720" t="str">
        <f>Y720-AC720</f>
        <v>#REF!</v>
      </c>
      <c r="AF720" t="str">
        <f>AD720*0.01</f>
        <v>#REF!</v>
      </c>
      <c r="AG720" t="str">
        <f>AD720-Q720-AF720-T720</f>
        <v>#REF!</v>
      </c>
      <c r="AH720" t="str">
        <f>AE720-Q720-AF720-T720</f>
        <v>#REF!</v>
      </c>
      <c r="AI720" t="str">
        <f>AG720/X720</f>
        <v>#REF!</v>
      </c>
      <c r="AJ720" t="str">
        <f>AH720/Y720</f>
        <v>#REF!</v>
      </c>
    </row>
    <row r="721">
      <c r="G721" t="str">
        <v>A</v>
      </c>
      <c r="K721" t="str">
        <f>IF(L721&gt;0,L721*0.0625,)</f>
        <v>#REF!</v>
      </c>
      <c r="L721" t="str">
        <f>IF(K721&gt;0,K721*16,)</f>
        <v>#REF!</v>
      </c>
      <c r="M721" t="str">
        <f>IF(K721&gt;0,K721*0.453592,IF(L721&gt;0,L721*0.02835,))</f>
        <v>#REF!</v>
      </c>
      <c r="P721">
        <f>J721+O721+N721</f>
        <v>0</v>
      </c>
      <c r="Q721">
        <f>P721*C$3</f>
        <v>0</v>
      </c>
      <c r="R721">
        <v>0</v>
      </c>
      <c r="S721">
        <f>ROUND(SUM(Q721:R721), -2)</f>
        <v>0</v>
      </c>
      <c r="T721" t="str">
        <f>ROUNDUP(HLOOKUP(ROUNDUP(K721,0),'배송비 조회'!A$10:AE$22,7,0)*C$3,-2)</f>
        <v>#REF!</v>
      </c>
      <c r="U721">
        <v>0</v>
      </c>
      <c r="V721" t="str">
        <f>ROUND(IF(R717&gt;0,0,(S721+T721)*0.3),-2)</f>
        <v>#REF!</v>
      </c>
      <c r="W721" t="str">
        <f>ROUND(IF(R717&gt;0,0,(S721+T721)*0.5),-2)</f>
        <v>#REF!</v>
      </c>
      <c r="X721" t="str">
        <f>SUM(S721:V721)</f>
        <v>#REF!</v>
      </c>
      <c r="Y721" t="str">
        <f>SUM(S721:U721)+W721</f>
        <v>#REF!</v>
      </c>
      <c r="Z721">
        <v>0</v>
      </c>
      <c r="AA721" t="str">
        <f>X721*0.038</f>
        <v>#REF!</v>
      </c>
      <c r="AB721" t="str">
        <f>X721*0.02</f>
        <v>#REF!</v>
      </c>
      <c r="AC721" t="str">
        <f>Y721*0.1</f>
        <v>#REF!</v>
      </c>
      <c r="AD721" t="str">
        <f>X721-AA721-AB721</f>
        <v>#REF!</v>
      </c>
      <c r="AE721" t="str">
        <f>Y721-AC721</f>
        <v>#REF!</v>
      </c>
      <c r="AF721" t="str">
        <f>AD721*0.01</f>
        <v>#REF!</v>
      </c>
      <c r="AG721" t="str">
        <f>AD721-Q721-AF721-T721</f>
        <v>#REF!</v>
      </c>
      <c r="AH721" t="str">
        <f>AE721-Q721-AF721-T721</f>
        <v>#REF!</v>
      </c>
      <c r="AI721" t="str">
        <f>AG721/X721</f>
        <v>#REF!</v>
      </c>
      <c r="AJ721" t="str">
        <f>AH721/Y721</f>
        <v>#REF!</v>
      </c>
    </row>
    <row r="722">
      <c r="G722" t="str">
        <v>A</v>
      </c>
      <c r="K722" t="str">
        <f>IF(L722&gt;0,L722*0.0625,)</f>
        <v>#REF!</v>
      </c>
      <c r="L722" t="str">
        <f>IF(K722&gt;0,K722*16,)</f>
        <v>#REF!</v>
      </c>
      <c r="M722" t="str">
        <f>IF(K722&gt;0,K722*0.453592,IF(L722&gt;0,L722*0.02835,))</f>
        <v>#REF!</v>
      </c>
      <c r="P722">
        <f>J722+O722+N722</f>
        <v>0</v>
      </c>
      <c r="Q722">
        <f>P722*C$3</f>
        <v>0</v>
      </c>
      <c r="R722">
        <v>0</v>
      </c>
      <c r="S722">
        <f>ROUND(SUM(Q722:R722), -2)</f>
        <v>0</v>
      </c>
      <c r="T722" t="str">
        <f>ROUNDUP(HLOOKUP(ROUNDUP(K722,0),'배송비 조회'!A$10:AE$22,7,0)*C$3,-2)</f>
        <v>#REF!</v>
      </c>
      <c r="U722">
        <v>0</v>
      </c>
      <c r="V722" t="str">
        <f>ROUND(IF(R718&gt;0,0,(S722+T722)*0.3),-2)</f>
        <v>#REF!</v>
      </c>
      <c r="W722" t="str">
        <f>ROUND(IF(R718&gt;0,0,(S722+T722)*0.5),-2)</f>
        <v>#REF!</v>
      </c>
      <c r="X722" t="str">
        <f>SUM(S722:V722)</f>
        <v>#REF!</v>
      </c>
      <c r="Y722" t="str">
        <f>SUM(S722:U722)+W722</f>
        <v>#REF!</v>
      </c>
      <c r="Z722">
        <v>0</v>
      </c>
      <c r="AA722" t="str">
        <f>X722*0.038</f>
        <v>#REF!</v>
      </c>
      <c r="AB722" t="str">
        <f>X722*0.02</f>
        <v>#REF!</v>
      </c>
      <c r="AC722" t="str">
        <f>Y722*0.1</f>
        <v>#REF!</v>
      </c>
      <c r="AD722" t="str">
        <f>X722-AA722-AB722</f>
        <v>#REF!</v>
      </c>
      <c r="AE722" t="str">
        <f>Y722-AC722</f>
        <v>#REF!</v>
      </c>
      <c r="AF722" t="str">
        <f>AD722*0.01</f>
        <v>#REF!</v>
      </c>
      <c r="AG722" t="str">
        <f>AD722-Q722-AF722-T722</f>
        <v>#REF!</v>
      </c>
      <c r="AH722" t="str">
        <f>AE722-Q722-AF722-T722</f>
        <v>#REF!</v>
      </c>
      <c r="AI722" t="str">
        <f>AG722/X722</f>
        <v>#REF!</v>
      </c>
      <c r="AJ722" t="str">
        <f>AH722/Y722</f>
        <v>#REF!</v>
      </c>
    </row>
    <row r="723">
      <c r="G723" t="str">
        <v>A</v>
      </c>
      <c r="K723" t="str">
        <f>IF(L723&gt;0,L723*0.0625,)</f>
        <v>#REF!</v>
      </c>
      <c r="L723" t="str">
        <f>IF(K723&gt;0,K723*16,)</f>
        <v>#REF!</v>
      </c>
      <c r="M723" t="str">
        <f>IF(K723&gt;0,K723*0.453592,IF(L723&gt;0,L723*0.02835,))</f>
        <v>#REF!</v>
      </c>
      <c r="P723">
        <f>J723+O723+N723</f>
        <v>0</v>
      </c>
      <c r="Q723">
        <f>P723*C$3</f>
        <v>0</v>
      </c>
      <c r="R723">
        <v>0</v>
      </c>
      <c r="S723">
        <f>ROUND(SUM(Q723:R723), -2)</f>
        <v>0</v>
      </c>
      <c r="T723" t="str">
        <f>ROUNDUP(HLOOKUP(ROUNDUP(K723,0),'배송비 조회'!A$10:AE$22,7,0)*C$3,-2)</f>
        <v>#REF!</v>
      </c>
      <c r="U723">
        <v>0</v>
      </c>
      <c r="V723" t="str">
        <f>ROUND(IF(R719&gt;0,0,(S723+T723)*0.3),-2)</f>
        <v>#REF!</v>
      </c>
      <c r="W723" t="str">
        <f>ROUND(IF(R719&gt;0,0,(S723+T723)*0.5),-2)</f>
        <v>#REF!</v>
      </c>
      <c r="X723" t="str">
        <f>SUM(S723:V723)</f>
        <v>#REF!</v>
      </c>
      <c r="Y723" t="str">
        <f>SUM(S723:U723)+W723</f>
        <v>#REF!</v>
      </c>
      <c r="Z723">
        <v>0</v>
      </c>
      <c r="AA723" t="str">
        <f>X723*0.038</f>
        <v>#REF!</v>
      </c>
      <c r="AB723" t="str">
        <f>X723*0.02</f>
        <v>#REF!</v>
      </c>
      <c r="AC723" t="str">
        <f>Y723*0.1</f>
        <v>#REF!</v>
      </c>
      <c r="AD723" t="str">
        <f>X723-AA723-AB723</f>
        <v>#REF!</v>
      </c>
      <c r="AE723" t="str">
        <f>Y723-AC723</f>
        <v>#REF!</v>
      </c>
      <c r="AF723" t="str">
        <f>AD723*0.01</f>
        <v>#REF!</v>
      </c>
      <c r="AG723" t="str">
        <f>AD723-Q723-AF723-T723</f>
        <v>#REF!</v>
      </c>
      <c r="AH723" t="str">
        <f>AE723-Q723-AF723-T723</f>
        <v>#REF!</v>
      </c>
      <c r="AI723" t="str">
        <f>AG723/X723</f>
        <v>#REF!</v>
      </c>
      <c r="AJ723" t="str">
        <f>AH723/Y723</f>
        <v>#REF!</v>
      </c>
    </row>
    <row r="724">
      <c r="G724" t="str">
        <v>A</v>
      </c>
      <c r="K724" t="str">
        <f>IF(L724&gt;0,L724*0.0625,)</f>
        <v>#REF!</v>
      </c>
      <c r="L724" t="str">
        <f>IF(K724&gt;0,K724*16,)</f>
        <v>#REF!</v>
      </c>
      <c r="M724" t="str">
        <f>IF(K724&gt;0,K724*0.453592,IF(L724&gt;0,L724*0.02835,))</f>
        <v>#REF!</v>
      </c>
      <c r="P724">
        <f>J724+O724+N724</f>
        <v>0</v>
      </c>
      <c r="Q724">
        <f>P724*C$3</f>
        <v>0</v>
      </c>
      <c r="R724">
        <v>0</v>
      </c>
      <c r="S724">
        <f>ROUND(SUM(Q724:R724), -2)</f>
        <v>0</v>
      </c>
      <c r="T724" t="str">
        <f>ROUNDUP(HLOOKUP(ROUNDUP(K724,0),'배송비 조회'!A$10:AE$22,7,0)*C$3,-2)</f>
        <v>#REF!</v>
      </c>
      <c r="U724">
        <v>0</v>
      </c>
      <c r="V724" t="str">
        <f>ROUND(IF(R720&gt;0,0,(S724+T724)*0.3),-2)</f>
        <v>#REF!</v>
      </c>
      <c r="W724" t="str">
        <f>ROUND(IF(R720&gt;0,0,(S724+T724)*0.5),-2)</f>
        <v>#REF!</v>
      </c>
      <c r="X724" t="str">
        <f>SUM(S724:V724)</f>
        <v>#REF!</v>
      </c>
      <c r="Y724" t="str">
        <f>SUM(S724:U724)+W724</f>
        <v>#REF!</v>
      </c>
      <c r="Z724">
        <v>0</v>
      </c>
      <c r="AA724" t="str">
        <f>X724*0.038</f>
        <v>#REF!</v>
      </c>
      <c r="AB724" t="str">
        <f>X724*0.02</f>
        <v>#REF!</v>
      </c>
      <c r="AC724" t="str">
        <f>Y724*0.1</f>
        <v>#REF!</v>
      </c>
      <c r="AD724" t="str">
        <f>X724-AA724-AB724</f>
        <v>#REF!</v>
      </c>
      <c r="AE724" t="str">
        <f>Y724-AC724</f>
        <v>#REF!</v>
      </c>
      <c r="AF724" t="str">
        <f>AD724*0.01</f>
        <v>#REF!</v>
      </c>
      <c r="AG724" t="str">
        <f>AD724-Q724-AF724-T724</f>
        <v>#REF!</v>
      </c>
      <c r="AH724" t="str">
        <f>AE724-Q724-AF724-T724</f>
        <v>#REF!</v>
      </c>
      <c r="AI724" t="str">
        <f>AG724/X724</f>
        <v>#REF!</v>
      </c>
      <c r="AJ724" t="str">
        <f>AH724/Y724</f>
        <v>#REF!</v>
      </c>
    </row>
    <row r="725">
      <c r="G725" t="str">
        <v>A</v>
      </c>
      <c r="K725" t="str">
        <f>IF(L725&gt;0,L725*0.0625,)</f>
        <v>#REF!</v>
      </c>
      <c r="L725" t="str">
        <f>IF(K725&gt;0,K725*16,)</f>
        <v>#REF!</v>
      </c>
      <c r="M725" t="str">
        <f>IF(K725&gt;0,K725*0.453592,IF(L725&gt;0,L725*0.02835,))</f>
        <v>#REF!</v>
      </c>
      <c r="P725">
        <f>J725+O725+N725</f>
        <v>0</v>
      </c>
      <c r="Q725">
        <f>P725*C$3</f>
        <v>0</v>
      </c>
      <c r="R725">
        <v>0</v>
      </c>
      <c r="S725">
        <f>ROUND(SUM(Q725:R725), -2)</f>
        <v>0</v>
      </c>
      <c r="T725" t="str">
        <f>ROUNDUP(HLOOKUP(ROUNDUP(K725,0),'배송비 조회'!A$10:AE$22,7,0)*C$3,-2)</f>
        <v>#REF!</v>
      </c>
      <c r="U725">
        <v>0</v>
      </c>
      <c r="V725" t="str">
        <f>ROUND(IF(R721&gt;0,0,(S725+T725)*0.3),-2)</f>
        <v>#REF!</v>
      </c>
      <c r="W725" t="str">
        <f>ROUND(IF(R721&gt;0,0,(S725+T725)*0.5),-2)</f>
        <v>#REF!</v>
      </c>
      <c r="X725" t="str">
        <f>SUM(S725:V725)</f>
        <v>#REF!</v>
      </c>
      <c r="Y725" t="str">
        <f>SUM(S725:U725)+W725</f>
        <v>#REF!</v>
      </c>
      <c r="Z725">
        <v>0</v>
      </c>
      <c r="AA725" t="str">
        <f>X725*0.038</f>
        <v>#REF!</v>
      </c>
      <c r="AB725" t="str">
        <f>X725*0.02</f>
        <v>#REF!</v>
      </c>
      <c r="AC725" t="str">
        <f>Y725*0.1</f>
        <v>#REF!</v>
      </c>
      <c r="AD725" t="str">
        <f>X725-AA725-AB725</f>
        <v>#REF!</v>
      </c>
      <c r="AE725" t="str">
        <f>Y725-AC725</f>
        <v>#REF!</v>
      </c>
      <c r="AF725" t="str">
        <f>AD725*0.01</f>
        <v>#REF!</v>
      </c>
      <c r="AG725" t="str">
        <f>AD725-Q725-AF725-T725</f>
        <v>#REF!</v>
      </c>
      <c r="AH725" t="str">
        <f>AE725-Q725-AF725-T725</f>
        <v>#REF!</v>
      </c>
      <c r="AI725" t="str">
        <f>AG725/X725</f>
        <v>#REF!</v>
      </c>
      <c r="AJ725" t="str">
        <f>AH725/Y725</f>
        <v>#REF!</v>
      </c>
    </row>
    <row r="726">
      <c r="G726" t="str">
        <v>A</v>
      </c>
      <c r="K726" t="str">
        <f>IF(L726&gt;0,L726*0.0625,)</f>
        <v>#REF!</v>
      </c>
      <c r="L726" t="str">
        <f>IF(K726&gt;0,K726*16,)</f>
        <v>#REF!</v>
      </c>
      <c r="M726" t="str">
        <f>IF(K726&gt;0,K726*0.453592,IF(L726&gt;0,L726*0.02835,))</f>
        <v>#REF!</v>
      </c>
      <c r="P726">
        <f>J726+O726+N726</f>
        <v>0</v>
      </c>
      <c r="Q726">
        <f>P726*C$3</f>
        <v>0</v>
      </c>
      <c r="R726">
        <v>0</v>
      </c>
      <c r="S726">
        <f>ROUND(SUM(Q726:R726), -2)</f>
        <v>0</v>
      </c>
      <c r="T726" t="str">
        <f>ROUNDUP(HLOOKUP(ROUNDUP(K726,0),'배송비 조회'!A$10:AE$22,7,0)*C$3,-2)</f>
        <v>#REF!</v>
      </c>
      <c r="U726">
        <v>0</v>
      </c>
      <c r="V726" t="str">
        <f>ROUND(IF(R722&gt;0,0,(S726+T726)*0.3),-2)</f>
        <v>#REF!</v>
      </c>
      <c r="W726" t="str">
        <f>ROUND(IF(R722&gt;0,0,(S726+T726)*0.5),-2)</f>
        <v>#REF!</v>
      </c>
      <c r="X726" t="str">
        <f>SUM(S726:V726)</f>
        <v>#REF!</v>
      </c>
      <c r="Y726" t="str">
        <f>SUM(S726:U726)+W726</f>
        <v>#REF!</v>
      </c>
      <c r="Z726">
        <v>0</v>
      </c>
      <c r="AA726" t="str">
        <f>X726*0.038</f>
        <v>#REF!</v>
      </c>
      <c r="AB726" t="str">
        <f>X726*0.02</f>
        <v>#REF!</v>
      </c>
      <c r="AC726" t="str">
        <f>Y726*0.1</f>
        <v>#REF!</v>
      </c>
      <c r="AD726" t="str">
        <f>X726-AA726-AB726</f>
        <v>#REF!</v>
      </c>
      <c r="AE726" t="str">
        <f>Y726-AC726</f>
        <v>#REF!</v>
      </c>
      <c r="AF726" t="str">
        <f>AD726*0.01</f>
        <v>#REF!</v>
      </c>
      <c r="AG726" t="str">
        <f>AD726-Q726-AF726-T726</f>
        <v>#REF!</v>
      </c>
      <c r="AH726" t="str">
        <f>AE726-Q726-AF726-T726</f>
        <v>#REF!</v>
      </c>
      <c r="AI726" t="str">
        <f>AG726/X726</f>
        <v>#REF!</v>
      </c>
      <c r="AJ726" t="str">
        <f>AH726/Y726</f>
        <v>#REF!</v>
      </c>
    </row>
    <row r="727">
      <c r="G727" t="str">
        <v>A</v>
      </c>
      <c r="K727" t="str">
        <f>IF(L727&gt;0,L727*0.0625,)</f>
        <v>#REF!</v>
      </c>
      <c r="L727" t="str">
        <f>IF(K727&gt;0,K727*16,)</f>
        <v>#REF!</v>
      </c>
      <c r="M727" t="str">
        <f>IF(K727&gt;0,K727*0.453592,IF(L727&gt;0,L727*0.02835,))</f>
        <v>#REF!</v>
      </c>
      <c r="P727">
        <f>J727+O727+N727</f>
        <v>0</v>
      </c>
      <c r="Q727">
        <f>P727*C$3</f>
        <v>0</v>
      </c>
      <c r="R727">
        <v>0</v>
      </c>
      <c r="S727">
        <f>ROUND(SUM(Q727:R727), -2)</f>
        <v>0</v>
      </c>
      <c r="T727" t="str">
        <f>ROUNDUP(HLOOKUP(ROUNDUP(K727,0),'배송비 조회'!A$10:AE$22,7,0)*C$3,-2)</f>
        <v>#REF!</v>
      </c>
      <c r="U727">
        <v>0</v>
      </c>
      <c r="V727" t="str">
        <f>ROUND(IF(R723&gt;0,0,(S727+T727)*0.3),-2)</f>
        <v>#REF!</v>
      </c>
      <c r="W727" t="str">
        <f>ROUND(IF(R723&gt;0,0,(S727+T727)*0.5),-2)</f>
        <v>#REF!</v>
      </c>
      <c r="X727" t="str">
        <f>SUM(S727:V727)</f>
        <v>#REF!</v>
      </c>
      <c r="Y727" t="str">
        <f>SUM(S727:U727)+W727</f>
        <v>#REF!</v>
      </c>
      <c r="Z727">
        <v>0</v>
      </c>
      <c r="AA727" t="str">
        <f>X727*0.038</f>
        <v>#REF!</v>
      </c>
      <c r="AB727" t="str">
        <f>X727*0.02</f>
        <v>#REF!</v>
      </c>
      <c r="AC727" t="str">
        <f>Y727*0.1</f>
        <v>#REF!</v>
      </c>
      <c r="AD727" t="str">
        <f>X727-AA727-AB727</f>
        <v>#REF!</v>
      </c>
      <c r="AE727" t="str">
        <f>Y727-AC727</f>
        <v>#REF!</v>
      </c>
      <c r="AF727" t="str">
        <f>AD727*0.01</f>
        <v>#REF!</v>
      </c>
      <c r="AG727" t="str">
        <f>AD727-Q727-AF727-T727</f>
        <v>#REF!</v>
      </c>
      <c r="AH727" t="str">
        <f>AE727-Q727-AF727-T727</f>
        <v>#REF!</v>
      </c>
      <c r="AI727" t="str">
        <f>AG727/X727</f>
        <v>#REF!</v>
      </c>
      <c r="AJ727" t="str">
        <f>AH727/Y727</f>
        <v>#REF!</v>
      </c>
    </row>
    <row r="728">
      <c r="G728" t="str">
        <v>A</v>
      </c>
      <c r="K728" t="str">
        <f>IF(L728&gt;0,L728*0.0625,)</f>
        <v>#REF!</v>
      </c>
      <c r="L728" t="str">
        <f>IF(K728&gt;0,K728*16,)</f>
        <v>#REF!</v>
      </c>
      <c r="M728" t="str">
        <f>IF(K728&gt;0,K728*0.453592,IF(L728&gt;0,L728*0.02835,))</f>
        <v>#REF!</v>
      </c>
      <c r="P728">
        <f>J728+O728+N728</f>
        <v>0</v>
      </c>
      <c r="Q728">
        <f>P728*C$3</f>
        <v>0</v>
      </c>
      <c r="R728">
        <v>0</v>
      </c>
      <c r="S728">
        <f>ROUND(SUM(Q728:R728), -2)</f>
        <v>0</v>
      </c>
      <c r="T728" t="str">
        <f>ROUNDUP(HLOOKUP(ROUNDUP(K728,0),'배송비 조회'!A$10:AE$22,7,0)*C$3,-2)</f>
        <v>#REF!</v>
      </c>
      <c r="U728">
        <v>0</v>
      </c>
      <c r="V728" t="str">
        <f>ROUND(IF(R724&gt;0,0,(S728+T728)*0.3),-2)</f>
        <v>#REF!</v>
      </c>
      <c r="W728" t="str">
        <f>ROUND(IF(R724&gt;0,0,(S728+T728)*0.5),-2)</f>
        <v>#REF!</v>
      </c>
      <c r="X728" t="str">
        <f>SUM(S728:V728)</f>
        <v>#REF!</v>
      </c>
      <c r="Y728" t="str">
        <f>SUM(S728:U728)+W728</f>
        <v>#REF!</v>
      </c>
      <c r="Z728">
        <v>0</v>
      </c>
      <c r="AA728" t="str">
        <f>X728*0.038</f>
        <v>#REF!</v>
      </c>
      <c r="AB728" t="str">
        <f>X728*0.02</f>
        <v>#REF!</v>
      </c>
      <c r="AC728" t="str">
        <f>Y728*0.1</f>
        <v>#REF!</v>
      </c>
      <c r="AD728" t="str">
        <f>X728-AA728-AB728</f>
        <v>#REF!</v>
      </c>
      <c r="AE728" t="str">
        <f>Y728-AC728</f>
        <v>#REF!</v>
      </c>
      <c r="AF728" t="str">
        <f>AD728*0.01</f>
        <v>#REF!</v>
      </c>
      <c r="AG728" t="str">
        <f>AD728-Q728-AF728-T728</f>
        <v>#REF!</v>
      </c>
      <c r="AH728" t="str">
        <f>AE728-Q728-AF728-T728</f>
        <v>#REF!</v>
      </c>
      <c r="AI728" t="str">
        <f>AG728/X728</f>
        <v>#REF!</v>
      </c>
      <c r="AJ728" t="str">
        <f>AH728/Y728</f>
        <v>#REF!</v>
      </c>
    </row>
    <row r="729">
      <c r="G729" t="str">
        <v>A</v>
      </c>
      <c r="K729" t="str">
        <f>IF(L729&gt;0,L729*0.0625,)</f>
        <v>#REF!</v>
      </c>
      <c r="L729" t="str">
        <f>IF(K729&gt;0,K729*16,)</f>
        <v>#REF!</v>
      </c>
      <c r="M729" t="str">
        <f>IF(K729&gt;0,K729*0.453592,IF(L729&gt;0,L729*0.02835,))</f>
        <v>#REF!</v>
      </c>
      <c r="P729">
        <f>J729+O729+N729</f>
        <v>0</v>
      </c>
      <c r="Q729">
        <f>P729*C$3</f>
        <v>0</v>
      </c>
      <c r="R729">
        <v>0</v>
      </c>
      <c r="S729">
        <f>ROUND(SUM(Q729:R729), -2)</f>
        <v>0</v>
      </c>
      <c r="T729" t="str">
        <f>ROUNDUP(HLOOKUP(ROUNDUP(K729,0),'배송비 조회'!A$10:AE$22,7,0)*C$3,-2)</f>
        <v>#REF!</v>
      </c>
      <c r="U729">
        <v>0</v>
      </c>
      <c r="V729" t="str">
        <f>ROUND(IF(R725&gt;0,0,(S729+T729)*0.3),-2)</f>
        <v>#REF!</v>
      </c>
      <c r="W729" t="str">
        <f>ROUND(IF(R725&gt;0,0,(S729+T729)*0.5),-2)</f>
        <v>#REF!</v>
      </c>
      <c r="X729" t="str">
        <f>SUM(S729:V729)</f>
        <v>#REF!</v>
      </c>
      <c r="Y729" t="str">
        <f>SUM(S729:U729)+W729</f>
        <v>#REF!</v>
      </c>
      <c r="Z729">
        <v>0</v>
      </c>
      <c r="AA729" t="str">
        <f>X729*0.038</f>
        <v>#REF!</v>
      </c>
      <c r="AB729" t="str">
        <f>X729*0.02</f>
        <v>#REF!</v>
      </c>
      <c r="AC729" t="str">
        <f>Y729*0.1</f>
        <v>#REF!</v>
      </c>
      <c r="AD729" t="str">
        <f>X729-AA729-AB729</f>
        <v>#REF!</v>
      </c>
      <c r="AE729" t="str">
        <f>Y729-AC729</f>
        <v>#REF!</v>
      </c>
      <c r="AF729" t="str">
        <f>AD729*0.01</f>
        <v>#REF!</v>
      </c>
      <c r="AG729" t="str">
        <f>AD729-Q729-AF729-T729</f>
        <v>#REF!</v>
      </c>
      <c r="AH729" t="str">
        <f>AE729-Q729-AF729-T729</f>
        <v>#REF!</v>
      </c>
      <c r="AI729" t="str">
        <f>AG729/X729</f>
        <v>#REF!</v>
      </c>
      <c r="AJ729" t="str">
        <f>AH729/Y729</f>
        <v>#REF!</v>
      </c>
    </row>
    <row r="730">
      <c r="G730" t="str">
        <v>A</v>
      </c>
      <c r="K730" t="str">
        <f>IF(L730&gt;0,L730*0.0625,)</f>
        <v>#REF!</v>
      </c>
      <c r="L730" t="str">
        <f>IF(K730&gt;0,K730*16,)</f>
        <v>#REF!</v>
      </c>
      <c r="M730" t="str">
        <f>IF(K730&gt;0,K730*0.453592,IF(L730&gt;0,L730*0.02835,))</f>
        <v>#REF!</v>
      </c>
      <c r="P730">
        <f>J730+O730+N730</f>
        <v>0</v>
      </c>
      <c r="Q730">
        <f>P730*C$3</f>
        <v>0</v>
      </c>
      <c r="R730">
        <v>0</v>
      </c>
      <c r="S730">
        <f>ROUND(SUM(Q730:R730), -2)</f>
        <v>0</v>
      </c>
      <c r="T730" t="str">
        <f>ROUNDUP(HLOOKUP(ROUNDUP(K730,0),'배송비 조회'!A$10:AE$22,7,0)*C$3,-2)</f>
        <v>#REF!</v>
      </c>
      <c r="U730">
        <v>0</v>
      </c>
      <c r="V730" t="str">
        <f>ROUND(IF(R726&gt;0,0,(S730+T730)*0.3),-2)</f>
        <v>#REF!</v>
      </c>
      <c r="W730" t="str">
        <f>ROUND(IF(R726&gt;0,0,(S730+T730)*0.5),-2)</f>
        <v>#REF!</v>
      </c>
      <c r="X730" t="str">
        <f>SUM(S730:V730)</f>
        <v>#REF!</v>
      </c>
      <c r="Y730" t="str">
        <f>SUM(S730:U730)+W730</f>
        <v>#REF!</v>
      </c>
      <c r="Z730">
        <v>0</v>
      </c>
      <c r="AA730" t="str">
        <f>X730*0.038</f>
        <v>#REF!</v>
      </c>
      <c r="AB730" t="str">
        <f>X730*0.02</f>
        <v>#REF!</v>
      </c>
      <c r="AC730" t="str">
        <f>Y730*0.1</f>
        <v>#REF!</v>
      </c>
      <c r="AD730" t="str">
        <f>X730-AA730-AB730</f>
        <v>#REF!</v>
      </c>
      <c r="AE730" t="str">
        <f>Y730-AC730</f>
        <v>#REF!</v>
      </c>
      <c r="AF730" t="str">
        <f>AD730*0.01</f>
        <v>#REF!</v>
      </c>
      <c r="AG730" t="str">
        <f>AD730-Q730-AF730-T730</f>
        <v>#REF!</v>
      </c>
      <c r="AH730" t="str">
        <f>AE730-Q730-AF730-T730</f>
        <v>#REF!</v>
      </c>
      <c r="AI730" t="str">
        <f>AG730/X730</f>
        <v>#REF!</v>
      </c>
      <c r="AJ730" t="str">
        <f>AH730/Y730</f>
        <v>#REF!</v>
      </c>
    </row>
    <row r="731">
      <c r="G731" t="str">
        <v>A</v>
      </c>
      <c r="K731" t="str">
        <f>IF(L731&gt;0,L731*0.0625,)</f>
        <v>#REF!</v>
      </c>
      <c r="L731" t="str">
        <f>IF(K731&gt;0,K731*16,)</f>
        <v>#REF!</v>
      </c>
      <c r="M731" t="str">
        <f>IF(K731&gt;0,K731*0.453592,IF(L731&gt;0,L731*0.02835,))</f>
        <v>#REF!</v>
      </c>
      <c r="P731">
        <f>J731+O731+N731</f>
        <v>0</v>
      </c>
      <c r="Q731">
        <f>P731*C$3</f>
        <v>0</v>
      </c>
      <c r="R731">
        <v>0</v>
      </c>
      <c r="S731">
        <f>ROUND(SUM(Q731:R731), -2)</f>
        <v>0</v>
      </c>
      <c r="T731" t="str">
        <f>ROUNDUP(HLOOKUP(ROUNDUP(K731,0),'배송비 조회'!A$10:AE$22,7,0)*C$3,-2)</f>
        <v>#REF!</v>
      </c>
      <c r="U731">
        <v>0</v>
      </c>
      <c r="V731" t="str">
        <f>ROUND(IF(R727&gt;0,0,(S731+T731)*0.3),-2)</f>
        <v>#REF!</v>
      </c>
      <c r="W731" t="str">
        <f>ROUND(IF(R727&gt;0,0,(S731+T731)*0.5),-2)</f>
        <v>#REF!</v>
      </c>
      <c r="X731" t="str">
        <f>SUM(S731:V731)</f>
        <v>#REF!</v>
      </c>
      <c r="Y731" t="str">
        <f>SUM(S731:U731)+W731</f>
        <v>#REF!</v>
      </c>
      <c r="Z731">
        <v>0</v>
      </c>
      <c r="AA731" t="str">
        <f>X731*0.038</f>
        <v>#REF!</v>
      </c>
      <c r="AB731" t="str">
        <f>X731*0.02</f>
        <v>#REF!</v>
      </c>
      <c r="AC731" t="str">
        <f>Y731*0.1</f>
        <v>#REF!</v>
      </c>
      <c r="AD731" t="str">
        <f>X731-AA731-AB731</f>
        <v>#REF!</v>
      </c>
      <c r="AE731" t="str">
        <f>Y731-AC731</f>
        <v>#REF!</v>
      </c>
      <c r="AF731" t="str">
        <f>AD731*0.01</f>
        <v>#REF!</v>
      </c>
      <c r="AG731" t="str">
        <f>AD731-Q731-AF731-T731</f>
        <v>#REF!</v>
      </c>
      <c r="AH731" t="str">
        <f>AE731-Q731-AF731-T731</f>
        <v>#REF!</v>
      </c>
      <c r="AI731" t="str">
        <f>AG731/X731</f>
        <v>#REF!</v>
      </c>
      <c r="AJ731" t="str">
        <f>AH731/Y731</f>
        <v>#REF!</v>
      </c>
    </row>
    <row r="732">
      <c r="G732" t="str">
        <v>A</v>
      </c>
      <c r="K732" t="str">
        <f>IF(L732&gt;0,L732*0.0625,)</f>
        <v>#REF!</v>
      </c>
      <c r="L732" t="str">
        <f>IF(K732&gt;0,K732*16,)</f>
        <v>#REF!</v>
      </c>
      <c r="M732" t="str">
        <f>IF(K732&gt;0,K732*0.453592,IF(L732&gt;0,L732*0.02835,))</f>
        <v>#REF!</v>
      </c>
      <c r="P732">
        <f>J732+O732+N732</f>
        <v>0</v>
      </c>
      <c r="Q732">
        <f>P732*C$3</f>
        <v>0</v>
      </c>
      <c r="R732">
        <v>0</v>
      </c>
      <c r="S732">
        <f>ROUND(SUM(Q732:R732), -2)</f>
        <v>0</v>
      </c>
      <c r="T732" t="str">
        <f>ROUNDUP(HLOOKUP(ROUNDUP(K732,0),'배송비 조회'!A$10:AE$22,7,0)*C$3,-2)</f>
        <v>#REF!</v>
      </c>
      <c r="U732">
        <v>0</v>
      </c>
      <c r="V732" t="str">
        <f>ROUND(IF(R728&gt;0,0,(S732+T732)*0.3),-2)</f>
        <v>#REF!</v>
      </c>
      <c r="W732" t="str">
        <f>ROUND(IF(R728&gt;0,0,(S732+T732)*0.5),-2)</f>
        <v>#REF!</v>
      </c>
      <c r="X732" t="str">
        <f>SUM(S732:V732)</f>
        <v>#REF!</v>
      </c>
      <c r="Y732" t="str">
        <f>SUM(S732:U732)+W732</f>
        <v>#REF!</v>
      </c>
      <c r="Z732">
        <v>0</v>
      </c>
      <c r="AA732" t="str">
        <f>X732*0.038</f>
        <v>#REF!</v>
      </c>
      <c r="AB732" t="str">
        <f>X732*0.02</f>
        <v>#REF!</v>
      </c>
      <c r="AC732" t="str">
        <f>Y732*0.1</f>
        <v>#REF!</v>
      </c>
      <c r="AD732" t="str">
        <f>X732-AA732-AB732</f>
        <v>#REF!</v>
      </c>
      <c r="AE732" t="str">
        <f>Y732-AC732</f>
        <v>#REF!</v>
      </c>
      <c r="AF732" t="str">
        <f>AD732*0.01</f>
        <v>#REF!</v>
      </c>
      <c r="AG732" t="str">
        <f>AD732-Q732-AF732-T732</f>
        <v>#REF!</v>
      </c>
      <c r="AH732" t="str">
        <f>AE732-Q732-AF732-T732</f>
        <v>#REF!</v>
      </c>
      <c r="AI732" t="str">
        <f>AG732/X732</f>
        <v>#REF!</v>
      </c>
      <c r="AJ732" t="str">
        <f>AH732/Y732</f>
        <v>#REF!</v>
      </c>
    </row>
    <row r="733">
      <c r="G733" t="str">
        <v>A</v>
      </c>
      <c r="K733" t="str">
        <f>IF(L733&gt;0,L733*0.0625,)</f>
        <v>#REF!</v>
      </c>
      <c r="L733" t="str">
        <f>IF(K733&gt;0,K733*16,)</f>
        <v>#REF!</v>
      </c>
      <c r="M733" t="str">
        <f>IF(K733&gt;0,K733*0.453592,IF(L733&gt;0,L733*0.02835,))</f>
        <v>#REF!</v>
      </c>
      <c r="P733">
        <f>J733+O733+N733</f>
        <v>0</v>
      </c>
      <c r="Q733">
        <f>P733*C$3</f>
        <v>0</v>
      </c>
      <c r="R733">
        <v>0</v>
      </c>
      <c r="S733">
        <f>ROUND(SUM(Q733:R733), -2)</f>
        <v>0</v>
      </c>
      <c r="T733" t="str">
        <f>ROUNDUP(HLOOKUP(ROUNDUP(K733,0),'배송비 조회'!A$10:AE$22,7,0)*C$3,-2)</f>
        <v>#REF!</v>
      </c>
      <c r="U733">
        <v>0</v>
      </c>
      <c r="V733" t="str">
        <f>ROUND(IF(R729&gt;0,0,(S733+T733)*0.3),-2)</f>
        <v>#REF!</v>
      </c>
      <c r="W733" t="str">
        <f>ROUND(IF(R729&gt;0,0,(S733+T733)*0.5),-2)</f>
        <v>#REF!</v>
      </c>
      <c r="X733" t="str">
        <f>SUM(S733:V733)</f>
        <v>#REF!</v>
      </c>
      <c r="Y733" t="str">
        <f>SUM(S733:U733)+W733</f>
        <v>#REF!</v>
      </c>
      <c r="Z733">
        <v>0</v>
      </c>
      <c r="AA733" t="str">
        <f>X733*0.038</f>
        <v>#REF!</v>
      </c>
      <c r="AB733" t="str">
        <f>X733*0.02</f>
        <v>#REF!</v>
      </c>
      <c r="AC733" t="str">
        <f>Y733*0.1</f>
        <v>#REF!</v>
      </c>
      <c r="AD733" t="str">
        <f>X733-AA733-AB733</f>
        <v>#REF!</v>
      </c>
      <c r="AE733" t="str">
        <f>Y733-AC733</f>
        <v>#REF!</v>
      </c>
      <c r="AF733" t="str">
        <f>AD733*0.01</f>
        <v>#REF!</v>
      </c>
      <c r="AG733" t="str">
        <f>AD733-Q733-AF733-T733</f>
        <v>#REF!</v>
      </c>
      <c r="AH733" t="str">
        <f>AE733-Q733-AF733-T733</f>
        <v>#REF!</v>
      </c>
      <c r="AI733" t="str">
        <f>AG733/X733</f>
        <v>#REF!</v>
      </c>
      <c r="AJ733" t="str">
        <f>AH733/Y733</f>
        <v>#REF!</v>
      </c>
    </row>
    <row r="734">
      <c r="G734" t="str">
        <v>A</v>
      </c>
      <c r="K734" t="str">
        <f>IF(L734&gt;0,L734*0.0625,)</f>
        <v>#REF!</v>
      </c>
      <c r="L734" t="str">
        <f>IF(K734&gt;0,K734*16,)</f>
        <v>#REF!</v>
      </c>
      <c r="M734" t="str">
        <f>IF(K734&gt;0,K734*0.453592,IF(L734&gt;0,L734*0.02835,))</f>
        <v>#REF!</v>
      </c>
      <c r="P734">
        <f>J734+O734+N734</f>
        <v>0</v>
      </c>
      <c r="Q734">
        <f>P734*C$3</f>
        <v>0</v>
      </c>
      <c r="R734">
        <v>0</v>
      </c>
      <c r="S734">
        <f>ROUND(SUM(Q734:R734), -2)</f>
        <v>0</v>
      </c>
      <c r="T734" t="str">
        <f>ROUNDUP(HLOOKUP(ROUNDUP(K734,0),'배송비 조회'!A$10:AE$22,7,0)*C$3,-2)</f>
        <v>#REF!</v>
      </c>
      <c r="U734">
        <v>0</v>
      </c>
      <c r="V734" t="str">
        <f>ROUND(IF(R730&gt;0,0,(S734+T734)*0.3),-2)</f>
        <v>#REF!</v>
      </c>
      <c r="W734" t="str">
        <f>ROUND(IF(R730&gt;0,0,(S734+T734)*0.5),-2)</f>
        <v>#REF!</v>
      </c>
      <c r="X734" t="str">
        <f>SUM(S734:V734)</f>
        <v>#REF!</v>
      </c>
      <c r="Y734" t="str">
        <f>SUM(S734:U734)+W734</f>
        <v>#REF!</v>
      </c>
      <c r="Z734">
        <v>0</v>
      </c>
      <c r="AA734" t="str">
        <f>X734*0.038</f>
        <v>#REF!</v>
      </c>
      <c r="AB734" t="str">
        <f>X734*0.02</f>
        <v>#REF!</v>
      </c>
      <c r="AC734" t="str">
        <f>Y734*0.1</f>
        <v>#REF!</v>
      </c>
      <c r="AD734" t="str">
        <f>X734-AA734-AB734</f>
        <v>#REF!</v>
      </c>
      <c r="AE734" t="str">
        <f>Y734-AC734</f>
        <v>#REF!</v>
      </c>
      <c r="AF734" t="str">
        <f>AD734*0.01</f>
        <v>#REF!</v>
      </c>
      <c r="AG734" t="str">
        <f>AD734-Q734-AF734-T734</f>
        <v>#REF!</v>
      </c>
      <c r="AH734" t="str">
        <f>AE734-Q734-AF734-T734</f>
        <v>#REF!</v>
      </c>
      <c r="AI734" t="str">
        <f>AG734/X734</f>
        <v>#REF!</v>
      </c>
      <c r="AJ734" t="str">
        <f>AH734/Y734</f>
        <v>#REF!</v>
      </c>
    </row>
    <row r="735">
      <c r="G735" t="str">
        <v>A</v>
      </c>
      <c r="K735" t="str">
        <f>IF(L735&gt;0,L735*0.0625,)</f>
        <v>#REF!</v>
      </c>
      <c r="L735" t="str">
        <f>IF(K735&gt;0,K735*16,)</f>
        <v>#REF!</v>
      </c>
      <c r="M735" t="str">
        <f>IF(K735&gt;0,K735*0.453592,IF(L735&gt;0,L735*0.02835,))</f>
        <v>#REF!</v>
      </c>
      <c r="P735">
        <f>J735+O735+N735</f>
        <v>0</v>
      </c>
      <c r="Q735">
        <f>P735*C$3</f>
        <v>0</v>
      </c>
      <c r="R735">
        <v>0</v>
      </c>
      <c r="S735">
        <f>ROUND(SUM(Q735:R735), -2)</f>
        <v>0</v>
      </c>
      <c r="T735" t="str">
        <f>ROUNDUP(HLOOKUP(ROUNDUP(K735,0),'배송비 조회'!A$10:AE$22,7,0)*C$3,-2)</f>
        <v>#REF!</v>
      </c>
      <c r="U735">
        <v>0</v>
      </c>
      <c r="V735" t="str">
        <f>ROUND(IF(R731&gt;0,0,(S735+T735)*0.3),-2)</f>
        <v>#REF!</v>
      </c>
      <c r="W735" t="str">
        <f>ROUND(IF(R731&gt;0,0,(S735+T735)*0.5),-2)</f>
        <v>#REF!</v>
      </c>
      <c r="X735" t="str">
        <f>SUM(S735:V735)</f>
        <v>#REF!</v>
      </c>
      <c r="Y735" t="str">
        <f>SUM(S735:U735)+W735</f>
        <v>#REF!</v>
      </c>
      <c r="Z735">
        <v>0</v>
      </c>
      <c r="AA735" t="str">
        <f>X735*0.038</f>
        <v>#REF!</v>
      </c>
      <c r="AB735" t="str">
        <f>X735*0.02</f>
        <v>#REF!</v>
      </c>
      <c r="AC735" t="str">
        <f>Y735*0.1</f>
        <v>#REF!</v>
      </c>
      <c r="AD735" t="str">
        <f>X735-AA735-AB735</f>
        <v>#REF!</v>
      </c>
      <c r="AE735" t="str">
        <f>Y735-AC735</f>
        <v>#REF!</v>
      </c>
      <c r="AF735" t="str">
        <f>AD735*0.01</f>
        <v>#REF!</v>
      </c>
      <c r="AG735" t="str">
        <f>AD735-Q735-AF735-T735</f>
        <v>#REF!</v>
      </c>
      <c r="AH735" t="str">
        <f>AE735-Q735-AF735-T735</f>
        <v>#REF!</v>
      </c>
      <c r="AI735" t="str">
        <f>AG735/X735</f>
        <v>#REF!</v>
      </c>
      <c r="AJ735" t="str">
        <f>AH735/Y735</f>
        <v>#REF!</v>
      </c>
    </row>
    <row r="736">
      <c r="G736" t="str">
        <v>A</v>
      </c>
      <c r="K736" t="str">
        <f>IF(L736&gt;0,L736*0.0625,)</f>
        <v>#REF!</v>
      </c>
      <c r="L736" t="str">
        <f>IF(K736&gt;0,K736*16,)</f>
        <v>#REF!</v>
      </c>
      <c r="M736" t="str">
        <f>IF(K736&gt;0,K736*0.453592,IF(L736&gt;0,L736*0.02835,))</f>
        <v>#REF!</v>
      </c>
      <c r="P736">
        <f>J736+O736+N736</f>
        <v>0</v>
      </c>
      <c r="Q736">
        <f>P736*C$3</f>
        <v>0</v>
      </c>
      <c r="R736">
        <v>0</v>
      </c>
      <c r="S736">
        <f>ROUND(SUM(Q736:R736), -2)</f>
        <v>0</v>
      </c>
      <c r="T736" t="str">
        <f>ROUNDUP(HLOOKUP(ROUNDUP(K736,0),'배송비 조회'!A$10:AE$22,7,0)*C$3,-2)</f>
        <v>#REF!</v>
      </c>
      <c r="U736">
        <v>0</v>
      </c>
      <c r="V736" t="str">
        <f>ROUND(IF(R732&gt;0,0,(S736+T736)*0.3),-2)</f>
        <v>#REF!</v>
      </c>
      <c r="W736" t="str">
        <f>ROUND(IF(R732&gt;0,0,(S736+T736)*0.5),-2)</f>
        <v>#REF!</v>
      </c>
      <c r="X736" t="str">
        <f>SUM(S736:V736)</f>
        <v>#REF!</v>
      </c>
      <c r="Y736" t="str">
        <f>SUM(S736:U736)+W736</f>
        <v>#REF!</v>
      </c>
      <c r="Z736">
        <v>0</v>
      </c>
      <c r="AA736" t="str">
        <f>X736*0.038</f>
        <v>#REF!</v>
      </c>
      <c r="AB736" t="str">
        <f>X736*0.02</f>
        <v>#REF!</v>
      </c>
      <c r="AC736" t="str">
        <f>Y736*0.1</f>
        <v>#REF!</v>
      </c>
      <c r="AD736" t="str">
        <f>X736-AA736-AB736</f>
        <v>#REF!</v>
      </c>
      <c r="AE736" t="str">
        <f>Y736-AC736</f>
        <v>#REF!</v>
      </c>
      <c r="AF736" t="str">
        <f>AD736*0.01</f>
        <v>#REF!</v>
      </c>
      <c r="AG736" t="str">
        <f>AD736-Q736-AF736-T736</f>
        <v>#REF!</v>
      </c>
      <c r="AH736" t="str">
        <f>AE736-Q736-AF736-T736</f>
        <v>#REF!</v>
      </c>
      <c r="AI736" t="str">
        <f>AG736/X736</f>
        <v>#REF!</v>
      </c>
      <c r="AJ736" t="str">
        <f>AH736/Y736</f>
        <v>#REF!</v>
      </c>
    </row>
    <row r="737">
      <c r="G737" t="str">
        <v>A</v>
      </c>
      <c r="K737" t="str">
        <f>IF(L737&gt;0,L737*0.0625,)</f>
        <v>#REF!</v>
      </c>
      <c r="L737" t="str">
        <f>IF(K737&gt;0,K737*16,)</f>
        <v>#REF!</v>
      </c>
      <c r="M737" t="str">
        <f>IF(K737&gt;0,K737*0.453592,IF(L737&gt;0,L737*0.02835,))</f>
        <v>#REF!</v>
      </c>
      <c r="P737">
        <f>J737+O737+N737</f>
        <v>0</v>
      </c>
      <c r="Q737">
        <f>P737*C$3</f>
        <v>0</v>
      </c>
      <c r="R737">
        <v>0</v>
      </c>
      <c r="S737">
        <f>ROUND(SUM(Q737:R737), -2)</f>
        <v>0</v>
      </c>
      <c r="T737" t="str">
        <f>ROUNDUP(HLOOKUP(ROUNDUP(K737,0),'배송비 조회'!A$10:AE$22,7,0)*C$3,-2)</f>
        <v>#REF!</v>
      </c>
      <c r="U737">
        <v>0</v>
      </c>
      <c r="V737" t="str">
        <f>ROUND(IF(R733&gt;0,0,(S737+T737)*0.3),-2)</f>
        <v>#REF!</v>
      </c>
      <c r="W737" t="str">
        <f>ROUND(IF(R733&gt;0,0,(S737+T737)*0.5),-2)</f>
        <v>#REF!</v>
      </c>
      <c r="X737" t="str">
        <f>SUM(S737:V737)</f>
        <v>#REF!</v>
      </c>
      <c r="Y737" t="str">
        <f>SUM(S737:U737)+W737</f>
        <v>#REF!</v>
      </c>
      <c r="Z737">
        <v>0</v>
      </c>
      <c r="AA737" t="str">
        <f>X737*0.038</f>
        <v>#REF!</v>
      </c>
      <c r="AB737" t="str">
        <f>X737*0.02</f>
        <v>#REF!</v>
      </c>
      <c r="AC737" t="str">
        <f>Y737*0.1</f>
        <v>#REF!</v>
      </c>
      <c r="AD737" t="str">
        <f>X737-AA737-AB737</f>
        <v>#REF!</v>
      </c>
      <c r="AE737" t="str">
        <f>Y737-AC737</f>
        <v>#REF!</v>
      </c>
      <c r="AF737" t="str">
        <f>AD737*0.01</f>
        <v>#REF!</v>
      </c>
      <c r="AG737" t="str">
        <f>AD737-Q737-AF737-T737</f>
        <v>#REF!</v>
      </c>
      <c r="AH737" t="str">
        <f>AE737-Q737-AF737-T737</f>
        <v>#REF!</v>
      </c>
      <c r="AI737" t="str">
        <f>AG737/X737</f>
        <v>#REF!</v>
      </c>
      <c r="AJ737" t="str">
        <f>AH737/Y737</f>
        <v>#REF!</v>
      </c>
    </row>
    <row r="738">
      <c r="G738" t="str">
        <v>A</v>
      </c>
      <c r="K738" t="str">
        <f>IF(L738&gt;0,L738*0.0625,)</f>
        <v>#REF!</v>
      </c>
      <c r="L738" t="str">
        <f>IF(K738&gt;0,K738*16,)</f>
        <v>#REF!</v>
      </c>
      <c r="M738" t="str">
        <f>IF(K738&gt;0,K738*0.453592,IF(L738&gt;0,L738*0.02835,))</f>
        <v>#REF!</v>
      </c>
      <c r="P738">
        <f>J738+O738+N738</f>
        <v>0</v>
      </c>
      <c r="Q738">
        <f>P738*C$3</f>
        <v>0</v>
      </c>
      <c r="R738">
        <v>0</v>
      </c>
      <c r="S738">
        <f>ROUND(SUM(Q738:R738), -2)</f>
        <v>0</v>
      </c>
      <c r="T738" t="str">
        <f>ROUNDUP(HLOOKUP(ROUNDUP(K738,0),'배송비 조회'!A$10:AE$22,7,0)*C$3,-2)</f>
        <v>#REF!</v>
      </c>
      <c r="U738">
        <v>0</v>
      </c>
      <c r="V738" t="str">
        <f>ROUND(IF(R734&gt;0,0,(S738+T738)*0.3),-2)</f>
        <v>#REF!</v>
      </c>
      <c r="W738" t="str">
        <f>ROUND(IF(R734&gt;0,0,(S738+T738)*0.5),-2)</f>
        <v>#REF!</v>
      </c>
      <c r="X738" t="str">
        <f>SUM(S738:V738)</f>
        <v>#REF!</v>
      </c>
      <c r="Y738" t="str">
        <f>SUM(S738:U738)+W738</f>
        <v>#REF!</v>
      </c>
      <c r="Z738">
        <v>0</v>
      </c>
      <c r="AA738" t="str">
        <f>X738*0.038</f>
        <v>#REF!</v>
      </c>
      <c r="AB738" t="str">
        <f>X738*0.02</f>
        <v>#REF!</v>
      </c>
      <c r="AC738" t="str">
        <f>Y738*0.1</f>
        <v>#REF!</v>
      </c>
      <c r="AD738" t="str">
        <f>X738-AA738-AB738</f>
        <v>#REF!</v>
      </c>
      <c r="AE738" t="str">
        <f>Y738-AC738</f>
        <v>#REF!</v>
      </c>
      <c r="AF738" t="str">
        <f>AD738*0.01</f>
        <v>#REF!</v>
      </c>
      <c r="AG738" t="str">
        <f>AD738-Q738-AF738-T738</f>
        <v>#REF!</v>
      </c>
      <c r="AH738" t="str">
        <f>AE738-Q738-AF738-T738</f>
        <v>#REF!</v>
      </c>
      <c r="AI738" t="str">
        <f>AG738/X738</f>
        <v>#REF!</v>
      </c>
      <c r="AJ738" t="str">
        <f>AH738/Y738</f>
        <v>#REF!</v>
      </c>
    </row>
    <row r="739">
      <c r="G739" t="str">
        <v>A</v>
      </c>
      <c r="K739" t="str">
        <f>IF(L739&gt;0,L739*0.0625,)</f>
        <v>#REF!</v>
      </c>
      <c r="L739" t="str">
        <f>IF(K739&gt;0,K739*16,)</f>
        <v>#REF!</v>
      </c>
      <c r="M739" t="str">
        <f>IF(K739&gt;0,K739*0.453592,IF(L739&gt;0,L739*0.02835,))</f>
        <v>#REF!</v>
      </c>
      <c r="P739">
        <f>J739+O739+N739</f>
        <v>0</v>
      </c>
      <c r="Q739">
        <f>P739*C$3</f>
        <v>0</v>
      </c>
      <c r="R739">
        <v>0</v>
      </c>
      <c r="S739">
        <f>ROUND(SUM(Q739:R739), -2)</f>
        <v>0</v>
      </c>
      <c r="T739" t="str">
        <f>ROUNDUP(HLOOKUP(ROUNDUP(K739,0),'배송비 조회'!A$10:AE$22,7,0)*C$3,-2)</f>
        <v>#REF!</v>
      </c>
      <c r="U739">
        <v>0</v>
      </c>
      <c r="V739" t="str">
        <f>ROUND(IF(R735&gt;0,0,(S739+T739)*0.3),-2)</f>
        <v>#REF!</v>
      </c>
      <c r="W739" t="str">
        <f>ROUND(IF(R735&gt;0,0,(S739+T739)*0.5),-2)</f>
        <v>#REF!</v>
      </c>
      <c r="X739" t="str">
        <f>SUM(S739:V739)</f>
        <v>#REF!</v>
      </c>
      <c r="Y739" t="str">
        <f>SUM(S739:U739)+W739</f>
        <v>#REF!</v>
      </c>
      <c r="Z739">
        <v>0</v>
      </c>
      <c r="AA739" t="str">
        <f>X739*0.038</f>
        <v>#REF!</v>
      </c>
      <c r="AB739" t="str">
        <f>X739*0.02</f>
        <v>#REF!</v>
      </c>
      <c r="AC739" t="str">
        <f>Y739*0.1</f>
        <v>#REF!</v>
      </c>
      <c r="AD739" t="str">
        <f>X739-AA739-AB739</f>
        <v>#REF!</v>
      </c>
      <c r="AE739" t="str">
        <f>Y739-AC739</f>
        <v>#REF!</v>
      </c>
      <c r="AF739" t="str">
        <f>AD739*0.01</f>
        <v>#REF!</v>
      </c>
      <c r="AG739" t="str">
        <f>AD739-Q739-AF739-T739</f>
        <v>#REF!</v>
      </c>
      <c r="AH739" t="str">
        <f>AE739-Q739-AF739-T739</f>
        <v>#REF!</v>
      </c>
      <c r="AI739" t="str">
        <f>AG739/X739</f>
        <v>#REF!</v>
      </c>
      <c r="AJ739" t="str">
        <f>AH739/Y739</f>
        <v>#REF!</v>
      </c>
    </row>
    <row r="740">
      <c r="G740" t="str">
        <v>A</v>
      </c>
      <c r="K740" t="str">
        <f>IF(L740&gt;0,L740*0.0625,)</f>
        <v>#REF!</v>
      </c>
      <c r="L740" t="str">
        <f>IF(K740&gt;0,K740*16,)</f>
        <v>#REF!</v>
      </c>
      <c r="M740" t="str">
        <f>IF(K740&gt;0,K740*0.453592,IF(L740&gt;0,L740*0.02835,))</f>
        <v>#REF!</v>
      </c>
      <c r="P740">
        <f>J740+O740+N740</f>
        <v>0</v>
      </c>
      <c r="Q740">
        <f>P740*C$3</f>
        <v>0</v>
      </c>
      <c r="R740">
        <v>0</v>
      </c>
      <c r="S740">
        <f>ROUND(SUM(Q740:R740), -2)</f>
        <v>0</v>
      </c>
      <c r="T740" t="str">
        <f>ROUNDUP(HLOOKUP(ROUNDUP(K740,0),'배송비 조회'!A$10:AE$22,7,0)*C$3,-2)</f>
        <v>#REF!</v>
      </c>
      <c r="U740">
        <v>0</v>
      </c>
      <c r="V740" t="str">
        <f>ROUND(IF(R736&gt;0,0,(S740+T740)*0.3),-2)</f>
        <v>#REF!</v>
      </c>
      <c r="W740" t="str">
        <f>ROUND(IF(R736&gt;0,0,(S740+T740)*0.5),-2)</f>
        <v>#REF!</v>
      </c>
      <c r="X740" t="str">
        <f>SUM(S740:V740)</f>
        <v>#REF!</v>
      </c>
      <c r="Y740" t="str">
        <f>SUM(S740:U740)+W740</f>
        <v>#REF!</v>
      </c>
      <c r="Z740">
        <v>0</v>
      </c>
      <c r="AA740" t="str">
        <f>X740*0.038</f>
        <v>#REF!</v>
      </c>
      <c r="AB740" t="str">
        <f>X740*0.02</f>
        <v>#REF!</v>
      </c>
      <c r="AC740" t="str">
        <f>Y740*0.1</f>
        <v>#REF!</v>
      </c>
      <c r="AD740" t="str">
        <f>X740-AA740-AB740</f>
        <v>#REF!</v>
      </c>
      <c r="AE740" t="str">
        <f>Y740-AC740</f>
        <v>#REF!</v>
      </c>
      <c r="AF740" t="str">
        <f>AD740*0.01</f>
        <v>#REF!</v>
      </c>
      <c r="AG740" t="str">
        <f>AD740-Q740-AF740-T740</f>
        <v>#REF!</v>
      </c>
      <c r="AH740" t="str">
        <f>AE740-Q740-AF740-T740</f>
        <v>#REF!</v>
      </c>
      <c r="AI740" t="str">
        <f>AG740/X740</f>
        <v>#REF!</v>
      </c>
      <c r="AJ740" t="str">
        <f>AH740/Y740</f>
        <v>#REF!</v>
      </c>
    </row>
    <row r="741">
      <c r="G741" t="str">
        <v>A</v>
      </c>
      <c r="K741" t="str">
        <f>IF(L741&gt;0,L741*0.0625,)</f>
        <v>#REF!</v>
      </c>
      <c r="L741" t="str">
        <f>IF(K741&gt;0,K741*16,)</f>
        <v>#REF!</v>
      </c>
      <c r="M741" t="str">
        <f>IF(K741&gt;0,K741*0.453592,IF(L741&gt;0,L741*0.02835,))</f>
        <v>#REF!</v>
      </c>
      <c r="P741">
        <f>J741+O741+N741</f>
        <v>0</v>
      </c>
      <c r="Q741">
        <f>P741*C$3</f>
        <v>0</v>
      </c>
      <c r="R741">
        <v>0</v>
      </c>
      <c r="S741">
        <f>ROUND(SUM(Q741:R741), -2)</f>
        <v>0</v>
      </c>
      <c r="T741" t="str">
        <f>ROUNDUP(HLOOKUP(ROUNDUP(K741,0),'배송비 조회'!A$10:AE$22,7,0)*C$3,-2)</f>
        <v>#REF!</v>
      </c>
      <c r="U741">
        <v>0</v>
      </c>
      <c r="V741" t="str">
        <f>ROUND(IF(R737&gt;0,0,(S741+T741)*0.3),-2)</f>
        <v>#REF!</v>
      </c>
      <c r="W741" t="str">
        <f>ROUND(IF(R737&gt;0,0,(S741+T741)*0.5),-2)</f>
        <v>#REF!</v>
      </c>
      <c r="X741" t="str">
        <f>SUM(S741:V741)</f>
        <v>#REF!</v>
      </c>
      <c r="Y741" t="str">
        <f>SUM(S741:U741)+W741</f>
        <v>#REF!</v>
      </c>
      <c r="Z741">
        <v>0</v>
      </c>
      <c r="AA741" t="str">
        <f>X741*0.038</f>
        <v>#REF!</v>
      </c>
      <c r="AB741" t="str">
        <f>X741*0.02</f>
        <v>#REF!</v>
      </c>
      <c r="AC741" t="str">
        <f>Y741*0.1</f>
        <v>#REF!</v>
      </c>
      <c r="AD741" t="str">
        <f>X741-AA741-AB741</f>
        <v>#REF!</v>
      </c>
      <c r="AE741" t="str">
        <f>Y741-AC741</f>
        <v>#REF!</v>
      </c>
      <c r="AF741" t="str">
        <f>AD741*0.01</f>
        <v>#REF!</v>
      </c>
      <c r="AG741" t="str">
        <f>AD741-Q741-AF741-T741</f>
        <v>#REF!</v>
      </c>
      <c r="AH741" t="str">
        <f>AE741-Q741-AF741-T741</f>
        <v>#REF!</v>
      </c>
      <c r="AI741" t="str">
        <f>AG741/X741</f>
        <v>#REF!</v>
      </c>
      <c r="AJ741" t="str">
        <f>AH741/Y741</f>
        <v>#REF!</v>
      </c>
    </row>
    <row r="742">
      <c r="G742" t="str">
        <v>A</v>
      </c>
      <c r="K742" t="str">
        <f>IF(L742&gt;0,L742*0.0625,)</f>
        <v>#REF!</v>
      </c>
      <c r="L742" t="str">
        <f>IF(K742&gt;0,K742*16,)</f>
        <v>#REF!</v>
      </c>
      <c r="M742" t="str">
        <f>IF(K742&gt;0,K742*0.453592,IF(L742&gt;0,L742*0.02835,))</f>
        <v>#REF!</v>
      </c>
      <c r="P742">
        <f>J742+O742+N742</f>
        <v>0</v>
      </c>
      <c r="Q742">
        <f>P742*C$3</f>
        <v>0</v>
      </c>
      <c r="R742">
        <v>0</v>
      </c>
      <c r="S742">
        <f>ROUND(SUM(Q742:R742), -2)</f>
        <v>0</v>
      </c>
      <c r="T742" t="str">
        <f>ROUNDUP(HLOOKUP(ROUNDUP(K742,0),'배송비 조회'!A$10:AE$22,7,0)*C$3,-2)</f>
        <v>#REF!</v>
      </c>
      <c r="U742">
        <v>0</v>
      </c>
      <c r="V742" t="str">
        <f>ROUND(IF(R738&gt;0,0,(S742+T742)*0.3),-2)</f>
        <v>#REF!</v>
      </c>
      <c r="W742" t="str">
        <f>ROUND(IF(R738&gt;0,0,(S742+T742)*0.5),-2)</f>
        <v>#REF!</v>
      </c>
      <c r="X742" t="str">
        <f>SUM(S742:V742)</f>
        <v>#REF!</v>
      </c>
      <c r="Y742" t="str">
        <f>SUM(S742:U742)+W742</f>
        <v>#REF!</v>
      </c>
      <c r="Z742">
        <v>0</v>
      </c>
      <c r="AA742" t="str">
        <f>X742*0.038</f>
        <v>#REF!</v>
      </c>
      <c r="AB742" t="str">
        <f>X742*0.02</f>
        <v>#REF!</v>
      </c>
      <c r="AC742" t="str">
        <f>Y742*0.1</f>
        <v>#REF!</v>
      </c>
      <c r="AD742" t="str">
        <f>X742-AA742-AB742</f>
        <v>#REF!</v>
      </c>
      <c r="AE742" t="str">
        <f>Y742-AC742</f>
        <v>#REF!</v>
      </c>
      <c r="AF742" t="str">
        <f>AD742*0.01</f>
        <v>#REF!</v>
      </c>
      <c r="AG742" t="str">
        <f>AD742-Q742-AF742-T742</f>
        <v>#REF!</v>
      </c>
      <c r="AH742" t="str">
        <f>AE742-Q742-AF742-T742</f>
        <v>#REF!</v>
      </c>
      <c r="AI742" t="str">
        <f>AG742/X742</f>
        <v>#REF!</v>
      </c>
      <c r="AJ742" t="str">
        <f>AH742/Y742</f>
        <v>#REF!</v>
      </c>
    </row>
    <row r="743">
      <c r="G743" t="str">
        <v>A</v>
      </c>
      <c r="K743" t="str">
        <f>IF(L743&gt;0,L743*0.0625,)</f>
        <v>#REF!</v>
      </c>
      <c r="L743" t="str">
        <f>IF(K743&gt;0,K743*16,)</f>
        <v>#REF!</v>
      </c>
      <c r="M743" t="str">
        <f>IF(K743&gt;0,K743*0.453592,IF(L743&gt;0,L743*0.02835,))</f>
        <v>#REF!</v>
      </c>
      <c r="P743">
        <f>J743+O743+N743</f>
        <v>0</v>
      </c>
      <c r="Q743">
        <f>P743*C$3</f>
        <v>0</v>
      </c>
      <c r="R743">
        <v>0</v>
      </c>
      <c r="S743">
        <f>ROUND(SUM(Q743:R743), -2)</f>
        <v>0</v>
      </c>
      <c r="T743" t="str">
        <f>ROUNDUP(HLOOKUP(ROUNDUP(K743,0),'배송비 조회'!A$10:AE$22,7,0)*C$3,-2)</f>
        <v>#REF!</v>
      </c>
      <c r="U743">
        <v>0</v>
      </c>
      <c r="V743" t="str">
        <f>ROUND(IF(R739&gt;0,0,(S743+T743)*0.3),-2)</f>
        <v>#REF!</v>
      </c>
      <c r="W743" t="str">
        <f>ROUND(IF(R739&gt;0,0,(S743+T743)*0.5),-2)</f>
        <v>#REF!</v>
      </c>
      <c r="X743" t="str">
        <f>SUM(S743:V743)</f>
        <v>#REF!</v>
      </c>
      <c r="Y743" t="str">
        <f>SUM(S743:U743)+W743</f>
        <v>#REF!</v>
      </c>
      <c r="Z743">
        <v>0</v>
      </c>
      <c r="AA743" t="str">
        <f>X743*0.038</f>
        <v>#REF!</v>
      </c>
      <c r="AB743" t="str">
        <f>X743*0.02</f>
        <v>#REF!</v>
      </c>
      <c r="AC743" t="str">
        <f>Y743*0.1</f>
        <v>#REF!</v>
      </c>
      <c r="AD743" t="str">
        <f>X743-AA743-AB743</f>
        <v>#REF!</v>
      </c>
      <c r="AE743" t="str">
        <f>Y743-AC743</f>
        <v>#REF!</v>
      </c>
      <c r="AF743" t="str">
        <f>AD743*0.01</f>
        <v>#REF!</v>
      </c>
      <c r="AG743" t="str">
        <f>AD743-Q743-AF743-T743</f>
        <v>#REF!</v>
      </c>
      <c r="AH743" t="str">
        <f>AE743-Q743-AF743-T743</f>
        <v>#REF!</v>
      </c>
      <c r="AI743" t="str">
        <f>AG743/X743</f>
        <v>#REF!</v>
      </c>
      <c r="AJ743" t="str">
        <f>AH743/Y743</f>
        <v>#REF!</v>
      </c>
    </row>
    <row r="744">
      <c r="G744" t="str">
        <v>A</v>
      </c>
      <c r="K744" t="str">
        <f>IF(L744&gt;0,L744*0.0625,)</f>
        <v>#REF!</v>
      </c>
      <c r="L744" t="str">
        <f>IF(K744&gt;0,K744*16,)</f>
        <v>#REF!</v>
      </c>
      <c r="M744" t="str">
        <f>IF(K744&gt;0,K744*0.453592,IF(L744&gt;0,L744*0.02835,))</f>
        <v>#REF!</v>
      </c>
      <c r="P744">
        <f>J744+O744+N744</f>
        <v>0</v>
      </c>
      <c r="Q744">
        <f>P744*C$3</f>
        <v>0</v>
      </c>
      <c r="R744">
        <v>0</v>
      </c>
      <c r="S744">
        <f>ROUND(SUM(Q744:R744), -2)</f>
        <v>0</v>
      </c>
      <c r="T744" t="str">
        <f>ROUNDUP(HLOOKUP(ROUNDUP(K744,0),'배송비 조회'!A$10:AE$22,7,0)*C$3,-2)</f>
        <v>#REF!</v>
      </c>
      <c r="U744">
        <v>0</v>
      </c>
      <c r="V744" t="str">
        <f>ROUND(IF(R740&gt;0,0,(S744+T744)*0.3),-2)</f>
        <v>#REF!</v>
      </c>
      <c r="W744" t="str">
        <f>ROUND(IF(R740&gt;0,0,(S744+T744)*0.5),-2)</f>
        <v>#REF!</v>
      </c>
      <c r="X744" t="str">
        <f>SUM(S744:V744)</f>
        <v>#REF!</v>
      </c>
      <c r="Y744" t="str">
        <f>SUM(S744:U744)+W744</f>
        <v>#REF!</v>
      </c>
      <c r="Z744">
        <v>0</v>
      </c>
      <c r="AA744" t="str">
        <f>X744*0.038</f>
        <v>#REF!</v>
      </c>
      <c r="AB744" t="str">
        <f>X744*0.02</f>
        <v>#REF!</v>
      </c>
      <c r="AC744" t="str">
        <f>Y744*0.1</f>
        <v>#REF!</v>
      </c>
      <c r="AD744" t="str">
        <f>X744-AA744-AB744</f>
        <v>#REF!</v>
      </c>
      <c r="AE744" t="str">
        <f>Y744-AC744</f>
        <v>#REF!</v>
      </c>
      <c r="AF744" t="str">
        <f>AD744*0.01</f>
        <v>#REF!</v>
      </c>
      <c r="AG744" t="str">
        <f>AD744-Q744-AF744-T744</f>
        <v>#REF!</v>
      </c>
      <c r="AH744" t="str">
        <f>AE744-Q744-AF744-T744</f>
        <v>#REF!</v>
      </c>
      <c r="AI744" t="str">
        <f>AG744/X744</f>
        <v>#REF!</v>
      </c>
      <c r="AJ744" t="str">
        <f>AH744/Y744</f>
        <v>#REF!</v>
      </c>
    </row>
    <row r="745">
      <c r="G745" t="str">
        <v>A</v>
      </c>
      <c r="K745" t="str">
        <f>IF(L745&gt;0,L745*0.0625,)</f>
        <v>#REF!</v>
      </c>
      <c r="L745" t="str">
        <f>IF(K745&gt;0,K745*16,)</f>
        <v>#REF!</v>
      </c>
      <c r="M745" t="str">
        <f>IF(K745&gt;0,K745*0.453592,IF(L745&gt;0,L745*0.02835,))</f>
        <v>#REF!</v>
      </c>
      <c r="P745">
        <f>J745+O745+N745</f>
        <v>0</v>
      </c>
      <c r="Q745">
        <f>P745*C$3</f>
        <v>0</v>
      </c>
      <c r="R745">
        <v>0</v>
      </c>
      <c r="S745">
        <f>ROUND(SUM(Q745:R745), -2)</f>
        <v>0</v>
      </c>
      <c r="T745" t="str">
        <f>ROUNDUP(HLOOKUP(ROUNDUP(K745,0),'배송비 조회'!A$10:AE$22,7,0)*C$3,-2)</f>
        <v>#REF!</v>
      </c>
      <c r="U745">
        <v>0</v>
      </c>
      <c r="V745" t="str">
        <f>ROUND(IF(R741&gt;0,0,(S745+T745)*0.3),-2)</f>
        <v>#REF!</v>
      </c>
      <c r="W745" t="str">
        <f>ROUND(IF(R741&gt;0,0,(S745+T745)*0.5),-2)</f>
        <v>#REF!</v>
      </c>
      <c r="X745" t="str">
        <f>SUM(S745:V745)</f>
        <v>#REF!</v>
      </c>
      <c r="Y745" t="str">
        <f>SUM(S745:U745)+W745</f>
        <v>#REF!</v>
      </c>
      <c r="Z745">
        <v>0</v>
      </c>
      <c r="AA745" t="str">
        <f>X745*0.038</f>
        <v>#REF!</v>
      </c>
      <c r="AB745" t="str">
        <f>X745*0.02</f>
        <v>#REF!</v>
      </c>
      <c r="AC745" t="str">
        <f>Y745*0.1</f>
        <v>#REF!</v>
      </c>
      <c r="AD745" t="str">
        <f>X745-AA745-AB745</f>
        <v>#REF!</v>
      </c>
      <c r="AE745" t="str">
        <f>Y745-AC745</f>
        <v>#REF!</v>
      </c>
      <c r="AF745" t="str">
        <f>AD745*0.01</f>
        <v>#REF!</v>
      </c>
      <c r="AG745" t="str">
        <f>AD745-Q745-AF745-T745</f>
        <v>#REF!</v>
      </c>
      <c r="AH745" t="str">
        <f>AE745-Q745-AF745-T745</f>
        <v>#REF!</v>
      </c>
      <c r="AI745" t="str">
        <f>AG745/X745</f>
        <v>#REF!</v>
      </c>
      <c r="AJ745" t="str">
        <f>AH745/Y745</f>
        <v>#REF!</v>
      </c>
    </row>
    <row r="746">
      <c r="G746" t="str">
        <v>A</v>
      </c>
      <c r="K746" t="str">
        <f>IF(L746&gt;0,L746*0.0625,)</f>
        <v>#REF!</v>
      </c>
      <c r="L746" t="str">
        <f>IF(K746&gt;0,K746*16,)</f>
        <v>#REF!</v>
      </c>
      <c r="M746" t="str">
        <f>IF(K746&gt;0,K746*0.453592,IF(L746&gt;0,L746*0.02835,))</f>
        <v>#REF!</v>
      </c>
      <c r="P746">
        <f>J746+O746+N746</f>
        <v>0</v>
      </c>
      <c r="Q746">
        <f>P746*C$3</f>
        <v>0</v>
      </c>
      <c r="R746">
        <v>0</v>
      </c>
      <c r="S746">
        <f>ROUND(SUM(Q746:R746), -2)</f>
        <v>0</v>
      </c>
      <c r="T746" t="str">
        <f>ROUNDUP(HLOOKUP(ROUNDUP(K746,0),'배송비 조회'!A$10:AE$22,7,0)*C$3,-2)</f>
        <v>#REF!</v>
      </c>
      <c r="U746">
        <v>0</v>
      </c>
      <c r="V746" t="str">
        <f>ROUND(IF(R742&gt;0,0,(S746+T746)*0.3),-2)</f>
        <v>#REF!</v>
      </c>
      <c r="W746" t="str">
        <f>ROUND(IF(R742&gt;0,0,(S746+T746)*0.5),-2)</f>
        <v>#REF!</v>
      </c>
      <c r="X746" t="str">
        <f>SUM(S746:V746)</f>
        <v>#REF!</v>
      </c>
      <c r="Y746" t="str">
        <f>SUM(S746:U746)+W746</f>
        <v>#REF!</v>
      </c>
      <c r="Z746">
        <v>0</v>
      </c>
      <c r="AA746" t="str">
        <f>X746*0.038</f>
        <v>#REF!</v>
      </c>
      <c r="AB746" t="str">
        <f>X746*0.02</f>
        <v>#REF!</v>
      </c>
      <c r="AC746" t="str">
        <f>Y746*0.1</f>
        <v>#REF!</v>
      </c>
      <c r="AD746" t="str">
        <f>X746-AA746-AB746</f>
        <v>#REF!</v>
      </c>
      <c r="AE746" t="str">
        <f>Y746-AC746</f>
        <v>#REF!</v>
      </c>
      <c r="AF746" t="str">
        <f>AD746*0.01</f>
        <v>#REF!</v>
      </c>
      <c r="AG746" t="str">
        <f>AD746-Q746-AF746-T746</f>
        <v>#REF!</v>
      </c>
      <c r="AH746" t="str">
        <f>AE746-Q746-AF746-T746</f>
        <v>#REF!</v>
      </c>
      <c r="AI746" t="str">
        <f>AG746/X746</f>
        <v>#REF!</v>
      </c>
      <c r="AJ746" t="str">
        <f>AH746/Y746</f>
        <v>#REF!</v>
      </c>
    </row>
    <row r="747">
      <c r="G747" t="str">
        <v>A</v>
      </c>
      <c r="K747" t="str">
        <f>IF(L747&gt;0,L747*0.0625,)</f>
        <v>#REF!</v>
      </c>
      <c r="L747" t="str">
        <f>IF(K747&gt;0,K747*16,)</f>
        <v>#REF!</v>
      </c>
      <c r="M747" t="str">
        <f>IF(K747&gt;0,K747*0.453592,IF(L747&gt;0,L747*0.02835,))</f>
        <v>#REF!</v>
      </c>
      <c r="P747">
        <f>J747+O747+N747</f>
        <v>0</v>
      </c>
      <c r="Q747">
        <f>P747*C$3</f>
        <v>0</v>
      </c>
      <c r="R747">
        <v>0</v>
      </c>
      <c r="S747">
        <f>ROUND(SUM(Q747:R747), -2)</f>
        <v>0</v>
      </c>
      <c r="T747" t="str">
        <f>ROUNDUP(HLOOKUP(ROUNDUP(K747,0),'배송비 조회'!A$10:AE$22,7,0)*C$3,-2)</f>
        <v>#REF!</v>
      </c>
      <c r="U747">
        <v>0</v>
      </c>
      <c r="V747" t="str">
        <f>ROUND(IF(R743&gt;0,0,(S747+T747)*0.3),-2)</f>
        <v>#REF!</v>
      </c>
      <c r="W747" t="str">
        <f>ROUND(IF(R743&gt;0,0,(S747+T747)*0.5),-2)</f>
        <v>#REF!</v>
      </c>
      <c r="X747" t="str">
        <f>SUM(S747:V747)</f>
        <v>#REF!</v>
      </c>
      <c r="Y747" t="str">
        <f>SUM(S747:U747)+W747</f>
        <v>#REF!</v>
      </c>
      <c r="Z747">
        <v>0</v>
      </c>
      <c r="AA747" t="str">
        <f>X747*0.038</f>
        <v>#REF!</v>
      </c>
      <c r="AB747" t="str">
        <f>X747*0.02</f>
        <v>#REF!</v>
      </c>
      <c r="AC747" t="str">
        <f>Y747*0.1</f>
        <v>#REF!</v>
      </c>
      <c r="AD747" t="str">
        <f>X747-AA747-AB747</f>
        <v>#REF!</v>
      </c>
      <c r="AE747" t="str">
        <f>Y747-AC747</f>
        <v>#REF!</v>
      </c>
      <c r="AF747" t="str">
        <f>AD747*0.01</f>
        <v>#REF!</v>
      </c>
      <c r="AG747" t="str">
        <f>AD747-Q747-AF747-T747</f>
        <v>#REF!</v>
      </c>
      <c r="AH747" t="str">
        <f>AE747-Q747-AF747-T747</f>
        <v>#REF!</v>
      </c>
      <c r="AI747" t="str">
        <f>AG747/X747</f>
        <v>#REF!</v>
      </c>
      <c r="AJ747" t="str">
        <f>AH747/Y747</f>
        <v>#REF!</v>
      </c>
    </row>
    <row r="748">
      <c r="G748" t="str">
        <v>A</v>
      </c>
      <c r="K748" t="str">
        <f>IF(L748&gt;0,L748*0.0625,)</f>
        <v>#REF!</v>
      </c>
      <c r="L748" t="str">
        <f>IF(K748&gt;0,K748*16,)</f>
        <v>#REF!</v>
      </c>
      <c r="M748" t="str">
        <f>IF(K748&gt;0,K748*0.453592,IF(L748&gt;0,L748*0.02835,))</f>
        <v>#REF!</v>
      </c>
      <c r="P748">
        <f>J748+O748+N748</f>
        <v>0</v>
      </c>
      <c r="Q748">
        <f>P748*C$3</f>
        <v>0</v>
      </c>
      <c r="R748">
        <v>0</v>
      </c>
      <c r="S748">
        <f>ROUND(SUM(Q748:R748), -2)</f>
        <v>0</v>
      </c>
      <c r="T748" t="str">
        <f>ROUNDUP(HLOOKUP(ROUNDUP(K748,0),'배송비 조회'!A$10:AE$22,7,0)*C$3,-2)</f>
        <v>#REF!</v>
      </c>
      <c r="U748">
        <v>0</v>
      </c>
      <c r="V748" t="str">
        <f>ROUND(IF(R744&gt;0,0,(S748+T748)*0.3),-2)</f>
        <v>#REF!</v>
      </c>
      <c r="W748" t="str">
        <f>ROUND(IF(R744&gt;0,0,(S748+T748)*0.5),-2)</f>
        <v>#REF!</v>
      </c>
      <c r="X748" t="str">
        <f>SUM(S748:V748)</f>
        <v>#REF!</v>
      </c>
      <c r="Y748" t="str">
        <f>SUM(S748:U748)+W748</f>
        <v>#REF!</v>
      </c>
      <c r="Z748">
        <v>0</v>
      </c>
      <c r="AA748" t="str">
        <f>X748*0.038</f>
        <v>#REF!</v>
      </c>
      <c r="AB748" t="str">
        <f>X748*0.02</f>
        <v>#REF!</v>
      </c>
      <c r="AC748" t="str">
        <f>Y748*0.1</f>
        <v>#REF!</v>
      </c>
      <c r="AD748" t="str">
        <f>X748-AA748-AB748</f>
        <v>#REF!</v>
      </c>
      <c r="AE748" t="str">
        <f>Y748-AC748</f>
        <v>#REF!</v>
      </c>
      <c r="AF748" t="str">
        <f>AD748*0.01</f>
        <v>#REF!</v>
      </c>
      <c r="AG748" t="str">
        <f>AD748-Q748-AF748-T748</f>
        <v>#REF!</v>
      </c>
      <c r="AH748" t="str">
        <f>AE748-Q748-AF748-T748</f>
        <v>#REF!</v>
      </c>
      <c r="AI748" t="str">
        <f>AG748/X748</f>
        <v>#REF!</v>
      </c>
      <c r="AJ748" t="str">
        <f>AH748/Y748</f>
        <v>#REF!</v>
      </c>
    </row>
    <row r="749">
      <c r="G749" t="str">
        <v>A</v>
      </c>
      <c r="K749" t="str">
        <f>IF(L749&gt;0,L749*0.0625,)</f>
        <v>#REF!</v>
      </c>
      <c r="L749" t="str">
        <f>IF(K749&gt;0,K749*16,)</f>
        <v>#REF!</v>
      </c>
      <c r="M749" t="str">
        <f>IF(K749&gt;0,K749*0.453592,IF(L749&gt;0,L749*0.02835,))</f>
        <v>#REF!</v>
      </c>
      <c r="P749">
        <f>J749+O749+N749</f>
        <v>0</v>
      </c>
      <c r="Q749">
        <f>P749*C$3</f>
        <v>0</v>
      </c>
      <c r="R749">
        <v>0</v>
      </c>
      <c r="S749">
        <f>ROUND(SUM(Q749:R749), -2)</f>
        <v>0</v>
      </c>
      <c r="T749" t="str">
        <f>ROUNDUP(HLOOKUP(ROUNDUP(K749,0),'배송비 조회'!A$10:AE$22,7,0)*C$3,-2)</f>
        <v>#REF!</v>
      </c>
      <c r="U749">
        <v>0</v>
      </c>
      <c r="V749" t="str">
        <f>ROUND(IF(R745&gt;0,0,(S749+T749)*0.3),-2)</f>
        <v>#REF!</v>
      </c>
      <c r="W749" t="str">
        <f>ROUND(IF(R745&gt;0,0,(S749+T749)*0.5),-2)</f>
        <v>#REF!</v>
      </c>
      <c r="X749" t="str">
        <f>SUM(S749:V749)</f>
        <v>#REF!</v>
      </c>
      <c r="Y749" t="str">
        <f>SUM(S749:U749)+W749</f>
        <v>#REF!</v>
      </c>
      <c r="Z749">
        <v>0</v>
      </c>
      <c r="AA749" t="str">
        <f>X749*0.038</f>
        <v>#REF!</v>
      </c>
      <c r="AB749" t="str">
        <f>X749*0.02</f>
        <v>#REF!</v>
      </c>
      <c r="AC749" t="str">
        <f>Y749*0.1</f>
        <v>#REF!</v>
      </c>
      <c r="AD749" t="str">
        <f>X749-AA749-AB749</f>
        <v>#REF!</v>
      </c>
      <c r="AE749" t="str">
        <f>Y749-AC749</f>
        <v>#REF!</v>
      </c>
      <c r="AF749" t="str">
        <f>AD749*0.01</f>
        <v>#REF!</v>
      </c>
      <c r="AG749" t="str">
        <f>AD749-Q749-AF749-T749</f>
        <v>#REF!</v>
      </c>
      <c r="AH749" t="str">
        <f>AE749-Q749-AF749-T749</f>
        <v>#REF!</v>
      </c>
      <c r="AI749" t="str">
        <f>AG749/X749</f>
        <v>#REF!</v>
      </c>
      <c r="AJ749" t="str">
        <f>AH749/Y749</f>
        <v>#REF!</v>
      </c>
    </row>
    <row r="750">
      <c r="G750" t="str">
        <v>A</v>
      </c>
      <c r="K750" t="str">
        <f>IF(L750&gt;0,L750*0.0625,)</f>
        <v>#REF!</v>
      </c>
      <c r="L750" t="str">
        <f>IF(K750&gt;0,K750*16,)</f>
        <v>#REF!</v>
      </c>
      <c r="M750" t="str">
        <f>IF(K750&gt;0,K750*0.453592,IF(L750&gt;0,L750*0.02835,))</f>
        <v>#REF!</v>
      </c>
      <c r="P750">
        <f>J750+O750+N750</f>
        <v>0</v>
      </c>
      <c r="Q750">
        <f>P750*C$3</f>
        <v>0</v>
      </c>
      <c r="R750">
        <v>0</v>
      </c>
      <c r="S750">
        <f>ROUND(SUM(Q750:R750), -2)</f>
        <v>0</v>
      </c>
      <c r="T750" t="str">
        <f>ROUNDUP(HLOOKUP(ROUNDUP(K750,0),'배송비 조회'!A$10:AE$22,7,0)*C$3,-2)</f>
        <v>#REF!</v>
      </c>
      <c r="U750">
        <v>0</v>
      </c>
      <c r="V750" t="str">
        <f>ROUND(IF(R746&gt;0,0,(S750+T750)*0.3),-2)</f>
        <v>#REF!</v>
      </c>
      <c r="W750" t="str">
        <f>ROUND(IF(R746&gt;0,0,(S750+T750)*0.5),-2)</f>
        <v>#REF!</v>
      </c>
      <c r="X750" t="str">
        <f>SUM(S750:V750)</f>
        <v>#REF!</v>
      </c>
      <c r="Y750" t="str">
        <f>SUM(S750:U750)+W750</f>
        <v>#REF!</v>
      </c>
      <c r="Z750">
        <v>0</v>
      </c>
      <c r="AA750" t="str">
        <f>X750*0.038</f>
        <v>#REF!</v>
      </c>
      <c r="AB750" t="str">
        <f>X750*0.02</f>
        <v>#REF!</v>
      </c>
      <c r="AC750" t="str">
        <f>Y750*0.1</f>
        <v>#REF!</v>
      </c>
      <c r="AD750" t="str">
        <f>X750-AA750-AB750</f>
        <v>#REF!</v>
      </c>
      <c r="AE750" t="str">
        <f>Y750-AC750</f>
        <v>#REF!</v>
      </c>
      <c r="AF750" t="str">
        <f>AD750*0.01</f>
        <v>#REF!</v>
      </c>
      <c r="AG750" t="str">
        <f>AD750-Q750-AF750-T750</f>
        <v>#REF!</v>
      </c>
      <c r="AH750" t="str">
        <f>AE750-Q750-AF750-T750</f>
        <v>#REF!</v>
      </c>
      <c r="AI750" t="str">
        <f>AG750/X750</f>
        <v>#REF!</v>
      </c>
      <c r="AJ750" t="str">
        <f>AH750/Y750</f>
        <v>#REF!</v>
      </c>
    </row>
    <row r="751">
      <c r="G751" t="str">
        <v>A</v>
      </c>
      <c r="K751" t="str">
        <f>IF(L751&gt;0,L751*0.0625,)</f>
        <v>#REF!</v>
      </c>
      <c r="L751" t="str">
        <f>IF(K751&gt;0,K751*16,)</f>
        <v>#REF!</v>
      </c>
      <c r="M751" t="str">
        <f>IF(K751&gt;0,K751*0.453592,IF(L751&gt;0,L751*0.02835,))</f>
        <v>#REF!</v>
      </c>
      <c r="P751">
        <f>J751+O751+N751</f>
        <v>0</v>
      </c>
      <c r="Q751">
        <f>P751*C$3</f>
        <v>0</v>
      </c>
      <c r="R751">
        <v>0</v>
      </c>
      <c r="S751">
        <f>ROUND(SUM(Q751:R751), -2)</f>
        <v>0</v>
      </c>
      <c r="T751" t="str">
        <f>ROUNDUP(HLOOKUP(ROUNDUP(K751,0),'배송비 조회'!A$10:AE$22,7,0)*C$3,-2)</f>
        <v>#REF!</v>
      </c>
      <c r="U751">
        <v>0</v>
      </c>
      <c r="V751" t="str">
        <f>ROUND(IF(R747&gt;0,0,(S751+T751)*0.3),-2)</f>
        <v>#REF!</v>
      </c>
      <c r="W751" t="str">
        <f>ROUND(IF(R747&gt;0,0,(S751+T751)*0.5),-2)</f>
        <v>#REF!</v>
      </c>
      <c r="X751" t="str">
        <f>SUM(S751:V751)</f>
        <v>#REF!</v>
      </c>
      <c r="Y751" t="str">
        <f>SUM(S751:U751)+W751</f>
        <v>#REF!</v>
      </c>
      <c r="Z751">
        <v>0</v>
      </c>
      <c r="AA751" t="str">
        <f>X751*0.038</f>
        <v>#REF!</v>
      </c>
      <c r="AB751" t="str">
        <f>X751*0.02</f>
        <v>#REF!</v>
      </c>
      <c r="AC751" t="str">
        <f>Y751*0.1</f>
        <v>#REF!</v>
      </c>
      <c r="AD751" t="str">
        <f>X751-AA751-AB751</f>
        <v>#REF!</v>
      </c>
      <c r="AE751" t="str">
        <f>Y751-AC751</f>
        <v>#REF!</v>
      </c>
      <c r="AF751" t="str">
        <f>AD751*0.01</f>
        <v>#REF!</v>
      </c>
      <c r="AG751" t="str">
        <f>AD751-Q751-AF751-T751</f>
        <v>#REF!</v>
      </c>
      <c r="AH751" t="str">
        <f>AE751-Q751-AF751-T751</f>
        <v>#REF!</v>
      </c>
      <c r="AI751" t="str">
        <f>AG751/X751</f>
        <v>#REF!</v>
      </c>
      <c r="AJ751" t="str">
        <f>AH751/Y751</f>
        <v>#REF!</v>
      </c>
    </row>
    <row r="752">
      <c r="G752" t="str">
        <v>A</v>
      </c>
      <c r="K752" t="str">
        <f>IF(L752&gt;0,L752*0.0625,)</f>
        <v>#REF!</v>
      </c>
      <c r="L752" t="str">
        <f>IF(K752&gt;0,K752*16,)</f>
        <v>#REF!</v>
      </c>
      <c r="M752" t="str">
        <f>IF(K752&gt;0,K752*0.453592,IF(L752&gt;0,L752*0.02835,))</f>
        <v>#REF!</v>
      </c>
      <c r="P752">
        <f>J752+O752+N752</f>
        <v>0</v>
      </c>
      <c r="Q752">
        <f>P752*C$3</f>
        <v>0</v>
      </c>
      <c r="R752">
        <v>0</v>
      </c>
      <c r="S752">
        <f>ROUND(SUM(Q752:R752), -2)</f>
        <v>0</v>
      </c>
      <c r="T752" t="str">
        <f>ROUNDUP(HLOOKUP(ROUNDUP(K752,0),'배송비 조회'!A$10:AE$22,7,0)*C$3,-2)</f>
        <v>#REF!</v>
      </c>
      <c r="U752">
        <v>0</v>
      </c>
      <c r="V752" t="str">
        <f>ROUND(IF(R748&gt;0,0,(S752+T752)*0.3),-2)</f>
        <v>#REF!</v>
      </c>
      <c r="W752" t="str">
        <f>ROUND(IF(R748&gt;0,0,(S752+T752)*0.5),-2)</f>
        <v>#REF!</v>
      </c>
      <c r="X752" t="str">
        <f>SUM(S752:V752)</f>
        <v>#REF!</v>
      </c>
      <c r="Y752" t="str">
        <f>SUM(S752:U752)+W752</f>
        <v>#REF!</v>
      </c>
      <c r="Z752">
        <v>0</v>
      </c>
      <c r="AA752" t="str">
        <f>X752*0.038</f>
        <v>#REF!</v>
      </c>
      <c r="AB752" t="str">
        <f>X752*0.02</f>
        <v>#REF!</v>
      </c>
      <c r="AC752" t="str">
        <f>Y752*0.1</f>
        <v>#REF!</v>
      </c>
      <c r="AD752" t="str">
        <f>X752-AA752-AB752</f>
        <v>#REF!</v>
      </c>
      <c r="AE752" t="str">
        <f>Y752-AC752</f>
        <v>#REF!</v>
      </c>
      <c r="AF752" t="str">
        <f>AD752*0.01</f>
        <v>#REF!</v>
      </c>
      <c r="AG752" t="str">
        <f>AD752-Q752-AF752-T752</f>
        <v>#REF!</v>
      </c>
      <c r="AH752" t="str">
        <f>AE752-Q752-AF752-T752</f>
        <v>#REF!</v>
      </c>
      <c r="AI752" t="str">
        <f>AG752/X752</f>
        <v>#REF!</v>
      </c>
      <c r="AJ752" t="str">
        <f>AH752/Y752</f>
        <v>#REF!</v>
      </c>
    </row>
    <row r="753">
      <c r="G753" t="str">
        <v>A</v>
      </c>
      <c r="K753" t="str">
        <f>IF(L753&gt;0,L753*0.0625,)</f>
        <v>#REF!</v>
      </c>
      <c r="L753" t="str">
        <f>IF(K753&gt;0,K753*16,)</f>
        <v>#REF!</v>
      </c>
      <c r="M753" t="str">
        <f>IF(K753&gt;0,K753*0.453592,IF(L753&gt;0,L753*0.02835,))</f>
        <v>#REF!</v>
      </c>
      <c r="P753">
        <f>J753+O753+N753</f>
        <v>0</v>
      </c>
      <c r="Q753">
        <f>P753*C$3</f>
        <v>0</v>
      </c>
      <c r="R753">
        <v>0</v>
      </c>
      <c r="S753">
        <f>ROUND(SUM(Q753:R753), -2)</f>
        <v>0</v>
      </c>
      <c r="T753" t="str">
        <f>ROUNDUP(HLOOKUP(ROUNDUP(K753,0),'배송비 조회'!A$10:AE$22,7,0)*C$3,-2)</f>
        <v>#REF!</v>
      </c>
      <c r="U753">
        <v>0</v>
      </c>
      <c r="V753" t="str">
        <f>ROUND(IF(R749&gt;0,0,(S753+T753)*0.3),-2)</f>
        <v>#REF!</v>
      </c>
      <c r="W753" t="str">
        <f>ROUND(IF(R749&gt;0,0,(S753+T753)*0.5),-2)</f>
        <v>#REF!</v>
      </c>
      <c r="X753" t="str">
        <f>SUM(S753:V753)</f>
        <v>#REF!</v>
      </c>
      <c r="Y753" t="str">
        <f>SUM(S753:U753)+W753</f>
        <v>#REF!</v>
      </c>
      <c r="Z753">
        <v>0</v>
      </c>
      <c r="AA753" t="str">
        <f>X753*0.038</f>
        <v>#REF!</v>
      </c>
      <c r="AB753" t="str">
        <f>X753*0.02</f>
        <v>#REF!</v>
      </c>
      <c r="AC753" t="str">
        <f>Y753*0.1</f>
        <v>#REF!</v>
      </c>
      <c r="AD753" t="str">
        <f>X753-AA753-AB753</f>
        <v>#REF!</v>
      </c>
      <c r="AE753" t="str">
        <f>Y753-AC753</f>
        <v>#REF!</v>
      </c>
      <c r="AF753" t="str">
        <f>AD753*0.01</f>
        <v>#REF!</v>
      </c>
      <c r="AG753" t="str">
        <f>AD753-Q753-AF753-T753</f>
        <v>#REF!</v>
      </c>
      <c r="AH753" t="str">
        <f>AE753-Q753-AF753-T753</f>
        <v>#REF!</v>
      </c>
      <c r="AI753" t="str">
        <f>AG753/X753</f>
        <v>#REF!</v>
      </c>
      <c r="AJ753" t="str">
        <f>AH753/Y753</f>
        <v>#REF!</v>
      </c>
    </row>
    <row r="754">
      <c r="G754" t="str">
        <v>A</v>
      </c>
      <c r="K754" t="str">
        <f>IF(L754&gt;0,L754*0.0625,)</f>
        <v>#REF!</v>
      </c>
      <c r="L754" t="str">
        <f>IF(K754&gt;0,K754*16,)</f>
        <v>#REF!</v>
      </c>
      <c r="M754" t="str">
        <f>IF(K754&gt;0,K754*0.453592,IF(L754&gt;0,L754*0.02835,))</f>
        <v>#REF!</v>
      </c>
      <c r="P754">
        <f>J754+O754+N754</f>
        <v>0</v>
      </c>
      <c r="Q754">
        <f>P754*C$3</f>
        <v>0</v>
      </c>
      <c r="R754">
        <v>0</v>
      </c>
      <c r="S754">
        <f>ROUND(SUM(Q754:R754), -2)</f>
        <v>0</v>
      </c>
      <c r="T754" t="str">
        <f>ROUNDUP(HLOOKUP(ROUNDUP(K754,0),'배송비 조회'!A$10:AE$22,7,0)*C$3,-2)</f>
        <v>#REF!</v>
      </c>
      <c r="U754">
        <v>0</v>
      </c>
      <c r="V754" t="str">
        <f>ROUND(IF(R750&gt;0,0,(S754+T754)*0.3),-2)</f>
        <v>#REF!</v>
      </c>
      <c r="W754" t="str">
        <f>ROUND(IF(R750&gt;0,0,(S754+T754)*0.5),-2)</f>
        <v>#REF!</v>
      </c>
      <c r="X754" t="str">
        <f>SUM(S754:V754)</f>
        <v>#REF!</v>
      </c>
      <c r="Y754" t="str">
        <f>SUM(S754:U754)+W754</f>
        <v>#REF!</v>
      </c>
      <c r="Z754">
        <v>0</v>
      </c>
      <c r="AA754" t="str">
        <f>X754*0.038</f>
        <v>#REF!</v>
      </c>
      <c r="AB754" t="str">
        <f>X754*0.02</f>
        <v>#REF!</v>
      </c>
      <c r="AC754" t="str">
        <f>Y754*0.1</f>
        <v>#REF!</v>
      </c>
      <c r="AD754" t="str">
        <f>X754-AA754-AB754</f>
        <v>#REF!</v>
      </c>
      <c r="AE754" t="str">
        <f>Y754-AC754</f>
        <v>#REF!</v>
      </c>
      <c r="AF754" t="str">
        <f>AD754*0.01</f>
        <v>#REF!</v>
      </c>
      <c r="AG754" t="str">
        <f>AD754-Q754-AF754-T754</f>
        <v>#REF!</v>
      </c>
      <c r="AH754" t="str">
        <f>AE754-Q754-AF754-T754</f>
        <v>#REF!</v>
      </c>
      <c r="AI754" t="str">
        <f>AG754/X754</f>
        <v>#REF!</v>
      </c>
      <c r="AJ754" t="str">
        <f>AH754/Y754</f>
        <v>#REF!</v>
      </c>
    </row>
    <row r="755">
      <c r="G755" t="str">
        <v>A</v>
      </c>
      <c r="K755" t="str">
        <f>IF(L755&gt;0,L755*0.0625,)</f>
        <v>#REF!</v>
      </c>
      <c r="L755" t="str">
        <f>IF(K755&gt;0,K755*16,)</f>
        <v>#REF!</v>
      </c>
      <c r="M755" t="str">
        <f>IF(K755&gt;0,K755*0.453592,IF(L755&gt;0,L755*0.02835,))</f>
        <v>#REF!</v>
      </c>
      <c r="P755">
        <f>J755+O755+N755</f>
        <v>0</v>
      </c>
      <c r="Q755">
        <f>P755*C$3</f>
        <v>0</v>
      </c>
      <c r="R755">
        <v>0</v>
      </c>
      <c r="S755">
        <f>ROUND(SUM(Q755:R755), -2)</f>
        <v>0</v>
      </c>
      <c r="T755" t="str">
        <f>ROUNDUP(HLOOKUP(ROUNDUP(K755,0),'배송비 조회'!A$10:AE$22,7,0)*C$3,-2)</f>
        <v>#REF!</v>
      </c>
      <c r="U755">
        <v>0</v>
      </c>
      <c r="V755" t="str">
        <f>ROUND(IF(R751&gt;0,0,(S755+T755)*0.3),-2)</f>
        <v>#REF!</v>
      </c>
      <c r="W755" t="str">
        <f>ROUND(IF(R751&gt;0,0,(S755+T755)*0.5),-2)</f>
        <v>#REF!</v>
      </c>
      <c r="X755" t="str">
        <f>SUM(S755:V755)</f>
        <v>#REF!</v>
      </c>
      <c r="Y755" t="str">
        <f>SUM(S755:U755)+W755</f>
        <v>#REF!</v>
      </c>
      <c r="Z755">
        <v>0</v>
      </c>
      <c r="AA755" t="str">
        <f>X755*0.038</f>
        <v>#REF!</v>
      </c>
      <c r="AB755" t="str">
        <f>X755*0.02</f>
        <v>#REF!</v>
      </c>
      <c r="AC755" t="str">
        <f>Y755*0.1</f>
        <v>#REF!</v>
      </c>
      <c r="AD755" t="str">
        <f>X755-AA755-AB755</f>
        <v>#REF!</v>
      </c>
      <c r="AE755" t="str">
        <f>Y755-AC755</f>
        <v>#REF!</v>
      </c>
      <c r="AF755" t="str">
        <f>AD755*0.01</f>
        <v>#REF!</v>
      </c>
      <c r="AG755" t="str">
        <f>AD755-Q755-AF755-T755</f>
        <v>#REF!</v>
      </c>
      <c r="AH755" t="str">
        <f>AE755-Q755-AF755-T755</f>
        <v>#REF!</v>
      </c>
      <c r="AI755" t="str">
        <f>AG755/X755</f>
        <v>#REF!</v>
      </c>
      <c r="AJ755" t="str">
        <f>AH755/Y755</f>
        <v>#REF!</v>
      </c>
    </row>
    <row r="756">
      <c r="G756" t="str">
        <v>A</v>
      </c>
      <c r="K756" t="str">
        <f>IF(L756&gt;0,L756*0.0625,)</f>
        <v>#REF!</v>
      </c>
      <c r="L756" t="str">
        <f>IF(K756&gt;0,K756*16,)</f>
        <v>#REF!</v>
      </c>
      <c r="M756" t="str">
        <f>IF(K756&gt;0,K756*0.453592,IF(L756&gt;0,L756*0.02835,))</f>
        <v>#REF!</v>
      </c>
      <c r="P756">
        <f>J756+O756+N756</f>
        <v>0</v>
      </c>
      <c r="Q756">
        <f>P756*C$3</f>
        <v>0</v>
      </c>
      <c r="R756">
        <v>0</v>
      </c>
      <c r="S756">
        <f>ROUND(SUM(Q756:R756), -2)</f>
        <v>0</v>
      </c>
      <c r="T756" t="str">
        <f>ROUNDUP(HLOOKUP(ROUNDUP(K756,0),'배송비 조회'!A$10:AE$22,7,0)*C$3,-2)</f>
        <v>#REF!</v>
      </c>
      <c r="U756">
        <v>0</v>
      </c>
      <c r="V756" t="str">
        <f>ROUND(IF(R752&gt;0,0,(S756+T756)*0.3),-2)</f>
        <v>#REF!</v>
      </c>
      <c r="W756" t="str">
        <f>ROUND(IF(R752&gt;0,0,(S756+T756)*0.5),-2)</f>
        <v>#REF!</v>
      </c>
      <c r="X756" t="str">
        <f>SUM(S756:V756)</f>
        <v>#REF!</v>
      </c>
      <c r="Y756" t="str">
        <f>SUM(S756:U756)+W756</f>
        <v>#REF!</v>
      </c>
      <c r="Z756">
        <v>0</v>
      </c>
      <c r="AA756" t="str">
        <f>X756*0.038</f>
        <v>#REF!</v>
      </c>
      <c r="AB756" t="str">
        <f>X756*0.02</f>
        <v>#REF!</v>
      </c>
      <c r="AC756" t="str">
        <f>Y756*0.1</f>
        <v>#REF!</v>
      </c>
      <c r="AD756" t="str">
        <f>X756-AA756-AB756</f>
        <v>#REF!</v>
      </c>
      <c r="AE756" t="str">
        <f>Y756-AC756</f>
        <v>#REF!</v>
      </c>
      <c r="AF756" t="str">
        <f>AD756*0.01</f>
        <v>#REF!</v>
      </c>
      <c r="AG756" t="str">
        <f>AD756-Q756-AF756-T756</f>
        <v>#REF!</v>
      </c>
      <c r="AH756" t="str">
        <f>AE756-Q756-AF756-T756</f>
        <v>#REF!</v>
      </c>
      <c r="AI756" t="str">
        <f>AG756/X756</f>
        <v>#REF!</v>
      </c>
      <c r="AJ756" t="str">
        <f>AH756/Y756</f>
        <v>#REF!</v>
      </c>
    </row>
    <row r="757">
      <c r="G757" t="str">
        <v>A</v>
      </c>
      <c r="K757" t="str">
        <f>IF(L757&gt;0,L757*0.0625,)</f>
        <v>#REF!</v>
      </c>
      <c r="L757" t="str">
        <f>IF(K757&gt;0,K757*16,)</f>
        <v>#REF!</v>
      </c>
      <c r="M757" t="str">
        <f>IF(K757&gt;0,K757*0.453592,IF(L757&gt;0,L757*0.02835,))</f>
        <v>#REF!</v>
      </c>
      <c r="P757">
        <f>J757+O757+N757</f>
        <v>0</v>
      </c>
      <c r="Q757">
        <f>P757*C$3</f>
        <v>0</v>
      </c>
      <c r="R757">
        <v>0</v>
      </c>
      <c r="S757">
        <f>ROUND(SUM(Q757:R757), -2)</f>
        <v>0</v>
      </c>
      <c r="T757" t="str">
        <f>ROUNDUP(HLOOKUP(ROUNDUP(K757,0),'배송비 조회'!A$10:AE$22,7,0)*C$3,-2)</f>
        <v>#REF!</v>
      </c>
      <c r="U757">
        <v>0</v>
      </c>
      <c r="V757" t="str">
        <f>ROUND(IF(R753&gt;0,0,(S757+T757)*0.3),-2)</f>
        <v>#REF!</v>
      </c>
      <c r="W757" t="str">
        <f>ROUND(IF(R753&gt;0,0,(S757+T757)*0.5),-2)</f>
        <v>#REF!</v>
      </c>
      <c r="X757" t="str">
        <f>SUM(S757:V757)</f>
        <v>#REF!</v>
      </c>
      <c r="Y757" t="str">
        <f>SUM(S757:U757)+W757</f>
        <v>#REF!</v>
      </c>
      <c r="Z757">
        <v>0</v>
      </c>
      <c r="AA757" t="str">
        <f>X757*0.038</f>
        <v>#REF!</v>
      </c>
      <c r="AB757" t="str">
        <f>X757*0.02</f>
        <v>#REF!</v>
      </c>
      <c r="AC757" t="str">
        <f>Y757*0.1</f>
        <v>#REF!</v>
      </c>
      <c r="AD757" t="str">
        <f>X757-AA757-AB757</f>
        <v>#REF!</v>
      </c>
      <c r="AE757" t="str">
        <f>Y757-AC757</f>
        <v>#REF!</v>
      </c>
      <c r="AF757" t="str">
        <f>AD757*0.01</f>
        <v>#REF!</v>
      </c>
      <c r="AG757" t="str">
        <f>AD757-Q757-AF757-T757</f>
        <v>#REF!</v>
      </c>
      <c r="AH757" t="str">
        <f>AE757-Q757-AF757-T757</f>
        <v>#REF!</v>
      </c>
      <c r="AI757" t="str">
        <f>AG757/X757</f>
        <v>#REF!</v>
      </c>
      <c r="AJ757" t="str">
        <f>AH757/Y757</f>
        <v>#REF!</v>
      </c>
    </row>
    <row r="758">
      <c r="G758" t="str">
        <v>A</v>
      </c>
      <c r="K758" t="str">
        <f>IF(L758&gt;0,L758*0.0625,)</f>
        <v>#REF!</v>
      </c>
      <c r="L758" t="str">
        <f>IF(K758&gt;0,K758*16,)</f>
        <v>#REF!</v>
      </c>
      <c r="M758" t="str">
        <f>IF(K758&gt;0,K758*0.453592,IF(L758&gt;0,L758*0.02835,))</f>
        <v>#REF!</v>
      </c>
      <c r="P758">
        <f>J758+O758+N758</f>
        <v>0</v>
      </c>
      <c r="Q758">
        <f>P758*C$3</f>
        <v>0</v>
      </c>
      <c r="R758">
        <v>0</v>
      </c>
      <c r="S758">
        <f>ROUND(SUM(Q758:R758), -2)</f>
        <v>0</v>
      </c>
      <c r="T758" t="str">
        <f>ROUNDUP(HLOOKUP(ROUNDUP(K758,0),'배송비 조회'!A$10:AE$22,7,0)*C$3,-2)</f>
        <v>#REF!</v>
      </c>
      <c r="U758">
        <v>0</v>
      </c>
      <c r="V758" t="str">
        <f>ROUND(IF(R754&gt;0,0,(S758+T758)*0.3),-2)</f>
        <v>#REF!</v>
      </c>
      <c r="W758" t="str">
        <f>ROUND(IF(R754&gt;0,0,(S758+T758)*0.5),-2)</f>
        <v>#REF!</v>
      </c>
      <c r="X758" t="str">
        <f>SUM(S758:V758)</f>
        <v>#REF!</v>
      </c>
      <c r="Y758" t="str">
        <f>SUM(S758:U758)+W758</f>
        <v>#REF!</v>
      </c>
      <c r="Z758">
        <v>0</v>
      </c>
      <c r="AA758" t="str">
        <f>X758*0.038</f>
        <v>#REF!</v>
      </c>
      <c r="AB758" t="str">
        <f>X758*0.02</f>
        <v>#REF!</v>
      </c>
      <c r="AC758" t="str">
        <f>Y758*0.1</f>
        <v>#REF!</v>
      </c>
      <c r="AD758" t="str">
        <f>X758-AA758-AB758</f>
        <v>#REF!</v>
      </c>
      <c r="AE758" t="str">
        <f>Y758-AC758</f>
        <v>#REF!</v>
      </c>
      <c r="AF758" t="str">
        <f>AD758*0.01</f>
        <v>#REF!</v>
      </c>
      <c r="AG758" t="str">
        <f>AD758-Q758-AF758-T758</f>
        <v>#REF!</v>
      </c>
      <c r="AH758" t="str">
        <f>AE758-Q758-AF758-T758</f>
        <v>#REF!</v>
      </c>
      <c r="AI758" t="str">
        <f>AG758/X758</f>
        <v>#REF!</v>
      </c>
      <c r="AJ758" t="str">
        <f>AH758/Y758</f>
        <v>#REF!</v>
      </c>
    </row>
    <row r="759">
      <c r="G759" t="str">
        <v>A</v>
      </c>
      <c r="K759" t="str">
        <f>IF(L759&gt;0,L759*0.0625,)</f>
        <v>#REF!</v>
      </c>
      <c r="L759" t="str">
        <f>IF(K759&gt;0,K759*16,)</f>
        <v>#REF!</v>
      </c>
      <c r="M759" t="str">
        <f>IF(K759&gt;0,K759*0.453592,IF(L759&gt;0,L759*0.02835,))</f>
        <v>#REF!</v>
      </c>
      <c r="P759">
        <f>J759+O759+N759</f>
        <v>0</v>
      </c>
      <c r="Q759">
        <f>P759*C$3</f>
        <v>0</v>
      </c>
      <c r="R759">
        <v>0</v>
      </c>
      <c r="S759">
        <f>ROUND(SUM(Q759:R759), -2)</f>
        <v>0</v>
      </c>
      <c r="T759" t="str">
        <f>ROUNDUP(HLOOKUP(ROUNDUP(K759,0),'배송비 조회'!A$10:AE$22,7,0)*C$3,-2)</f>
        <v>#REF!</v>
      </c>
      <c r="U759">
        <v>0</v>
      </c>
      <c r="V759" t="str">
        <f>ROUND(IF(R755&gt;0,0,(S759+T759)*0.3),-2)</f>
        <v>#REF!</v>
      </c>
      <c r="W759" t="str">
        <f>ROUND(IF(R755&gt;0,0,(S759+T759)*0.5),-2)</f>
        <v>#REF!</v>
      </c>
      <c r="X759" t="str">
        <f>SUM(S759:V759)</f>
        <v>#REF!</v>
      </c>
      <c r="Y759" t="str">
        <f>SUM(S759:U759)+W759</f>
        <v>#REF!</v>
      </c>
      <c r="Z759">
        <v>0</v>
      </c>
      <c r="AA759" t="str">
        <f>X759*0.038</f>
        <v>#REF!</v>
      </c>
      <c r="AB759" t="str">
        <f>X759*0.02</f>
        <v>#REF!</v>
      </c>
      <c r="AC759" t="str">
        <f>Y759*0.1</f>
        <v>#REF!</v>
      </c>
      <c r="AD759" t="str">
        <f>X759-AA759-AB759</f>
        <v>#REF!</v>
      </c>
      <c r="AE759" t="str">
        <f>Y759-AC759</f>
        <v>#REF!</v>
      </c>
      <c r="AF759" t="str">
        <f>AD759*0.01</f>
        <v>#REF!</v>
      </c>
      <c r="AG759" t="str">
        <f>AD759-Q759-AF759-T759</f>
        <v>#REF!</v>
      </c>
      <c r="AH759" t="str">
        <f>AE759-Q759-AF759-T759</f>
        <v>#REF!</v>
      </c>
      <c r="AI759" t="str">
        <f>AG759/X759</f>
        <v>#REF!</v>
      </c>
      <c r="AJ759" t="str">
        <f>AH759/Y759</f>
        <v>#REF!</v>
      </c>
    </row>
    <row r="760">
      <c r="G760" t="str">
        <v>A</v>
      </c>
      <c r="K760" t="str">
        <f>IF(L760&gt;0,L760*0.0625,)</f>
        <v>#REF!</v>
      </c>
      <c r="L760" t="str">
        <f>IF(K760&gt;0,K760*16,)</f>
        <v>#REF!</v>
      </c>
      <c r="M760" t="str">
        <f>IF(K760&gt;0,K760*0.453592,IF(L760&gt;0,L760*0.02835,))</f>
        <v>#REF!</v>
      </c>
      <c r="P760">
        <f>J760+O760+N760</f>
        <v>0</v>
      </c>
      <c r="Q760">
        <f>P760*C$3</f>
        <v>0</v>
      </c>
      <c r="R760">
        <v>0</v>
      </c>
      <c r="S760">
        <f>ROUND(SUM(Q760:R760), -2)</f>
        <v>0</v>
      </c>
      <c r="T760" t="str">
        <f>ROUNDUP(HLOOKUP(ROUNDUP(K760,0),'배송비 조회'!A$10:AE$22,7,0)*C$3,-2)</f>
        <v>#REF!</v>
      </c>
      <c r="U760">
        <v>0</v>
      </c>
      <c r="V760" t="str">
        <f>ROUND(IF(R756&gt;0,0,(S760+T760)*0.3),-2)</f>
        <v>#REF!</v>
      </c>
      <c r="W760" t="str">
        <f>ROUND(IF(R756&gt;0,0,(S760+T760)*0.5),-2)</f>
        <v>#REF!</v>
      </c>
      <c r="X760" t="str">
        <f>SUM(S760:V760)</f>
        <v>#REF!</v>
      </c>
      <c r="Y760" t="str">
        <f>SUM(S760:U760)+W760</f>
        <v>#REF!</v>
      </c>
      <c r="Z760">
        <v>0</v>
      </c>
      <c r="AA760" t="str">
        <f>X760*0.038</f>
        <v>#REF!</v>
      </c>
      <c r="AB760" t="str">
        <f>X760*0.02</f>
        <v>#REF!</v>
      </c>
      <c r="AC760" t="str">
        <f>Y760*0.1</f>
        <v>#REF!</v>
      </c>
      <c r="AD760" t="str">
        <f>X760-AA760-AB760</f>
        <v>#REF!</v>
      </c>
      <c r="AE760" t="str">
        <f>Y760-AC760</f>
        <v>#REF!</v>
      </c>
      <c r="AF760" t="str">
        <f>AD760*0.01</f>
        <v>#REF!</v>
      </c>
      <c r="AG760" t="str">
        <f>AD760-Q760-AF760-T760</f>
        <v>#REF!</v>
      </c>
      <c r="AH760" t="str">
        <f>AE760-Q760-AF760-T760</f>
        <v>#REF!</v>
      </c>
      <c r="AI760" t="str">
        <f>AG760/X760</f>
        <v>#REF!</v>
      </c>
      <c r="AJ760" t="str">
        <f>AH760/Y760</f>
        <v>#REF!</v>
      </c>
    </row>
    <row r="761">
      <c r="G761" t="str">
        <v>A</v>
      </c>
      <c r="K761" t="str">
        <f>IF(L761&gt;0,L761*0.0625,)</f>
        <v>#REF!</v>
      </c>
      <c r="L761" t="str">
        <f>IF(K761&gt;0,K761*16,)</f>
        <v>#REF!</v>
      </c>
      <c r="M761" t="str">
        <f>IF(K761&gt;0,K761*0.453592,IF(L761&gt;0,L761*0.02835,))</f>
        <v>#REF!</v>
      </c>
      <c r="P761">
        <f>J761+O761+N761</f>
        <v>0</v>
      </c>
      <c r="Q761">
        <f>P761*C$3</f>
        <v>0</v>
      </c>
      <c r="R761">
        <v>0</v>
      </c>
      <c r="S761">
        <f>ROUND(SUM(Q761:R761), -2)</f>
        <v>0</v>
      </c>
      <c r="T761" t="str">
        <f>ROUNDUP(HLOOKUP(ROUNDUP(K761,0),'배송비 조회'!A$10:AE$22,7,0)*C$3,-2)</f>
        <v>#REF!</v>
      </c>
      <c r="U761">
        <v>0</v>
      </c>
      <c r="V761" t="str">
        <f>ROUND(IF(R757&gt;0,0,(S761+T761)*0.3),-2)</f>
        <v>#REF!</v>
      </c>
      <c r="W761" t="str">
        <f>ROUND(IF(R757&gt;0,0,(S761+T761)*0.5),-2)</f>
        <v>#REF!</v>
      </c>
      <c r="X761" t="str">
        <f>SUM(S761:V761)</f>
        <v>#REF!</v>
      </c>
      <c r="Y761" t="str">
        <f>SUM(S761:U761)+W761</f>
        <v>#REF!</v>
      </c>
      <c r="Z761">
        <v>0</v>
      </c>
      <c r="AA761" t="str">
        <f>X761*0.038</f>
        <v>#REF!</v>
      </c>
      <c r="AB761" t="str">
        <f>X761*0.02</f>
        <v>#REF!</v>
      </c>
      <c r="AC761" t="str">
        <f>Y761*0.1</f>
        <v>#REF!</v>
      </c>
      <c r="AD761" t="str">
        <f>X761-AA761-AB761</f>
        <v>#REF!</v>
      </c>
      <c r="AE761" t="str">
        <f>Y761-AC761</f>
        <v>#REF!</v>
      </c>
      <c r="AF761" t="str">
        <f>AD761*0.01</f>
        <v>#REF!</v>
      </c>
      <c r="AG761" t="str">
        <f>AD761-Q761-AF761-T761</f>
        <v>#REF!</v>
      </c>
      <c r="AH761" t="str">
        <f>AE761-Q761-AF761-T761</f>
        <v>#REF!</v>
      </c>
      <c r="AI761" t="str">
        <f>AG761/X761</f>
        <v>#REF!</v>
      </c>
      <c r="AJ761" t="str">
        <f>AH761/Y761</f>
        <v>#REF!</v>
      </c>
    </row>
    <row r="762">
      <c r="G762" t="str">
        <v>A</v>
      </c>
      <c r="K762" t="str">
        <f>IF(L762&gt;0,L762*0.0625,)</f>
        <v>#REF!</v>
      </c>
      <c r="L762" t="str">
        <f>IF(K762&gt;0,K762*16,)</f>
        <v>#REF!</v>
      </c>
      <c r="M762" t="str">
        <f>IF(K762&gt;0,K762*0.453592,IF(L762&gt;0,L762*0.02835,))</f>
        <v>#REF!</v>
      </c>
      <c r="P762">
        <f>J762+O762+N762</f>
        <v>0</v>
      </c>
      <c r="Q762">
        <f>P762*C$3</f>
        <v>0</v>
      </c>
      <c r="R762">
        <v>0</v>
      </c>
      <c r="S762">
        <f>ROUND(SUM(Q762:R762), -2)</f>
        <v>0</v>
      </c>
      <c r="T762" t="str">
        <f>ROUNDUP(HLOOKUP(ROUNDUP(K762,0),'배송비 조회'!A$10:AE$22,7,0)*C$3,-2)</f>
        <v>#REF!</v>
      </c>
      <c r="U762">
        <v>0</v>
      </c>
      <c r="V762" t="str">
        <f>ROUND(IF(R758&gt;0,0,(S762+T762)*0.3),-2)</f>
        <v>#REF!</v>
      </c>
      <c r="W762" t="str">
        <f>ROUND(IF(R758&gt;0,0,(S762+T762)*0.5),-2)</f>
        <v>#REF!</v>
      </c>
      <c r="X762" t="str">
        <f>SUM(S762:V762)</f>
        <v>#REF!</v>
      </c>
      <c r="Y762" t="str">
        <f>SUM(S762:U762)+W762</f>
        <v>#REF!</v>
      </c>
      <c r="Z762">
        <v>0</v>
      </c>
      <c r="AA762" t="str">
        <f>X762*0.038</f>
        <v>#REF!</v>
      </c>
      <c r="AB762" t="str">
        <f>X762*0.02</f>
        <v>#REF!</v>
      </c>
      <c r="AC762" t="str">
        <f>Y762*0.1</f>
        <v>#REF!</v>
      </c>
      <c r="AD762" t="str">
        <f>X762-AA762-AB762</f>
        <v>#REF!</v>
      </c>
      <c r="AE762" t="str">
        <f>Y762-AC762</f>
        <v>#REF!</v>
      </c>
      <c r="AF762" t="str">
        <f>AD762*0.01</f>
        <v>#REF!</v>
      </c>
      <c r="AG762" t="str">
        <f>AD762-Q762-AF762-T762</f>
        <v>#REF!</v>
      </c>
      <c r="AH762" t="str">
        <f>AE762-Q762-AF762-T762</f>
        <v>#REF!</v>
      </c>
      <c r="AI762" t="str">
        <f>AG762/X762</f>
        <v>#REF!</v>
      </c>
      <c r="AJ762" t="str">
        <f>AH762/Y762</f>
        <v>#REF!</v>
      </c>
    </row>
    <row r="763">
      <c r="G763" t="str">
        <v>A</v>
      </c>
      <c r="K763" t="str">
        <f>IF(L763&gt;0,L763*0.0625,)</f>
        <v>#REF!</v>
      </c>
      <c r="L763" t="str">
        <f>IF(K763&gt;0,K763*16,)</f>
        <v>#REF!</v>
      </c>
      <c r="M763" t="str">
        <f>IF(K763&gt;0,K763*0.453592,IF(L763&gt;0,L763*0.02835,))</f>
        <v>#REF!</v>
      </c>
      <c r="P763">
        <f>J763+O763+N763</f>
        <v>0</v>
      </c>
      <c r="Q763">
        <f>P763*C$3</f>
        <v>0</v>
      </c>
      <c r="R763">
        <v>0</v>
      </c>
      <c r="S763">
        <f>ROUND(SUM(Q763:R763), -2)</f>
        <v>0</v>
      </c>
      <c r="T763" t="str">
        <f>ROUNDUP(HLOOKUP(ROUNDUP(K763,0),'배송비 조회'!A$10:AE$22,7,0)*C$3,-2)</f>
        <v>#REF!</v>
      </c>
      <c r="U763">
        <v>0</v>
      </c>
      <c r="V763" t="str">
        <f>ROUND(IF(R759&gt;0,0,(S763+T763)*0.3),-2)</f>
        <v>#REF!</v>
      </c>
      <c r="W763" t="str">
        <f>ROUND(IF(R759&gt;0,0,(S763+T763)*0.5),-2)</f>
        <v>#REF!</v>
      </c>
      <c r="X763" t="str">
        <f>SUM(S763:V763)</f>
        <v>#REF!</v>
      </c>
      <c r="Y763" t="str">
        <f>SUM(S763:U763)+W763</f>
        <v>#REF!</v>
      </c>
      <c r="Z763">
        <v>0</v>
      </c>
      <c r="AA763" t="str">
        <f>X763*0.038</f>
        <v>#REF!</v>
      </c>
      <c r="AB763" t="str">
        <f>X763*0.02</f>
        <v>#REF!</v>
      </c>
      <c r="AC763" t="str">
        <f>Y763*0.1</f>
        <v>#REF!</v>
      </c>
      <c r="AD763" t="str">
        <f>X763-AA763-AB763</f>
        <v>#REF!</v>
      </c>
      <c r="AE763" t="str">
        <f>Y763-AC763</f>
        <v>#REF!</v>
      </c>
      <c r="AF763" t="str">
        <f>AD763*0.01</f>
        <v>#REF!</v>
      </c>
      <c r="AG763" t="str">
        <f>AD763-Q763-AF763-T763</f>
        <v>#REF!</v>
      </c>
      <c r="AH763" t="str">
        <f>AE763-Q763-AF763-T763</f>
        <v>#REF!</v>
      </c>
      <c r="AI763" t="str">
        <f>AG763/X763</f>
        <v>#REF!</v>
      </c>
      <c r="AJ763" t="str">
        <f>AH763/Y763</f>
        <v>#REF!</v>
      </c>
    </row>
    <row r="764">
      <c r="G764" t="str">
        <v>A</v>
      </c>
      <c r="K764" t="str">
        <f>IF(L764&gt;0,L764*0.0625,)</f>
        <v>#REF!</v>
      </c>
      <c r="L764" t="str">
        <f>IF(K764&gt;0,K764*16,)</f>
        <v>#REF!</v>
      </c>
      <c r="M764" t="str">
        <f>IF(K764&gt;0,K764*0.453592,IF(L764&gt;0,L764*0.02835,))</f>
        <v>#REF!</v>
      </c>
      <c r="P764">
        <f>J764+O764+N764</f>
        <v>0</v>
      </c>
      <c r="Q764">
        <f>P764*C$3</f>
        <v>0</v>
      </c>
      <c r="R764">
        <v>0</v>
      </c>
      <c r="S764">
        <f>ROUND(SUM(Q764:R764), -2)</f>
        <v>0</v>
      </c>
      <c r="T764" t="str">
        <f>ROUNDUP(HLOOKUP(ROUNDUP(K764,0),'배송비 조회'!A$10:AE$22,7,0)*C$3,-2)</f>
        <v>#REF!</v>
      </c>
      <c r="U764">
        <v>0</v>
      </c>
      <c r="V764" t="str">
        <f>ROUND(IF(R760&gt;0,0,(S764+T764)*0.3),-2)</f>
        <v>#REF!</v>
      </c>
      <c r="W764" t="str">
        <f>ROUND(IF(R760&gt;0,0,(S764+T764)*0.5),-2)</f>
        <v>#REF!</v>
      </c>
      <c r="X764" t="str">
        <f>SUM(S764:V764)</f>
        <v>#REF!</v>
      </c>
      <c r="Y764" t="str">
        <f>SUM(S764:U764)+W764</f>
        <v>#REF!</v>
      </c>
      <c r="Z764">
        <v>0</v>
      </c>
      <c r="AA764" t="str">
        <f>X764*0.038</f>
        <v>#REF!</v>
      </c>
      <c r="AB764" t="str">
        <f>X764*0.02</f>
        <v>#REF!</v>
      </c>
      <c r="AC764" t="str">
        <f>Y764*0.1</f>
        <v>#REF!</v>
      </c>
      <c r="AD764" t="str">
        <f>X764-AA764-AB764</f>
        <v>#REF!</v>
      </c>
      <c r="AE764" t="str">
        <f>Y764-AC764</f>
        <v>#REF!</v>
      </c>
      <c r="AF764" t="str">
        <f>AD764*0.01</f>
        <v>#REF!</v>
      </c>
      <c r="AG764" t="str">
        <f>AD764-Q764-AF764-T764</f>
        <v>#REF!</v>
      </c>
      <c r="AH764" t="str">
        <f>AE764-Q764-AF764-T764</f>
        <v>#REF!</v>
      </c>
      <c r="AI764" t="str">
        <f>AG764/X764</f>
        <v>#REF!</v>
      </c>
      <c r="AJ764" t="str">
        <f>AH764/Y764</f>
        <v>#REF!</v>
      </c>
    </row>
    <row r="765">
      <c r="G765" t="str">
        <v>A</v>
      </c>
      <c r="K765" t="str">
        <f>IF(L765&gt;0,L765*0.0625,)</f>
        <v>#REF!</v>
      </c>
      <c r="L765" t="str">
        <f>IF(K765&gt;0,K765*16,)</f>
        <v>#REF!</v>
      </c>
      <c r="M765" t="str">
        <f>IF(K765&gt;0,K765*0.453592,IF(L765&gt;0,L765*0.02835,))</f>
        <v>#REF!</v>
      </c>
      <c r="P765">
        <f>J765+O765+N765</f>
        <v>0</v>
      </c>
      <c r="Q765">
        <f>P765*C$3</f>
        <v>0</v>
      </c>
      <c r="R765">
        <v>0</v>
      </c>
      <c r="S765">
        <f>ROUND(SUM(Q765:R765), -2)</f>
        <v>0</v>
      </c>
      <c r="T765" t="str">
        <f>ROUNDUP(HLOOKUP(ROUNDUP(K765,0),'배송비 조회'!A$10:AE$22,7,0)*C$3,-2)</f>
        <v>#REF!</v>
      </c>
      <c r="U765">
        <v>0</v>
      </c>
      <c r="V765" t="str">
        <f>ROUND(IF(R761&gt;0,0,(S765+T765)*0.3),-2)</f>
        <v>#REF!</v>
      </c>
      <c r="W765" t="str">
        <f>ROUND(IF(R761&gt;0,0,(S765+T765)*0.5),-2)</f>
        <v>#REF!</v>
      </c>
      <c r="X765" t="str">
        <f>SUM(S765:V765)</f>
        <v>#REF!</v>
      </c>
      <c r="Y765" t="str">
        <f>SUM(S765:U765)+W765</f>
        <v>#REF!</v>
      </c>
      <c r="Z765">
        <v>0</v>
      </c>
      <c r="AA765" t="str">
        <f>X765*0.038</f>
        <v>#REF!</v>
      </c>
      <c r="AB765" t="str">
        <f>X765*0.02</f>
        <v>#REF!</v>
      </c>
      <c r="AC765" t="str">
        <f>Y765*0.1</f>
        <v>#REF!</v>
      </c>
      <c r="AD765" t="str">
        <f>X765-AA765-AB765</f>
        <v>#REF!</v>
      </c>
      <c r="AE765" t="str">
        <f>Y765-AC765</f>
        <v>#REF!</v>
      </c>
      <c r="AF765" t="str">
        <f>AD765*0.01</f>
        <v>#REF!</v>
      </c>
      <c r="AG765" t="str">
        <f>AD765-Q765-AF765-T765</f>
        <v>#REF!</v>
      </c>
      <c r="AH765" t="str">
        <f>AE765-Q765-AF765-T765</f>
        <v>#REF!</v>
      </c>
      <c r="AI765" t="str">
        <f>AG765/X765</f>
        <v>#REF!</v>
      </c>
      <c r="AJ765" t="str">
        <f>AH765/Y765</f>
        <v>#REF!</v>
      </c>
    </row>
    <row r="766">
      <c r="G766" t="str">
        <v>A</v>
      </c>
      <c r="K766" t="str">
        <f>IF(L766&gt;0,L766*0.0625,)</f>
        <v>#REF!</v>
      </c>
      <c r="L766" t="str">
        <f>IF(K766&gt;0,K766*16,)</f>
        <v>#REF!</v>
      </c>
      <c r="M766" t="str">
        <f>IF(K766&gt;0,K766*0.453592,IF(L766&gt;0,L766*0.02835,))</f>
        <v>#REF!</v>
      </c>
      <c r="P766">
        <f>J766+O766+N766</f>
        <v>0</v>
      </c>
      <c r="Q766">
        <f>P766*C$3</f>
        <v>0</v>
      </c>
      <c r="R766">
        <v>0</v>
      </c>
      <c r="S766">
        <f>ROUND(SUM(Q766:R766), -2)</f>
        <v>0</v>
      </c>
      <c r="T766" t="str">
        <f>ROUNDUP(HLOOKUP(ROUNDUP(K766,0),'배송비 조회'!A$10:AE$22,7,0)*C$3,-2)</f>
        <v>#REF!</v>
      </c>
      <c r="U766">
        <v>0</v>
      </c>
      <c r="V766" t="str">
        <f>ROUND(IF(R762&gt;0,0,(S766+T766)*0.3),-2)</f>
        <v>#REF!</v>
      </c>
      <c r="W766" t="str">
        <f>ROUND(IF(R762&gt;0,0,(S766+T766)*0.5),-2)</f>
        <v>#REF!</v>
      </c>
      <c r="X766" t="str">
        <f>SUM(S766:V766)</f>
        <v>#REF!</v>
      </c>
      <c r="Y766" t="str">
        <f>SUM(S766:U766)+W766</f>
        <v>#REF!</v>
      </c>
      <c r="Z766">
        <v>0</v>
      </c>
      <c r="AA766" t="str">
        <f>X766*0.038</f>
        <v>#REF!</v>
      </c>
      <c r="AB766" t="str">
        <f>X766*0.02</f>
        <v>#REF!</v>
      </c>
      <c r="AC766" t="str">
        <f>Y766*0.1</f>
        <v>#REF!</v>
      </c>
      <c r="AD766" t="str">
        <f>X766-AA766-AB766</f>
        <v>#REF!</v>
      </c>
      <c r="AE766" t="str">
        <f>Y766-AC766</f>
        <v>#REF!</v>
      </c>
      <c r="AF766" t="str">
        <f>AD766*0.01</f>
        <v>#REF!</v>
      </c>
      <c r="AG766" t="str">
        <f>AD766-Q766-AF766-T766</f>
        <v>#REF!</v>
      </c>
      <c r="AH766" t="str">
        <f>AE766-Q766-AF766-T766</f>
        <v>#REF!</v>
      </c>
      <c r="AI766" t="str">
        <f>AG766/X766</f>
        <v>#REF!</v>
      </c>
      <c r="AJ766" t="str">
        <f>AH766/Y766</f>
        <v>#REF!</v>
      </c>
    </row>
    <row r="767">
      <c r="G767" t="str">
        <v>A</v>
      </c>
      <c r="K767" t="str">
        <f>IF(L767&gt;0,L767*0.0625,)</f>
        <v>#REF!</v>
      </c>
      <c r="L767" t="str">
        <f>IF(K767&gt;0,K767*16,)</f>
        <v>#REF!</v>
      </c>
      <c r="M767" t="str">
        <f>IF(K767&gt;0,K767*0.453592,IF(L767&gt;0,L767*0.02835,))</f>
        <v>#REF!</v>
      </c>
      <c r="P767">
        <f>J767+O767+N767</f>
        <v>0</v>
      </c>
      <c r="Q767">
        <f>P767*C$3</f>
        <v>0</v>
      </c>
      <c r="R767">
        <v>0</v>
      </c>
      <c r="S767">
        <f>ROUND(SUM(Q767:R767), -2)</f>
        <v>0</v>
      </c>
      <c r="T767" t="str">
        <f>ROUNDUP(HLOOKUP(ROUNDUP(K767,0),'배송비 조회'!A$10:AE$22,7,0)*C$3,-2)</f>
        <v>#REF!</v>
      </c>
      <c r="U767">
        <v>0</v>
      </c>
      <c r="V767" t="str">
        <f>ROUND(IF(R763&gt;0,0,(S767+T767)*0.3),-2)</f>
        <v>#REF!</v>
      </c>
      <c r="W767" t="str">
        <f>ROUND(IF(R763&gt;0,0,(S767+T767)*0.5),-2)</f>
        <v>#REF!</v>
      </c>
      <c r="X767" t="str">
        <f>SUM(S767:V767)</f>
        <v>#REF!</v>
      </c>
      <c r="Y767" t="str">
        <f>SUM(S767:U767)+W767</f>
        <v>#REF!</v>
      </c>
      <c r="Z767">
        <v>0</v>
      </c>
      <c r="AA767" t="str">
        <f>X767*0.038</f>
        <v>#REF!</v>
      </c>
      <c r="AB767" t="str">
        <f>X767*0.02</f>
        <v>#REF!</v>
      </c>
      <c r="AC767" t="str">
        <f>Y767*0.1</f>
        <v>#REF!</v>
      </c>
      <c r="AD767" t="str">
        <f>X767-AA767-AB767</f>
        <v>#REF!</v>
      </c>
      <c r="AE767" t="str">
        <f>Y767-AC767</f>
        <v>#REF!</v>
      </c>
      <c r="AF767" t="str">
        <f>AD767*0.01</f>
        <v>#REF!</v>
      </c>
      <c r="AG767" t="str">
        <f>AD767-Q767-AF767-T767</f>
        <v>#REF!</v>
      </c>
      <c r="AH767" t="str">
        <f>AE767-Q767-AF767-T767</f>
        <v>#REF!</v>
      </c>
      <c r="AI767" t="str">
        <f>AG767/X767</f>
        <v>#REF!</v>
      </c>
      <c r="AJ767" t="str">
        <f>AH767/Y767</f>
        <v>#REF!</v>
      </c>
    </row>
    <row r="768">
      <c r="G768" t="str">
        <v>A</v>
      </c>
      <c r="K768" t="str">
        <f>IF(L768&gt;0,L768*0.0625,)</f>
        <v>#REF!</v>
      </c>
      <c r="L768" t="str">
        <f>IF(K768&gt;0,K768*16,)</f>
        <v>#REF!</v>
      </c>
      <c r="M768" t="str">
        <f>IF(K768&gt;0,K768*0.453592,IF(L768&gt;0,L768*0.02835,))</f>
        <v>#REF!</v>
      </c>
      <c r="P768">
        <f>J768+O768+N768</f>
        <v>0</v>
      </c>
      <c r="Q768">
        <f>P768*C$3</f>
        <v>0</v>
      </c>
      <c r="R768">
        <v>0</v>
      </c>
      <c r="S768">
        <f>ROUND(SUM(Q768:R768), -2)</f>
        <v>0</v>
      </c>
      <c r="T768" t="str">
        <f>ROUNDUP(HLOOKUP(ROUNDUP(K768,0),'배송비 조회'!A$10:AE$22,7,0)*C$3,-2)</f>
        <v>#REF!</v>
      </c>
      <c r="U768">
        <v>0</v>
      </c>
      <c r="V768" t="str">
        <f>ROUND(IF(R764&gt;0,0,(S768+T768)*0.3),-2)</f>
        <v>#REF!</v>
      </c>
      <c r="W768" t="str">
        <f>ROUND(IF(R764&gt;0,0,(S768+T768)*0.5),-2)</f>
        <v>#REF!</v>
      </c>
      <c r="X768" t="str">
        <f>SUM(S768:V768)</f>
        <v>#REF!</v>
      </c>
      <c r="Y768" t="str">
        <f>SUM(S768:U768)+W768</f>
        <v>#REF!</v>
      </c>
      <c r="Z768">
        <v>0</v>
      </c>
      <c r="AA768" t="str">
        <f>X768*0.038</f>
        <v>#REF!</v>
      </c>
      <c r="AB768" t="str">
        <f>X768*0.02</f>
        <v>#REF!</v>
      </c>
      <c r="AC768" t="str">
        <f>Y768*0.1</f>
        <v>#REF!</v>
      </c>
      <c r="AD768" t="str">
        <f>X768-AA768-AB768</f>
        <v>#REF!</v>
      </c>
      <c r="AE768" t="str">
        <f>Y768-AC768</f>
        <v>#REF!</v>
      </c>
      <c r="AF768" t="str">
        <f>AD768*0.01</f>
        <v>#REF!</v>
      </c>
      <c r="AG768" t="str">
        <f>AD768-Q768-AF768-T768</f>
        <v>#REF!</v>
      </c>
      <c r="AH768" t="str">
        <f>AE768-Q768-AF768-T768</f>
        <v>#REF!</v>
      </c>
      <c r="AI768" t="str">
        <f>AG768/X768</f>
        <v>#REF!</v>
      </c>
      <c r="AJ768" t="str">
        <f>AH768/Y768</f>
        <v>#REF!</v>
      </c>
    </row>
    <row r="769">
      <c r="G769" t="str">
        <v>A</v>
      </c>
      <c r="K769" t="str">
        <f>IF(L769&gt;0,L769*0.0625,)</f>
        <v>#REF!</v>
      </c>
      <c r="L769" t="str">
        <f>IF(K769&gt;0,K769*16,)</f>
        <v>#REF!</v>
      </c>
      <c r="M769" t="str">
        <f>IF(K769&gt;0,K769*0.453592,IF(L769&gt;0,L769*0.02835,))</f>
        <v>#REF!</v>
      </c>
      <c r="P769">
        <f>J769+O769+N769</f>
        <v>0</v>
      </c>
      <c r="Q769">
        <f>P769*C$3</f>
        <v>0</v>
      </c>
      <c r="R769">
        <v>0</v>
      </c>
      <c r="S769">
        <f>ROUND(SUM(Q769:R769), -2)</f>
        <v>0</v>
      </c>
      <c r="T769" t="str">
        <f>ROUNDUP(HLOOKUP(ROUNDUP(K769,0),'배송비 조회'!A$10:AE$22,7,0)*C$3,-2)</f>
        <v>#REF!</v>
      </c>
      <c r="U769">
        <v>0</v>
      </c>
      <c r="V769" t="str">
        <f>ROUND(IF(R765&gt;0,0,(S769+T769)*0.3),-2)</f>
        <v>#REF!</v>
      </c>
      <c r="W769" t="str">
        <f>ROUND(IF(R765&gt;0,0,(S769+T769)*0.5),-2)</f>
        <v>#REF!</v>
      </c>
      <c r="X769" t="str">
        <f>SUM(S769:V769)</f>
        <v>#REF!</v>
      </c>
      <c r="Y769" t="str">
        <f>SUM(S769:U769)+W769</f>
        <v>#REF!</v>
      </c>
      <c r="Z769">
        <v>0</v>
      </c>
      <c r="AA769" t="str">
        <f>X769*0.038</f>
        <v>#REF!</v>
      </c>
      <c r="AB769" t="str">
        <f>X769*0.02</f>
        <v>#REF!</v>
      </c>
      <c r="AC769" t="str">
        <f>Y769*0.1</f>
        <v>#REF!</v>
      </c>
      <c r="AD769" t="str">
        <f>X769-AA769-AB769</f>
        <v>#REF!</v>
      </c>
      <c r="AE769" t="str">
        <f>Y769-AC769</f>
        <v>#REF!</v>
      </c>
      <c r="AF769" t="str">
        <f>AD769*0.01</f>
        <v>#REF!</v>
      </c>
      <c r="AG769" t="str">
        <f>AD769-Q769-AF769-T769</f>
        <v>#REF!</v>
      </c>
      <c r="AH769" t="str">
        <f>AE769-Q769-AF769-T769</f>
        <v>#REF!</v>
      </c>
      <c r="AI769" t="str">
        <f>AG769/X769</f>
        <v>#REF!</v>
      </c>
      <c r="AJ769" t="str">
        <f>AH769/Y769</f>
        <v>#REF!</v>
      </c>
    </row>
    <row r="770">
      <c r="G770" t="str">
        <v>A</v>
      </c>
      <c r="K770" t="str">
        <f>IF(L770&gt;0,L770*0.0625,)</f>
        <v>#REF!</v>
      </c>
      <c r="L770" t="str">
        <f>IF(K770&gt;0,K770*16,)</f>
        <v>#REF!</v>
      </c>
      <c r="M770" t="str">
        <f>IF(K770&gt;0,K770*0.453592,IF(L770&gt;0,L770*0.02835,))</f>
        <v>#REF!</v>
      </c>
      <c r="P770">
        <f>J770+O770+N770</f>
        <v>0</v>
      </c>
      <c r="Q770">
        <f>P770*C$3</f>
        <v>0</v>
      </c>
      <c r="R770">
        <v>0</v>
      </c>
      <c r="S770">
        <f>ROUND(SUM(Q770:R770), -2)</f>
        <v>0</v>
      </c>
      <c r="T770" t="str">
        <f>ROUNDUP(HLOOKUP(ROUNDUP(K770,0),'배송비 조회'!A$10:AE$22,7,0)*C$3,-2)</f>
        <v>#REF!</v>
      </c>
      <c r="U770">
        <v>0</v>
      </c>
      <c r="V770" t="str">
        <f>ROUND(IF(R766&gt;0,0,(S770+T770)*0.3),-2)</f>
        <v>#REF!</v>
      </c>
      <c r="W770" t="str">
        <f>ROUND(IF(R766&gt;0,0,(S770+T770)*0.5),-2)</f>
        <v>#REF!</v>
      </c>
      <c r="X770" t="str">
        <f>SUM(S770:V770)</f>
        <v>#REF!</v>
      </c>
      <c r="Y770" t="str">
        <f>SUM(S770:U770)+W770</f>
        <v>#REF!</v>
      </c>
      <c r="Z770">
        <v>0</v>
      </c>
      <c r="AA770" t="str">
        <f>X770*0.038</f>
        <v>#REF!</v>
      </c>
      <c r="AB770" t="str">
        <f>X770*0.02</f>
        <v>#REF!</v>
      </c>
      <c r="AC770" t="str">
        <f>Y770*0.1</f>
        <v>#REF!</v>
      </c>
      <c r="AD770" t="str">
        <f>X770-AA770-AB770</f>
        <v>#REF!</v>
      </c>
      <c r="AE770" t="str">
        <f>Y770-AC770</f>
        <v>#REF!</v>
      </c>
      <c r="AF770" t="str">
        <f>AD770*0.01</f>
        <v>#REF!</v>
      </c>
      <c r="AG770" t="str">
        <f>AD770-Q770-AF770-T770</f>
        <v>#REF!</v>
      </c>
      <c r="AH770" t="str">
        <f>AE770-Q770-AF770-T770</f>
        <v>#REF!</v>
      </c>
      <c r="AI770" t="str">
        <f>AG770/X770</f>
        <v>#REF!</v>
      </c>
      <c r="AJ770" t="str">
        <f>AH770/Y770</f>
        <v>#REF!</v>
      </c>
    </row>
    <row r="771">
      <c r="G771" t="str">
        <v>A</v>
      </c>
      <c r="K771" t="str">
        <f>IF(L771&gt;0,L771*0.0625,)</f>
        <v>#REF!</v>
      </c>
      <c r="L771" t="str">
        <f>IF(K771&gt;0,K771*16,)</f>
        <v>#REF!</v>
      </c>
      <c r="M771" t="str">
        <f>IF(K771&gt;0,K771*0.453592,IF(L771&gt;0,L771*0.02835,))</f>
        <v>#REF!</v>
      </c>
      <c r="P771">
        <f>J771+O771+N771</f>
        <v>0</v>
      </c>
      <c r="Q771">
        <f>P771*C$3</f>
        <v>0</v>
      </c>
      <c r="R771">
        <v>0</v>
      </c>
      <c r="S771">
        <f>ROUND(SUM(Q771:R771), -2)</f>
        <v>0</v>
      </c>
      <c r="T771" t="str">
        <f>ROUNDUP(HLOOKUP(ROUNDUP(K771,0),'배송비 조회'!A$10:AE$22,7,0)*C$3,-2)</f>
        <v>#REF!</v>
      </c>
      <c r="U771">
        <v>0</v>
      </c>
      <c r="V771" t="str">
        <f>ROUND(IF(R767&gt;0,0,(S771+T771)*0.3),-2)</f>
        <v>#REF!</v>
      </c>
      <c r="W771" t="str">
        <f>ROUND(IF(R767&gt;0,0,(S771+T771)*0.5),-2)</f>
        <v>#REF!</v>
      </c>
      <c r="X771" t="str">
        <f>SUM(S771:V771)</f>
        <v>#REF!</v>
      </c>
      <c r="Y771" t="str">
        <f>SUM(S771:U771)+W771</f>
        <v>#REF!</v>
      </c>
      <c r="Z771">
        <v>0</v>
      </c>
      <c r="AA771" t="str">
        <f>X771*0.038</f>
        <v>#REF!</v>
      </c>
      <c r="AB771" t="str">
        <f>X771*0.02</f>
        <v>#REF!</v>
      </c>
      <c r="AC771" t="str">
        <f>Y771*0.1</f>
        <v>#REF!</v>
      </c>
      <c r="AD771" t="str">
        <f>X771-AA771-AB771</f>
        <v>#REF!</v>
      </c>
      <c r="AE771" t="str">
        <f>Y771-AC771</f>
        <v>#REF!</v>
      </c>
      <c r="AF771" t="str">
        <f>AD771*0.01</f>
        <v>#REF!</v>
      </c>
      <c r="AG771" t="str">
        <f>AD771-Q771-AF771-T771</f>
        <v>#REF!</v>
      </c>
      <c r="AH771" t="str">
        <f>AE771-Q771-AF771-T771</f>
        <v>#REF!</v>
      </c>
      <c r="AI771" t="str">
        <f>AG771/X771</f>
        <v>#REF!</v>
      </c>
      <c r="AJ771" t="str">
        <f>AH771/Y771</f>
        <v>#REF!</v>
      </c>
    </row>
    <row r="772">
      <c r="G772" t="str">
        <v>A</v>
      </c>
      <c r="K772" t="str">
        <f>IF(L772&gt;0,L772*0.0625,)</f>
        <v>#REF!</v>
      </c>
      <c r="L772" t="str">
        <f>IF(K772&gt;0,K772*16,)</f>
        <v>#REF!</v>
      </c>
      <c r="M772" t="str">
        <f>IF(K772&gt;0,K772*0.453592,IF(L772&gt;0,L772*0.02835,))</f>
        <v>#REF!</v>
      </c>
      <c r="P772">
        <f>J772+O772+N772</f>
        <v>0</v>
      </c>
      <c r="Q772">
        <f>P772*C$3</f>
        <v>0</v>
      </c>
      <c r="R772">
        <v>0</v>
      </c>
      <c r="S772">
        <f>ROUND(SUM(Q772:R772), -2)</f>
        <v>0</v>
      </c>
      <c r="T772" t="str">
        <f>ROUNDUP(HLOOKUP(ROUNDUP(K772,0),'배송비 조회'!A$10:AE$22,7,0)*C$3,-2)</f>
        <v>#REF!</v>
      </c>
      <c r="U772">
        <v>0</v>
      </c>
      <c r="V772" t="str">
        <f>ROUND(IF(R768&gt;0,0,(S772+T772)*0.3),-2)</f>
        <v>#REF!</v>
      </c>
      <c r="W772" t="str">
        <f>ROUND(IF(R768&gt;0,0,(S772+T772)*0.5),-2)</f>
        <v>#REF!</v>
      </c>
      <c r="X772" t="str">
        <f>SUM(S772:V772)</f>
        <v>#REF!</v>
      </c>
      <c r="Y772" t="str">
        <f>SUM(S772:U772)+W772</f>
        <v>#REF!</v>
      </c>
      <c r="Z772">
        <v>0</v>
      </c>
      <c r="AA772" t="str">
        <f>X772*0.038</f>
        <v>#REF!</v>
      </c>
      <c r="AB772" t="str">
        <f>X772*0.02</f>
        <v>#REF!</v>
      </c>
      <c r="AC772" t="str">
        <f>Y772*0.1</f>
        <v>#REF!</v>
      </c>
      <c r="AD772" t="str">
        <f>X772-AA772-AB772</f>
        <v>#REF!</v>
      </c>
      <c r="AE772" t="str">
        <f>Y772-AC772</f>
        <v>#REF!</v>
      </c>
      <c r="AF772" t="str">
        <f>AD772*0.01</f>
        <v>#REF!</v>
      </c>
      <c r="AG772" t="str">
        <f>AD772-Q772-AF772-T772</f>
        <v>#REF!</v>
      </c>
      <c r="AH772" t="str">
        <f>AE772-Q772-AF772-T772</f>
        <v>#REF!</v>
      </c>
      <c r="AI772" t="str">
        <f>AG772/X772</f>
        <v>#REF!</v>
      </c>
      <c r="AJ772" t="str">
        <f>AH772/Y772</f>
        <v>#REF!</v>
      </c>
    </row>
    <row r="773">
      <c r="G773" t="str">
        <v>A</v>
      </c>
      <c r="K773" t="str">
        <f>IF(L773&gt;0,L773*0.0625,)</f>
        <v>#REF!</v>
      </c>
      <c r="L773" t="str">
        <f>IF(K773&gt;0,K773*16,)</f>
        <v>#REF!</v>
      </c>
      <c r="M773" t="str">
        <f>IF(K773&gt;0,K773*0.453592,IF(L773&gt;0,L773*0.02835,))</f>
        <v>#REF!</v>
      </c>
      <c r="P773">
        <f>J773+O773+N773</f>
        <v>0</v>
      </c>
      <c r="Q773">
        <f>P773*C$3</f>
        <v>0</v>
      </c>
      <c r="R773">
        <v>0</v>
      </c>
      <c r="S773">
        <f>ROUND(SUM(Q773:R773), -2)</f>
        <v>0</v>
      </c>
      <c r="T773" t="str">
        <f>ROUNDUP(HLOOKUP(ROUNDUP(K773,0),'배송비 조회'!A$10:AE$22,7,0)*C$3,-2)</f>
        <v>#REF!</v>
      </c>
      <c r="U773">
        <v>0</v>
      </c>
      <c r="V773" t="str">
        <f>ROUND(IF(R769&gt;0,0,(S773+T773)*0.3),-2)</f>
        <v>#REF!</v>
      </c>
      <c r="W773" t="str">
        <f>ROUND(IF(R769&gt;0,0,(S773+T773)*0.5),-2)</f>
        <v>#REF!</v>
      </c>
      <c r="X773" t="str">
        <f>SUM(S773:V773)</f>
        <v>#REF!</v>
      </c>
      <c r="Y773" t="str">
        <f>SUM(S773:U773)+W773</f>
        <v>#REF!</v>
      </c>
      <c r="Z773">
        <v>0</v>
      </c>
      <c r="AA773" t="str">
        <f>X773*0.038</f>
        <v>#REF!</v>
      </c>
      <c r="AB773" t="str">
        <f>X773*0.02</f>
        <v>#REF!</v>
      </c>
      <c r="AC773" t="str">
        <f>Y773*0.1</f>
        <v>#REF!</v>
      </c>
      <c r="AD773" t="str">
        <f>X773-AA773-AB773</f>
        <v>#REF!</v>
      </c>
      <c r="AE773" t="str">
        <f>Y773-AC773</f>
        <v>#REF!</v>
      </c>
      <c r="AF773" t="str">
        <f>AD773*0.01</f>
        <v>#REF!</v>
      </c>
      <c r="AG773" t="str">
        <f>AD773-Q773-AF773-T773</f>
        <v>#REF!</v>
      </c>
      <c r="AH773" t="str">
        <f>AE773-Q773-AF773-T773</f>
        <v>#REF!</v>
      </c>
      <c r="AI773" t="str">
        <f>AG773/X773</f>
        <v>#REF!</v>
      </c>
      <c r="AJ773" t="str">
        <f>AH773/Y773</f>
        <v>#REF!</v>
      </c>
    </row>
    <row r="774">
      <c r="G774" t="str">
        <v>A</v>
      </c>
      <c r="K774" t="str">
        <f>IF(L774&gt;0,L774*0.0625,)</f>
        <v>#REF!</v>
      </c>
      <c r="L774" t="str">
        <f>IF(K774&gt;0,K774*16,)</f>
        <v>#REF!</v>
      </c>
      <c r="M774" t="str">
        <f>IF(K774&gt;0,K774*0.453592,IF(L774&gt;0,L774*0.02835,))</f>
        <v>#REF!</v>
      </c>
      <c r="P774">
        <f>J774+O774+N774</f>
        <v>0</v>
      </c>
      <c r="Q774">
        <f>P774*C$3</f>
        <v>0</v>
      </c>
      <c r="R774">
        <v>0</v>
      </c>
      <c r="S774">
        <f>ROUND(SUM(Q774:R774), -2)</f>
        <v>0</v>
      </c>
      <c r="T774" t="str">
        <f>ROUNDUP(HLOOKUP(ROUNDUP(K774,0),'배송비 조회'!A$10:AE$22,7,0)*C$3,-2)</f>
        <v>#REF!</v>
      </c>
      <c r="U774">
        <v>0</v>
      </c>
      <c r="V774" t="str">
        <f>ROUND(IF(R770&gt;0,0,(S774+T774)*0.3),-2)</f>
        <v>#REF!</v>
      </c>
      <c r="W774" t="str">
        <f>ROUND(IF(R770&gt;0,0,(S774+T774)*0.5),-2)</f>
        <v>#REF!</v>
      </c>
      <c r="X774" t="str">
        <f>SUM(S774:V774)</f>
        <v>#REF!</v>
      </c>
      <c r="Y774" t="str">
        <f>SUM(S774:U774)+W774</f>
        <v>#REF!</v>
      </c>
      <c r="Z774">
        <v>0</v>
      </c>
      <c r="AA774" t="str">
        <f>X774*0.038</f>
        <v>#REF!</v>
      </c>
      <c r="AB774" t="str">
        <f>X774*0.02</f>
        <v>#REF!</v>
      </c>
      <c r="AC774" t="str">
        <f>Y774*0.1</f>
        <v>#REF!</v>
      </c>
      <c r="AD774" t="str">
        <f>X774-AA774-AB774</f>
        <v>#REF!</v>
      </c>
      <c r="AE774" t="str">
        <f>Y774-AC774</f>
        <v>#REF!</v>
      </c>
      <c r="AF774" t="str">
        <f>AD774*0.01</f>
        <v>#REF!</v>
      </c>
      <c r="AG774" t="str">
        <f>AD774-Q774-AF774-T774</f>
        <v>#REF!</v>
      </c>
      <c r="AH774" t="str">
        <f>AE774-Q774-AF774-T774</f>
        <v>#REF!</v>
      </c>
      <c r="AI774" t="str">
        <f>AG774/X774</f>
        <v>#REF!</v>
      </c>
      <c r="AJ774" t="str">
        <f>AH774/Y774</f>
        <v>#REF!</v>
      </c>
    </row>
    <row r="775">
      <c r="G775" t="str">
        <v>A</v>
      </c>
      <c r="K775" t="str">
        <f>IF(L775&gt;0,L775*0.0625,)</f>
        <v>#REF!</v>
      </c>
      <c r="L775" t="str">
        <f>IF(K775&gt;0,K775*16,)</f>
        <v>#REF!</v>
      </c>
      <c r="M775" t="str">
        <f>IF(K775&gt;0,K775*0.453592,IF(L775&gt;0,L775*0.02835,))</f>
        <v>#REF!</v>
      </c>
      <c r="P775">
        <f>J775+O775+N775</f>
        <v>0</v>
      </c>
      <c r="Q775">
        <f>P775*C$3</f>
        <v>0</v>
      </c>
      <c r="R775">
        <v>0</v>
      </c>
      <c r="S775">
        <f>ROUND(SUM(Q775:R775), -2)</f>
        <v>0</v>
      </c>
      <c r="T775" t="str">
        <f>ROUNDUP(HLOOKUP(ROUNDUP(K775,0),'배송비 조회'!A$10:AE$22,7,0)*C$3,-2)</f>
        <v>#REF!</v>
      </c>
      <c r="U775">
        <v>0</v>
      </c>
      <c r="V775" t="str">
        <f>ROUND(IF(R771&gt;0,0,(S775+T775)*0.3),-2)</f>
        <v>#REF!</v>
      </c>
      <c r="W775" t="str">
        <f>ROUND(IF(R771&gt;0,0,(S775+T775)*0.5),-2)</f>
        <v>#REF!</v>
      </c>
      <c r="X775" t="str">
        <f>SUM(S775:V775)</f>
        <v>#REF!</v>
      </c>
      <c r="Y775" t="str">
        <f>SUM(S775:U775)+W775</f>
        <v>#REF!</v>
      </c>
      <c r="Z775">
        <v>0</v>
      </c>
      <c r="AA775" t="str">
        <f>X775*0.038</f>
        <v>#REF!</v>
      </c>
      <c r="AB775" t="str">
        <f>X775*0.02</f>
        <v>#REF!</v>
      </c>
      <c r="AC775" t="str">
        <f>Y775*0.1</f>
        <v>#REF!</v>
      </c>
      <c r="AD775" t="str">
        <f>X775-AA775-AB775</f>
        <v>#REF!</v>
      </c>
      <c r="AE775" t="str">
        <f>Y775-AC775</f>
        <v>#REF!</v>
      </c>
      <c r="AF775" t="str">
        <f>AD775*0.01</f>
        <v>#REF!</v>
      </c>
      <c r="AG775" t="str">
        <f>AD775-Q775-AF775-T775</f>
        <v>#REF!</v>
      </c>
      <c r="AH775" t="str">
        <f>AE775-Q775-AF775-T775</f>
        <v>#REF!</v>
      </c>
      <c r="AI775" t="str">
        <f>AG775/X775</f>
        <v>#REF!</v>
      </c>
      <c r="AJ775" t="str">
        <f>AH775/Y775</f>
        <v>#REF!</v>
      </c>
    </row>
    <row r="776">
      <c r="G776" t="str">
        <v>A</v>
      </c>
      <c r="K776" t="str">
        <f>IF(L776&gt;0,L776*0.0625,)</f>
        <v>#REF!</v>
      </c>
      <c r="L776" t="str">
        <f>IF(K776&gt;0,K776*16,)</f>
        <v>#REF!</v>
      </c>
      <c r="M776" t="str">
        <f>IF(K776&gt;0,K776*0.453592,IF(L776&gt;0,L776*0.02835,))</f>
        <v>#REF!</v>
      </c>
      <c r="P776">
        <f>J776+O776+N776</f>
        <v>0</v>
      </c>
      <c r="Q776">
        <f>P776*C$3</f>
        <v>0</v>
      </c>
      <c r="R776">
        <v>0</v>
      </c>
      <c r="S776">
        <f>ROUND(SUM(Q776:R776), -2)</f>
        <v>0</v>
      </c>
      <c r="T776" t="str">
        <f>ROUNDUP(HLOOKUP(ROUNDUP(K776,0),'배송비 조회'!A$10:AE$22,7,0)*C$3,-2)</f>
        <v>#REF!</v>
      </c>
      <c r="U776">
        <v>0</v>
      </c>
      <c r="V776" t="str">
        <f>ROUND(IF(R772&gt;0,0,(S776+T776)*0.3),-2)</f>
        <v>#REF!</v>
      </c>
      <c r="W776" t="str">
        <f>ROUND(IF(R772&gt;0,0,(S776+T776)*0.5),-2)</f>
        <v>#REF!</v>
      </c>
      <c r="X776" t="str">
        <f>SUM(S776:V776)</f>
        <v>#REF!</v>
      </c>
      <c r="Y776" t="str">
        <f>SUM(S776:U776)+W776</f>
        <v>#REF!</v>
      </c>
      <c r="Z776">
        <v>0</v>
      </c>
      <c r="AA776" t="str">
        <f>X776*0.038</f>
        <v>#REF!</v>
      </c>
      <c r="AB776" t="str">
        <f>X776*0.02</f>
        <v>#REF!</v>
      </c>
      <c r="AC776" t="str">
        <f>Y776*0.1</f>
        <v>#REF!</v>
      </c>
      <c r="AD776" t="str">
        <f>X776-AA776-AB776</f>
        <v>#REF!</v>
      </c>
      <c r="AE776" t="str">
        <f>Y776-AC776</f>
        <v>#REF!</v>
      </c>
      <c r="AF776" t="str">
        <f>AD776*0.01</f>
        <v>#REF!</v>
      </c>
      <c r="AG776" t="str">
        <f>AD776-Q776-AF776-T776</f>
        <v>#REF!</v>
      </c>
      <c r="AH776" t="str">
        <f>AE776-Q776-AF776-T776</f>
        <v>#REF!</v>
      </c>
      <c r="AI776" t="str">
        <f>AG776/X776</f>
        <v>#REF!</v>
      </c>
      <c r="AJ776" t="str">
        <f>AH776/Y776</f>
        <v>#REF!</v>
      </c>
    </row>
    <row r="777">
      <c r="G777" t="str">
        <v>A</v>
      </c>
      <c r="K777" t="str">
        <f>IF(L777&gt;0,L777*0.0625,)</f>
        <v>#REF!</v>
      </c>
      <c r="L777" t="str">
        <f>IF(K777&gt;0,K777*16,)</f>
        <v>#REF!</v>
      </c>
      <c r="M777" t="str">
        <f>IF(K777&gt;0,K777*0.453592,IF(L777&gt;0,L777*0.02835,))</f>
        <v>#REF!</v>
      </c>
      <c r="P777">
        <f>J777+O777+N777</f>
        <v>0</v>
      </c>
      <c r="Q777">
        <f>P777*C$3</f>
        <v>0</v>
      </c>
      <c r="R777">
        <v>0</v>
      </c>
      <c r="S777">
        <f>ROUND(SUM(Q777:R777), -2)</f>
        <v>0</v>
      </c>
      <c r="T777" t="str">
        <f>ROUNDUP(HLOOKUP(ROUNDUP(K777,0),'배송비 조회'!A$10:AE$22,7,0)*C$3,-2)</f>
        <v>#REF!</v>
      </c>
      <c r="U777">
        <v>0</v>
      </c>
      <c r="V777" t="str">
        <f>ROUND(IF(R773&gt;0,0,(S777+T777)*0.3),-2)</f>
        <v>#REF!</v>
      </c>
      <c r="W777" t="str">
        <f>ROUND(IF(R773&gt;0,0,(S777+T777)*0.5),-2)</f>
        <v>#REF!</v>
      </c>
      <c r="X777" t="str">
        <f>SUM(S777:V777)</f>
        <v>#REF!</v>
      </c>
      <c r="Y777" t="str">
        <f>SUM(S777:U777)+W777</f>
        <v>#REF!</v>
      </c>
      <c r="Z777">
        <v>0</v>
      </c>
      <c r="AA777" t="str">
        <f>X777*0.038</f>
        <v>#REF!</v>
      </c>
      <c r="AB777" t="str">
        <f>X777*0.02</f>
        <v>#REF!</v>
      </c>
      <c r="AC777" t="str">
        <f>Y777*0.1</f>
        <v>#REF!</v>
      </c>
      <c r="AD777" t="str">
        <f>X777-AA777-AB777</f>
        <v>#REF!</v>
      </c>
      <c r="AE777" t="str">
        <f>Y777-AC777</f>
        <v>#REF!</v>
      </c>
      <c r="AF777" t="str">
        <f>AD777*0.01</f>
        <v>#REF!</v>
      </c>
      <c r="AG777" t="str">
        <f>AD777-Q777-AF777-T777</f>
        <v>#REF!</v>
      </c>
      <c r="AH777" t="str">
        <f>AE777-Q777-AF777-T777</f>
        <v>#REF!</v>
      </c>
      <c r="AI777" t="str">
        <f>AG777/X777</f>
        <v>#REF!</v>
      </c>
      <c r="AJ777" t="str">
        <f>AH777/Y777</f>
        <v>#REF!</v>
      </c>
    </row>
    <row r="778">
      <c r="G778" t="str">
        <v>A</v>
      </c>
      <c r="K778" t="str">
        <f>IF(L778&gt;0,L778*0.0625,)</f>
        <v>#REF!</v>
      </c>
      <c r="L778" t="str">
        <f>IF(K778&gt;0,K778*16,)</f>
        <v>#REF!</v>
      </c>
      <c r="M778" t="str">
        <f>IF(K778&gt;0,K778*0.453592,IF(L778&gt;0,L778*0.02835,))</f>
        <v>#REF!</v>
      </c>
      <c r="P778">
        <f>J778+O778+N778</f>
        <v>0</v>
      </c>
      <c r="Q778">
        <f>P778*C$3</f>
        <v>0</v>
      </c>
      <c r="R778">
        <v>0</v>
      </c>
      <c r="S778">
        <f>ROUND(SUM(Q778:R778), -2)</f>
        <v>0</v>
      </c>
      <c r="T778" t="str">
        <f>ROUNDUP(HLOOKUP(ROUNDUP(K778,0),'배송비 조회'!A$10:AE$22,7,0)*C$3,-2)</f>
        <v>#REF!</v>
      </c>
      <c r="U778">
        <v>0</v>
      </c>
      <c r="V778" t="str">
        <f>ROUND(IF(R774&gt;0,0,(S778+T778)*0.3),-2)</f>
        <v>#REF!</v>
      </c>
      <c r="W778" t="str">
        <f>ROUND(IF(R774&gt;0,0,(S778+T778)*0.5),-2)</f>
        <v>#REF!</v>
      </c>
      <c r="X778" t="str">
        <f>SUM(S778:V778)</f>
        <v>#REF!</v>
      </c>
      <c r="Y778" t="str">
        <f>SUM(S778:U778)+W778</f>
        <v>#REF!</v>
      </c>
      <c r="Z778">
        <v>0</v>
      </c>
      <c r="AA778" t="str">
        <f>X778*0.038</f>
        <v>#REF!</v>
      </c>
      <c r="AB778" t="str">
        <f>X778*0.02</f>
        <v>#REF!</v>
      </c>
      <c r="AC778" t="str">
        <f>Y778*0.1</f>
        <v>#REF!</v>
      </c>
      <c r="AD778" t="str">
        <f>X778-AA778-AB778</f>
        <v>#REF!</v>
      </c>
      <c r="AE778" t="str">
        <f>Y778-AC778</f>
        <v>#REF!</v>
      </c>
      <c r="AF778" t="str">
        <f>AD778*0.01</f>
        <v>#REF!</v>
      </c>
      <c r="AG778" t="str">
        <f>AD778-Q778-AF778-T778</f>
        <v>#REF!</v>
      </c>
      <c r="AH778" t="str">
        <f>AE778-Q778-AF778-T778</f>
        <v>#REF!</v>
      </c>
      <c r="AI778" t="str">
        <f>AG778/X778</f>
        <v>#REF!</v>
      </c>
      <c r="AJ778" t="str">
        <f>AH778/Y778</f>
        <v>#REF!</v>
      </c>
    </row>
    <row r="779">
      <c r="G779" t="str">
        <v>A</v>
      </c>
      <c r="K779" t="str">
        <f>IF(L779&gt;0,L779*0.0625,)</f>
        <v>#REF!</v>
      </c>
      <c r="L779" t="str">
        <f>IF(K779&gt;0,K779*16,)</f>
        <v>#REF!</v>
      </c>
      <c r="M779" t="str">
        <f>IF(K779&gt;0,K779*0.453592,IF(L779&gt;0,L779*0.02835,))</f>
        <v>#REF!</v>
      </c>
      <c r="P779">
        <f>J779+O779+N779</f>
        <v>0</v>
      </c>
      <c r="Q779">
        <f>P779*C$3</f>
        <v>0</v>
      </c>
      <c r="R779">
        <v>0</v>
      </c>
      <c r="S779">
        <f>ROUND(SUM(Q779:R779), -2)</f>
        <v>0</v>
      </c>
      <c r="T779" t="str">
        <f>ROUNDUP(HLOOKUP(ROUNDUP(K779,0),'배송비 조회'!A$10:AE$22,7,0)*C$3,-2)</f>
        <v>#REF!</v>
      </c>
      <c r="U779">
        <v>0</v>
      </c>
      <c r="V779" t="str">
        <f>ROUND(IF(R775&gt;0,0,(S779+T779)*0.3),-2)</f>
        <v>#REF!</v>
      </c>
      <c r="W779" t="str">
        <f>ROUND(IF(R775&gt;0,0,(S779+T779)*0.5),-2)</f>
        <v>#REF!</v>
      </c>
      <c r="X779" t="str">
        <f>SUM(S779:V779)</f>
        <v>#REF!</v>
      </c>
      <c r="Y779" t="str">
        <f>SUM(S779:U779)+W779</f>
        <v>#REF!</v>
      </c>
      <c r="Z779">
        <v>0</v>
      </c>
      <c r="AA779" t="str">
        <f>X779*0.038</f>
        <v>#REF!</v>
      </c>
      <c r="AB779" t="str">
        <f>X779*0.02</f>
        <v>#REF!</v>
      </c>
      <c r="AC779" t="str">
        <f>Y779*0.1</f>
        <v>#REF!</v>
      </c>
      <c r="AD779" t="str">
        <f>X779-AA779-AB779</f>
        <v>#REF!</v>
      </c>
      <c r="AE779" t="str">
        <f>Y779-AC779</f>
        <v>#REF!</v>
      </c>
      <c r="AF779" t="str">
        <f>AD779*0.01</f>
        <v>#REF!</v>
      </c>
      <c r="AG779" t="str">
        <f>AD779-Q779-AF779-T779</f>
        <v>#REF!</v>
      </c>
      <c r="AH779" t="str">
        <f>AE779-Q779-AF779-T779</f>
        <v>#REF!</v>
      </c>
      <c r="AI779" t="str">
        <f>AG779/X779</f>
        <v>#REF!</v>
      </c>
      <c r="AJ779" t="str">
        <f>AH779/Y779</f>
        <v>#REF!</v>
      </c>
    </row>
    <row r="780">
      <c r="G780" t="str">
        <v>A</v>
      </c>
      <c r="K780" t="str">
        <f>IF(L780&gt;0,L780*0.0625,)</f>
        <v>#REF!</v>
      </c>
      <c r="L780" t="str">
        <f>IF(K780&gt;0,K780*16,)</f>
        <v>#REF!</v>
      </c>
      <c r="M780" t="str">
        <f>IF(K780&gt;0,K780*0.453592,IF(L780&gt;0,L780*0.02835,))</f>
        <v>#REF!</v>
      </c>
      <c r="P780">
        <f>J780+O780+N780</f>
        <v>0</v>
      </c>
      <c r="Q780">
        <f>P780*C$3</f>
        <v>0</v>
      </c>
      <c r="R780">
        <v>0</v>
      </c>
      <c r="S780">
        <f>ROUND(SUM(Q780:R780), -2)</f>
        <v>0</v>
      </c>
      <c r="T780" t="str">
        <f>ROUNDUP(HLOOKUP(ROUNDUP(K780,0),'배송비 조회'!A$10:AE$22,7,0)*C$3,-2)</f>
        <v>#REF!</v>
      </c>
      <c r="U780">
        <v>0</v>
      </c>
      <c r="V780" t="str">
        <f>ROUND(IF(R776&gt;0,0,(S780+T780)*0.3),-2)</f>
        <v>#REF!</v>
      </c>
      <c r="W780" t="str">
        <f>ROUND(IF(R776&gt;0,0,(S780+T780)*0.5),-2)</f>
        <v>#REF!</v>
      </c>
      <c r="X780" t="str">
        <f>SUM(S780:V780)</f>
        <v>#REF!</v>
      </c>
      <c r="Y780" t="str">
        <f>SUM(S780:U780)+W780</f>
        <v>#REF!</v>
      </c>
      <c r="Z780">
        <v>0</v>
      </c>
      <c r="AA780" t="str">
        <f>X780*0.038</f>
        <v>#REF!</v>
      </c>
      <c r="AB780" t="str">
        <f>X780*0.02</f>
        <v>#REF!</v>
      </c>
      <c r="AC780" t="str">
        <f>Y780*0.1</f>
        <v>#REF!</v>
      </c>
      <c r="AD780" t="str">
        <f>X780-AA780-AB780</f>
        <v>#REF!</v>
      </c>
      <c r="AE780" t="str">
        <f>Y780-AC780</f>
        <v>#REF!</v>
      </c>
      <c r="AF780" t="str">
        <f>AD780*0.01</f>
        <v>#REF!</v>
      </c>
      <c r="AG780" t="str">
        <f>AD780-Q780-AF780-T780</f>
        <v>#REF!</v>
      </c>
      <c r="AH780" t="str">
        <f>AE780-Q780-AF780-T780</f>
        <v>#REF!</v>
      </c>
      <c r="AI780" t="str">
        <f>AG780/X780</f>
        <v>#REF!</v>
      </c>
      <c r="AJ780" t="str">
        <f>AH780/Y780</f>
        <v>#REF!</v>
      </c>
    </row>
    <row r="781">
      <c r="G781" t="str">
        <v>A</v>
      </c>
      <c r="K781" t="str">
        <f>IF(L781&gt;0,L781*0.0625,)</f>
        <v>#REF!</v>
      </c>
      <c r="L781" t="str">
        <f>IF(K781&gt;0,K781*16,)</f>
        <v>#REF!</v>
      </c>
      <c r="M781" t="str">
        <f>IF(K781&gt;0,K781*0.453592,IF(L781&gt;0,L781*0.02835,))</f>
        <v>#REF!</v>
      </c>
      <c r="P781">
        <f>J781+O781+N781</f>
        <v>0</v>
      </c>
      <c r="Q781">
        <f>P781*C$3</f>
        <v>0</v>
      </c>
      <c r="R781">
        <v>0</v>
      </c>
      <c r="S781">
        <f>ROUND(SUM(Q781:R781), -2)</f>
        <v>0</v>
      </c>
      <c r="T781" t="str">
        <f>ROUNDUP(HLOOKUP(ROUNDUP(K781,0),'배송비 조회'!A$10:AE$22,7,0)*C$3,-2)</f>
        <v>#REF!</v>
      </c>
      <c r="U781">
        <v>0</v>
      </c>
      <c r="V781" t="str">
        <f>ROUND(IF(R777&gt;0,0,(S781+T781)*0.3),-2)</f>
        <v>#REF!</v>
      </c>
      <c r="W781" t="str">
        <f>ROUND(IF(R777&gt;0,0,(S781+T781)*0.5),-2)</f>
        <v>#REF!</v>
      </c>
      <c r="X781" t="str">
        <f>SUM(S781:V781)</f>
        <v>#REF!</v>
      </c>
      <c r="Y781" t="str">
        <f>SUM(S781:U781)+W781</f>
        <v>#REF!</v>
      </c>
      <c r="Z781">
        <v>0</v>
      </c>
      <c r="AA781" t="str">
        <f>X781*0.038</f>
        <v>#REF!</v>
      </c>
      <c r="AB781" t="str">
        <f>X781*0.02</f>
        <v>#REF!</v>
      </c>
      <c r="AC781" t="str">
        <f>Y781*0.1</f>
        <v>#REF!</v>
      </c>
      <c r="AD781" t="str">
        <f>X781-AA781-AB781</f>
        <v>#REF!</v>
      </c>
      <c r="AE781" t="str">
        <f>Y781-AC781</f>
        <v>#REF!</v>
      </c>
      <c r="AF781" t="str">
        <f>AD781*0.01</f>
        <v>#REF!</v>
      </c>
      <c r="AG781" t="str">
        <f>AD781-Q781-AF781-T781</f>
        <v>#REF!</v>
      </c>
      <c r="AH781" t="str">
        <f>AE781-Q781-AF781-T781</f>
        <v>#REF!</v>
      </c>
      <c r="AI781" t="str">
        <f>AG781/X781</f>
        <v>#REF!</v>
      </c>
      <c r="AJ781" t="str">
        <f>AH781/Y781</f>
        <v>#REF!</v>
      </c>
    </row>
    <row r="782">
      <c r="G782" t="str">
        <v>A</v>
      </c>
      <c r="K782" t="str">
        <f>IF(L782&gt;0,L782*0.0625,)</f>
        <v>#REF!</v>
      </c>
      <c r="L782" t="str">
        <f>IF(K782&gt;0,K782*16,)</f>
        <v>#REF!</v>
      </c>
      <c r="M782" t="str">
        <f>IF(K782&gt;0,K782*0.453592,IF(L782&gt;0,L782*0.02835,))</f>
        <v>#REF!</v>
      </c>
      <c r="P782">
        <f>J782+O782+N782</f>
        <v>0</v>
      </c>
      <c r="Q782">
        <f>P782*C$3</f>
        <v>0</v>
      </c>
      <c r="R782">
        <v>0</v>
      </c>
      <c r="S782">
        <f>ROUND(SUM(Q782:R782), -2)</f>
        <v>0</v>
      </c>
      <c r="T782" t="str">
        <f>ROUNDUP(HLOOKUP(ROUNDUP(K782,0),'배송비 조회'!A$10:AE$22,7,0)*C$3,-2)</f>
        <v>#REF!</v>
      </c>
      <c r="U782">
        <v>0</v>
      </c>
      <c r="V782" t="str">
        <f>ROUND(IF(R778&gt;0,0,(S782+T782)*0.3),-2)</f>
        <v>#REF!</v>
      </c>
      <c r="W782" t="str">
        <f>ROUND(IF(R778&gt;0,0,(S782+T782)*0.5),-2)</f>
        <v>#REF!</v>
      </c>
      <c r="X782" t="str">
        <f>SUM(S782:V782)</f>
        <v>#REF!</v>
      </c>
      <c r="Y782" t="str">
        <f>SUM(S782:U782)+W782</f>
        <v>#REF!</v>
      </c>
      <c r="Z782">
        <v>0</v>
      </c>
      <c r="AA782" t="str">
        <f>X782*0.038</f>
        <v>#REF!</v>
      </c>
      <c r="AB782" t="str">
        <f>X782*0.02</f>
        <v>#REF!</v>
      </c>
      <c r="AC782" t="str">
        <f>Y782*0.1</f>
        <v>#REF!</v>
      </c>
      <c r="AD782" t="str">
        <f>X782-AA782-AB782</f>
        <v>#REF!</v>
      </c>
      <c r="AE782" t="str">
        <f>Y782-AC782</f>
        <v>#REF!</v>
      </c>
      <c r="AF782" t="str">
        <f>AD782*0.01</f>
        <v>#REF!</v>
      </c>
      <c r="AG782" t="str">
        <f>AD782-Q782-AF782-T782</f>
        <v>#REF!</v>
      </c>
      <c r="AH782" t="str">
        <f>AE782-Q782-AF782-T782</f>
        <v>#REF!</v>
      </c>
      <c r="AI782" t="str">
        <f>AG782/X782</f>
        <v>#REF!</v>
      </c>
      <c r="AJ782" t="str">
        <f>AH782/Y782</f>
        <v>#REF!</v>
      </c>
    </row>
    <row r="783">
      <c r="G783" t="str">
        <v>A</v>
      </c>
      <c r="K783" t="str">
        <f>IF(L783&gt;0,L783*0.0625,)</f>
        <v>#REF!</v>
      </c>
      <c r="L783" t="str">
        <f>IF(K783&gt;0,K783*16,)</f>
        <v>#REF!</v>
      </c>
      <c r="M783" t="str">
        <f>IF(K783&gt;0,K783*0.453592,IF(L783&gt;0,L783*0.02835,))</f>
        <v>#REF!</v>
      </c>
      <c r="P783">
        <f>J783+O783+N783</f>
        <v>0</v>
      </c>
      <c r="Q783">
        <f>P783*C$3</f>
        <v>0</v>
      </c>
      <c r="R783">
        <v>0</v>
      </c>
      <c r="S783">
        <f>ROUND(SUM(Q783:R783), -2)</f>
        <v>0</v>
      </c>
      <c r="T783" t="str">
        <f>ROUNDUP(HLOOKUP(ROUNDUP(K783,0),'배송비 조회'!A$10:AE$22,7,0)*C$3,-2)</f>
        <v>#REF!</v>
      </c>
      <c r="U783">
        <v>0</v>
      </c>
      <c r="V783" t="str">
        <f>ROUND(IF(R779&gt;0,0,(S783+T783)*0.3),-2)</f>
        <v>#REF!</v>
      </c>
      <c r="W783" t="str">
        <f>ROUND(IF(R779&gt;0,0,(S783+T783)*0.5),-2)</f>
        <v>#REF!</v>
      </c>
      <c r="X783" t="str">
        <f>SUM(S783:V783)</f>
        <v>#REF!</v>
      </c>
      <c r="Y783" t="str">
        <f>SUM(S783:U783)+W783</f>
        <v>#REF!</v>
      </c>
      <c r="Z783">
        <v>0</v>
      </c>
      <c r="AA783" t="str">
        <f>X783*0.038</f>
        <v>#REF!</v>
      </c>
      <c r="AB783" t="str">
        <f>X783*0.02</f>
        <v>#REF!</v>
      </c>
      <c r="AC783" t="str">
        <f>Y783*0.1</f>
        <v>#REF!</v>
      </c>
      <c r="AD783" t="str">
        <f>X783-AA783-AB783</f>
        <v>#REF!</v>
      </c>
      <c r="AE783" t="str">
        <f>Y783-AC783</f>
        <v>#REF!</v>
      </c>
      <c r="AF783" t="str">
        <f>AD783*0.01</f>
        <v>#REF!</v>
      </c>
      <c r="AG783" t="str">
        <f>AD783-Q783-AF783-T783</f>
        <v>#REF!</v>
      </c>
      <c r="AH783" t="str">
        <f>AE783-Q783-AF783-T783</f>
        <v>#REF!</v>
      </c>
      <c r="AI783" t="str">
        <f>AG783/X783</f>
        <v>#REF!</v>
      </c>
      <c r="AJ783" t="str">
        <f>AH783/Y783</f>
        <v>#REF!</v>
      </c>
    </row>
    <row r="784">
      <c r="G784" t="str">
        <v>A</v>
      </c>
      <c r="K784" t="str">
        <f>IF(L784&gt;0,L784*0.0625,)</f>
        <v>#REF!</v>
      </c>
      <c r="L784" t="str">
        <f>IF(K784&gt;0,K784*16,)</f>
        <v>#REF!</v>
      </c>
      <c r="M784" t="str">
        <f>IF(K784&gt;0,K784*0.453592,IF(L784&gt;0,L784*0.02835,))</f>
        <v>#REF!</v>
      </c>
      <c r="P784">
        <f>J784+O784+N784</f>
        <v>0</v>
      </c>
      <c r="Q784">
        <f>P784*C$3</f>
        <v>0</v>
      </c>
      <c r="R784">
        <v>0</v>
      </c>
      <c r="S784">
        <f>ROUND(SUM(Q784:R784), -2)</f>
        <v>0</v>
      </c>
      <c r="T784" t="str">
        <f>ROUNDUP(HLOOKUP(ROUNDUP(K784,0),'배송비 조회'!A$10:AE$22,7,0)*C$3,-2)</f>
        <v>#REF!</v>
      </c>
      <c r="U784">
        <v>0</v>
      </c>
      <c r="V784" t="str">
        <f>ROUND(IF(R780&gt;0,0,(S784+T784)*0.3),-2)</f>
        <v>#REF!</v>
      </c>
      <c r="W784" t="str">
        <f>ROUND(IF(R780&gt;0,0,(S784+T784)*0.5),-2)</f>
        <v>#REF!</v>
      </c>
      <c r="X784" t="str">
        <f>SUM(S784:V784)</f>
        <v>#REF!</v>
      </c>
      <c r="Y784" t="str">
        <f>SUM(S784:U784)+W784</f>
        <v>#REF!</v>
      </c>
      <c r="Z784">
        <v>0</v>
      </c>
      <c r="AA784" t="str">
        <f>X784*0.038</f>
        <v>#REF!</v>
      </c>
      <c r="AB784" t="str">
        <f>X784*0.02</f>
        <v>#REF!</v>
      </c>
      <c r="AC784" t="str">
        <f>Y784*0.1</f>
        <v>#REF!</v>
      </c>
      <c r="AD784" t="str">
        <f>X784-AA784-AB784</f>
        <v>#REF!</v>
      </c>
      <c r="AE784" t="str">
        <f>Y784-AC784</f>
        <v>#REF!</v>
      </c>
      <c r="AF784" t="str">
        <f>AD784*0.01</f>
        <v>#REF!</v>
      </c>
      <c r="AG784" t="str">
        <f>AD784-Q784-AF784-T784</f>
        <v>#REF!</v>
      </c>
      <c r="AH784" t="str">
        <f>AE784-Q784-AF784-T784</f>
        <v>#REF!</v>
      </c>
      <c r="AI784" t="str">
        <f>AG784/X784</f>
        <v>#REF!</v>
      </c>
      <c r="AJ784" t="str">
        <f>AH784/Y784</f>
        <v>#REF!</v>
      </c>
    </row>
    <row r="785">
      <c r="G785" t="str">
        <v>A</v>
      </c>
      <c r="K785" t="str">
        <f>IF(L785&gt;0,L785*0.0625,)</f>
        <v>#REF!</v>
      </c>
      <c r="L785" t="str">
        <f>IF(K785&gt;0,K785*16,)</f>
        <v>#REF!</v>
      </c>
      <c r="M785" t="str">
        <f>IF(K785&gt;0,K785*0.453592,IF(L785&gt;0,L785*0.02835,))</f>
        <v>#REF!</v>
      </c>
      <c r="P785">
        <f>J785+O785+N785</f>
        <v>0</v>
      </c>
      <c r="Q785">
        <f>P785*C$3</f>
        <v>0</v>
      </c>
      <c r="R785">
        <v>0</v>
      </c>
      <c r="S785">
        <f>ROUND(SUM(Q785:R785), -2)</f>
        <v>0</v>
      </c>
      <c r="T785" t="str">
        <f>ROUNDUP(HLOOKUP(ROUNDUP(K785,0),'배송비 조회'!A$10:AE$22,7,0)*C$3,-2)</f>
        <v>#REF!</v>
      </c>
      <c r="U785">
        <v>0</v>
      </c>
      <c r="V785" t="str">
        <f>ROUND(IF(R781&gt;0,0,(S785+T785)*0.3),-2)</f>
        <v>#REF!</v>
      </c>
      <c r="W785" t="str">
        <f>ROUND(IF(R781&gt;0,0,(S785+T785)*0.5),-2)</f>
        <v>#REF!</v>
      </c>
      <c r="X785" t="str">
        <f>SUM(S785:V785)</f>
        <v>#REF!</v>
      </c>
      <c r="Y785" t="str">
        <f>SUM(S785:U785)+W785</f>
        <v>#REF!</v>
      </c>
      <c r="Z785">
        <v>0</v>
      </c>
      <c r="AA785" t="str">
        <f>X785*0.038</f>
        <v>#REF!</v>
      </c>
      <c r="AB785" t="str">
        <f>X785*0.02</f>
        <v>#REF!</v>
      </c>
      <c r="AC785" t="str">
        <f>Y785*0.1</f>
        <v>#REF!</v>
      </c>
      <c r="AD785" t="str">
        <f>X785-AA785-AB785</f>
        <v>#REF!</v>
      </c>
      <c r="AE785" t="str">
        <f>Y785-AC785</f>
        <v>#REF!</v>
      </c>
      <c r="AF785" t="str">
        <f>AD785*0.01</f>
        <v>#REF!</v>
      </c>
      <c r="AG785" t="str">
        <f>AD785-Q785-AF785-T785</f>
        <v>#REF!</v>
      </c>
      <c r="AH785" t="str">
        <f>AE785-Q785-AF785-T785</f>
        <v>#REF!</v>
      </c>
      <c r="AI785" t="str">
        <f>AG785/X785</f>
        <v>#REF!</v>
      </c>
      <c r="AJ785" t="str">
        <f>AH785/Y785</f>
        <v>#REF!</v>
      </c>
    </row>
    <row r="786">
      <c r="G786" t="str">
        <v>A</v>
      </c>
      <c r="K786" t="str">
        <f>IF(L786&gt;0,L786*0.0625,)</f>
        <v>#REF!</v>
      </c>
      <c r="L786" t="str">
        <f>IF(K786&gt;0,K786*16,)</f>
        <v>#REF!</v>
      </c>
      <c r="M786" t="str">
        <f>IF(K786&gt;0,K786*0.453592,IF(L786&gt;0,L786*0.02835,))</f>
        <v>#REF!</v>
      </c>
      <c r="P786">
        <f>J786+O786+N786</f>
        <v>0</v>
      </c>
      <c r="Q786">
        <f>P786*C$3</f>
        <v>0</v>
      </c>
      <c r="R786">
        <v>0</v>
      </c>
      <c r="S786">
        <f>ROUND(SUM(Q786:R786), -2)</f>
        <v>0</v>
      </c>
      <c r="T786" t="str">
        <f>ROUNDUP(HLOOKUP(ROUNDUP(K786,0),'배송비 조회'!A$10:AE$22,7,0)*C$3,-2)</f>
        <v>#REF!</v>
      </c>
      <c r="U786">
        <v>0</v>
      </c>
      <c r="V786" t="str">
        <f>ROUND(IF(R782&gt;0,0,(S786+T786)*0.3),-2)</f>
        <v>#REF!</v>
      </c>
      <c r="W786" t="str">
        <f>ROUND(IF(R782&gt;0,0,(S786+T786)*0.5),-2)</f>
        <v>#REF!</v>
      </c>
      <c r="X786" t="str">
        <f>SUM(S786:V786)</f>
        <v>#REF!</v>
      </c>
      <c r="Y786" t="str">
        <f>SUM(S786:U786)+W786</f>
        <v>#REF!</v>
      </c>
      <c r="Z786">
        <v>0</v>
      </c>
      <c r="AA786" t="str">
        <f>X786*0.038</f>
        <v>#REF!</v>
      </c>
      <c r="AB786" t="str">
        <f>X786*0.02</f>
        <v>#REF!</v>
      </c>
      <c r="AC786" t="str">
        <f>Y786*0.1</f>
        <v>#REF!</v>
      </c>
      <c r="AD786" t="str">
        <f>X786-AA786-AB786</f>
        <v>#REF!</v>
      </c>
      <c r="AE786" t="str">
        <f>Y786-AC786</f>
        <v>#REF!</v>
      </c>
      <c r="AF786" t="str">
        <f>AD786*0.01</f>
        <v>#REF!</v>
      </c>
      <c r="AG786" t="str">
        <f>AD786-Q786-AF786-T786</f>
        <v>#REF!</v>
      </c>
      <c r="AH786" t="str">
        <f>AE786-Q786-AF786-T786</f>
        <v>#REF!</v>
      </c>
      <c r="AI786" t="str">
        <f>AG786/X786</f>
        <v>#REF!</v>
      </c>
      <c r="AJ786" t="str">
        <f>AH786/Y786</f>
        <v>#REF!</v>
      </c>
    </row>
    <row r="787">
      <c r="G787" t="str">
        <v>A</v>
      </c>
      <c r="K787" t="str">
        <f>IF(L787&gt;0,L787*0.0625,)</f>
        <v>#REF!</v>
      </c>
      <c r="L787" t="str">
        <f>IF(K787&gt;0,K787*16,)</f>
        <v>#REF!</v>
      </c>
      <c r="M787" t="str">
        <f>IF(K787&gt;0,K787*0.453592,IF(L787&gt;0,L787*0.02835,))</f>
        <v>#REF!</v>
      </c>
      <c r="P787">
        <f>J787+O787+N787</f>
        <v>0</v>
      </c>
      <c r="Q787">
        <f>P787*C$3</f>
        <v>0</v>
      </c>
      <c r="R787">
        <v>0</v>
      </c>
      <c r="S787">
        <f>ROUND(SUM(Q787:R787), -2)</f>
        <v>0</v>
      </c>
      <c r="T787" t="str">
        <f>ROUNDUP(HLOOKUP(ROUNDUP(K787,0),'배송비 조회'!A$10:AE$22,7,0)*C$3,-2)</f>
        <v>#REF!</v>
      </c>
      <c r="U787">
        <v>0</v>
      </c>
      <c r="V787" t="str">
        <f>ROUND(IF(R783&gt;0,0,(S787+T787)*0.3),-2)</f>
        <v>#REF!</v>
      </c>
      <c r="W787" t="str">
        <f>ROUND(IF(R783&gt;0,0,(S787+T787)*0.5),-2)</f>
        <v>#REF!</v>
      </c>
      <c r="X787" t="str">
        <f>SUM(S787:V787)</f>
        <v>#REF!</v>
      </c>
      <c r="Y787" t="str">
        <f>SUM(S787:U787)+W787</f>
        <v>#REF!</v>
      </c>
      <c r="Z787">
        <v>0</v>
      </c>
      <c r="AA787" t="str">
        <f>X787*0.038</f>
        <v>#REF!</v>
      </c>
      <c r="AB787" t="str">
        <f>X787*0.02</f>
        <v>#REF!</v>
      </c>
      <c r="AC787" t="str">
        <f>Y787*0.1</f>
        <v>#REF!</v>
      </c>
      <c r="AD787" t="str">
        <f>X787-AA787-AB787</f>
        <v>#REF!</v>
      </c>
      <c r="AE787" t="str">
        <f>Y787-AC787</f>
        <v>#REF!</v>
      </c>
      <c r="AF787" t="str">
        <f>AD787*0.01</f>
        <v>#REF!</v>
      </c>
      <c r="AG787" t="str">
        <f>AD787-Q787-AF787-T787</f>
        <v>#REF!</v>
      </c>
      <c r="AH787" t="str">
        <f>AE787-Q787-AF787-T787</f>
        <v>#REF!</v>
      </c>
      <c r="AI787" t="str">
        <f>AG787/X787</f>
        <v>#REF!</v>
      </c>
      <c r="AJ787" t="str">
        <f>AH787/Y787</f>
        <v>#REF!</v>
      </c>
    </row>
    <row r="788">
      <c r="G788" t="str">
        <v>A</v>
      </c>
      <c r="K788" t="str">
        <f>IF(L788&gt;0,L788*0.0625,)</f>
        <v>#REF!</v>
      </c>
      <c r="L788" t="str">
        <f>IF(K788&gt;0,K788*16,)</f>
        <v>#REF!</v>
      </c>
      <c r="M788" t="str">
        <f>IF(K788&gt;0,K788*0.453592,IF(L788&gt;0,L788*0.02835,))</f>
        <v>#REF!</v>
      </c>
      <c r="P788">
        <f>J788+O788+N788</f>
        <v>0</v>
      </c>
      <c r="Q788">
        <f>P788*C$3</f>
        <v>0</v>
      </c>
      <c r="R788">
        <v>0</v>
      </c>
      <c r="S788">
        <f>ROUND(SUM(Q788:R788), -2)</f>
        <v>0</v>
      </c>
      <c r="T788" t="str">
        <f>ROUNDUP(HLOOKUP(ROUNDUP(K788,0),'배송비 조회'!A$10:AE$22,7,0)*C$3,-2)</f>
        <v>#REF!</v>
      </c>
      <c r="U788">
        <v>0</v>
      </c>
      <c r="V788" t="str">
        <f>ROUND(IF(R784&gt;0,0,(S788+T788)*0.3),-2)</f>
        <v>#REF!</v>
      </c>
      <c r="W788" t="str">
        <f>ROUND(IF(R784&gt;0,0,(S788+T788)*0.5),-2)</f>
        <v>#REF!</v>
      </c>
      <c r="X788" t="str">
        <f>SUM(S788:V788)</f>
        <v>#REF!</v>
      </c>
      <c r="Y788" t="str">
        <f>SUM(S788:U788)+W788</f>
        <v>#REF!</v>
      </c>
      <c r="Z788">
        <v>0</v>
      </c>
      <c r="AA788" t="str">
        <f>X788*0.038</f>
        <v>#REF!</v>
      </c>
      <c r="AB788" t="str">
        <f>X788*0.02</f>
        <v>#REF!</v>
      </c>
      <c r="AC788" t="str">
        <f>Y788*0.1</f>
        <v>#REF!</v>
      </c>
      <c r="AD788" t="str">
        <f>X788-AA788-AB788</f>
        <v>#REF!</v>
      </c>
      <c r="AE788" t="str">
        <f>Y788-AC788</f>
        <v>#REF!</v>
      </c>
      <c r="AF788" t="str">
        <f>AD788*0.01</f>
        <v>#REF!</v>
      </c>
      <c r="AG788" t="str">
        <f>AD788-Q788-AF788-T788</f>
        <v>#REF!</v>
      </c>
      <c r="AH788" t="str">
        <f>AE788-Q788-AF788-T788</f>
        <v>#REF!</v>
      </c>
      <c r="AI788" t="str">
        <f>AG788/X788</f>
        <v>#REF!</v>
      </c>
      <c r="AJ788" t="str">
        <f>AH788/Y788</f>
        <v>#REF!</v>
      </c>
    </row>
    <row r="789">
      <c r="G789" t="str">
        <v>A</v>
      </c>
      <c r="K789" t="str">
        <f>IF(L789&gt;0,L789*0.0625,)</f>
        <v>#REF!</v>
      </c>
      <c r="L789" t="str">
        <f>IF(K789&gt;0,K789*16,)</f>
        <v>#REF!</v>
      </c>
      <c r="M789" t="str">
        <f>IF(K789&gt;0,K789*0.453592,IF(L789&gt;0,L789*0.02835,))</f>
        <v>#REF!</v>
      </c>
      <c r="P789">
        <f>J789+O789+N789</f>
        <v>0</v>
      </c>
      <c r="Q789">
        <f>P789*C$3</f>
        <v>0</v>
      </c>
      <c r="R789">
        <v>0</v>
      </c>
      <c r="S789">
        <f>ROUND(SUM(Q789:R789), -2)</f>
        <v>0</v>
      </c>
      <c r="T789" t="str">
        <f>ROUNDUP(HLOOKUP(ROUNDUP(K789,0),'배송비 조회'!A$10:AE$22,7,0)*C$3,-2)</f>
        <v>#REF!</v>
      </c>
      <c r="U789">
        <v>0</v>
      </c>
      <c r="V789" t="str">
        <f>ROUND(IF(R785&gt;0,0,(S789+T789)*0.3),-2)</f>
        <v>#REF!</v>
      </c>
      <c r="W789" t="str">
        <f>ROUND(IF(R785&gt;0,0,(S789+T789)*0.5),-2)</f>
        <v>#REF!</v>
      </c>
      <c r="X789" t="str">
        <f>SUM(S789:V789)</f>
        <v>#REF!</v>
      </c>
      <c r="Y789" t="str">
        <f>SUM(S789:U789)+W789</f>
        <v>#REF!</v>
      </c>
      <c r="Z789">
        <v>0</v>
      </c>
      <c r="AA789" t="str">
        <f>X789*0.038</f>
        <v>#REF!</v>
      </c>
      <c r="AB789" t="str">
        <f>X789*0.02</f>
        <v>#REF!</v>
      </c>
      <c r="AC789" t="str">
        <f>Y789*0.1</f>
        <v>#REF!</v>
      </c>
      <c r="AD789" t="str">
        <f>X789-AA789-AB789</f>
        <v>#REF!</v>
      </c>
      <c r="AE789" t="str">
        <f>Y789-AC789</f>
        <v>#REF!</v>
      </c>
      <c r="AF789" t="str">
        <f>AD789*0.01</f>
        <v>#REF!</v>
      </c>
      <c r="AG789" t="str">
        <f>AD789-Q789-AF789-T789</f>
        <v>#REF!</v>
      </c>
      <c r="AH789" t="str">
        <f>AE789-Q789-AF789-T789</f>
        <v>#REF!</v>
      </c>
      <c r="AI789" t="str">
        <f>AG789/X789</f>
        <v>#REF!</v>
      </c>
      <c r="AJ789" t="str">
        <f>AH789/Y789</f>
        <v>#REF!</v>
      </c>
    </row>
    <row r="790">
      <c r="G790" t="str">
        <v>A</v>
      </c>
      <c r="K790" t="str">
        <f>IF(L790&gt;0,L790*0.0625,)</f>
        <v>#REF!</v>
      </c>
      <c r="L790" t="str">
        <f>IF(K790&gt;0,K790*16,)</f>
        <v>#REF!</v>
      </c>
      <c r="M790" t="str">
        <f>IF(K790&gt;0,K790*0.453592,IF(L790&gt;0,L790*0.02835,))</f>
        <v>#REF!</v>
      </c>
      <c r="P790">
        <f>J790+O790+N790</f>
        <v>0</v>
      </c>
      <c r="Q790">
        <f>P790*C$3</f>
        <v>0</v>
      </c>
      <c r="R790">
        <v>0</v>
      </c>
      <c r="S790">
        <f>ROUND(SUM(Q790:R790), -2)</f>
        <v>0</v>
      </c>
      <c r="T790" t="str">
        <f>ROUNDUP(HLOOKUP(ROUNDUP(K790,0),'배송비 조회'!A$10:AE$22,7,0)*C$3,-2)</f>
        <v>#REF!</v>
      </c>
      <c r="U790">
        <v>0</v>
      </c>
      <c r="V790" t="str">
        <f>ROUND(IF(R786&gt;0,0,(S790+T790)*0.3),-2)</f>
        <v>#REF!</v>
      </c>
      <c r="W790" t="str">
        <f>ROUND(IF(R786&gt;0,0,(S790+T790)*0.5),-2)</f>
        <v>#REF!</v>
      </c>
      <c r="X790" t="str">
        <f>SUM(S790:V790)</f>
        <v>#REF!</v>
      </c>
      <c r="Y790" t="str">
        <f>SUM(S790:U790)+W790</f>
        <v>#REF!</v>
      </c>
      <c r="Z790">
        <v>0</v>
      </c>
      <c r="AA790" t="str">
        <f>X790*0.038</f>
        <v>#REF!</v>
      </c>
      <c r="AB790" t="str">
        <f>X790*0.02</f>
        <v>#REF!</v>
      </c>
      <c r="AC790" t="str">
        <f>Y790*0.1</f>
        <v>#REF!</v>
      </c>
      <c r="AD790" t="str">
        <f>X790-AA790-AB790</f>
        <v>#REF!</v>
      </c>
      <c r="AE790" t="str">
        <f>Y790-AC790</f>
        <v>#REF!</v>
      </c>
      <c r="AF790" t="str">
        <f>AD790*0.01</f>
        <v>#REF!</v>
      </c>
      <c r="AG790" t="str">
        <f>AD790-Q790-AF790-T790</f>
        <v>#REF!</v>
      </c>
      <c r="AH790" t="str">
        <f>AE790-Q790-AF790-T790</f>
        <v>#REF!</v>
      </c>
      <c r="AI790" t="str">
        <f>AG790/X790</f>
        <v>#REF!</v>
      </c>
      <c r="AJ790" t="str">
        <f>AH790/Y790</f>
        <v>#REF!</v>
      </c>
    </row>
    <row r="791">
      <c r="G791" t="str">
        <v>A</v>
      </c>
      <c r="K791" t="str">
        <f>IF(L791&gt;0,L791*0.0625,)</f>
        <v>#REF!</v>
      </c>
      <c r="L791" t="str">
        <f>IF(K791&gt;0,K791*16,)</f>
        <v>#REF!</v>
      </c>
      <c r="M791" t="str">
        <f>IF(K791&gt;0,K791*0.453592,IF(L791&gt;0,L791*0.02835,))</f>
        <v>#REF!</v>
      </c>
      <c r="P791">
        <f>J791+O791+N791</f>
        <v>0</v>
      </c>
      <c r="Q791">
        <f>P791*C$3</f>
        <v>0</v>
      </c>
      <c r="R791">
        <v>0</v>
      </c>
      <c r="S791">
        <f>ROUND(SUM(Q791:R791), -2)</f>
        <v>0</v>
      </c>
      <c r="T791" t="str">
        <f>ROUNDUP(HLOOKUP(ROUNDUP(K791,0),'배송비 조회'!A$10:AE$22,7,0)*C$3,-2)</f>
        <v>#REF!</v>
      </c>
      <c r="U791">
        <v>0</v>
      </c>
      <c r="V791" t="str">
        <f>ROUND(IF(R787&gt;0,0,(S791+T791)*0.3),-2)</f>
        <v>#REF!</v>
      </c>
      <c r="W791" t="str">
        <f>ROUND(IF(R787&gt;0,0,(S791+T791)*0.5),-2)</f>
        <v>#REF!</v>
      </c>
      <c r="X791" t="str">
        <f>SUM(S791:V791)</f>
        <v>#REF!</v>
      </c>
      <c r="Y791" t="str">
        <f>SUM(S791:U791)+W791</f>
        <v>#REF!</v>
      </c>
      <c r="Z791">
        <v>0</v>
      </c>
      <c r="AA791" t="str">
        <f>X791*0.038</f>
        <v>#REF!</v>
      </c>
      <c r="AB791" t="str">
        <f>X791*0.02</f>
        <v>#REF!</v>
      </c>
      <c r="AC791" t="str">
        <f>Y791*0.1</f>
        <v>#REF!</v>
      </c>
      <c r="AD791" t="str">
        <f>X791-AA791-AB791</f>
        <v>#REF!</v>
      </c>
      <c r="AE791" t="str">
        <f>Y791-AC791</f>
        <v>#REF!</v>
      </c>
      <c r="AF791" t="str">
        <f>AD791*0.01</f>
        <v>#REF!</v>
      </c>
      <c r="AG791" t="str">
        <f>AD791-Q791-AF791-T791</f>
        <v>#REF!</v>
      </c>
      <c r="AH791" t="str">
        <f>AE791-Q791-AF791-T791</f>
        <v>#REF!</v>
      </c>
      <c r="AI791" t="str">
        <f>AG791/X791</f>
        <v>#REF!</v>
      </c>
      <c r="AJ791" t="str">
        <f>AH791/Y791</f>
        <v>#REF!</v>
      </c>
    </row>
    <row r="792">
      <c r="G792" t="str">
        <v>A</v>
      </c>
      <c r="K792" t="str">
        <f>IF(L792&gt;0,L792*0.0625,)</f>
        <v>#REF!</v>
      </c>
      <c r="L792" t="str">
        <f>IF(K792&gt;0,K792*16,)</f>
        <v>#REF!</v>
      </c>
      <c r="M792" t="str">
        <f>IF(K792&gt;0,K792*0.453592,IF(L792&gt;0,L792*0.02835,))</f>
        <v>#REF!</v>
      </c>
      <c r="P792">
        <f>J792+O792+N792</f>
        <v>0</v>
      </c>
      <c r="Q792">
        <f>P792*C$3</f>
        <v>0</v>
      </c>
      <c r="R792">
        <v>0</v>
      </c>
      <c r="S792">
        <f>ROUND(SUM(Q792:R792), -2)</f>
        <v>0</v>
      </c>
      <c r="T792" t="str">
        <f>ROUNDUP(HLOOKUP(ROUNDUP(K792,0),'배송비 조회'!A$10:AE$22,7,0)*C$3,-2)</f>
        <v>#REF!</v>
      </c>
      <c r="U792">
        <v>0</v>
      </c>
      <c r="V792" t="str">
        <f>ROUND(IF(R788&gt;0,0,(S792+T792)*0.3),-2)</f>
        <v>#REF!</v>
      </c>
      <c r="W792" t="str">
        <f>ROUND(IF(R788&gt;0,0,(S792+T792)*0.5),-2)</f>
        <v>#REF!</v>
      </c>
      <c r="X792" t="str">
        <f>SUM(S792:V792)</f>
        <v>#REF!</v>
      </c>
      <c r="Y792" t="str">
        <f>SUM(S792:U792)+W792</f>
        <v>#REF!</v>
      </c>
      <c r="Z792">
        <v>0</v>
      </c>
      <c r="AA792" t="str">
        <f>X792*0.038</f>
        <v>#REF!</v>
      </c>
      <c r="AB792" t="str">
        <f>X792*0.02</f>
        <v>#REF!</v>
      </c>
      <c r="AC792" t="str">
        <f>Y792*0.1</f>
        <v>#REF!</v>
      </c>
      <c r="AD792" t="str">
        <f>X792-AA792-AB792</f>
        <v>#REF!</v>
      </c>
      <c r="AE792" t="str">
        <f>Y792-AC792</f>
        <v>#REF!</v>
      </c>
      <c r="AF792" t="str">
        <f>AD792*0.01</f>
        <v>#REF!</v>
      </c>
      <c r="AG792" t="str">
        <f>AD792-Q792-AF792-T792</f>
        <v>#REF!</v>
      </c>
      <c r="AH792" t="str">
        <f>AE792-Q792-AF792-T792</f>
        <v>#REF!</v>
      </c>
      <c r="AI792" t="str">
        <f>AG792/X792</f>
        <v>#REF!</v>
      </c>
      <c r="AJ792" t="str">
        <f>AH792/Y792</f>
        <v>#REF!</v>
      </c>
    </row>
    <row r="793">
      <c r="G793" t="str">
        <v>A</v>
      </c>
      <c r="K793" t="str">
        <f>IF(L793&gt;0,L793*0.0625,)</f>
        <v>#REF!</v>
      </c>
      <c r="L793" t="str">
        <f>IF(K793&gt;0,K793*16,)</f>
        <v>#REF!</v>
      </c>
      <c r="M793" t="str">
        <f>IF(K793&gt;0,K793*0.453592,IF(L793&gt;0,L793*0.02835,))</f>
        <v>#REF!</v>
      </c>
      <c r="P793">
        <f>J793+O793+N793</f>
        <v>0</v>
      </c>
      <c r="Q793">
        <f>P793*C$3</f>
        <v>0</v>
      </c>
      <c r="R793">
        <v>0</v>
      </c>
      <c r="S793">
        <f>ROUND(SUM(Q793:R793), -2)</f>
        <v>0</v>
      </c>
      <c r="T793" t="str">
        <f>ROUNDUP(HLOOKUP(ROUNDUP(K793,0),'배송비 조회'!A$10:AE$22,7,0)*C$3,-2)</f>
        <v>#REF!</v>
      </c>
      <c r="U793">
        <v>0</v>
      </c>
      <c r="V793" t="str">
        <f>ROUND(IF(R789&gt;0,0,(S793+T793)*0.3),-2)</f>
        <v>#REF!</v>
      </c>
      <c r="W793" t="str">
        <f>ROUND(IF(R789&gt;0,0,(S793+T793)*0.5),-2)</f>
        <v>#REF!</v>
      </c>
      <c r="X793" t="str">
        <f>SUM(S793:V793)</f>
        <v>#REF!</v>
      </c>
      <c r="Y793" t="str">
        <f>SUM(S793:U793)+W793</f>
        <v>#REF!</v>
      </c>
      <c r="Z793">
        <v>0</v>
      </c>
      <c r="AA793" t="str">
        <f>X793*0.038</f>
        <v>#REF!</v>
      </c>
      <c r="AB793" t="str">
        <f>X793*0.02</f>
        <v>#REF!</v>
      </c>
      <c r="AC793" t="str">
        <f>Y793*0.1</f>
        <v>#REF!</v>
      </c>
      <c r="AD793" t="str">
        <f>X793-AA793-AB793</f>
        <v>#REF!</v>
      </c>
      <c r="AE793" t="str">
        <f>Y793-AC793</f>
        <v>#REF!</v>
      </c>
      <c r="AF793" t="str">
        <f>AD793*0.01</f>
        <v>#REF!</v>
      </c>
      <c r="AG793" t="str">
        <f>AD793-Q793-AF793-T793</f>
        <v>#REF!</v>
      </c>
      <c r="AH793" t="str">
        <f>AE793-Q793-AF793-T793</f>
        <v>#REF!</v>
      </c>
      <c r="AI793" t="str">
        <f>AG793/X793</f>
        <v>#REF!</v>
      </c>
      <c r="AJ793" t="str">
        <f>AH793/Y793</f>
        <v>#REF!</v>
      </c>
    </row>
    <row r="794">
      <c r="G794" t="str">
        <v>A</v>
      </c>
      <c r="K794" t="str">
        <f>IF(L794&gt;0,L794*0.0625,IF(M794&gt;0,M794*2.204623,))</f>
        <v>#REF!</v>
      </c>
      <c r="L794" t="str">
        <f>IF(K794&gt;0,K794*16,IF(M794&gt;0,M794*35.273962,))</f>
        <v>#REF!</v>
      </c>
      <c r="M794" t="str">
        <f>IF(K794&gt;0,K794*0.453592,IF(L794&gt;0,L794*0.02835,))</f>
        <v>#REF!</v>
      </c>
      <c r="P794">
        <f>J794+O794+N794</f>
        <v>0</v>
      </c>
      <c r="Q794">
        <f>P794*C$3</f>
        <v>0</v>
      </c>
      <c r="R794">
        <v>0</v>
      </c>
      <c r="S794">
        <f>ROUND(SUM(Q794:R794), -2)</f>
        <v>0</v>
      </c>
      <c r="T794" t="str">
        <f>ROUNDUP(HLOOKUP(ROUNDUP(K794,0),'배송비 조회'!A$10:AE$22,7,0)*C$3,-2)</f>
        <v>#REF!</v>
      </c>
      <c r="U794">
        <v>0</v>
      </c>
      <c r="V794" t="str">
        <f>ROUND(IF(R790&gt;0,0,(S794+T794)*0.3),-2)</f>
        <v>#REF!</v>
      </c>
      <c r="W794" t="str">
        <f>ROUND(IF(R790&gt;0,0,(S794+T794)*0.5),-2)</f>
        <v>#REF!</v>
      </c>
      <c r="X794" t="str">
        <f>SUM(S794:V794)</f>
        <v>#REF!</v>
      </c>
      <c r="Y794" t="str">
        <f>SUM(S794:U794)+W794</f>
        <v>#REF!</v>
      </c>
      <c r="Z794">
        <v>0</v>
      </c>
      <c r="AA794" t="str">
        <f>X794*0.038</f>
        <v>#REF!</v>
      </c>
      <c r="AB794" t="str">
        <f>X794*0.02</f>
        <v>#REF!</v>
      </c>
      <c r="AC794" t="str">
        <f>Y794*0.1</f>
        <v>#REF!</v>
      </c>
      <c r="AD794" t="str">
        <f>X794-AA794-AB794</f>
        <v>#REF!</v>
      </c>
      <c r="AE794" t="str">
        <f>Y794-AC794</f>
        <v>#REF!</v>
      </c>
      <c r="AF794" t="str">
        <f>AD794*0.01</f>
        <v>#REF!</v>
      </c>
      <c r="AG794" t="str">
        <f>AD794-Q794-AF794-T794</f>
        <v>#REF!</v>
      </c>
      <c r="AH794" t="str">
        <f>AE794-Q794-AF794-T794</f>
        <v>#REF!</v>
      </c>
      <c r="AI794" t="str">
        <f>AG794/X794</f>
        <v>#REF!</v>
      </c>
      <c r="AJ794" t="str">
        <f>AH794/Y794</f>
        <v>#REF!</v>
      </c>
    </row>
    <row r="795">
      <c r="G795" t="str">
        <v>A</v>
      </c>
      <c r="K795" t="str">
        <f>IF(L795&gt;0,L795*0.0625,)</f>
        <v>#REF!</v>
      </c>
      <c r="L795" t="str">
        <f>IF(K795&gt;0,K795*16,)</f>
        <v>#REF!</v>
      </c>
      <c r="M795" t="str">
        <f>IF(K795&gt;0,K795*0.453592,IF(L795&gt;0,L795*0.02835,))</f>
        <v>#REF!</v>
      </c>
      <c r="P795">
        <f>J795+O795+N795</f>
        <v>0</v>
      </c>
      <c r="Q795">
        <f>P795*C$3</f>
        <v>0</v>
      </c>
      <c r="R795">
        <v>0</v>
      </c>
      <c r="S795">
        <f>ROUND(SUM(Q795:R795), -2)</f>
        <v>0</v>
      </c>
      <c r="T795" t="str">
        <f>ROUNDUP(HLOOKUP(ROUNDUP(K795,0),'배송비 조회'!A$10:AE$22,7,0)*C$3,-2)</f>
        <v>#REF!</v>
      </c>
      <c r="U795">
        <v>0</v>
      </c>
      <c r="V795" t="str">
        <f>ROUND(IF(R791&gt;0,0,(S795+T795)*0.3),-2)</f>
        <v>#REF!</v>
      </c>
      <c r="W795" t="str">
        <f>ROUND(IF(R791&gt;0,0,(S795+T795)*0.5),-2)</f>
        <v>#REF!</v>
      </c>
      <c r="X795" t="str">
        <f>SUM(S795:V795)</f>
        <v>#REF!</v>
      </c>
      <c r="Y795" t="str">
        <f>SUM(S795:U795)+W795</f>
        <v>#REF!</v>
      </c>
      <c r="Z795">
        <v>0</v>
      </c>
      <c r="AA795" t="str">
        <f>X795*0.038</f>
        <v>#REF!</v>
      </c>
      <c r="AB795" t="str">
        <f>X795*0.02</f>
        <v>#REF!</v>
      </c>
      <c r="AC795" t="str">
        <f>Y795*0.1</f>
        <v>#REF!</v>
      </c>
      <c r="AD795" t="str">
        <f>X795-AA795-AB795</f>
        <v>#REF!</v>
      </c>
      <c r="AE795" t="str">
        <f>Y795-AC795</f>
        <v>#REF!</v>
      </c>
      <c r="AF795" t="str">
        <f>AD795*0.01</f>
        <v>#REF!</v>
      </c>
      <c r="AG795" t="str">
        <f>AD795-Q795-AF795-T795</f>
        <v>#REF!</v>
      </c>
      <c r="AH795" t="str">
        <f>AE795-Q795-AF795-T795</f>
        <v>#REF!</v>
      </c>
      <c r="AI795" t="str">
        <f>AG795/X795</f>
        <v>#REF!</v>
      </c>
      <c r="AJ795" t="str">
        <f>AH795/Y795</f>
        <v>#REF!</v>
      </c>
    </row>
    <row r="796">
      <c r="G796" t="str">
        <v>A</v>
      </c>
      <c r="K796" t="str">
        <f>IF(L796&gt;0,L796*0.0625,)</f>
        <v>#REF!</v>
      </c>
      <c r="L796" t="str">
        <f>IF(K796&gt;0,K796*16,)</f>
        <v>#REF!</v>
      </c>
      <c r="M796" t="str">
        <f>IF(K796&gt;0,K796*0.453592,IF(L796&gt;0,L796*0.02835,))</f>
        <v>#REF!</v>
      </c>
      <c r="P796">
        <f>J796+O796+N796</f>
        <v>0</v>
      </c>
      <c r="Q796">
        <f>P796*C$3</f>
        <v>0</v>
      </c>
      <c r="R796">
        <v>0</v>
      </c>
      <c r="S796">
        <f>ROUND(SUM(Q796:R796), -2)</f>
        <v>0</v>
      </c>
      <c r="T796" t="str">
        <f>ROUNDUP(HLOOKUP(ROUNDUP(K796,0),'배송비 조회'!A$10:AE$22,7,0)*C$3,-2)</f>
        <v>#REF!</v>
      </c>
      <c r="U796">
        <v>0</v>
      </c>
      <c r="V796" t="str">
        <f>ROUND(IF(R792&gt;0,0,(S796+T796)*0.3),-2)</f>
        <v>#REF!</v>
      </c>
      <c r="W796" t="str">
        <f>ROUND(IF(R792&gt;0,0,(S796+T796)*0.5),-2)</f>
        <v>#REF!</v>
      </c>
      <c r="X796" t="str">
        <f>SUM(S796:V796)</f>
        <v>#REF!</v>
      </c>
      <c r="Y796" t="str">
        <f>SUM(S796:U796)+W796</f>
        <v>#REF!</v>
      </c>
      <c r="Z796">
        <v>0</v>
      </c>
      <c r="AA796" t="str">
        <f>X796*0.038</f>
        <v>#REF!</v>
      </c>
      <c r="AB796" t="str">
        <f>X796*0.02</f>
        <v>#REF!</v>
      </c>
      <c r="AC796" t="str">
        <f>Y796*0.1</f>
        <v>#REF!</v>
      </c>
      <c r="AD796" t="str">
        <f>X796-AA796-AB796</f>
        <v>#REF!</v>
      </c>
      <c r="AE796" t="str">
        <f>Y796-AC796</f>
        <v>#REF!</v>
      </c>
      <c r="AF796" t="str">
        <f>AD796*0.01</f>
        <v>#REF!</v>
      </c>
      <c r="AG796" t="str">
        <f>AD796-Q796-AF796-T796</f>
        <v>#REF!</v>
      </c>
      <c r="AH796" t="str">
        <f>AE796-Q796-AF796-T796</f>
        <v>#REF!</v>
      </c>
      <c r="AI796" t="str">
        <f>AG796/X796</f>
        <v>#REF!</v>
      </c>
      <c r="AJ796" t="str">
        <f>AH796/Y796</f>
        <v>#REF!</v>
      </c>
    </row>
    <row r="797">
      <c r="G797" t="str">
        <v>A</v>
      </c>
      <c r="K797" t="str">
        <f>IF(L797&gt;0,L797*0.0625,)</f>
        <v>#REF!</v>
      </c>
      <c r="L797" t="str">
        <f>IF(K797&gt;0,K797*16,)</f>
        <v>#REF!</v>
      </c>
      <c r="M797" t="str">
        <f>IF(K797&gt;0,K797*0.453592,IF(L797&gt;0,L797*0.02835,))</f>
        <v>#REF!</v>
      </c>
      <c r="P797">
        <f>J797+O797+N797</f>
        <v>0</v>
      </c>
      <c r="Q797">
        <f>P797*C$3</f>
        <v>0</v>
      </c>
      <c r="R797">
        <v>0</v>
      </c>
      <c r="S797">
        <f>ROUND(SUM(Q797:R797), -2)</f>
        <v>0</v>
      </c>
      <c r="T797" t="str">
        <f>ROUNDUP(HLOOKUP(ROUNDUP(K797,0),'배송비 조회'!A$10:AE$22,7,0)*C$3,-2)</f>
        <v>#REF!</v>
      </c>
      <c r="U797">
        <v>0</v>
      </c>
      <c r="V797" t="str">
        <f>ROUND(IF(R793&gt;0,0,(S797+T797)*0.3),-2)</f>
        <v>#REF!</v>
      </c>
      <c r="W797" t="str">
        <f>ROUND(IF(R793&gt;0,0,(S797+T797)*0.5),-2)</f>
        <v>#REF!</v>
      </c>
      <c r="X797" t="str">
        <f>SUM(S797:V797)</f>
        <v>#REF!</v>
      </c>
      <c r="Y797" t="str">
        <f>SUM(S797:U797)+W797</f>
        <v>#REF!</v>
      </c>
      <c r="Z797">
        <v>0</v>
      </c>
      <c r="AA797" t="str">
        <f>X797*0.038</f>
        <v>#REF!</v>
      </c>
      <c r="AB797" t="str">
        <f>X797*0.02</f>
        <v>#REF!</v>
      </c>
      <c r="AC797" t="str">
        <f>Y797*0.1</f>
        <v>#REF!</v>
      </c>
      <c r="AD797" t="str">
        <f>X797-AA797-AB797</f>
        <v>#REF!</v>
      </c>
      <c r="AE797" t="str">
        <f>Y797-AC797</f>
        <v>#REF!</v>
      </c>
      <c r="AF797" t="str">
        <f>AD797*0.01</f>
        <v>#REF!</v>
      </c>
      <c r="AG797" t="str">
        <f>AD797-Q797-AF797-T797</f>
        <v>#REF!</v>
      </c>
      <c r="AH797" t="str">
        <f>AE797-Q797-AF797-T797</f>
        <v>#REF!</v>
      </c>
      <c r="AI797" t="str">
        <f>AG797/X797</f>
        <v>#REF!</v>
      </c>
      <c r="AJ797" t="str">
        <f>AH797/Y797</f>
        <v>#REF!</v>
      </c>
    </row>
    <row r="798">
      <c r="G798" t="str">
        <v>A</v>
      </c>
      <c r="K798" t="str">
        <f>IF(L798&gt;0,L798*0.0625,)</f>
        <v>#REF!</v>
      </c>
      <c r="L798" t="str">
        <f>IF(K798&gt;0,K798*16,)</f>
        <v>#REF!</v>
      </c>
      <c r="M798" t="str">
        <f>IF(K798&gt;0,K798*0.453592,IF(L798&gt;0,L798*0.02835,))</f>
        <v>#REF!</v>
      </c>
      <c r="P798">
        <f>J798+O798+N798</f>
        <v>0</v>
      </c>
      <c r="Q798">
        <f>P798*C$3</f>
        <v>0</v>
      </c>
      <c r="R798">
        <v>0</v>
      </c>
      <c r="S798">
        <f>ROUND(SUM(Q798:R798), -2)</f>
        <v>0</v>
      </c>
      <c r="T798" t="str">
        <f>ROUNDUP(HLOOKUP(ROUNDUP(K798,0),'배송비 조회'!A$10:AE$22,7,0)*C$3,-2)</f>
        <v>#REF!</v>
      </c>
      <c r="U798">
        <v>0</v>
      </c>
      <c r="V798" t="str">
        <f>ROUND(IF(R794&gt;0,0,(S798+T798)*0.3),-2)</f>
        <v>#REF!</v>
      </c>
      <c r="W798" t="str">
        <f>ROUND(IF(R794&gt;0,0,(S798+T798)*0.5),-2)</f>
        <v>#REF!</v>
      </c>
      <c r="X798" t="str">
        <f>SUM(S798:V798)</f>
        <v>#REF!</v>
      </c>
      <c r="Y798" t="str">
        <f>SUM(S798:U798)+W798</f>
        <v>#REF!</v>
      </c>
      <c r="Z798">
        <v>0</v>
      </c>
      <c r="AA798" t="str">
        <f>X798*0.038</f>
        <v>#REF!</v>
      </c>
      <c r="AB798" t="str">
        <f>X798*0.02</f>
        <v>#REF!</v>
      </c>
      <c r="AC798" t="str">
        <f>Y798*0.1</f>
        <v>#REF!</v>
      </c>
      <c r="AD798" t="str">
        <f>X798-AA798-AB798</f>
        <v>#REF!</v>
      </c>
      <c r="AE798" t="str">
        <f>Y798-AC798</f>
        <v>#REF!</v>
      </c>
      <c r="AF798" t="str">
        <f>AD798*0.01</f>
        <v>#REF!</v>
      </c>
      <c r="AG798" t="str">
        <f>AD798-Q798-AF798-T798</f>
        <v>#REF!</v>
      </c>
      <c r="AH798" t="str">
        <f>AE798-Q798-AF798-T798</f>
        <v>#REF!</v>
      </c>
      <c r="AI798" t="str">
        <f>AG798/X798</f>
        <v>#REF!</v>
      </c>
      <c r="AJ798" t="str">
        <f>AH798/Y798</f>
        <v>#REF!</v>
      </c>
    </row>
    <row r="799">
      <c r="G799" t="str">
        <v>A</v>
      </c>
      <c r="K799" t="str">
        <f>IF(L799&gt;0,L799*0.0625,)</f>
        <v>#REF!</v>
      </c>
      <c r="L799" t="str">
        <f>IF(K799&gt;0,K799*16,)</f>
        <v>#REF!</v>
      </c>
      <c r="M799" t="str">
        <f>IF(K799&gt;0,K799*0.453592,IF(L799&gt;0,L799*0.02835,))</f>
        <v>#REF!</v>
      </c>
      <c r="P799">
        <f>J799+O799+N799</f>
        <v>0</v>
      </c>
      <c r="Q799">
        <f>P799*C$3</f>
        <v>0</v>
      </c>
      <c r="R799">
        <v>0</v>
      </c>
      <c r="S799">
        <f>ROUND(SUM(Q799:R799), -2)</f>
        <v>0</v>
      </c>
      <c r="T799" t="str">
        <f>ROUNDUP(HLOOKUP(ROUNDUP(K799,0),'배송비 조회'!A$10:AE$22,7,0)*C$3,-2)</f>
        <v>#REF!</v>
      </c>
      <c r="U799">
        <v>0</v>
      </c>
      <c r="V799" t="str">
        <f>ROUND(IF(R795&gt;0,0,(S799+T799)*0.3),-2)</f>
        <v>#REF!</v>
      </c>
      <c r="W799" t="str">
        <f>ROUND(IF(R795&gt;0,0,(S799+T799)*0.5),-2)</f>
        <v>#REF!</v>
      </c>
      <c r="X799" t="str">
        <f>SUM(S799:V799)</f>
        <v>#REF!</v>
      </c>
      <c r="Y799" t="str">
        <f>SUM(S799:U799)+W799</f>
        <v>#REF!</v>
      </c>
      <c r="Z799">
        <v>0</v>
      </c>
      <c r="AA799" t="str">
        <f>X799*0.038</f>
        <v>#REF!</v>
      </c>
      <c r="AB799" t="str">
        <f>X799*0.02</f>
        <v>#REF!</v>
      </c>
      <c r="AC799" t="str">
        <f>Y799*0.1</f>
        <v>#REF!</v>
      </c>
      <c r="AD799" t="str">
        <f>X799-AA799-AB799</f>
        <v>#REF!</v>
      </c>
      <c r="AE799" t="str">
        <f>Y799-AC799</f>
        <v>#REF!</v>
      </c>
      <c r="AF799" t="str">
        <f>AD799*0.01</f>
        <v>#REF!</v>
      </c>
      <c r="AG799" t="str">
        <f>AD799-Q799-AF799-T799</f>
        <v>#REF!</v>
      </c>
      <c r="AH799" t="str">
        <f>AE799-Q799-AF799-T799</f>
        <v>#REF!</v>
      </c>
      <c r="AI799" t="str">
        <f>AG799/X799</f>
        <v>#REF!</v>
      </c>
      <c r="AJ799" t="str">
        <f>AH799/Y799</f>
        <v>#REF!</v>
      </c>
    </row>
    <row r="800">
      <c r="G800" t="str">
        <v>A</v>
      </c>
      <c r="K800" t="str">
        <f>IF(L800&gt;0,L800*0.0625,)</f>
        <v>#REF!</v>
      </c>
      <c r="L800" t="str">
        <f>IF(K800&gt;0,K800*16,)</f>
        <v>#REF!</v>
      </c>
      <c r="M800" t="str">
        <f>IF(K800&gt;0,K800*0.453592,IF(L800&gt;0,L800*0.02835,))</f>
        <v>#REF!</v>
      </c>
      <c r="P800">
        <f>J800+O800+N800</f>
        <v>0</v>
      </c>
      <c r="Q800">
        <f>P800*C$3</f>
        <v>0</v>
      </c>
      <c r="R800">
        <v>0</v>
      </c>
      <c r="S800">
        <f>ROUND(SUM(Q800:R800), -2)</f>
        <v>0</v>
      </c>
      <c r="T800" t="str">
        <f>ROUNDUP(HLOOKUP(ROUNDUP(K800,0),'배송비 조회'!A$10:AE$22,7,0)*C$3,-2)</f>
        <v>#REF!</v>
      </c>
      <c r="U800">
        <v>0</v>
      </c>
      <c r="V800" t="str">
        <f>ROUND(IF(R796&gt;0,0,(S800+T800)*0.3),-2)</f>
        <v>#REF!</v>
      </c>
      <c r="W800" t="str">
        <f>ROUND(IF(R796&gt;0,0,(S800+T800)*0.5),-2)</f>
        <v>#REF!</v>
      </c>
      <c r="X800" t="str">
        <f>SUM(S800:V800)</f>
        <v>#REF!</v>
      </c>
      <c r="Y800" t="str">
        <f>SUM(S800:U800)+W800</f>
        <v>#REF!</v>
      </c>
      <c r="Z800">
        <v>0</v>
      </c>
      <c r="AA800" t="str">
        <f>X800*0.038</f>
        <v>#REF!</v>
      </c>
      <c r="AB800" t="str">
        <f>X800*0.02</f>
        <v>#REF!</v>
      </c>
      <c r="AC800" t="str">
        <f>Y800*0.1</f>
        <v>#REF!</v>
      </c>
      <c r="AD800" t="str">
        <f>X800-AA800-AB800</f>
        <v>#REF!</v>
      </c>
      <c r="AE800" t="str">
        <f>Y800-AC800</f>
        <v>#REF!</v>
      </c>
      <c r="AF800" t="str">
        <f>AD800*0.01</f>
        <v>#REF!</v>
      </c>
      <c r="AG800" t="str">
        <f>AD800-Q800-AF800-T800</f>
        <v>#REF!</v>
      </c>
      <c r="AH800" t="str">
        <f>AE800-Q800-AF800-T800</f>
        <v>#REF!</v>
      </c>
      <c r="AI800" t="str">
        <f>AG800/X800</f>
        <v>#REF!</v>
      </c>
      <c r="AJ800" t="str">
        <f>AH800/Y800</f>
        <v>#REF!</v>
      </c>
    </row>
    <row r="801">
      <c r="G801" t="str">
        <v>A</v>
      </c>
      <c r="K801" t="str">
        <f>IF(L801&gt;0,L801*0.0625,)</f>
        <v>#REF!</v>
      </c>
      <c r="L801" t="str">
        <f>IF(K801&gt;0,K801*16,)</f>
        <v>#REF!</v>
      </c>
      <c r="M801" t="str">
        <f>IF(K801&gt;0,K801*0.453592,IF(L801&gt;0,L801*0.02835,))</f>
        <v>#REF!</v>
      </c>
      <c r="P801">
        <f>J801+O801+N801</f>
        <v>0</v>
      </c>
      <c r="Q801">
        <f>P801*C$3</f>
        <v>0</v>
      </c>
      <c r="R801">
        <v>0</v>
      </c>
      <c r="S801">
        <f>ROUND(SUM(Q801:R801), -2)</f>
        <v>0</v>
      </c>
      <c r="T801" t="str">
        <f>ROUNDUP(HLOOKUP(ROUNDUP(K801,0),'배송비 조회'!A$10:AE$22,7,0)*C$3,-2)</f>
        <v>#REF!</v>
      </c>
      <c r="U801">
        <v>0</v>
      </c>
      <c r="V801" t="str">
        <f>ROUND(IF(R797&gt;0,0,(S801+T801)*0.3),-2)</f>
        <v>#REF!</v>
      </c>
      <c r="W801" t="str">
        <f>ROUND(IF(R797&gt;0,0,(S801+T801)*0.5),-2)</f>
        <v>#REF!</v>
      </c>
      <c r="X801" t="str">
        <f>SUM(S801:V801)</f>
        <v>#REF!</v>
      </c>
      <c r="Y801" t="str">
        <f>SUM(S801:U801)+W801</f>
        <v>#REF!</v>
      </c>
      <c r="Z801">
        <v>0</v>
      </c>
      <c r="AA801" t="str">
        <f>X801*0.038</f>
        <v>#REF!</v>
      </c>
      <c r="AB801" t="str">
        <f>X801*0.02</f>
        <v>#REF!</v>
      </c>
      <c r="AC801" t="str">
        <f>Y801*0.1</f>
        <v>#REF!</v>
      </c>
      <c r="AD801" t="str">
        <f>X801-AA801-AB801</f>
        <v>#REF!</v>
      </c>
      <c r="AE801" t="str">
        <f>Y801-AC801</f>
        <v>#REF!</v>
      </c>
      <c r="AF801" t="str">
        <f>AD801*0.01</f>
        <v>#REF!</v>
      </c>
      <c r="AG801" t="str">
        <f>AD801-Q801-AF801-T801</f>
        <v>#REF!</v>
      </c>
      <c r="AH801" t="str">
        <f>AE801-Q801-AF801-T801</f>
        <v>#REF!</v>
      </c>
      <c r="AI801" t="str">
        <f>AG801/X801</f>
        <v>#REF!</v>
      </c>
      <c r="AJ801" t="str">
        <f>AH801/Y801</f>
        <v>#REF!</v>
      </c>
    </row>
    <row r="802">
      <c r="G802" t="str">
        <v>A</v>
      </c>
      <c r="K802" t="str">
        <f>IF(L802&gt;0,L802*0.0625,)</f>
        <v>#REF!</v>
      </c>
      <c r="L802" t="str">
        <f>IF(K802&gt;0,K802*16,)</f>
        <v>#REF!</v>
      </c>
      <c r="M802" t="str">
        <f>IF(K802&gt;0,K802*0.453592,IF(L802&gt;0,L802*0.02835,))</f>
        <v>#REF!</v>
      </c>
      <c r="P802">
        <f>J802+O802+N802</f>
        <v>0</v>
      </c>
      <c r="Q802">
        <f>P802*C$3</f>
        <v>0</v>
      </c>
      <c r="R802">
        <v>0</v>
      </c>
      <c r="S802">
        <f>ROUND(SUM(Q802:R802), -2)</f>
        <v>0</v>
      </c>
      <c r="T802" t="str">
        <f>ROUNDUP(HLOOKUP(ROUNDUP(K802,0),'배송비 조회'!A$10:AE$22,7,0)*C$3,-2)</f>
        <v>#REF!</v>
      </c>
      <c r="U802">
        <v>0</v>
      </c>
      <c r="V802" t="str">
        <f>ROUND(IF(R798&gt;0,0,(S802+T802)*0.3),-2)</f>
        <v>#REF!</v>
      </c>
      <c r="W802" t="str">
        <f>ROUND(IF(R798&gt;0,0,(S802+T802)*0.5),-2)</f>
        <v>#REF!</v>
      </c>
      <c r="X802" t="str">
        <f>SUM(S802:V802)</f>
        <v>#REF!</v>
      </c>
      <c r="Y802" t="str">
        <f>SUM(S802:U802)+W802</f>
        <v>#REF!</v>
      </c>
      <c r="Z802">
        <v>0</v>
      </c>
      <c r="AA802" t="str">
        <f>X802*0.038</f>
        <v>#REF!</v>
      </c>
      <c r="AB802" t="str">
        <f>X802*0.02</f>
        <v>#REF!</v>
      </c>
      <c r="AC802" t="str">
        <f>Y802*0.1</f>
        <v>#REF!</v>
      </c>
      <c r="AD802" t="str">
        <f>X802-AA802-AB802</f>
        <v>#REF!</v>
      </c>
      <c r="AE802" t="str">
        <f>Y802-AC802</f>
        <v>#REF!</v>
      </c>
      <c r="AF802" t="str">
        <f>AD802*0.01</f>
        <v>#REF!</v>
      </c>
      <c r="AG802" t="str">
        <f>AD802-Q802-AF802-T802</f>
        <v>#REF!</v>
      </c>
      <c r="AH802" t="str">
        <f>AE802-Q802-AF802-T802</f>
        <v>#REF!</v>
      </c>
      <c r="AI802" t="str">
        <f>AG802/X802</f>
        <v>#REF!</v>
      </c>
      <c r="AJ802" t="str">
        <f>AH802/Y802</f>
        <v>#REF!</v>
      </c>
    </row>
    <row r="803">
      <c r="G803" t="str">
        <v>A</v>
      </c>
      <c r="K803" t="str">
        <f>IF(L803&gt;0,L803*0.0625,)</f>
        <v>#REF!</v>
      </c>
      <c r="L803" t="str">
        <f>IF(K803&gt;0,K803*16,)</f>
        <v>#REF!</v>
      </c>
      <c r="M803" t="str">
        <f>IF(K803&gt;0,K803*0.453592,IF(L803&gt;0,L803*0.02835,))</f>
        <v>#REF!</v>
      </c>
      <c r="P803">
        <f>J803+O803+N803</f>
        <v>0</v>
      </c>
      <c r="Q803">
        <f>P803*C$3</f>
        <v>0</v>
      </c>
      <c r="R803">
        <v>0</v>
      </c>
      <c r="S803">
        <f>ROUND(SUM(Q803:R803), -2)</f>
        <v>0</v>
      </c>
      <c r="T803" t="str">
        <f>ROUNDUP(HLOOKUP(ROUNDUP(K803,0),'배송비 조회'!A$10:AE$22,7,0)*C$3,-2)</f>
        <v>#REF!</v>
      </c>
      <c r="U803">
        <v>0</v>
      </c>
      <c r="V803" t="str">
        <f>ROUND(IF(R799&gt;0,0,(S803+T803)*0.3),-2)</f>
        <v>#REF!</v>
      </c>
      <c r="W803" t="str">
        <f>ROUND(IF(R799&gt;0,0,(S803+T803)*0.5),-2)</f>
        <v>#REF!</v>
      </c>
      <c r="X803" t="str">
        <f>SUM(S803:V803)</f>
        <v>#REF!</v>
      </c>
      <c r="Y803" t="str">
        <f>SUM(S803:U803)+W803</f>
        <v>#REF!</v>
      </c>
      <c r="Z803">
        <v>0</v>
      </c>
      <c r="AA803" t="str">
        <f>X803*0.038</f>
        <v>#REF!</v>
      </c>
      <c r="AB803" t="str">
        <f>X803*0.02</f>
        <v>#REF!</v>
      </c>
      <c r="AC803" t="str">
        <f>Y803*0.1</f>
        <v>#REF!</v>
      </c>
      <c r="AD803" t="str">
        <f>X803-AA803-AB803</f>
        <v>#REF!</v>
      </c>
      <c r="AE803" t="str">
        <f>Y803-AC803</f>
        <v>#REF!</v>
      </c>
      <c r="AF803" t="str">
        <f>AD803*0.01</f>
        <v>#REF!</v>
      </c>
      <c r="AG803" t="str">
        <f>AD803-Q803-AF803-T803</f>
        <v>#REF!</v>
      </c>
      <c r="AH803" t="str">
        <f>AE803-Q803-AF803-T803</f>
        <v>#REF!</v>
      </c>
      <c r="AI803" t="str">
        <f>AG803/X803</f>
        <v>#REF!</v>
      </c>
      <c r="AJ803" t="str">
        <f>AH803/Y803</f>
        <v>#REF!</v>
      </c>
    </row>
    <row r="804">
      <c r="G804" t="str">
        <v>A</v>
      </c>
      <c r="K804" t="str">
        <f>IF(L804&gt;0,L804*0.0625,)</f>
        <v>#REF!</v>
      </c>
      <c r="L804" t="str">
        <f>IF(K804&gt;0,K804*16,)</f>
        <v>#REF!</v>
      </c>
      <c r="M804" t="str">
        <f>IF(K804&gt;0,K804*0.453592,IF(L804&gt;0,L804*0.02835,))</f>
        <v>#REF!</v>
      </c>
      <c r="P804">
        <f>J804+O804+N804</f>
        <v>0</v>
      </c>
      <c r="Q804">
        <f>P804*C$3</f>
        <v>0</v>
      </c>
      <c r="R804">
        <v>0</v>
      </c>
      <c r="S804">
        <f>ROUND(SUM(Q804:R804), -2)</f>
        <v>0</v>
      </c>
      <c r="T804" t="str">
        <f>ROUNDUP(HLOOKUP(ROUNDUP(K804,0),'배송비 조회'!A$10:AE$22,7,0)*C$3,-2)</f>
        <v>#REF!</v>
      </c>
      <c r="U804">
        <v>0</v>
      </c>
      <c r="V804" t="str">
        <f>ROUND(IF(R800&gt;0,0,(S804+T804)*0.3),-2)</f>
        <v>#REF!</v>
      </c>
      <c r="W804" t="str">
        <f>ROUND(IF(R800&gt;0,0,(S804+T804)*0.5),-2)</f>
        <v>#REF!</v>
      </c>
      <c r="X804" t="str">
        <f>SUM(S804:V804)</f>
        <v>#REF!</v>
      </c>
      <c r="Y804" t="str">
        <f>SUM(S804:U804)+W804</f>
        <v>#REF!</v>
      </c>
      <c r="Z804">
        <v>0</v>
      </c>
      <c r="AA804" t="str">
        <f>X804*0.038</f>
        <v>#REF!</v>
      </c>
      <c r="AB804" t="str">
        <f>X804*0.02</f>
        <v>#REF!</v>
      </c>
      <c r="AC804" t="str">
        <f>Y804*0.1</f>
        <v>#REF!</v>
      </c>
      <c r="AD804" t="str">
        <f>X804-AA804-AB804</f>
        <v>#REF!</v>
      </c>
      <c r="AE804" t="str">
        <f>Y804-AC804</f>
        <v>#REF!</v>
      </c>
      <c r="AF804" t="str">
        <f>AD804*0.01</f>
        <v>#REF!</v>
      </c>
      <c r="AG804" t="str">
        <f>AD804-Q804-AF804-T804</f>
        <v>#REF!</v>
      </c>
      <c r="AH804" t="str">
        <f>AE804-Q804-AF804-T804</f>
        <v>#REF!</v>
      </c>
      <c r="AI804" t="str">
        <f>AG804/X804</f>
        <v>#REF!</v>
      </c>
      <c r="AJ804" t="str">
        <f>AH804/Y804</f>
        <v>#REF!</v>
      </c>
    </row>
    <row r="805">
      <c r="G805" t="str">
        <v>A</v>
      </c>
      <c r="K805" t="str">
        <f>IF(L805&gt;0,L805*0.0625,)</f>
        <v>#REF!</v>
      </c>
      <c r="L805" t="str">
        <f>IF(K805&gt;0,K805*16,)</f>
        <v>#REF!</v>
      </c>
      <c r="M805" t="str">
        <f>IF(K805&gt;0,K805*0.453592,IF(L805&gt;0,L805*0.02835,))</f>
        <v>#REF!</v>
      </c>
      <c r="P805">
        <f>J805+O805+N805</f>
        <v>0</v>
      </c>
      <c r="Q805">
        <f>P805*C$3</f>
        <v>0</v>
      </c>
      <c r="R805">
        <v>0</v>
      </c>
      <c r="S805">
        <f>ROUND(SUM(Q805:R805), -2)</f>
        <v>0</v>
      </c>
      <c r="T805" t="str">
        <f>ROUNDUP(HLOOKUP(ROUNDUP(K805,0),'배송비 조회'!A$10:AE$22,7,0)*C$3,-2)</f>
        <v>#REF!</v>
      </c>
      <c r="U805">
        <v>0</v>
      </c>
      <c r="V805" t="str">
        <f>ROUND(IF(R801&gt;0,0,(S805+T805)*0.3),-2)</f>
        <v>#REF!</v>
      </c>
      <c r="W805" t="str">
        <f>ROUND(IF(R801&gt;0,0,(S805+T805)*0.5),-2)</f>
        <v>#REF!</v>
      </c>
      <c r="X805" t="str">
        <f>SUM(S805:V805)</f>
        <v>#REF!</v>
      </c>
      <c r="Y805" t="str">
        <f>SUM(S805:U805)+W805</f>
        <v>#REF!</v>
      </c>
      <c r="Z805">
        <v>0</v>
      </c>
      <c r="AA805" t="str">
        <f>X805*0.038</f>
        <v>#REF!</v>
      </c>
      <c r="AB805" t="str">
        <f>X805*0.02</f>
        <v>#REF!</v>
      </c>
      <c r="AC805" t="str">
        <f>Y805*0.1</f>
        <v>#REF!</v>
      </c>
      <c r="AD805" t="str">
        <f>X805-AA805-AB805</f>
        <v>#REF!</v>
      </c>
      <c r="AE805" t="str">
        <f>Y805-AC805</f>
        <v>#REF!</v>
      </c>
      <c r="AF805" t="str">
        <f>AD805*0.01</f>
        <v>#REF!</v>
      </c>
      <c r="AG805" t="str">
        <f>AD805-Q805-AF805-T805</f>
        <v>#REF!</v>
      </c>
      <c r="AH805" t="str">
        <f>AE805-Q805-AF805-T805</f>
        <v>#REF!</v>
      </c>
      <c r="AI805" t="str">
        <f>AG805/X805</f>
        <v>#REF!</v>
      </c>
      <c r="AJ805" t="str">
        <f>AH805/Y805</f>
        <v>#REF!</v>
      </c>
    </row>
    <row r="806">
      <c r="G806" t="str">
        <v>A</v>
      </c>
      <c r="K806" t="str">
        <f>IF(L806&gt;0,L806*0.0625,)</f>
        <v>#REF!</v>
      </c>
      <c r="L806" t="str">
        <f>IF(K806&gt;0,K806*16,)</f>
        <v>#REF!</v>
      </c>
      <c r="M806" t="str">
        <f>IF(K806&gt;0,K806*0.453592,IF(L806&gt;0,L806*0.02835,))</f>
        <v>#REF!</v>
      </c>
      <c r="P806">
        <f>J806+O806+N806</f>
        <v>0</v>
      </c>
      <c r="Q806">
        <f>P806*C$3</f>
        <v>0</v>
      </c>
      <c r="R806">
        <v>0</v>
      </c>
      <c r="S806">
        <f>ROUND(SUM(Q806:R806), -2)</f>
        <v>0</v>
      </c>
      <c r="T806" t="str">
        <f>ROUNDUP(HLOOKUP(ROUNDUP(K806,0),'배송비 조회'!A$10:AE$22,7,0)*C$3,-2)</f>
        <v>#REF!</v>
      </c>
      <c r="U806">
        <v>0</v>
      </c>
      <c r="V806" t="str">
        <f>ROUND(IF(R802&gt;0,0,(S806+T806)*0.3),-2)</f>
        <v>#REF!</v>
      </c>
      <c r="W806" t="str">
        <f>ROUND(IF(R802&gt;0,0,(S806+T806)*0.5),-2)</f>
        <v>#REF!</v>
      </c>
      <c r="X806" t="str">
        <f>SUM(S806:V806)</f>
        <v>#REF!</v>
      </c>
      <c r="Y806" t="str">
        <f>SUM(S806:U806)+W806</f>
        <v>#REF!</v>
      </c>
      <c r="Z806">
        <v>0</v>
      </c>
      <c r="AA806" t="str">
        <f>X806*0.038</f>
        <v>#REF!</v>
      </c>
      <c r="AB806" t="str">
        <f>X806*0.02</f>
        <v>#REF!</v>
      </c>
      <c r="AC806" t="str">
        <f>Y806*0.1</f>
        <v>#REF!</v>
      </c>
      <c r="AD806" t="str">
        <f>X806-AA806-AB806</f>
        <v>#REF!</v>
      </c>
      <c r="AE806" t="str">
        <f>Y806-AC806</f>
        <v>#REF!</v>
      </c>
      <c r="AF806" t="str">
        <f>AD806*0.01</f>
        <v>#REF!</v>
      </c>
      <c r="AG806" t="str">
        <f>AD806-Q806-AF806-T806</f>
        <v>#REF!</v>
      </c>
      <c r="AH806" t="str">
        <f>AE806-Q806-AF806-T806</f>
        <v>#REF!</v>
      </c>
      <c r="AI806" t="str">
        <f>AG806/X806</f>
        <v>#REF!</v>
      </c>
      <c r="AJ806" t="str">
        <f>AH806/Y806</f>
        <v>#REF!</v>
      </c>
    </row>
    <row r="807">
      <c r="G807" t="str">
        <v>A</v>
      </c>
      <c r="K807" t="str">
        <f>IF(L807&gt;0,L807*0.0625,)</f>
        <v>#REF!</v>
      </c>
      <c r="L807" t="str">
        <f>IF(K807&gt;0,K807*16,)</f>
        <v>#REF!</v>
      </c>
      <c r="M807" t="str">
        <f>IF(K807&gt;0,K807*0.453592,IF(L807&gt;0,L807*0.02835,))</f>
        <v>#REF!</v>
      </c>
      <c r="P807">
        <f>J807+O807+N807</f>
        <v>0</v>
      </c>
      <c r="Q807">
        <f>P807*C$3</f>
        <v>0</v>
      </c>
      <c r="R807">
        <v>0</v>
      </c>
      <c r="S807">
        <f>ROUND(SUM(Q807:R807), -2)</f>
        <v>0</v>
      </c>
      <c r="T807" t="str">
        <f>ROUNDUP(HLOOKUP(ROUNDUP(K807,0),'배송비 조회'!A$10:AE$22,7,0)*C$3,-2)</f>
        <v>#REF!</v>
      </c>
      <c r="U807">
        <v>0</v>
      </c>
      <c r="V807" t="str">
        <f>ROUND(IF(R803&gt;0,0,(S807+T807)*0.3),-2)</f>
        <v>#REF!</v>
      </c>
      <c r="W807" t="str">
        <f>ROUND(IF(R803&gt;0,0,(S807+T807)*0.5),-2)</f>
        <v>#REF!</v>
      </c>
      <c r="X807" t="str">
        <f>SUM(S807:V807)</f>
        <v>#REF!</v>
      </c>
      <c r="Y807" t="str">
        <f>SUM(S807:U807)+W807</f>
        <v>#REF!</v>
      </c>
      <c r="Z807">
        <v>0</v>
      </c>
      <c r="AA807" t="str">
        <f>X807*0.038</f>
        <v>#REF!</v>
      </c>
      <c r="AB807" t="str">
        <f>X807*0.02</f>
        <v>#REF!</v>
      </c>
      <c r="AC807" t="str">
        <f>Y807*0.1</f>
        <v>#REF!</v>
      </c>
      <c r="AD807" t="str">
        <f>X807-AA807-AB807</f>
        <v>#REF!</v>
      </c>
      <c r="AE807" t="str">
        <f>Y807-AC807</f>
        <v>#REF!</v>
      </c>
      <c r="AF807" t="str">
        <f>AD807*0.01</f>
        <v>#REF!</v>
      </c>
      <c r="AG807" t="str">
        <f>AD807-Q807-AF807-T807</f>
        <v>#REF!</v>
      </c>
      <c r="AH807" t="str">
        <f>AE807-Q807-AF807-T807</f>
        <v>#REF!</v>
      </c>
      <c r="AI807" t="str">
        <f>AG807/X807</f>
        <v>#REF!</v>
      </c>
      <c r="AJ807" t="str">
        <f>AH807/Y807</f>
        <v>#REF!</v>
      </c>
    </row>
    <row r="808">
      <c r="G808" t="str">
        <v>A</v>
      </c>
      <c r="K808" t="str">
        <f>IF(L808&gt;0,L808*0.0625,)</f>
        <v>#REF!</v>
      </c>
      <c r="L808" t="str">
        <f>IF(K808&gt;0,K808*16,)</f>
        <v>#REF!</v>
      </c>
      <c r="M808" t="str">
        <f>IF(K808&gt;0,K808*0.453592,IF(L808&gt;0,L808*0.02835,))</f>
        <v>#REF!</v>
      </c>
      <c r="P808">
        <f>J808+O808+N808</f>
        <v>0</v>
      </c>
      <c r="Q808">
        <f>P808*C$3</f>
        <v>0</v>
      </c>
      <c r="R808">
        <v>0</v>
      </c>
      <c r="S808">
        <f>ROUND(SUM(Q808:R808), -2)</f>
        <v>0</v>
      </c>
      <c r="T808" t="str">
        <f>ROUNDUP(HLOOKUP(ROUNDUP(K808,0),'배송비 조회'!A$10:AE$22,7,0)*C$3,-2)</f>
        <v>#REF!</v>
      </c>
      <c r="U808">
        <v>0</v>
      </c>
      <c r="V808" t="str">
        <f>ROUND(IF(R804&gt;0,0,(S808+T808)*0.3),-2)</f>
        <v>#REF!</v>
      </c>
      <c r="W808" t="str">
        <f>ROUND(IF(R804&gt;0,0,(S808+T808)*0.5),-2)</f>
        <v>#REF!</v>
      </c>
      <c r="X808" t="str">
        <f>SUM(S808:V808)</f>
        <v>#REF!</v>
      </c>
      <c r="Y808" t="str">
        <f>SUM(S808:U808)+W808</f>
        <v>#REF!</v>
      </c>
      <c r="Z808">
        <v>0</v>
      </c>
      <c r="AA808" t="str">
        <f>X808*0.038</f>
        <v>#REF!</v>
      </c>
      <c r="AB808" t="str">
        <f>X808*0.02</f>
        <v>#REF!</v>
      </c>
      <c r="AC808" t="str">
        <f>Y808*0.1</f>
        <v>#REF!</v>
      </c>
      <c r="AD808" t="str">
        <f>X808-AA808-AB808</f>
        <v>#REF!</v>
      </c>
      <c r="AE808" t="str">
        <f>Y808-AC808</f>
        <v>#REF!</v>
      </c>
      <c r="AF808" t="str">
        <f>AD808*0.01</f>
        <v>#REF!</v>
      </c>
      <c r="AG808" t="str">
        <f>AD808-Q808-AF808-T808</f>
        <v>#REF!</v>
      </c>
      <c r="AH808" t="str">
        <f>AE808-Q808-AF808-T808</f>
        <v>#REF!</v>
      </c>
      <c r="AI808" t="str">
        <f>AG808/X808</f>
        <v>#REF!</v>
      </c>
      <c r="AJ808" t="str">
        <f>AH808/Y808</f>
        <v>#REF!</v>
      </c>
    </row>
    <row r="809">
      <c r="G809" t="str">
        <v>A</v>
      </c>
      <c r="K809" t="str">
        <f>IF(L809&gt;0,L809*0.0625,)</f>
        <v>#REF!</v>
      </c>
      <c r="L809" t="str">
        <f>IF(K809&gt;0,K809*16,)</f>
        <v>#REF!</v>
      </c>
      <c r="M809" t="str">
        <f>IF(K809&gt;0,K809*0.453592,IF(L809&gt;0,L809*0.02835,))</f>
        <v>#REF!</v>
      </c>
      <c r="P809">
        <f>J809+O809+N809</f>
        <v>0</v>
      </c>
      <c r="Q809">
        <f>P809*C$3</f>
        <v>0</v>
      </c>
      <c r="R809">
        <v>0</v>
      </c>
      <c r="S809">
        <f>ROUND(SUM(Q809:R809), -2)</f>
        <v>0</v>
      </c>
      <c r="T809" t="str">
        <f>ROUNDUP(HLOOKUP(ROUNDUP(K809,0),'배송비 조회'!A$10:AE$22,7,0)*C$3,-2)</f>
        <v>#REF!</v>
      </c>
      <c r="U809">
        <v>0</v>
      </c>
      <c r="V809" t="str">
        <f>ROUND(IF(R805&gt;0,0,(S809+T809)*0.3),-2)</f>
        <v>#REF!</v>
      </c>
      <c r="W809" t="str">
        <f>ROUND(IF(R805&gt;0,0,(S809+T809)*0.5),-2)</f>
        <v>#REF!</v>
      </c>
      <c r="X809" t="str">
        <f>SUM(S809:V809)</f>
        <v>#REF!</v>
      </c>
      <c r="Y809" t="str">
        <f>SUM(S809:U809)+W809</f>
        <v>#REF!</v>
      </c>
      <c r="Z809">
        <v>0</v>
      </c>
      <c r="AA809" t="str">
        <f>X809*0.038</f>
        <v>#REF!</v>
      </c>
      <c r="AB809" t="str">
        <f>X809*0.02</f>
        <v>#REF!</v>
      </c>
      <c r="AC809" t="str">
        <f>Y809*0.1</f>
        <v>#REF!</v>
      </c>
      <c r="AD809" t="str">
        <f>X809-AA809-AB809</f>
        <v>#REF!</v>
      </c>
      <c r="AE809" t="str">
        <f>Y809-AC809</f>
        <v>#REF!</v>
      </c>
      <c r="AF809" t="str">
        <f>AD809*0.01</f>
        <v>#REF!</v>
      </c>
      <c r="AG809" t="str">
        <f>AD809-Q809-AF809-T809</f>
        <v>#REF!</v>
      </c>
      <c r="AH809" t="str">
        <f>AE809-Q809-AF809-T809</f>
        <v>#REF!</v>
      </c>
      <c r="AI809" t="str">
        <f>AG809/X809</f>
        <v>#REF!</v>
      </c>
      <c r="AJ809" t="str">
        <f>AH809/Y809</f>
        <v>#REF!</v>
      </c>
    </row>
    <row r="810">
      <c r="G810" t="str">
        <v>A</v>
      </c>
      <c r="K810" t="str">
        <f>IF(L810&gt;0,L810*0.0625,)</f>
        <v>#REF!</v>
      </c>
      <c r="L810" t="str">
        <f>IF(K810&gt;0,K810*16,)</f>
        <v>#REF!</v>
      </c>
      <c r="M810" t="str">
        <f>IF(K810&gt;0,K810*0.453592,IF(L810&gt;0,L810*0.02835,))</f>
        <v>#REF!</v>
      </c>
      <c r="P810">
        <f>J810+O810+N810</f>
        <v>0</v>
      </c>
      <c r="Q810">
        <f>P810*C$3</f>
        <v>0</v>
      </c>
      <c r="R810">
        <v>0</v>
      </c>
      <c r="S810">
        <f>ROUND(SUM(Q810:R810), -2)</f>
        <v>0</v>
      </c>
      <c r="T810" t="str">
        <f>ROUNDUP(HLOOKUP(ROUNDUP(K810,0),'배송비 조회'!A$10:AE$22,7,0)*C$3,-2)</f>
        <v>#REF!</v>
      </c>
      <c r="U810">
        <v>0</v>
      </c>
      <c r="V810" t="str">
        <f>ROUND(IF(R806&gt;0,0,(S810+T810)*0.3),-2)</f>
        <v>#REF!</v>
      </c>
      <c r="W810" t="str">
        <f>ROUND(IF(R806&gt;0,0,(S810+T810)*0.5),-2)</f>
        <v>#REF!</v>
      </c>
      <c r="X810" t="str">
        <f>SUM(S810:V810)</f>
        <v>#REF!</v>
      </c>
      <c r="Y810" t="str">
        <f>SUM(S810:U810)+W810</f>
        <v>#REF!</v>
      </c>
      <c r="Z810">
        <v>0</v>
      </c>
      <c r="AA810" t="str">
        <f>X810*0.038</f>
        <v>#REF!</v>
      </c>
      <c r="AB810" t="str">
        <f>X810*0.02</f>
        <v>#REF!</v>
      </c>
      <c r="AC810" t="str">
        <f>Y810*0.1</f>
        <v>#REF!</v>
      </c>
      <c r="AD810" t="str">
        <f>X810-AA810-AB810</f>
        <v>#REF!</v>
      </c>
      <c r="AE810" t="str">
        <f>Y810-AC810</f>
        <v>#REF!</v>
      </c>
      <c r="AF810" t="str">
        <f>AD810*0.01</f>
        <v>#REF!</v>
      </c>
      <c r="AG810" t="str">
        <f>AD810-Q810-AF810-T810</f>
        <v>#REF!</v>
      </c>
      <c r="AH810" t="str">
        <f>AE810-Q810-AF810-T810</f>
        <v>#REF!</v>
      </c>
      <c r="AI810" t="str">
        <f>AG810/X810</f>
        <v>#REF!</v>
      </c>
      <c r="AJ810" t="str">
        <f>AH810/Y810</f>
        <v>#REF!</v>
      </c>
    </row>
    <row r="811">
      <c r="G811" t="str">
        <v>A</v>
      </c>
      <c r="K811" t="str">
        <f>IF(L811&gt;0,L811*0.0625,)</f>
        <v>#REF!</v>
      </c>
      <c r="L811" t="str">
        <f>IF(K811&gt;0,K811*16,)</f>
        <v>#REF!</v>
      </c>
      <c r="M811" t="str">
        <f>IF(K811&gt;0,K811*0.453592,IF(L811&gt;0,L811*0.02835,))</f>
        <v>#REF!</v>
      </c>
      <c r="P811">
        <f>J811+O811+N811</f>
        <v>0</v>
      </c>
      <c r="Q811">
        <f>P811*C$3</f>
        <v>0</v>
      </c>
      <c r="R811">
        <v>0</v>
      </c>
      <c r="S811">
        <f>ROUND(SUM(Q811:R811), -2)</f>
        <v>0</v>
      </c>
      <c r="T811" t="str">
        <f>ROUNDUP(HLOOKUP(ROUNDUP(K811,0),'배송비 조회'!A$10:AE$22,7,0)*C$3,-2)</f>
        <v>#REF!</v>
      </c>
      <c r="U811">
        <v>0</v>
      </c>
      <c r="V811" t="str">
        <f>ROUND(IF(R807&gt;0,0,(S811+T811)*0.3),-2)</f>
        <v>#REF!</v>
      </c>
      <c r="W811" t="str">
        <f>ROUND(IF(R807&gt;0,0,(S811+T811)*0.5),-2)</f>
        <v>#REF!</v>
      </c>
      <c r="X811" t="str">
        <f>SUM(S811:V811)</f>
        <v>#REF!</v>
      </c>
      <c r="Y811" t="str">
        <f>SUM(S811:U811)+W811</f>
        <v>#REF!</v>
      </c>
      <c r="Z811">
        <v>0</v>
      </c>
      <c r="AA811" t="str">
        <f>X811*0.038</f>
        <v>#REF!</v>
      </c>
      <c r="AB811" t="str">
        <f>X811*0.02</f>
        <v>#REF!</v>
      </c>
      <c r="AC811" t="str">
        <f>Y811*0.1</f>
        <v>#REF!</v>
      </c>
      <c r="AD811" t="str">
        <f>X811-AA811-AB811</f>
        <v>#REF!</v>
      </c>
      <c r="AE811" t="str">
        <f>Y811-AC811</f>
        <v>#REF!</v>
      </c>
      <c r="AF811" t="str">
        <f>AD811*0.01</f>
        <v>#REF!</v>
      </c>
      <c r="AG811" t="str">
        <f>AD811-Q811-AF811-T811</f>
        <v>#REF!</v>
      </c>
      <c r="AH811" t="str">
        <f>AE811-Q811-AF811-T811</f>
        <v>#REF!</v>
      </c>
      <c r="AI811" t="str">
        <f>AG811/X811</f>
        <v>#REF!</v>
      </c>
      <c r="AJ811" t="str">
        <f>AH811/Y811</f>
        <v>#REF!</v>
      </c>
    </row>
    <row r="812">
      <c r="G812" t="str">
        <v>A</v>
      </c>
      <c r="K812" t="str">
        <f>IF(L812&gt;0,L812*0.0625,)</f>
        <v>#REF!</v>
      </c>
      <c r="L812" t="str">
        <f>IF(K812&gt;0,K812*16,)</f>
        <v>#REF!</v>
      </c>
      <c r="M812" t="str">
        <f>IF(K812&gt;0,K812*0.453592,IF(L812&gt;0,L812*0.02835,))</f>
        <v>#REF!</v>
      </c>
      <c r="P812">
        <f>J812+O812+N812</f>
        <v>0</v>
      </c>
      <c r="Q812">
        <f>P812*C$3</f>
        <v>0</v>
      </c>
      <c r="R812">
        <v>0</v>
      </c>
      <c r="S812">
        <f>ROUND(SUM(Q812:R812), -2)</f>
        <v>0</v>
      </c>
      <c r="T812" t="str">
        <f>ROUNDUP(HLOOKUP(ROUNDUP(K812,0),'배송비 조회'!A$10:AE$22,7,0)*C$3,-2)</f>
        <v>#REF!</v>
      </c>
      <c r="U812">
        <v>0</v>
      </c>
      <c r="V812" t="str">
        <f>ROUND(IF(R808&gt;0,0,(S812+T812)*0.3),-2)</f>
        <v>#REF!</v>
      </c>
      <c r="W812" t="str">
        <f>ROUND(IF(R808&gt;0,0,(S812+T812)*0.5),-2)</f>
        <v>#REF!</v>
      </c>
      <c r="X812" t="str">
        <f>SUM(S812:V812)</f>
        <v>#REF!</v>
      </c>
      <c r="Y812" t="str">
        <f>SUM(S812:U812)+W812</f>
        <v>#REF!</v>
      </c>
      <c r="Z812">
        <v>0</v>
      </c>
      <c r="AA812" t="str">
        <f>X812*0.038</f>
        <v>#REF!</v>
      </c>
      <c r="AB812" t="str">
        <f>X812*0.02</f>
        <v>#REF!</v>
      </c>
      <c r="AC812" t="str">
        <f>Y812*0.1</f>
        <v>#REF!</v>
      </c>
      <c r="AD812" t="str">
        <f>X812-AA812-AB812</f>
        <v>#REF!</v>
      </c>
      <c r="AE812" t="str">
        <f>Y812-AC812</f>
        <v>#REF!</v>
      </c>
      <c r="AF812" t="str">
        <f>AD812*0.01</f>
        <v>#REF!</v>
      </c>
      <c r="AG812" t="str">
        <f>AD812-Q812-AF812-T812</f>
        <v>#REF!</v>
      </c>
      <c r="AH812" t="str">
        <f>AE812-Q812-AF812-T812</f>
        <v>#REF!</v>
      </c>
      <c r="AI812" t="str">
        <f>AG812/X812</f>
        <v>#REF!</v>
      </c>
      <c r="AJ812" t="str">
        <f>AH812/Y812</f>
        <v>#REF!</v>
      </c>
    </row>
    <row r="813">
      <c r="G813" t="str">
        <v>A</v>
      </c>
      <c r="K813" t="str">
        <f>IF(L813&gt;0,L813*0.0625,)</f>
        <v>#REF!</v>
      </c>
      <c r="L813" t="str">
        <f>IF(K813&gt;0,K813*16,)</f>
        <v>#REF!</v>
      </c>
      <c r="M813" t="str">
        <f>IF(K813&gt;0,K813*0.453592,IF(L813&gt;0,L813*0.02835,))</f>
        <v>#REF!</v>
      </c>
      <c r="P813">
        <f>J813+O813+N813</f>
        <v>0</v>
      </c>
      <c r="Q813">
        <f>P813*C$3</f>
        <v>0</v>
      </c>
      <c r="R813">
        <v>0</v>
      </c>
      <c r="S813">
        <f>ROUND(SUM(Q813:R813), -2)</f>
        <v>0</v>
      </c>
      <c r="T813" t="str">
        <f>ROUNDUP(HLOOKUP(ROUNDUP(K813,0),'배송비 조회'!A$10:AE$22,7,0)*C$3,-2)</f>
        <v>#REF!</v>
      </c>
      <c r="U813">
        <v>0</v>
      </c>
      <c r="V813" t="str">
        <f>ROUND(IF(R809&gt;0,0,(S813+T813)*0.3),-2)</f>
        <v>#REF!</v>
      </c>
      <c r="W813" t="str">
        <f>ROUND(IF(R809&gt;0,0,(S813+T813)*0.5),-2)</f>
        <v>#REF!</v>
      </c>
      <c r="X813" t="str">
        <f>SUM(S813:V813)</f>
        <v>#REF!</v>
      </c>
      <c r="Y813" t="str">
        <f>SUM(S813:U813)+W813</f>
        <v>#REF!</v>
      </c>
      <c r="Z813">
        <v>0</v>
      </c>
      <c r="AA813" t="str">
        <f>X813*0.038</f>
        <v>#REF!</v>
      </c>
      <c r="AB813" t="str">
        <f>X813*0.02</f>
        <v>#REF!</v>
      </c>
      <c r="AC813" t="str">
        <f>Y813*0.1</f>
        <v>#REF!</v>
      </c>
      <c r="AD813" t="str">
        <f>X813-AA813-AB813</f>
        <v>#REF!</v>
      </c>
      <c r="AE813" t="str">
        <f>Y813-AC813</f>
        <v>#REF!</v>
      </c>
      <c r="AF813" t="str">
        <f>AD813*0.01</f>
        <v>#REF!</v>
      </c>
      <c r="AG813" t="str">
        <f>AD813-Q813-AF813-T813</f>
        <v>#REF!</v>
      </c>
      <c r="AH813" t="str">
        <f>AE813-Q813-AF813-T813</f>
        <v>#REF!</v>
      </c>
      <c r="AI813" t="str">
        <f>AG813/X813</f>
        <v>#REF!</v>
      </c>
      <c r="AJ813" t="str">
        <f>AH813/Y813</f>
        <v>#REF!</v>
      </c>
    </row>
    <row r="814">
      <c r="G814" t="str">
        <v>A</v>
      </c>
      <c r="K814" t="str">
        <f>IF(L814&gt;0,L814*0.0625,)</f>
        <v>#REF!</v>
      </c>
      <c r="L814" t="str">
        <f>IF(K814&gt;0,K814*16,)</f>
        <v>#REF!</v>
      </c>
      <c r="M814" t="str">
        <f>IF(K814&gt;0,K814*0.453592,IF(L814&gt;0,L814*0.02835,))</f>
        <v>#REF!</v>
      </c>
      <c r="P814">
        <f>J814+O814+N814</f>
        <v>0</v>
      </c>
      <c r="Q814">
        <f>P814*C$3</f>
        <v>0</v>
      </c>
      <c r="R814">
        <v>0</v>
      </c>
      <c r="S814">
        <f>ROUND(SUM(Q814:R814), -2)</f>
        <v>0</v>
      </c>
      <c r="T814" t="str">
        <f>ROUNDUP(HLOOKUP(ROUNDUP(K814,0),'배송비 조회'!A$10:AE$22,7,0)*C$3,-2)</f>
        <v>#REF!</v>
      </c>
      <c r="U814">
        <v>0</v>
      </c>
      <c r="V814" t="str">
        <f>ROUND(IF(R810&gt;0,0,(S814+T814)*0.3),-2)</f>
        <v>#REF!</v>
      </c>
      <c r="W814" t="str">
        <f>ROUND(IF(R810&gt;0,0,(S814+T814)*0.5),-2)</f>
        <v>#REF!</v>
      </c>
      <c r="X814" t="str">
        <f>SUM(S814:V814)</f>
        <v>#REF!</v>
      </c>
      <c r="Y814" t="str">
        <f>SUM(S814:U814)+W814</f>
        <v>#REF!</v>
      </c>
      <c r="Z814">
        <v>0</v>
      </c>
      <c r="AA814" t="str">
        <f>X814*0.038</f>
        <v>#REF!</v>
      </c>
      <c r="AB814" t="str">
        <f>X814*0.02</f>
        <v>#REF!</v>
      </c>
      <c r="AC814" t="str">
        <f>Y814*0.1</f>
        <v>#REF!</v>
      </c>
      <c r="AD814" t="str">
        <f>X814-AA814-AB814</f>
        <v>#REF!</v>
      </c>
      <c r="AE814" t="str">
        <f>Y814-AC814</f>
        <v>#REF!</v>
      </c>
      <c r="AF814" t="str">
        <f>AD814*0.01</f>
        <v>#REF!</v>
      </c>
      <c r="AG814" t="str">
        <f>AD814-Q814-AF814-T814</f>
        <v>#REF!</v>
      </c>
      <c r="AH814" t="str">
        <f>AE814-Q814-AF814-T814</f>
        <v>#REF!</v>
      </c>
      <c r="AI814" t="str">
        <f>AG814/X814</f>
        <v>#REF!</v>
      </c>
      <c r="AJ814" t="str">
        <f>AH814/Y814</f>
        <v>#REF!</v>
      </c>
    </row>
    <row r="815">
      <c r="G815" t="str">
        <v>A</v>
      </c>
      <c r="K815" t="str">
        <f>IF(L815&gt;0,L815*0.0625,)</f>
        <v>#REF!</v>
      </c>
      <c r="L815" t="str">
        <f>IF(K815&gt;0,K815*16,)</f>
        <v>#REF!</v>
      </c>
      <c r="M815" t="str">
        <f>IF(K815&gt;0,K815*0.453592,IF(L815&gt;0,L815*0.02835,))</f>
        <v>#REF!</v>
      </c>
      <c r="P815">
        <f>J815+O815+N815</f>
        <v>0</v>
      </c>
      <c r="Q815">
        <f>P815*C$3</f>
        <v>0</v>
      </c>
      <c r="R815">
        <v>0</v>
      </c>
      <c r="S815">
        <f>ROUND(SUM(Q815:R815), -2)</f>
        <v>0</v>
      </c>
      <c r="T815" t="str">
        <f>ROUNDUP(HLOOKUP(ROUNDUP(K815,0),'배송비 조회'!A$10:AE$22,7,0)*C$3,-2)</f>
        <v>#REF!</v>
      </c>
      <c r="U815">
        <v>0</v>
      </c>
      <c r="V815" t="str">
        <f>ROUND(IF(R811&gt;0,0,(S815+T815)*0.3),-2)</f>
        <v>#REF!</v>
      </c>
      <c r="W815" t="str">
        <f>ROUND(IF(R811&gt;0,0,(S815+T815)*0.5),-2)</f>
        <v>#REF!</v>
      </c>
      <c r="X815" t="str">
        <f>SUM(S815:V815)</f>
        <v>#REF!</v>
      </c>
      <c r="Y815" t="str">
        <f>SUM(S815:U815)+W815</f>
        <v>#REF!</v>
      </c>
      <c r="Z815">
        <v>0</v>
      </c>
      <c r="AA815" t="str">
        <f>X815*0.038</f>
        <v>#REF!</v>
      </c>
      <c r="AB815" t="str">
        <f>X815*0.02</f>
        <v>#REF!</v>
      </c>
      <c r="AC815" t="str">
        <f>Y815*0.1</f>
        <v>#REF!</v>
      </c>
      <c r="AD815" t="str">
        <f>X815-AA815-AB815</f>
        <v>#REF!</v>
      </c>
      <c r="AE815" t="str">
        <f>Y815-AC815</f>
        <v>#REF!</v>
      </c>
      <c r="AF815" t="str">
        <f>AD815*0.01</f>
        <v>#REF!</v>
      </c>
      <c r="AG815" t="str">
        <f>AD815-Q815-AF815-T815</f>
        <v>#REF!</v>
      </c>
      <c r="AH815" t="str">
        <f>AE815-Q815-AF815-T815</f>
        <v>#REF!</v>
      </c>
      <c r="AI815" t="str">
        <f>AG815/X815</f>
        <v>#REF!</v>
      </c>
      <c r="AJ815" t="str">
        <f>AH815/Y815</f>
        <v>#REF!</v>
      </c>
    </row>
    <row r="816">
      <c r="G816" t="str">
        <v>A</v>
      </c>
      <c r="K816" t="str">
        <f>IF(L816&gt;0,L816*0.0625,)</f>
        <v>#REF!</v>
      </c>
      <c r="L816" t="str">
        <f>IF(K816&gt;0,K816*16,)</f>
        <v>#REF!</v>
      </c>
      <c r="M816" t="str">
        <f>IF(K816&gt;0,K816*0.453592,IF(L816&gt;0,L816*0.02835,))</f>
        <v>#REF!</v>
      </c>
      <c r="P816">
        <f>J816+O816+N816</f>
        <v>0</v>
      </c>
      <c r="Q816">
        <f>P816*C$3</f>
        <v>0</v>
      </c>
      <c r="R816">
        <v>0</v>
      </c>
      <c r="S816">
        <f>ROUND(SUM(Q816:R816), -2)</f>
        <v>0</v>
      </c>
      <c r="T816" t="str">
        <f>ROUNDUP(HLOOKUP(ROUNDUP(K816,0),'배송비 조회'!A$10:AE$22,7,0)*C$3,-2)</f>
        <v>#REF!</v>
      </c>
      <c r="U816">
        <v>0</v>
      </c>
      <c r="V816" t="str">
        <f>ROUND(IF(R812&gt;0,0,(S816+T816)*0.3),-2)</f>
        <v>#REF!</v>
      </c>
      <c r="W816" t="str">
        <f>ROUND(IF(R812&gt;0,0,(S816+T816)*0.5),-2)</f>
        <v>#REF!</v>
      </c>
      <c r="X816" t="str">
        <f>SUM(S816:V816)</f>
        <v>#REF!</v>
      </c>
      <c r="Y816" t="str">
        <f>SUM(S816:U816)+W816</f>
        <v>#REF!</v>
      </c>
      <c r="Z816">
        <v>0</v>
      </c>
      <c r="AA816" t="str">
        <f>X816*0.038</f>
        <v>#REF!</v>
      </c>
      <c r="AB816" t="str">
        <f>X816*0.02</f>
        <v>#REF!</v>
      </c>
      <c r="AC816" t="str">
        <f>Y816*0.1</f>
        <v>#REF!</v>
      </c>
      <c r="AD816" t="str">
        <f>X816-AA816-AB816</f>
        <v>#REF!</v>
      </c>
      <c r="AE816" t="str">
        <f>Y816-AC816</f>
        <v>#REF!</v>
      </c>
      <c r="AF816" t="str">
        <f>AD816*0.01</f>
        <v>#REF!</v>
      </c>
      <c r="AG816" t="str">
        <f>AD816-Q816-AF816-T816</f>
        <v>#REF!</v>
      </c>
      <c r="AH816" t="str">
        <f>AE816-Q816-AF816-T816</f>
        <v>#REF!</v>
      </c>
      <c r="AI816" t="str">
        <f>AG816/X816</f>
        <v>#REF!</v>
      </c>
      <c r="AJ816" t="str">
        <f>AH816/Y816</f>
        <v>#REF!</v>
      </c>
    </row>
    <row r="817">
      <c r="G817" t="str">
        <v>A</v>
      </c>
      <c r="K817" t="str">
        <f>IF(L817&gt;0,L817*0.0625,)</f>
        <v>#REF!</v>
      </c>
      <c r="L817" t="str">
        <f>IF(K817&gt;0,K817*16,)</f>
        <v>#REF!</v>
      </c>
      <c r="M817" t="str">
        <f>IF(K817&gt;0,K817*0.453592,IF(L817&gt;0,L817*0.02835,))</f>
        <v>#REF!</v>
      </c>
      <c r="P817">
        <f>J817+O817+N817</f>
        <v>0</v>
      </c>
      <c r="Q817">
        <f>P817*C$3</f>
        <v>0</v>
      </c>
      <c r="R817">
        <v>0</v>
      </c>
      <c r="S817">
        <f>ROUND(SUM(Q817:R817), -2)</f>
        <v>0</v>
      </c>
      <c r="T817" t="str">
        <f>ROUNDUP(HLOOKUP(ROUNDUP(K817,0),'배송비 조회'!A$10:AE$22,7,0)*C$3,-2)</f>
        <v>#REF!</v>
      </c>
      <c r="U817">
        <v>0</v>
      </c>
      <c r="V817" t="str">
        <f>ROUND(IF(R813&gt;0,0,(S817+T817)*0.3),-2)</f>
        <v>#REF!</v>
      </c>
      <c r="W817" t="str">
        <f>ROUND(IF(R813&gt;0,0,(S817+T817)*0.5),-2)</f>
        <v>#REF!</v>
      </c>
      <c r="X817" t="str">
        <f>SUM(S817:V817)</f>
        <v>#REF!</v>
      </c>
      <c r="Y817" t="str">
        <f>SUM(S817:U817)+W817</f>
        <v>#REF!</v>
      </c>
      <c r="Z817">
        <v>0</v>
      </c>
      <c r="AA817" t="str">
        <f>X817*0.038</f>
        <v>#REF!</v>
      </c>
      <c r="AB817" t="str">
        <f>X817*0.02</f>
        <v>#REF!</v>
      </c>
      <c r="AC817" t="str">
        <f>Y817*0.1</f>
        <v>#REF!</v>
      </c>
      <c r="AD817" t="str">
        <f>X817-AA817-AB817</f>
        <v>#REF!</v>
      </c>
      <c r="AE817" t="str">
        <f>Y817-AC817</f>
        <v>#REF!</v>
      </c>
      <c r="AF817" t="str">
        <f>AD817*0.01</f>
        <v>#REF!</v>
      </c>
      <c r="AG817" t="str">
        <f>AD817-Q817-AF817-T817</f>
        <v>#REF!</v>
      </c>
      <c r="AH817" t="str">
        <f>AE817-Q817-AF817-T817</f>
        <v>#REF!</v>
      </c>
      <c r="AI817" t="str">
        <f>AG817/X817</f>
        <v>#REF!</v>
      </c>
      <c r="AJ817" t="str">
        <f>AH817/Y817</f>
        <v>#REF!</v>
      </c>
    </row>
    <row r="818">
      <c r="G818" t="str">
        <v>A</v>
      </c>
      <c r="K818" t="str">
        <f>IF(L818&gt;0,L818*0.0625,)</f>
        <v>#REF!</v>
      </c>
      <c r="L818" t="str">
        <f>IF(K818&gt;0,K818*16,)</f>
        <v>#REF!</v>
      </c>
      <c r="M818" t="str">
        <f>IF(K818&gt;0,K818*0.453592,IF(L818&gt;0,L818*0.02835,))</f>
        <v>#REF!</v>
      </c>
      <c r="P818">
        <f>J818+O818+N818</f>
        <v>0</v>
      </c>
      <c r="Q818">
        <f>P818*C$3</f>
        <v>0</v>
      </c>
      <c r="R818">
        <v>0</v>
      </c>
      <c r="S818">
        <f>ROUND(SUM(Q818:R818), -2)</f>
        <v>0</v>
      </c>
      <c r="T818" t="str">
        <f>ROUNDUP(HLOOKUP(ROUNDUP(K818,0),'배송비 조회'!A$10:AE$22,7,0)*C$3,-2)</f>
        <v>#REF!</v>
      </c>
      <c r="U818">
        <v>0</v>
      </c>
      <c r="V818" t="str">
        <f>ROUND(IF(R814&gt;0,0,(S818+T818)*0.3),-2)</f>
        <v>#REF!</v>
      </c>
      <c r="W818" t="str">
        <f>ROUND(IF(R814&gt;0,0,(S818+T818)*0.5),-2)</f>
        <v>#REF!</v>
      </c>
      <c r="X818" t="str">
        <f>SUM(S818:V818)</f>
        <v>#REF!</v>
      </c>
      <c r="Y818" t="str">
        <f>SUM(S818:U818)+W818</f>
        <v>#REF!</v>
      </c>
      <c r="Z818">
        <v>0</v>
      </c>
      <c r="AA818" t="str">
        <f>X818*0.038</f>
        <v>#REF!</v>
      </c>
      <c r="AB818" t="str">
        <f>X818*0.02</f>
        <v>#REF!</v>
      </c>
      <c r="AC818" t="str">
        <f>Y818*0.1</f>
        <v>#REF!</v>
      </c>
      <c r="AD818" t="str">
        <f>X818-AA818-AB818</f>
        <v>#REF!</v>
      </c>
      <c r="AE818" t="str">
        <f>Y818-AC818</f>
        <v>#REF!</v>
      </c>
      <c r="AF818" t="str">
        <f>AD818*0.01</f>
        <v>#REF!</v>
      </c>
      <c r="AG818" t="str">
        <f>AD818-Q818-AF818-T818</f>
        <v>#REF!</v>
      </c>
      <c r="AH818" t="str">
        <f>AE818-Q818-AF818-T818</f>
        <v>#REF!</v>
      </c>
      <c r="AI818" t="str">
        <f>AG818/X818</f>
        <v>#REF!</v>
      </c>
      <c r="AJ818" t="str">
        <f>AH818/Y818</f>
        <v>#REF!</v>
      </c>
    </row>
    <row r="819">
      <c r="G819" t="str">
        <v>A</v>
      </c>
      <c r="K819" t="str">
        <f>IF(L819&gt;0,L819*0.0625,)</f>
        <v>#REF!</v>
      </c>
      <c r="L819" t="str">
        <f>IF(K819&gt;0,K819*16,)</f>
        <v>#REF!</v>
      </c>
      <c r="M819" t="str">
        <f>IF(K819&gt;0,K819*0.453592,IF(L819&gt;0,L819*0.02835,))</f>
        <v>#REF!</v>
      </c>
      <c r="P819">
        <f>J819+O819+N819</f>
        <v>0</v>
      </c>
      <c r="Q819">
        <f>P819*C$3</f>
        <v>0</v>
      </c>
      <c r="R819">
        <v>0</v>
      </c>
      <c r="S819">
        <f>ROUND(SUM(Q819:R819), -2)</f>
        <v>0</v>
      </c>
      <c r="T819" t="str">
        <f>ROUNDUP(HLOOKUP(ROUNDUP(K819,0),'배송비 조회'!A$10:AE$22,7,0)*C$3,-2)</f>
        <v>#REF!</v>
      </c>
      <c r="U819">
        <v>0</v>
      </c>
      <c r="V819" t="str">
        <f>ROUND(IF(R815&gt;0,0,(S819+T819)*0.3),-2)</f>
        <v>#REF!</v>
      </c>
      <c r="W819" t="str">
        <f>ROUND(IF(R815&gt;0,0,(S819+T819)*0.5),-2)</f>
        <v>#REF!</v>
      </c>
      <c r="X819" t="str">
        <f>SUM(S819:V819)</f>
        <v>#REF!</v>
      </c>
      <c r="Y819" t="str">
        <f>SUM(S819:U819)+W819</f>
        <v>#REF!</v>
      </c>
      <c r="Z819">
        <v>0</v>
      </c>
      <c r="AA819" t="str">
        <f>X819*0.038</f>
        <v>#REF!</v>
      </c>
      <c r="AB819" t="str">
        <f>X819*0.02</f>
        <v>#REF!</v>
      </c>
      <c r="AC819" t="str">
        <f>Y819*0.1</f>
        <v>#REF!</v>
      </c>
      <c r="AD819" t="str">
        <f>X819-AA819-AB819</f>
        <v>#REF!</v>
      </c>
      <c r="AE819" t="str">
        <f>Y819-AC819</f>
        <v>#REF!</v>
      </c>
      <c r="AF819" t="str">
        <f>AD819*0.01</f>
        <v>#REF!</v>
      </c>
      <c r="AG819" t="str">
        <f>AD819-Q819-AF819-T819</f>
        <v>#REF!</v>
      </c>
      <c r="AH819" t="str">
        <f>AE819-Q819-AF819-T819</f>
        <v>#REF!</v>
      </c>
      <c r="AI819" t="str">
        <f>AG819/X819</f>
        <v>#REF!</v>
      </c>
      <c r="AJ819" t="str">
        <f>AH819/Y819</f>
        <v>#REF!</v>
      </c>
    </row>
    <row r="820">
      <c r="G820" t="str">
        <v>A</v>
      </c>
      <c r="K820" t="str">
        <f>IF(L820&gt;0,L820*0.0625,)</f>
        <v>#REF!</v>
      </c>
      <c r="L820" t="str">
        <f>IF(K820&gt;0,K820*16,)</f>
        <v>#REF!</v>
      </c>
      <c r="M820" t="str">
        <f>IF(K820&gt;0,K820*0.453592,IF(L820&gt;0,L820*0.02835,))</f>
        <v>#REF!</v>
      </c>
      <c r="P820">
        <f>J820+O820+N820</f>
        <v>0</v>
      </c>
      <c r="Q820">
        <f>P820*C$3</f>
        <v>0</v>
      </c>
      <c r="R820">
        <v>0</v>
      </c>
      <c r="S820">
        <f>ROUND(SUM(Q820:R820), -2)</f>
        <v>0</v>
      </c>
      <c r="T820" t="str">
        <f>ROUNDUP(HLOOKUP(ROUNDUP(K820,0),'배송비 조회'!A$10:AE$22,7,0)*C$3,-2)</f>
        <v>#REF!</v>
      </c>
      <c r="U820">
        <v>0</v>
      </c>
      <c r="V820" t="str">
        <f>ROUND(IF(R816&gt;0,0,(S820+T820)*0.3),-2)</f>
        <v>#REF!</v>
      </c>
      <c r="W820" t="str">
        <f>ROUND(IF(R816&gt;0,0,(S820+T820)*0.5),-2)</f>
        <v>#REF!</v>
      </c>
      <c r="X820" t="str">
        <f>SUM(S820:V820)</f>
        <v>#REF!</v>
      </c>
      <c r="Y820" t="str">
        <f>SUM(S820:U820)+W820</f>
        <v>#REF!</v>
      </c>
      <c r="Z820">
        <v>0</v>
      </c>
      <c r="AA820" t="str">
        <f>X820*0.038</f>
        <v>#REF!</v>
      </c>
      <c r="AB820" t="str">
        <f>X820*0.02</f>
        <v>#REF!</v>
      </c>
      <c r="AC820" t="str">
        <f>Y820*0.1</f>
        <v>#REF!</v>
      </c>
      <c r="AD820" t="str">
        <f>X820-AA820-AB820</f>
        <v>#REF!</v>
      </c>
      <c r="AE820" t="str">
        <f>Y820-AC820</f>
        <v>#REF!</v>
      </c>
      <c r="AF820" t="str">
        <f>AD820*0.01</f>
        <v>#REF!</v>
      </c>
      <c r="AG820" t="str">
        <f>AD820-Q820-AF820-T820</f>
        <v>#REF!</v>
      </c>
      <c r="AH820" t="str">
        <f>AE820-Q820-AF820-T820</f>
        <v>#REF!</v>
      </c>
      <c r="AI820" t="str">
        <f>AG820/X820</f>
        <v>#REF!</v>
      </c>
      <c r="AJ820" t="str">
        <f>AH820/Y820</f>
        <v>#REF!</v>
      </c>
    </row>
    <row r="821">
      <c r="G821" t="str">
        <v>A</v>
      </c>
      <c r="K821" t="str">
        <f>IF(L821&gt;0,L821*0.0625,)</f>
        <v>#REF!</v>
      </c>
      <c r="L821" t="str">
        <f>IF(K821&gt;0,K821*16,)</f>
        <v>#REF!</v>
      </c>
      <c r="M821" t="str">
        <f>IF(K821&gt;0,K821*0.453592,IF(L821&gt;0,L821*0.02835,))</f>
        <v>#REF!</v>
      </c>
      <c r="P821">
        <f>J821+O821+N821</f>
        <v>0</v>
      </c>
      <c r="Q821">
        <f>P821*C$3</f>
        <v>0</v>
      </c>
      <c r="R821">
        <v>0</v>
      </c>
      <c r="S821">
        <f>ROUND(SUM(Q821:R821), -2)</f>
        <v>0</v>
      </c>
      <c r="T821" t="str">
        <f>ROUNDUP(HLOOKUP(ROUNDUP(K821,0),'배송비 조회'!A$10:AE$22,7,0)*C$3,-2)</f>
        <v>#REF!</v>
      </c>
      <c r="U821">
        <v>0</v>
      </c>
      <c r="V821" t="str">
        <f>ROUND(IF(R817&gt;0,0,(S821+T821)*0.3),-2)</f>
        <v>#REF!</v>
      </c>
      <c r="W821" t="str">
        <f>ROUND(IF(R817&gt;0,0,(S821+T821)*0.5),-2)</f>
        <v>#REF!</v>
      </c>
      <c r="X821" t="str">
        <f>SUM(S821:V821)</f>
        <v>#REF!</v>
      </c>
      <c r="Y821" t="str">
        <f>SUM(S821:U821)+W821</f>
        <v>#REF!</v>
      </c>
      <c r="Z821">
        <v>0</v>
      </c>
      <c r="AA821" t="str">
        <f>X821*0.038</f>
        <v>#REF!</v>
      </c>
      <c r="AB821" t="str">
        <f>X821*0.02</f>
        <v>#REF!</v>
      </c>
      <c r="AC821" t="str">
        <f>Y821*0.1</f>
        <v>#REF!</v>
      </c>
      <c r="AD821" t="str">
        <f>X821-AA821-AB821</f>
        <v>#REF!</v>
      </c>
      <c r="AE821" t="str">
        <f>Y821-AC821</f>
        <v>#REF!</v>
      </c>
      <c r="AF821" t="str">
        <f>AD821*0.01</f>
        <v>#REF!</v>
      </c>
      <c r="AG821" t="str">
        <f>AD821-Q821-AF821-T821</f>
        <v>#REF!</v>
      </c>
      <c r="AH821" t="str">
        <f>AE821-Q821-AF821-T821</f>
        <v>#REF!</v>
      </c>
      <c r="AI821" t="str">
        <f>AG821/X821</f>
        <v>#REF!</v>
      </c>
      <c r="AJ821" t="str">
        <f>AH821/Y821</f>
        <v>#REF!</v>
      </c>
    </row>
    <row r="822">
      <c r="G822" t="str">
        <v>A</v>
      </c>
      <c r="K822" t="str">
        <f>IF(L822&gt;0,L822*0.0625,)</f>
        <v>#REF!</v>
      </c>
      <c r="L822" t="str">
        <f>IF(K822&gt;0,K822*16,)</f>
        <v>#REF!</v>
      </c>
      <c r="M822" t="str">
        <f>IF(K822&gt;0,K822*0.453592,IF(L822&gt;0,L822*0.02835,))</f>
        <v>#REF!</v>
      </c>
      <c r="P822">
        <f>J822+O822+N822</f>
        <v>0</v>
      </c>
      <c r="Q822">
        <f>P822*C$3</f>
        <v>0</v>
      </c>
      <c r="R822">
        <v>0</v>
      </c>
      <c r="S822">
        <f>ROUND(SUM(Q822:R822), -2)</f>
        <v>0</v>
      </c>
      <c r="T822" t="str">
        <f>ROUNDUP(HLOOKUP(ROUNDUP(K822,0),'배송비 조회'!A$10:AE$22,7,0)*C$3,-2)</f>
        <v>#REF!</v>
      </c>
      <c r="U822">
        <v>0</v>
      </c>
      <c r="V822" t="str">
        <f>ROUND(IF(R818&gt;0,0,(S822+T822)*0.3),-2)</f>
        <v>#REF!</v>
      </c>
      <c r="W822" t="str">
        <f>ROUND(IF(R818&gt;0,0,(S822+T822)*0.5),-2)</f>
        <v>#REF!</v>
      </c>
      <c r="X822" t="str">
        <f>SUM(S822:V822)</f>
        <v>#REF!</v>
      </c>
      <c r="Y822" t="str">
        <f>SUM(S822:U822)+W822</f>
        <v>#REF!</v>
      </c>
      <c r="Z822">
        <v>0</v>
      </c>
      <c r="AA822" t="str">
        <f>X822*0.038</f>
        <v>#REF!</v>
      </c>
      <c r="AB822" t="str">
        <f>X822*0.02</f>
        <v>#REF!</v>
      </c>
      <c r="AC822" t="str">
        <f>Y822*0.1</f>
        <v>#REF!</v>
      </c>
      <c r="AD822" t="str">
        <f>X822-AA822-AB822</f>
        <v>#REF!</v>
      </c>
      <c r="AE822" t="str">
        <f>Y822-AC822</f>
        <v>#REF!</v>
      </c>
      <c r="AF822" t="str">
        <f>AD822*0.01</f>
        <v>#REF!</v>
      </c>
      <c r="AG822" t="str">
        <f>AD822-Q822-AF822-T822</f>
        <v>#REF!</v>
      </c>
      <c r="AH822" t="str">
        <f>AE822-Q822-AF822-T822</f>
        <v>#REF!</v>
      </c>
      <c r="AI822" t="str">
        <f>AG822/X822</f>
        <v>#REF!</v>
      </c>
      <c r="AJ822" t="str">
        <f>AH822/Y822</f>
        <v>#REF!</v>
      </c>
    </row>
    <row r="823">
      <c r="G823" t="str">
        <v>A</v>
      </c>
      <c r="K823" t="str">
        <f>IF(L823&gt;0,L823*0.0625,)</f>
        <v>#REF!</v>
      </c>
      <c r="L823" t="str">
        <f>IF(K823&gt;0,K823*16,)</f>
        <v>#REF!</v>
      </c>
      <c r="M823" t="str">
        <f>IF(K823&gt;0,K823*0.453592,IF(L823&gt;0,L823*0.02835,))</f>
        <v>#REF!</v>
      </c>
      <c r="P823">
        <f>J823+O823+N823</f>
        <v>0</v>
      </c>
      <c r="Q823">
        <f>P823*C$3</f>
        <v>0</v>
      </c>
      <c r="R823">
        <v>0</v>
      </c>
      <c r="S823">
        <f>ROUND(SUM(Q823:R823), -2)</f>
        <v>0</v>
      </c>
      <c r="T823" t="str">
        <f>ROUNDUP(HLOOKUP(ROUNDUP(K823,0),'배송비 조회'!A$10:AE$22,7,0)*C$3,-2)</f>
        <v>#REF!</v>
      </c>
      <c r="U823">
        <v>0</v>
      </c>
      <c r="V823" t="str">
        <f>ROUND(IF(R819&gt;0,0,(S823+T823)*0.3),-2)</f>
        <v>#REF!</v>
      </c>
      <c r="W823" t="str">
        <f>ROUND(IF(R819&gt;0,0,(S823+T823)*0.5),-2)</f>
        <v>#REF!</v>
      </c>
      <c r="X823" t="str">
        <f>SUM(S823:V823)</f>
        <v>#REF!</v>
      </c>
      <c r="Y823" t="str">
        <f>SUM(S823:U823)+W823</f>
        <v>#REF!</v>
      </c>
      <c r="Z823">
        <v>0</v>
      </c>
      <c r="AA823" t="str">
        <f>X823*0.038</f>
        <v>#REF!</v>
      </c>
      <c r="AB823" t="str">
        <f>X823*0.02</f>
        <v>#REF!</v>
      </c>
      <c r="AC823" t="str">
        <f>Y823*0.1</f>
        <v>#REF!</v>
      </c>
      <c r="AD823" t="str">
        <f>X823-AA823-AB823</f>
        <v>#REF!</v>
      </c>
      <c r="AE823" t="str">
        <f>Y823-AC823</f>
        <v>#REF!</v>
      </c>
      <c r="AF823" t="str">
        <f>AD823*0.01</f>
        <v>#REF!</v>
      </c>
      <c r="AG823" t="str">
        <f>AD823-Q823-AF823-T823</f>
        <v>#REF!</v>
      </c>
      <c r="AH823" t="str">
        <f>AE823-Q823-AF823-T823</f>
        <v>#REF!</v>
      </c>
      <c r="AI823" t="str">
        <f>AG823/X823</f>
        <v>#REF!</v>
      </c>
      <c r="AJ823" t="str">
        <f>AH823/Y823</f>
        <v>#REF!</v>
      </c>
    </row>
    <row r="824">
      <c r="G824" t="str">
        <v>A</v>
      </c>
      <c r="K824" t="str">
        <f>IF(L824&gt;0,L824*0.0625,)</f>
        <v>#REF!</v>
      </c>
      <c r="L824" t="str">
        <f>IF(K824&gt;0,K824*16,)</f>
        <v>#REF!</v>
      </c>
      <c r="M824" t="str">
        <f>IF(K824&gt;0,K824*0.453592,IF(L824&gt;0,L824*0.02835,))</f>
        <v>#REF!</v>
      </c>
      <c r="P824">
        <f>J824+O824+N824</f>
        <v>0</v>
      </c>
      <c r="Q824">
        <f>P824*C$3</f>
        <v>0</v>
      </c>
      <c r="R824">
        <v>0</v>
      </c>
      <c r="S824">
        <f>ROUND(SUM(Q824:R824), -2)</f>
        <v>0</v>
      </c>
      <c r="T824" t="str">
        <f>ROUNDUP(HLOOKUP(ROUNDUP(K824,0),'배송비 조회'!A$10:AE$22,7,0)*C$3,-2)</f>
        <v>#REF!</v>
      </c>
      <c r="U824">
        <v>0</v>
      </c>
      <c r="V824" t="str">
        <f>ROUND(IF(R820&gt;0,0,(S824+T824)*0.3),-2)</f>
        <v>#REF!</v>
      </c>
      <c r="W824" t="str">
        <f>ROUND(IF(R820&gt;0,0,(S824+T824)*0.5),-2)</f>
        <v>#REF!</v>
      </c>
      <c r="X824" t="str">
        <f>SUM(S824:V824)</f>
        <v>#REF!</v>
      </c>
      <c r="Y824" t="str">
        <f>SUM(S824:U824)+W824</f>
        <v>#REF!</v>
      </c>
      <c r="Z824">
        <v>0</v>
      </c>
      <c r="AA824" t="str">
        <f>X824*0.038</f>
        <v>#REF!</v>
      </c>
      <c r="AB824" t="str">
        <f>X824*0.02</f>
        <v>#REF!</v>
      </c>
      <c r="AC824" t="str">
        <f>Y824*0.1</f>
        <v>#REF!</v>
      </c>
      <c r="AD824" t="str">
        <f>X824-AA824-AB824</f>
        <v>#REF!</v>
      </c>
      <c r="AE824" t="str">
        <f>Y824-AC824</f>
        <v>#REF!</v>
      </c>
      <c r="AF824" t="str">
        <f>AD824*0.01</f>
        <v>#REF!</v>
      </c>
      <c r="AG824" t="str">
        <f>AD824-Q824-AF824-T824</f>
        <v>#REF!</v>
      </c>
      <c r="AH824" t="str">
        <f>AE824-Q824-AF824-T824</f>
        <v>#REF!</v>
      </c>
      <c r="AI824" t="str">
        <f>AG824/X824</f>
        <v>#REF!</v>
      </c>
      <c r="AJ824" t="str">
        <f>AH824/Y824</f>
        <v>#REF!</v>
      </c>
    </row>
    <row r="825">
      <c r="G825" t="str">
        <v>A</v>
      </c>
      <c r="K825" t="str">
        <f>IF(L825&gt;0,L825*0.0625,)</f>
        <v>#REF!</v>
      </c>
      <c r="L825" t="str">
        <f>IF(K825&gt;0,K825*16,)</f>
        <v>#REF!</v>
      </c>
      <c r="M825" t="str">
        <f>IF(K825&gt;0,K825*0.453592,IF(L825&gt;0,L825*0.02835,))</f>
        <v>#REF!</v>
      </c>
      <c r="P825">
        <f>J825+O825+N825</f>
        <v>0</v>
      </c>
      <c r="Q825">
        <f>P825*C$3</f>
        <v>0</v>
      </c>
      <c r="R825">
        <v>0</v>
      </c>
      <c r="S825">
        <f>ROUND(SUM(Q825:R825), -2)</f>
        <v>0</v>
      </c>
      <c r="T825" t="str">
        <f>ROUNDUP(HLOOKUP(ROUNDUP(K825,0),'배송비 조회'!A$10:AE$22,7,0)*C$3,-2)</f>
        <v>#REF!</v>
      </c>
      <c r="U825">
        <v>0</v>
      </c>
      <c r="V825" t="str">
        <f>ROUND(IF(R821&gt;0,0,(S825+T825)*0.3),-2)</f>
        <v>#REF!</v>
      </c>
      <c r="W825" t="str">
        <f>ROUND(IF(R821&gt;0,0,(S825+T825)*0.5),-2)</f>
        <v>#REF!</v>
      </c>
      <c r="X825" t="str">
        <f>SUM(S825:V825)</f>
        <v>#REF!</v>
      </c>
      <c r="Y825" t="str">
        <f>SUM(S825:U825)+W825</f>
        <v>#REF!</v>
      </c>
      <c r="Z825">
        <v>0</v>
      </c>
      <c r="AA825" t="str">
        <f>X825*0.038</f>
        <v>#REF!</v>
      </c>
      <c r="AB825" t="str">
        <f>X825*0.02</f>
        <v>#REF!</v>
      </c>
      <c r="AC825" t="str">
        <f>Y825*0.1</f>
        <v>#REF!</v>
      </c>
      <c r="AD825" t="str">
        <f>X825-AA825-AB825</f>
        <v>#REF!</v>
      </c>
      <c r="AE825" t="str">
        <f>Y825-AC825</f>
        <v>#REF!</v>
      </c>
      <c r="AF825" t="str">
        <f>AD825*0.01</f>
        <v>#REF!</v>
      </c>
      <c r="AG825" t="str">
        <f>AD825-Q825-AF825-T825</f>
        <v>#REF!</v>
      </c>
      <c r="AH825" t="str">
        <f>AE825-Q825-AF825-T825</f>
        <v>#REF!</v>
      </c>
      <c r="AI825" t="str">
        <f>AG825/X825</f>
        <v>#REF!</v>
      </c>
      <c r="AJ825" t="str">
        <f>AH825/Y825</f>
        <v>#REF!</v>
      </c>
    </row>
    <row r="826">
      <c r="G826" t="str">
        <v>A</v>
      </c>
      <c r="K826" t="str">
        <f>IF(L826&gt;0,L826*0.0625,)</f>
        <v>#REF!</v>
      </c>
      <c r="L826" t="str">
        <f>IF(K826&gt;0,K826*16,)</f>
        <v>#REF!</v>
      </c>
      <c r="M826" t="str">
        <f>IF(K826&gt;0,K826*0.453592,IF(L826&gt;0,L826*0.02835,))</f>
        <v>#REF!</v>
      </c>
      <c r="P826">
        <f>J826+O826+N826</f>
        <v>0</v>
      </c>
      <c r="Q826">
        <f>P826*C$3</f>
        <v>0</v>
      </c>
      <c r="R826">
        <v>0</v>
      </c>
      <c r="S826">
        <f>ROUND(SUM(Q826:R826), -2)</f>
        <v>0</v>
      </c>
      <c r="T826" t="str">
        <f>ROUNDUP(HLOOKUP(ROUNDUP(K826,0),'배송비 조회'!A$10:AE$22,7,0)*C$3,-2)</f>
        <v>#REF!</v>
      </c>
      <c r="U826">
        <v>0</v>
      </c>
      <c r="V826" t="str">
        <f>ROUND(IF(R822&gt;0,0,(S826+T826)*0.3),-2)</f>
        <v>#REF!</v>
      </c>
      <c r="W826" t="str">
        <f>ROUND(IF(R822&gt;0,0,(S826+T826)*0.5),-2)</f>
        <v>#REF!</v>
      </c>
      <c r="X826" t="str">
        <f>SUM(S826:V826)</f>
        <v>#REF!</v>
      </c>
      <c r="Y826" t="str">
        <f>SUM(S826:U826)+W826</f>
        <v>#REF!</v>
      </c>
      <c r="Z826">
        <v>0</v>
      </c>
      <c r="AA826" t="str">
        <f>X826*0.038</f>
        <v>#REF!</v>
      </c>
      <c r="AB826" t="str">
        <f>X826*0.02</f>
        <v>#REF!</v>
      </c>
      <c r="AC826" t="str">
        <f>Y826*0.1</f>
        <v>#REF!</v>
      </c>
      <c r="AD826" t="str">
        <f>X826-AA826-AB826</f>
        <v>#REF!</v>
      </c>
      <c r="AE826" t="str">
        <f>Y826-AC826</f>
        <v>#REF!</v>
      </c>
      <c r="AF826" t="str">
        <f>AD826*0.01</f>
        <v>#REF!</v>
      </c>
      <c r="AG826" t="str">
        <f>AD826-Q826-AF826-T826</f>
        <v>#REF!</v>
      </c>
      <c r="AH826" t="str">
        <f>AE826-Q826-AF826-T826</f>
        <v>#REF!</v>
      </c>
      <c r="AI826" t="str">
        <f>AG826/X826</f>
        <v>#REF!</v>
      </c>
      <c r="AJ826" t="str">
        <f>AH826/Y826</f>
        <v>#REF!</v>
      </c>
    </row>
    <row r="827">
      <c r="G827" t="str">
        <v>A</v>
      </c>
      <c r="K827" t="str">
        <f>IF(L827&gt;0,L827*0.0625,)</f>
        <v>#REF!</v>
      </c>
      <c r="L827" t="str">
        <f>IF(K827&gt;0,K827*16,)</f>
        <v>#REF!</v>
      </c>
      <c r="M827" t="str">
        <f>IF(K827&gt;0,K827*0.453592,IF(L827&gt;0,L827*0.02835,))</f>
        <v>#REF!</v>
      </c>
      <c r="P827">
        <f>J827+O827+N827</f>
        <v>0</v>
      </c>
      <c r="Q827">
        <f>P827*C$3</f>
        <v>0</v>
      </c>
      <c r="R827">
        <v>0</v>
      </c>
      <c r="S827">
        <f>ROUND(SUM(Q827:R827), -2)</f>
        <v>0</v>
      </c>
      <c r="T827" t="str">
        <f>ROUNDUP(HLOOKUP(ROUNDUP(K827,0),'배송비 조회'!A$10:AE$22,7,0)*C$3,-2)</f>
        <v>#REF!</v>
      </c>
      <c r="U827">
        <v>0</v>
      </c>
      <c r="V827" t="str">
        <f>ROUND(IF(R823&gt;0,0,(S827+T827)*0.3),-2)</f>
        <v>#REF!</v>
      </c>
      <c r="W827" t="str">
        <f>ROUND(IF(R823&gt;0,0,(S827+T827)*0.5),-2)</f>
        <v>#REF!</v>
      </c>
      <c r="X827" t="str">
        <f>SUM(S827:V827)</f>
        <v>#REF!</v>
      </c>
      <c r="Y827" t="str">
        <f>SUM(S827:U827)+W827</f>
        <v>#REF!</v>
      </c>
      <c r="Z827">
        <v>0</v>
      </c>
      <c r="AA827" t="str">
        <f>X827*0.038</f>
        <v>#REF!</v>
      </c>
      <c r="AB827" t="str">
        <f>X827*0.02</f>
        <v>#REF!</v>
      </c>
      <c r="AC827" t="str">
        <f>Y827*0.1</f>
        <v>#REF!</v>
      </c>
      <c r="AD827" t="str">
        <f>X827-AA827-AB827</f>
        <v>#REF!</v>
      </c>
      <c r="AE827" t="str">
        <f>Y827-AC827</f>
        <v>#REF!</v>
      </c>
      <c r="AF827" t="str">
        <f>AD827*0.01</f>
        <v>#REF!</v>
      </c>
      <c r="AG827" t="str">
        <f>AD827-Q827-AF827-T827</f>
        <v>#REF!</v>
      </c>
      <c r="AH827" t="str">
        <f>AE827-Q827-AF827-T827</f>
        <v>#REF!</v>
      </c>
      <c r="AI827" t="str">
        <f>AG827/X827</f>
        <v>#REF!</v>
      </c>
      <c r="AJ827" t="str">
        <f>AH827/Y827</f>
        <v>#REF!</v>
      </c>
    </row>
    <row r="828">
      <c r="G828" t="str">
        <v>A</v>
      </c>
      <c r="K828" t="str">
        <f>IF(L828&gt;0,L828*0.0625,)</f>
        <v>#REF!</v>
      </c>
      <c r="L828" t="str">
        <f>IF(K828&gt;0,K828*16,)</f>
        <v>#REF!</v>
      </c>
      <c r="M828" t="str">
        <f>IF(K828&gt;0,K828*0.453592,IF(L828&gt;0,L828*0.02835,))</f>
        <v>#REF!</v>
      </c>
      <c r="P828">
        <f>J828+O828+N828</f>
        <v>0</v>
      </c>
      <c r="Q828">
        <f>P828*C$3</f>
        <v>0</v>
      </c>
      <c r="R828">
        <v>0</v>
      </c>
      <c r="S828">
        <f>ROUND(SUM(Q828:R828), -2)</f>
        <v>0</v>
      </c>
      <c r="T828" t="str">
        <f>ROUNDUP(HLOOKUP(ROUNDUP(K828,0),'배송비 조회'!A$10:AE$22,7,0)*C$3,-2)</f>
        <v>#REF!</v>
      </c>
      <c r="U828">
        <v>0</v>
      </c>
      <c r="V828" t="str">
        <f>ROUND(IF(R824&gt;0,0,(S828+T828)*0.3),-2)</f>
        <v>#REF!</v>
      </c>
      <c r="W828" t="str">
        <f>ROUND(IF(R824&gt;0,0,(S828+T828)*0.5),-2)</f>
        <v>#REF!</v>
      </c>
      <c r="X828" t="str">
        <f>SUM(S828:V828)</f>
        <v>#REF!</v>
      </c>
      <c r="Y828" t="str">
        <f>SUM(S828:U828)+W828</f>
        <v>#REF!</v>
      </c>
      <c r="Z828">
        <v>0</v>
      </c>
      <c r="AA828" t="str">
        <f>X828*0.038</f>
        <v>#REF!</v>
      </c>
      <c r="AB828" t="str">
        <f>X828*0.02</f>
        <v>#REF!</v>
      </c>
      <c r="AC828" t="str">
        <f>Y828*0.1</f>
        <v>#REF!</v>
      </c>
      <c r="AD828" t="str">
        <f>X828-AA828-AB828</f>
        <v>#REF!</v>
      </c>
      <c r="AE828" t="str">
        <f>Y828-AC828</f>
        <v>#REF!</v>
      </c>
      <c r="AF828" t="str">
        <f>AD828*0.01</f>
        <v>#REF!</v>
      </c>
      <c r="AG828" t="str">
        <f>AD828-Q828-AF828-T828</f>
        <v>#REF!</v>
      </c>
      <c r="AH828" t="str">
        <f>AE828-Q828-AF828-T828</f>
        <v>#REF!</v>
      </c>
      <c r="AI828" t="str">
        <f>AG828/X828</f>
        <v>#REF!</v>
      </c>
      <c r="AJ828" t="str">
        <f>AH828/Y828</f>
        <v>#REF!</v>
      </c>
    </row>
    <row r="829">
      <c r="G829" t="str">
        <v>A</v>
      </c>
      <c r="K829" t="str">
        <f>IF(L829&gt;0,L829*0.0625,)</f>
        <v>#REF!</v>
      </c>
      <c r="L829" t="str">
        <f>IF(K829&gt;0,K829*16,)</f>
        <v>#REF!</v>
      </c>
      <c r="M829" t="str">
        <f>IF(K829&gt;0,K829*0.453592,IF(L829&gt;0,L829*0.02835,))</f>
        <v>#REF!</v>
      </c>
      <c r="P829">
        <f>J829+O829+N829</f>
        <v>0</v>
      </c>
      <c r="Q829">
        <f>P829*C$3</f>
        <v>0</v>
      </c>
      <c r="R829">
        <v>0</v>
      </c>
      <c r="S829">
        <f>ROUND(SUM(Q829:R829), -2)</f>
        <v>0</v>
      </c>
      <c r="T829" t="str">
        <f>ROUNDUP(HLOOKUP(ROUNDUP(K829,0),'배송비 조회'!A$10:AE$22,7,0)*C$3,-2)</f>
        <v>#REF!</v>
      </c>
      <c r="U829">
        <v>0</v>
      </c>
      <c r="V829" t="str">
        <f>ROUND(IF(R825&gt;0,0,(S829+T829)*0.3),-2)</f>
        <v>#REF!</v>
      </c>
      <c r="W829" t="str">
        <f>ROUND(IF(R825&gt;0,0,(S829+T829)*0.5),-2)</f>
        <v>#REF!</v>
      </c>
      <c r="X829" t="str">
        <f>SUM(S829:V829)</f>
        <v>#REF!</v>
      </c>
      <c r="Y829" t="str">
        <f>SUM(S829:U829)+W829</f>
        <v>#REF!</v>
      </c>
      <c r="Z829">
        <v>0</v>
      </c>
      <c r="AA829" t="str">
        <f>X829*0.038</f>
        <v>#REF!</v>
      </c>
      <c r="AB829" t="str">
        <f>X829*0.02</f>
        <v>#REF!</v>
      </c>
      <c r="AC829" t="str">
        <f>Y829*0.1</f>
        <v>#REF!</v>
      </c>
      <c r="AD829" t="str">
        <f>X829-AA829-AB829</f>
        <v>#REF!</v>
      </c>
      <c r="AE829" t="str">
        <f>Y829-AC829</f>
        <v>#REF!</v>
      </c>
      <c r="AF829" t="str">
        <f>AD829*0.01</f>
        <v>#REF!</v>
      </c>
      <c r="AG829" t="str">
        <f>AD829-Q829-AF829-T829</f>
        <v>#REF!</v>
      </c>
      <c r="AH829" t="str">
        <f>AE829-Q829-AF829-T829</f>
        <v>#REF!</v>
      </c>
      <c r="AI829" t="str">
        <f>AG829/X829</f>
        <v>#REF!</v>
      </c>
      <c r="AJ829" t="str">
        <f>AH829/Y829</f>
        <v>#REF!</v>
      </c>
    </row>
    <row r="830">
      <c r="G830" t="str">
        <v>A</v>
      </c>
      <c r="K830" t="str">
        <f>IF(L830&gt;0,L830*0.0625,)</f>
        <v>#REF!</v>
      </c>
      <c r="L830" t="str">
        <f>IF(K830&gt;0,K830*16,)</f>
        <v>#REF!</v>
      </c>
      <c r="M830" t="str">
        <f>IF(K830&gt;0,K830*0.453592,IF(L830&gt;0,L830*0.02835,))</f>
        <v>#REF!</v>
      </c>
      <c r="P830">
        <f>J830+O830+N830</f>
        <v>0</v>
      </c>
      <c r="Q830">
        <f>P830*C$3</f>
        <v>0</v>
      </c>
      <c r="R830">
        <v>0</v>
      </c>
      <c r="S830">
        <f>ROUND(SUM(Q830:R830), -2)</f>
        <v>0</v>
      </c>
      <c r="T830" t="str">
        <f>ROUNDUP(HLOOKUP(ROUNDUP(K830,0),'배송비 조회'!A$10:AE$22,7,0)*C$3,-2)</f>
        <v>#REF!</v>
      </c>
      <c r="U830">
        <v>0</v>
      </c>
      <c r="V830" t="str">
        <f>ROUND(IF(R826&gt;0,0,(S830+T830)*0.3),-2)</f>
        <v>#REF!</v>
      </c>
      <c r="W830" t="str">
        <f>ROUND(IF(R826&gt;0,0,(S830+T830)*0.5),-2)</f>
        <v>#REF!</v>
      </c>
      <c r="X830" t="str">
        <f>SUM(S830:V830)</f>
        <v>#REF!</v>
      </c>
      <c r="Y830" t="str">
        <f>SUM(S830:U830)+W830</f>
        <v>#REF!</v>
      </c>
      <c r="Z830">
        <v>0</v>
      </c>
      <c r="AA830" t="str">
        <f>X830*0.038</f>
        <v>#REF!</v>
      </c>
      <c r="AB830" t="str">
        <f>X830*0.02</f>
        <v>#REF!</v>
      </c>
      <c r="AC830" t="str">
        <f>Y830*0.1</f>
        <v>#REF!</v>
      </c>
      <c r="AD830" t="str">
        <f>X830-AA830-AB830</f>
        <v>#REF!</v>
      </c>
      <c r="AE830" t="str">
        <f>Y830-AC830</f>
        <v>#REF!</v>
      </c>
      <c r="AF830" t="str">
        <f>AD830*0.01</f>
        <v>#REF!</v>
      </c>
      <c r="AG830" t="str">
        <f>AD830-Q830-AF830-T830</f>
        <v>#REF!</v>
      </c>
      <c r="AH830" t="str">
        <f>AE830-Q830-AF830-T830</f>
        <v>#REF!</v>
      </c>
      <c r="AI830" t="str">
        <f>AG830/X830</f>
        <v>#REF!</v>
      </c>
      <c r="AJ830" t="str">
        <f>AH830/Y830</f>
        <v>#REF!</v>
      </c>
    </row>
    <row r="831">
      <c r="G831" t="str">
        <v>A</v>
      </c>
      <c r="K831" t="str">
        <f>IF(L831&gt;0,L831*0.0625,)</f>
        <v>#REF!</v>
      </c>
      <c r="L831" t="str">
        <f>IF(K831&gt;0,K831*16,)</f>
        <v>#REF!</v>
      </c>
      <c r="M831" t="str">
        <f>IF(K831&gt;0,K831*0.453592,IF(L831&gt;0,L831*0.02835,))</f>
        <v>#REF!</v>
      </c>
      <c r="P831">
        <f>J831+O831+N831</f>
        <v>0</v>
      </c>
      <c r="Q831">
        <f>P831*C$3</f>
        <v>0</v>
      </c>
      <c r="R831">
        <v>0</v>
      </c>
      <c r="S831">
        <f>ROUND(SUM(Q831:R831), -2)</f>
        <v>0</v>
      </c>
      <c r="T831" t="str">
        <f>ROUNDUP(HLOOKUP(ROUNDUP(K831,0),'배송비 조회'!A$10:AE$22,7,0)*C$3,-2)</f>
        <v>#REF!</v>
      </c>
      <c r="U831">
        <v>0</v>
      </c>
      <c r="V831" t="str">
        <f>ROUND(IF(R827&gt;0,0,(S831+T831)*0.3),-2)</f>
        <v>#REF!</v>
      </c>
      <c r="W831" t="str">
        <f>ROUND(IF(R827&gt;0,0,(S831+T831)*0.5),-2)</f>
        <v>#REF!</v>
      </c>
      <c r="X831" t="str">
        <f>SUM(S831:V831)</f>
        <v>#REF!</v>
      </c>
      <c r="Y831" t="str">
        <f>SUM(S831:U831)+W831</f>
        <v>#REF!</v>
      </c>
      <c r="Z831">
        <v>0</v>
      </c>
      <c r="AA831" t="str">
        <f>X831*0.038</f>
        <v>#REF!</v>
      </c>
      <c r="AB831" t="str">
        <f>X831*0.02</f>
        <v>#REF!</v>
      </c>
      <c r="AC831" t="str">
        <f>Y831*0.1</f>
        <v>#REF!</v>
      </c>
      <c r="AD831" t="str">
        <f>X831-AA831-AB831</f>
        <v>#REF!</v>
      </c>
      <c r="AE831" t="str">
        <f>Y831-AC831</f>
        <v>#REF!</v>
      </c>
      <c r="AF831" t="str">
        <f>AD831*0.01</f>
        <v>#REF!</v>
      </c>
      <c r="AG831" t="str">
        <f>AD831-Q831-AF831-T831</f>
        <v>#REF!</v>
      </c>
      <c r="AH831" t="str">
        <f>AE831-Q831-AF831-T831</f>
        <v>#REF!</v>
      </c>
      <c r="AI831" t="str">
        <f>AG831/X831</f>
        <v>#REF!</v>
      </c>
      <c r="AJ831" t="str">
        <f>AH831/Y831</f>
        <v>#REF!</v>
      </c>
    </row>
    <row r="832">
      <c r="G832" t="str">
        <v>A</v>
      </c>
      <c r="K832" t="str">
        <f>IF(L832&gt;0,L832*0.0625,)</f>
        <v>#REF!</v>
      </c>
      <c r="L832" t="str">
        <f>IF(K832&gt;0,K832*16,)</f>
        <v>#REF!</v>
      </c>
      <c r="M832" t="str">
        <f>IF(K832&gt;0,K832*0.453592,IF(L832&gt;0,L832*0.02835,))</f>
        <v>#REF!</v>
      </c>
      <c r="P832">
        <f>J832+O832+N832</f>
        <v>0</v>
      </c>
      <c r="Q832">
        <f>P832*C$3</f>
        <v>0</v>
      </c>
      <c r="R832">
        <v>0</v>
      </c>
      <c r="S832">
        <f>ROUND(SUM(Q832:R832), -2)</f>
        <v>0</v>
      </c>
      <c r="T832" t="str">
        <f>ROUNDUP(HLOOKUP(ROUNDUP(K832,0),'배송비 조회'!A$10:AE$22,7,0)*C$3,-2)</f>
        <v>#REF!</v>
      </c>
      <c r="U832">
        <v>0</v>
      </c>
      <c r="V832" t="str">
        <f>ROUND(IF(R828&gt;0,0,(S832+T832)*0.3),-2)</f>
        <v>#REF!</v>
      </c>
      <c r="W832" t="str">
        <f>ROUND(IF(R828&gt;0,0,(S832+T832)*0.5),-2)</f>
        <v>#REF!</v>
      </c>
      <c r="X832" t="str">
        <f>SUM(S832:V832)</f>
        <v>#REF!</v>
      </c>
      <c r="Y832" t="str">
        <f>SUM(S832:U832)+W832</f>
        <v>#REF!</v>
      </c>
      <c r="Z832">
        <v>0</v>
      </c>
      <c r="AA832" t="str">
        <f>X832*0.038</f>
        <v>#REF!</v>
      </c>
      <c r="AB832" t="str">
        <f>X832*0.02</f>
        <v>#REF!</v>
      </c>
      <c r="AC832" t="str">
        <f>Y832*0.1</f>
        <v>#REF!</v>
      </c>
      <c r="AD832" t="str">
        <f>X832-AA832-AB832</f>
        <v>#REF!</v>
      </c>
      <c r="AE832" t="str">
        <f>Y832-AC832</f>
        <v>#REF!</v>
      </c>
      <c r="AF832" t="str">
        <f>AD832*0.01</f>
        <v>#REF!</v>
      </c>
      <c r="AG832" t="str">
        <f>AD832-Q832-AF832-T832</f>
        <v>#REF!</v>
      </c>
      <c r="AH832" t="str">
        <f>AE832-Q832-AF832-T832</f>
        <v>#REF!</v>
      </c>
      <c r="AI832" t="str">
        <f>AG832/X832</f>
        <v>#REF!</v>
      </c>
      <c r="AJ832" t="str">
        <f>AH832/Y832</f>
        <v>#REF!</v>
      </c>
    </row>
    <row r="833">
      <c r="G833" t="str">
        <v>A</v>
      </c>
      <c r="K833" t="str">
        <f>IF(L833&gt;0,L833*0.0625,)</f>
        <v>#REF!</v>
      </c>
      <c r="L833" t="str">
        <f>IF(K833&gt;0,K833*16,)</f>
        <v>#REF!</v>
      </c>
      <c r="M833" t="str">
        <f>IF(K833&gt;0,K833*0.453592,IF(L833&gt;0,L833*0.02835,))</f>
        <v>#REF!</v>
      </c>
      <c r="P833">
        <f>J833+O833+N833</f>
        <v>0</v>
      </c>
      <c r="Q833">
        <f>P833*C$3</f>
        <v>0</v>
      </c>
      <c r="R833">
        <v>0</v>
      </c>
      <c r="S833">
        <f>ROUND(SUM(Q833:R833), -2)</f>
        <v>0</v>
      </c>
      <c r="T833" t="str">
        <f>ROUNDUP(HLOOKUP(ROUNDUP(K833,0),'배송비 조회'!A$10:AE$22,7,0)*C$3,-2)</f>
        <v>#REF!</v>
      </c>
      <c r="U833">
        <v>0</v>
      </c>
      <c r="V833" t="str">
        <f>ROUND(IF(R829&gt;0,0,(S833+T833)*0.3),-2)</f>
        <v>#REF!</v>
      </c>
      <c r="W833" t="str">
        <f>ROUND(IF(R829&gt;0,0,(S833+T833)*0.5),-2)</f>
        <v>#REF!</v>
      </c>
      <c r="X833" t="str">
        <f>SUM(S833:V833)</f>
        <v>#REF!</v>
      </c>
      <c r="Y833" t="str">
        <f>SUM(S833:U833)+W833</f>
        <v>#REF!</v>
      </c>
      <c r="Z833">
        <v>0</v>
      </c>
      <c r="AA833" t="str">
        <f>X833*0.038</f>
        <v>#REF!</v>
      </c>
      <c r="AB833" t="str">
        <f>X833*0.02</f>
        <v>#REF!</v>
      </c>
      <c r="AC833" t="str">
        <f>Y833*0.1</f>
        <v>#REF!</v>
      </c>
      <c r="AD833" t="str">
        <f>X833-AA833-AB833</f>
        <v>#REF!</v>
      </c>
      <c r="AE833" t="str">
        <f>Y833-AC833</f>
        <v>#REF!</v>
      </c>
      <c r="AF833" t="str">
        <f>AD833*0.01</f>
        <v>#REF!</v>
      </c>
      <c r="AG833" t="str">
        <f>AD833-Q833-AF833-T833</f>
        <v>#REF!</v>
      </c>
      <c r="AH833" t="str">
        <f>AE833-Q833-AF833-T833</f>
        <v>#REF!</v>
      </c>
      <c r="AI833" t="str">
        <f>AG833/X833</f>
        <v>#REF!</v>
      </c>
      <c r="AJ833" t="str">
        <f>AH833/Y833</f>
        <v>#REF!</v>
      </c>
    </row>
    <row r="834">
      <c r="G834" t="str">
        <v>A</v>
      </c>
      <c r="K834" t="str">
        <f>IF(L834&gt;0,L834*0.0625,)</f>
        <v>#REF!</v>
      </c>
      <c r="L834" t="str">
        <f>IF(K834&gt;0,K834*16,)</f>
        <v>#REF!</v>
      </c>
      <c r="M834" t="str">
        <f>IF(K834&gt;0,K834*0.453592,IF(L834&gt;0,L834*0.02835,))</f>
        <v>#REF!</v>
      </c>
      <c r="P834">
        <f>J834+O834+N834</f>
        <v>0</v>
      </c>
      <c r="Q834">
        <f>P834*C$3</f>
        <v>0</v>
      </c>
      <c r="R834">
        <v>0</v>
      </c>
      <c r="S834">
        <f>ROUND(SUM(Q834:R834), -2)</f>
        <v>0</v>
      </c>
      <c r="T834" t="str">
        <f>ROUNDUP(HLOOKUP(ROUNDUP(K834,0),'배송비 조회'!A$10:AE$22,7,0)*C$3,-2)</f>
        <v>#REF!</v>
      </c>
      <c r="U834">
        <v>0</v>
      </c>
      <c r="V834" t="str">
        <f>ROUND(IF(R830&gt;0,0,(S834+T834)*0.3),-2)</f>
        <v>#REF!</v>
      </c>
      <c r="W834" t="str">
        <f>ROUND(IF(R830&gt;0,0,(S834+T834)*0.5),-2)</f>
        <v>#REF!</v>
      </c>
      <c r="X834" t="str">
        <f>SUM(S834:V834)</f>
        <v>#REF!</v>
      </c>
      <c r="Y834" t="str">
        <f>SUM(S834:U834)+W834</f>
        <v>#REF!</v>
      </c>
      <c r="Z834">
        <v>0</v>
      </c>
      <c r="AA834" t="str">
        <f>X834*0.038</f>
        <v>#REF!</v>
      </c>
      <c r="AB834" t="str">
        <f>X834*0.02</f>
        <v>#REF!</v>
      </c>
      <c r="AC834" t="str">
        <f>Y834*0.1</f>
        <v>#REF!</v>
      </c>
      <c r="AD834" t="str">
        <f>X834-AA834-AB834</f>
        <v>#REF!</v>
      </c>
      <c r="AE834" t="str">
        <f>Y834-AC834</f>
        <v>#REF!</v>
      </c>
      <c r="AF834" t="str">
        <f>AD834*0.01</f>
        <v>#REF!</v>
      </c>
      <c r="AG834" t="str">
        <f>AD834-Q834-AF834-T834</f>
        <v>#REF!</v>
      </c>
      <c r="AH834" t="str">
        <f>AE834-Q834-AF834-T834</f>
        <v>#REF!</v>
      </c>
      <c r="AI834" t="str">
        <f>AG834/X834</f>
        <v>#REF!</v>
      </c>
      <c r="AJ834" t="str">
        <f>AH834/Y834</f>
        <v>#REF!</v>
      </c>
    </row>
    <row r="835">
      <c r="G835" t="str">
        <v>A</v>
      </c>
      <c r="K835" t="str">
        <f>IF(L835&gt;0,L835*0.0625,)</f>
        <v>#REF!</v>
      </c>
      <c r="L835" t="str">
        <f>IF(K835&gt;0,K835*16,)</f>
        <v>#REF!</v>
      </c>
      <c r="M835" t="str">
        <f>IF(K835&gt;0,K835*0.453592,IF(L835&gt;0,L835*0.02835,))</f>
        <v>#REF!</v>
      </c>
      <c r="P835">
        <f>J835+O835+N835</f>
        <v>0</v>
      </c>
      <c r="Q835">
        <f>P835*C$3</f>
        <v>0</v>
      </c>
      <c r="R835">
        <v>0</v>
      </c>
      <c r="S835">
        <f>ROUND(SUM(Q835:R835), -2)</f>
        <v>0</v>
      </c>
      <c r="T835" t="str">
        <f>ROUNDUP(HLOOKUP(ROUNDUP(K835,0),'배송비 조회'!A$10:AE$22,7,0)*C$3,-2)</f>
        <v>#REF!</v>
      </c>
      <c r="U835">
        <v>0</v>
      </c>
      <c r="V835" t="str">
        <f>ROUND(IF(R831&gt;0,0,(S835+T835)*0.3),-2)</f>
        <v>#REF!</v>
      </c>
      <c r="W835" t="str">
        <f>ROUND(IF(R831&gt;0,0,(S835+T835)*0.5),-2)</f>
        <v>#REF!</v>
      </c>
      <c r="X835" t="str">
        <f>SUM(S835:V835)</f>
        <v>#REF!</v>
      </c>
      <c r="Y835" t="str">
        <f>SUM(S835:U835)+W835</f>
        <v>#REF!</v>
      </c>
      <c r="Z835">
        <v>0</v>
      </c>
      <c r="AA835" t="str">
        <f>X835*0.038</f>
        <v>#REF!</v>
      </c>
      <c r="AB835" t="str">
        <f>X835*0.02</f>
        <v>#REF!</v>
      </c>
      <c r="AC835" t="str">
        <f>Y835*0.1</f>
        <v>#REF!</v>
      </c>
      <c r="AD835" t="str">
        <f>X835-AA835-AB835</f>
        <v>#REF!</v>
      </c>
      <c r="AE835" t="str">
        <f>Y835-AC835</f>
        <v>#REF!</v>
      </c>
      <c r="AF835" t="str">
        <f>AD835*0.01</f>
        <v>#REF!</v>
      </c>
      <c r="AG835" t="str">
        <f>AD835-Q835-AF835-T835</f>
        <v>#REF!</v>
      </c>
      <c r="AH835" t="str">
        <f>AE835-Q835-AF835-T835</f>
        <v>#REF!</v>
      </c>
      <c r="AI835" t="str">
        <f>AG835/X835</f>
        <v>#REF!</v>
      </c>
      <c r="AJ835" t="str">
        <f>AH835/Y835</f>
        <v>#REF!</v>
      </c>
    </row>
    <row r="836">
      <c r="G836" t="str">
        <v>A</v>
      </c>
      <c r="K836" t="str">
        <f>IF(L836&gt;0,L836*0.0625,)</f>
        <v>#REF!</v>
      </c>
      <c r="L836" t="str">
        <f>IF(K836&gt;0,K836*16,)</f>
        <v>#REF!</v>
      </c>
      <c r="M836" t="str">
        <f>IF(K836&gt;0,K836*0.453592,IF(L836&gt;0,L836*0.02835,))</f>
        <v>#REF!</v>
      </c>
      <c r="P836">
        <f>J836+O836+N836</f>
        <v>0</v>
      </c>
      <c r="Q836">
        <f>P836*C$3</f>
        <v>0</v>
      </c>
      <c r="R836">
        <v>0</v>
      </c>
      <c r="S836">
        <f>ROUND(SUM(Q836:R836), -2)</f>
        <v>0</v>
      </c>
      <c r="T836" t="str">
        <f>ROUNDUP(HLOOKUP(ROUNDUP(K836,0),'배송비 조회'!A$10:AE$22,7,0)*C$3,-2)</f>
        <v>#REF!</v>
      </c>
      <c r="U836">
        <v>0</v>
      </c>
      <c r="V836" t="str">
        <f>ROUND(IF(R832&gt;0,0,(S836+T836)*0.3),-2)</f>
        <v>#REF!</v>
      </c>
      <c r="W836" t="str">
        <f>ROUND(IF(R832&gt;0,0,(S836+T836)*0.5),-2)</f>
        <v>#REF!</v>
      </c>
      <c r="X836" t="str">
        <f>SUM(S836:V836)</f>
        <v>#REF!</v>
      </c>
      <c r="Y836" t="str">
        <f>SUM(S836:U836)+W836</f>
        <v>#REF!</v>
      </c>
      <c r="Z836">
        <v>0</v>
      </c>
      <c r="AA836" t="str">
        <f>X836*0.038</f>
        <v>#REF!</v>
      </c>
      <c r="AB836" t="str">
        <f>X836*0.02</f>
        <v>#REF!</v>
      </c>
      <c r="AC836" t="str">
        <f>Y836*0.1</f>
        <v>#REF!</v>
      </c>
      <c r="AD836" t="str">
        <f>X836-AA836-AB836</f>
        <v>#REF!</v>
      </c>
      <c r="AE836" t="str">
        <f>Y836-AC836</f>
        <v>#REF!</v>
      </c>
      <c r="AF836" t="str">
        <f>AD836*0.01</f>
        <v>#REF!</v>
      </c>
      <c r="AG836" t="str">
        <f>AD836-Q836-AF836-T836</f>
        <v>#REF!</v>
      </c>
      <c r="AH836" t="str">
        <f>AE836-Q836-AF836-T836</f>
        <v>#REF!</v>
      </c>
      <c r="AI836" t="str">
        <f>AG836/X836</f>
        <v>#REF!</v>
      </c>
      <c r="AJ836" t="str">
        <f>AH836/Y836</f>
        <v>#REF!</v>
      </c>
    </row>
    <row r="837">
      <c r="G837" t="str">
        <v>A</v>
      </c>
      <c r="K837" t="str">
        <f>IF(L837&gt;0,L837*0.0625,)</f>
        <v>#REF!</v>
      </c>
      <c r="L837" t="str">
        <f>IF(K837&gt;0,K837*16,)</f>
        <v>#REF!</v>
      </c>
      <c r="M837" t="str">
        <f>IF(K837&gt;0,K837*0.453592,IF(L837&gt;0,L837*0.02835,))</f>
        <v>#REF!</v>
      </c>
      <c r="P837">
        <f>J837+O837+N837</f>
        <v>0</v>
      </c>
      <c r="Q837">
        <f>P837*C$3</f>
        <v>0</v>
      </c>
      <c r="R837">
        <v>0</v>
      </c>
      <c r="S837">
        <f>ROUND(SUM(Q837:R837), -2)</f>
        <v>0</v>
      </c>
      <c r="T837" t="str">
        <f>ROUNDUP(HLOOKUP(ROUNDUP(K837,0),'배송비 조회'!A$10:AE$22,7,0)*C$3,-2)</f>
        <v>#REF!</v>
      </c>
      <c r="U837">
        <v>0</v>
      </c>
      <c r="V837" t="str">
        <f>ROUND(IF(R833&gt;0,0,(S837+T837)*0.3),-2)</f>
        <v>#REF!</v>
      </c>
      <c r="W837" t="str">
        <f>ROUND(IF(R833&gt;0,0,(S837+T837)*0.5),-2)</f>
        <v>#REF!</v>
      </c>
      <c r="X837" t="str">
        <f>SUM(S837:V837)</f>
        <v>#REF!</v>
      </c>
      <c r="Y837" t="str">
        <f>SUM(S837:U837)+W837</f>
        <v>#REF!</v>
      </c>
      <c r="Z837">
        <v>0</v>
      </c>
      <c r="AA837" t="str">
        <f>X837*0.038</f>
        <v>#REF!</v>
      </c>
      <c r="AB837" t="str">
        <f>X837*0.02</f>
        <v>#REF!</v>
      </c>
      <c r="AC837" t="str">
        <f>Y837*0.1</f>
        <v>#REF!</v>
      </c>
      <c r="AD837" t="str">
        <f>X837-AA837-AB837</f>
        <v>#REF!</v>
      </c>
      <c r="AE837" t="str">
        <f>Y837-AC837</f>
        <v>#REF!</v>
      </c>
      <c r="AF837" t="str">
        <f>AD837*0.01</f>
        <v>#REF!</v>
      </c>
      <c r="AG837" t="str">
        <f>AD837-Q837-AF837-T837</f>
        <v>#REF!</v>
      </c>
      <c r="AH837" t="str">
        <f>AE837-Q837-AF837-T837</f>
        <v>#REF!</v>
      </c>
      <c r="AI837" t="str">
        <f>AG837/X837</f>
        <v>#REF!</v>
      </c>
      <c r="AJ837" t="str">
        <f>AH837/Y837</f>
        <v>#REF!</v>
      </c>
    </row>
    <row r="838">
      <c r="G838" t="str">
        <v>A</v>
      </c>
      <c r="K838" t="str">
        <f>IF(L838&gt;0,L838*0.0625,)</f>
        <v>#REF!</v>
      </c>
      <c r="L838" t="str">
        <f>IF(K838&gt;0,K838*16,)</f>
        <v>#REF!</v>
      </c>
      <c r="M838" t="str">
        <f>IF(K838&gt;0,K838*0.453592,IF(L838&gt;0,L838*0.02835,))</f>
        <v>#REF!</v>
      </c>
      <c r="P838">
        <f>J838+O838+N838</f>
        <v>0</v>
      </c>
      <c r="Q838">
        <f>P838*C$3</f>
        <v>0</v>
      </c>
      <c r="R838">
        <v>0</v>
      </c>
      <c r="S838">
        <f>ROUND(SUM(Q838:R838), -2)</f>
        <v>0</v>
      </c>
      <c r="T838" t="str">
        <f>ROUNDUP(HLOOKUP(ROUNDUP(K838,0),'배송비 조회'!A$10:AE$22,7,0)*C$3,-2)</f>
        <v>#REF!</v>
      </c>
      <c r="U838">
        <v>0</v>
      </c>
      <c r="V838" t="str">
        <f>ROUND(IF(R834&gt;0,0,(S838+T838)*0.3),-2)</f>
        <v>#REF!</v>
      </c>
      <c r="W838" t="str">
        <f>ROUND(IF(R834&gt;0,0,(S838+T838)*0.5),-2)</f>
        <v>#REF!</v>
      </c>
      <c r="X838" t="str">
        <f>SUM(S838:V838)</f>
        <v>#REF!</v>
      </c>
      <c r="Y838" t="str">
        <f>SUM(S838:U838)+W838</f>
        <v>#REF!</v>
      </c>
      <c r="Z838">
        <v>0</v>
      </c>
      <c r="AA838" t="str">
        <f>X838*0.038</f>
        <v>#REF!</v>
      </c>
      <c r="AB838" t="str">
        <f>X838*0.02</f>
        <v>#REF!</v>
      </c>
      <c r="AC838" t="str">
        <f>Y838*0.1</f>
        <v>#REF!</v>
      </c>
      <c r="AD838" t="str">
        <f>X838-AA838-AB838</f>
        <v>#REF!</v>
      </c>
      <c r="AE838" t="str">
        <f>Y838-AC838</f>
        <v>#REF!</v>
      </c>
      <c r="AF838" t="str">
        <f>AD838*0.01</f>
        <v>#REF!</v>
      </c>
      <c r="AG838" t="str">
        <f>AD838-Q838-AF838-T838</f>
        <v>#REF!</v>
      </c>
      <c r="AH838" t="str">
        <f>AE838-Q838-AF838-T838</f>
        <v>#REF!</v>
      </c>
      <c r="AI838" t="str">
        <f>AG838/X838</f>
        <v>#REF!</v>
      </c>
      <c r="AJ838" t="str">
        <f>AH838/Y838</f>
        <v>#REF!</v>
      </c>
    </row>
    <row r="839">
      <c r="G839" t="str">
        <v>A</v>
      </c>
      <c r="K839" t="str">
        <f>IF(L839&gt;0,L839*0.0625,)</f>
        <v>#REF!</v>
      </c>
      <c r="L839" t="str">
        <f>IF(K839&gt;0,K839*16,)</f>
        <v>#REF!</v>
      </c>
      <c r="M839" t="str">
        <f>IF(K839&gt;0,K839*0.453592,IF(L839&gt;0,L839*0.02835,))</f>
        <v>#REF!</v>
      </c>
      <c r="P839">
        <f>J839+O839+N839</f>
        <v>0</v>
      </c>
      <c r="Q839">
        <f>P839*C$3</f>
        <v>0</v>
      </c>
      <c r="R839">
        <v>0</v>
      </c>
      <c r="S839">
        <f>ROUND(SUM(Q839:R839), -2)</f>
        <v>0</v>
      </c>
      <c r="T839" t="str">
        <f>ROUNDUP(HLOOKUP(ROUNDUP(K839,0),'배송비 조회'!A$10:AE$22,7,0)*C$3,-2)</f>
        <v>#REF!</v>
      </c>
      <c r="U839">
        <v>0</v>
      </c>
      <c r="V839" t="str">
        <f>ROUND(IF(R835&gt;0,0,(S839+T839)*0.3),-2)</f>
        <v>#REF!</v>
      </c>
      <c r="W839" t="str">
        <f>ROUND(IF(R835&gt;0,0,(S839+T839)*0.5),-2)</f>
        <v>#REF!</v>
      </c>
      <c r="X839" t="str">
        <f>SUM(S839:V839)</f>
        <v>#REF!</v>
      </c>
      <c r="Y839" t="str">
        <f>SUM(S839:U839)+W839</f>
        <v>#REF!</v>
      </c>
      <c r="Z839">
        <v>0</v>
      </c>
      <c r="AA839" t="str">
        <f>X839*0.038</f>
        <v>#REF!</v>
      </c>
      <c r="AB839" t="str">
        <f>X839*0.02</f>
        <v>#REF!</v>
      </c>
      <c r="AC839" t="str">
        <f>Y839*0.1</f>
        <v>#REF!</v>
      </c>
      <c r="AD839" t="str">
        <f>X839-AA839-AB839</f>
        <v>#REF!</v>
      </c>
      <c r="AE839" t="str">
        <f>Y839-AC839</f>
        <v>#REF!</v>
      </c>
      <c r="AF839" t="str">
        <f>AD839*0.01</f>
        <v>#REF!</v>
      </c>
      <c r="AG839" t="str">
        <f>AD839-Q839-AF839-T839</f>
        <v>#REF!</v>
      </c>
      <c r="AH839" t="str">
        <f>AE839-Q839-AF839-T839</f>
        <v>#REF!</v>
      </c>
      <c r="AI839" t="str">
        <f>AG839/X839</f>
        <v>#REF!</v>
      </c>
      <c r="AJ839" t="str">
        <f>AH839/Y839</f>
        <v>#REF!</v>
      </c>
    </row>
    <row r="840">
      <c r="G840" t="str">
        <v>A</v>
      </c>
      <c r="K840" t="str">
        <f>IF(L840&gt;0,L840*0.0625,)</f>
        <v>#REF!</v>
      </c>
      <c r="L840" t="str">
        <f>IF(K840&gt;0,K840*16,)</f>
        <v>#REF!</v>
      </c>
      <c r="M840" t="str">
        <f>IF(K840&gt;0,K840*0.453592,IF(L840&gt;0,L840*0.02835,))</f>
        <v>#REF!</v>
      </c>
      <c r="P840">
        <f>J840+O840+N840</f>
        <v>0</v>
      </c>
      <c r="Q840">
        <f>P840*C$3</f>
        <v>0</v>
      </c>
      <c r="R840">
        <v>0</v>
      </c>
      <c r="S840">
        <f>ROUND(SUM(Q840:R840), -2)</f>
        <v>0</v>
      </c>
      <c r="T840" t="str">
        <f>ROUNDUP(HLOOKUP(ROUNDUP(K840,0),'배송비 조회'!A$10:AE$22,7,0)*C$3,-2)</f>
        <v>#REF!</v>
      </c>
      <c r="U840">
        <v>0</v>
      </c>
      <c r="V840" t="str">
        <f>ROUND(IF(R836&gt;0,0,(S840+T840)*0.3),-2)</f>
        <v>#REF!</v>
      </c>
      <c r="W840" t="str">
        <f>ROUND(IF(R836&gt;0,0,(S840+T840)*0.5),-2)</f>
        <v>#REF!</v>
      </c>
      <c r="X840" t="str">
        <f>SUM(S840:V840)</f>
        <v>#REF!</v>
      </c>
      <c r="Y840" t="str">
        <f>SUM(S840:U840)+W840</f>
        <v>#REF!</v>
      </c>
      <c r="Z840">
        <v>0</v>
      </c>
      <c r="AA840" t="str">
        <f>X840*0.038</f>
        <v>#REF!</v>
      </c>
      <c r="AB840" t="str">
        <f>X840*0.02</f>
        <v>#REF!</v>
      </c>
      <c r="AC840" t="str">
        <f>Y840*0.1</f>
        <v>#REF!</v>
      </c>
      <c r="AD840" t="str">
        <f>X840-AA840-AB840</f>
        <v>#REF!</v>
      </c>
      <c r="AE840" t="str">
        <f>Y840-AC840</f>
        <v>#REF!</v>
      </c>
      <c r="AF840" t="str">
        <f>AD840*0.01</f>
        <v>#REF!</v>
      </c>
      <c r="AG840" t="str">
        <f>AD840-Q840-AF840-T840</f>
        <v>#REF!</v>
      </c>
      <c r="AH840" t="str">
        <f>AE840-Q840-AF840-T840</f>
        <v>#REF!</v>
      </c>
      <c r="AI840" t="str">
        <f>AG840/X840</f>
        <v>#REF!</v>
      </c>
      <c r="AJ840" t="str">
        <f>AH840/Y840</f>
        <v>#REF!</v>
      </c>
    </row>
    <row r="841">
      <c r="G841" t="str">
        <v>A</v>
      </c>
      <c r="K841" t="str">
        <f>IF(L841&gt;0,L841*0.0625,)</f>
        <v>#REF!</v>
      </c>
      <c r="L841" t="str">
        <f>IF(K841&gt;0,K841*16,)</f>
        <v>#REF!</v>
      </c>
      <c r="M841" t="str">
        <f>IF(K841&gt;0,K841*0.453592,IF(L841&gt;0,L841*0.02835,))</f>
        <v>#REF!</v>
      </c>
      <c r="P841">
        <f>J841+O841+N841</f>
        <v>0</v>
      </c>
      <c r="Q841">
        <f>P841*C$3</f>
        <v>0</v>
      </c>
      <c r="R841">
        <v>0</v>
      </c>
      <c r="S841">
        <f>ROUND(SUM(Q841:R841), -2)</f>
        <v>0</v>
      </c>
      <c r="T841" t="str">
        <f>ROUNDUP(HLOOKUP(ROUNDUP(K841,0),'배송비 조회'!A$10:AE$22,7,0)*C$3,-2)</f>
        <v>#REF!</v>
      </c>
      <c r="U841">
        <v>0</v>
      </c>
      <c r="V841" t="str">
        <f>ROUND(IF(R837&gt;0,0,(S841+T841)*0.3),-2)</f>
        <v>#REF!</v>
      </c>
      <c r="W841" t="str">
        <f>ROUND(IF(R837&gt;0,0,(S841+T841)*0.5),-2)</f>
        <v>#REF!</v>
      </c>
      <c r="X841" t="str">
        <f>SUM(S841:V841)</f>
        <v>#REF!</v>
      </c>
      <c r="Y841" t="str">
        <f>SUM(S841:U841)+W841</f>
        <v>#REF!</v>
      </c>
      <c r="Z841">
        <v>0</v>
      </c>
      <c r="AA841" t="str">
        <f>X841*0.038</f>
        <v>#REF!</v>
      </c>
      <c r="AB841" t="str">
        <f>X841*0.02</f>
        <v>#REF!</v>
      </c>
      <c r="AC841" t="str">
        <f>Y841*0.1</f>
        <v>#REF!</v>
      </c>
      <c r="AD841" t="str">
        <f>X841-AA841-AB841</f>
        <v>#REF!</v>
      </c>
      <c r="AE841" t="str">
        <f>Y841-AC841</f>
        <v>#REF!</v>
      </c>
      <c r="AF841" t="str">
        <f>AD841*0.01</f>
        <v>#REF!</v>
      </c>
      <c r="AG841" t="str">
        <f>AD841-Q841-AF841-T841</f>
        <v>#REF!</v>
      </c>
      <c r="AH841" t="str">
        <f>AE841-Q841-AF841-T841</f>
        <v>#REF!</v>
      </c>
      <c r="AI841" t="str">
        <f>AG841/X841</f>
        <v>#REF!</v>
      </c>
      <c r="AJ841" t="str">
        <f>AH841/Y841</f>
        <v>#REF!</v>
      </c>
    </row>
    <row r="842">
      <c r="G842" t="str">
        <v>A</v>
      </c>
      <c r="K842" t="str">
        <f>IF(L842&gt;0,L842*0.0625,)</f>
        <v>#REF!</v>
      </c>
      <c r="L842" t="str">
        <f>IF(K842&gt;0,K842*16,)</f>
        <v>#REF!</v>
      </c>
      <c r="M842" t="str">
        <f>IF(K842&gt;0,K842*0.453592,IF(L842&gt;0,L842*0.02835,))</f>
        <v>#REF!</v>
      </c>
      <c r="P842">
        <f>J842+O842+N842</f>
        <v>0</v>
      </c>
      <c r="Q842">
        <f>P842*C$3</f>
        <v>0</v>
      </c>
      <c r="R842">
        <v>0</v>
      </c>
      <c r="S842">
        <f>ROUND(SUM(Q842:R842), -2)</f>
        <v>0</v>
      </c>
      <c r="T842" t="str">
        <f>ROUNDUP(HLOOKUP(ROUNDUP(K842,0),'배송비 조회'!A$10:AE$22,7,0)*C$3,-2)</f>
        <v>#REF!</v>
      </c>
      <c r="U842">
        <v>0</v>
      </c>
      <c r="V842" t="str">
        <f>ROUND(IF(R838&gt;0,0,(S842+T842)*0.3),-2)</f>
        <v>#REF!</v>
      </c>
      <c r="W842" t="str">
        <f>ROUND(IF(R838&gt;0,0,(S842+T842)*0.5),-2)</f>
        <v>#REF!</v>
      </c>
      <c r="X842" t="str">
        <f>SUM(S842:V842)</f>
        <v>#REF!</v>
      </c>
      <c r="Y842" t="str">
        <f>SUM(S842:U842)+W842</f>
        <v>#REF!</v>
      </c>
      <c r="Z842">
        <v>0</v>
      </c>
      <c r="AA842" t="str">
        <f>X842*0.038</f>
        <v>#REF!</v>
      </c>
      <c r="AB842" t="str">
        <f>X842*0.02</f>
        <v>#REF!</v>
      </c>
      <c r="AC842" t="str">
        <f>Y842*0.1</f>
        <v>#REF!</v>
      </c>
      <c r="AD842" t="str">
        <f>X842-AA842-AB842</f>
        <v>#REF!</v>
      </c>
      <c r="AE842" t="str">
        <f>Y842-AC842</f>
        <v>#REF!</v>
      </c>
      <c r="AF842" t="str">
        <f>AD842*0.01</f>
        <v>#REF!</v>
      </c>
      <c r="AG842" t="str">
        <f>AD842-Q842-AF842-T842</f>
        <v>#REF!</v>
      </c>
      <c r="AH842" t="str">
        <f>AE842-Q842-AF842-T842</f>
        <v>#REF!</v>
      </c>
      <c r="AI842" t="str">
        <f>AG842/X842</f>
        <v>#REF!</v>
      </c>
      <c r="AJ842" t="str">
        <f>AH842/Y842</f>
        <v>#REF!</v>
      </c>
    </row>
    <row r="843">
      <c r="G843" t="str">
        <v>A</v>
      </c>
      <c r="K843" t="str">
        <f>IF(L843&gt;0,L843*0.0625,)</f>
        <v>#REF!</v>
      </c>
      <c r="L843" t="str">
        <f>IF(K843&gt;0,K843*16,)</f>
        <v>#REF!</v>
      </c>
      <c r="M843" t="str">
        <f>IF(K843&gt;0,K843*0.453592,IF(L843&gt;0,L843*0.02835,))</f>
        <v>#REF!</v>
      </c>
      <c r="P843">
        <f>J843+O843+N843</f>
        <v>0</v>
      </c>
      <c r="Q843">
        <f>P843*C$3</f>
        <v>0</v>
      </c>
      <c r="R843">
        <v>0</v>
      </c>
      <c r="S843">
        <f>ROUND(SUM(Q843:R843), -2)</f>
        <v>0</v>
      </c>
      <c r="T843" t="str">
        <f>ROUNDUP(HLOOKUP(ROUNDUP(K843,0),'배송비 조회'!A$10:AE$22,7,0)*C$3,-2)</f>
        <v>#REF!</v>
      </c>
      <c r="U843">
        <v>0</v>
      </c>
      <c r="V843" t="str">
        <f>ROUND(IF(R839&gt;0,0,(S843+T843)*0.3),-2)</f>
        <v>#REF!</v>
      </c>
      <c r="W843" t="str">
        <f>ROUND(IF(R839&gt;0,0,(S843+T843)*0.5),-2)</f>
        <v>#REF!</v>
      </c>
      <c r="X843" t="str">
        <f>SUM(S843:V843)</f>
        <v>#REF!</v>
      </c>
      <c r="Y843" t="str">
        <f>SUM(S843:U843)+W843</f>
        <v>#REF!</v>
      </c>
      <c r="Z843">
        <v>0</v>
      </c>
      <c r="AA843" t="str">
        <f>X843*0.038</f>
        <v>#REF!</v>
      </c>
      <c r="AB843" t="str">
        <f>X843*0.02</f>
        <v>#REF!</v>
      </c>
      <c r="AC843" t="str">
        <f>Y843*0.1</f>
        <v>#REF!</v>
      </c>
      <c r="AD843" t="str">
        <f>X843-AA843-AB843</f>
        <v>#REF!</v>
      </c>
      <c r="AE843" t="str">
        <f>Y843-AC843</f>
        <v>#REF!</v>
      </c>
      <c r="AF843" t="str">
        <f>AD843*0.01</f>
        <v>#REF!</v>
      </c>
      <c r="AG843" t="str">
        <f>AD843-Q843-AF843-T843</f>
        <v>#REF!</v>
      </c>
      <c r="AH843" t="str">
        <f>AE843-Q843-AF843-T843</f>
        <v>#REF!</v>
      </c>
      <c r="AI843" t="str">
        <f>AG843/X843</f>
        <v>#REF!</v>
      </c>
      <c r="AJ843" t="str">
        <f>AH843/Y843</f>
        <v>#REF!</v>
      </c>
    </row>
    <row r="844">
      <c r="G844" t="str">
        <v>A</v>
      </c>
      <c r="K844" t="str">
        <f>IF(L844&gt;0,L844*0.0625,)</f>
        <v>#REF!</v>
      </c>
      <c r="L844" t="str">
        <f>IF(K844&gt;0,K844*16,)</f>
        <v>#REF!</v>
      </c>
      <c r="M844" t="str">
        <f>IF(K844&gt;0,K844*0.453592,IF(L844&gt;0,L844*0.02835,))</f>
        <v>#REF!</v>
      </c>
      <c r="P844">
        <f>J844+O844+N844</f>
        <v>0</v>
      </c>
      <c r="Q844">
        <f>P844*C$3</f>
        <v>0</v>
      </c>
      <c r="R844">
        <v>0</v>
      </c>
      <c r="S844">
        <f>ROUND(SUM(Q844:R844), -2)</f>
        <v>0</v>
      </c>
      <c r="T844" t="str">
        <f>ROUNDUP(HLOOKUP(ROUNDUP(K844,0),'배송비 조회'!A$10:AE$22,7,0)*C$3,-2)</f>
        <v>#REF!</v>
      </c>
      <c r="U844">
        <v>0</v>
      </c>
      <c r="V844" t="str">
        <f>ROUND(IF(R840&gt;0,0,(S844+T844)*0.3),-2)</f>
        <v>#REF!</v>
      </c>
      <c r="W844" t="str">
        <f>ROUND(IF(R840&gt;0,0,(S844+T844)*0.5),-2)</f>
        <v>#REF!</v>
      </c>
      <c r="X844" t="str">
        <f>SUM(S844:V844)</f>
        <v>#REF!</v>
      </c>
      <c r="Y844" t="str">
        <f>SUM(S844:U844)+W844</f>
        <v>#REF!</v>
      </c>
      <c r="Z844">
        <v>0</v>
      </c>
      <c r="AA844" t="str">
        <f>X844*0.038</f>
        <v>#REF!</v>
      </c>
      <c r="AB844" t="str">
        <f>X844*0.02</f>
        <v>#REF!</v>
      </c>
      <c r="AC844" t="str">
        <f>Y844*0.1</f>
        <v>#REF!</v>
      </c>
      <c r="AD844" t="str">
        <f>X844-AA844-AB844</f>
        <v>#REF!</v>
      </c>
      <c r="AE844" t="str">
        <f>Y844-AC844</f>
        <v>#REF!</v>
      </c>
      <c r="AF844" t="str">
        <f>AD844*0.01</f>
        <v>#REF!</v>
      </c>
      <c r="AG844" t="str">
        <f>AD844-Q844-AF844-T844</f>
        <v>#REF!</v>
      </c>
      <c r="AH844" t="str">
        <f>AE844-Q844-AF844-T844</f>
        <v>#REF!</v>
      </c>
      <c r="AI844" t="str">
        <f>AG844/X844</f>
        <v>#REF!</v>
      </c>
      <c r="AJ844" t="str">
        <f>AH844/Y844</f>
        <v>#REF!</v>
      </c>
    </row>
    <row r="845">
      <c r="G845" t="str">
        <v>A</v>
      </c>
      <c r="K845" t="str">
        <f>IF(L845&gt;0,L845*0.0625,)</f>
        <v>#REF!</v>
      </c>
      <c r="L845" t="str">
        <f>IF(K845&gt;0,K845*16,)</f>
        <v>#REF!</v>
      </c>
      <c r="M845" t="str">
        <f>IF(K845&gt;0,K845*0.453592,IF(L845&gt;0,L845*0.02835,))</f>
        <v>#REF!</v>
      </c>
      <c r="P845">
        <f>J845+O845+N845</f>
        <v>0</v>
      </c>
      <c r="Q845">
        <f>P845*C$3</f>
        <v>0</v>
      </c>
      <c r="R845">
        <v>0</v>
      </c>
      <c r="S845">
        <f>ROUND(SUM(Q845:R845), -2)</f>
        <v>0</v>
      </c>
      <c r="T845" t="str">
        <f>ROUNDUP(HLOOKUP(ROUNDUP(K845,0),'배송비 조회'!A$10:AE$22,7,0)*C$3,-2)</f>
        <v>#REF!</v>
      </c>
      <c r="U845">
        <v>0</v>
      </c>
      <c r="V845" t="str">
        <f>ROUND(IF(R841&gt;0,0,(S845+T845)*0.3),-2)</f>
        <v>#REF!</v>
      </c>
      <c r="W845" t="str">
        <f>ROUND(IF(R841&gt;0,0,(S845+T845)*0.5),-2)</f>
        <v>#REF!</v>
      </c>
      <c r="X845" t="str">
        <f>SUM(S845:V845)</f>
        <v>#REF!</v>
      </c>
      <c r="Y845" t="str">
        <f>SUM(S845:U845)+W845</f>
        <v>#REF!</v>
      </c>
      <c r="Z845">
        <v>0</v>
      </c>
      <c r="AA845" t="str">
        <f>X845*0.038</f>
        <v>#REF!</v>
      </c>
      <c r="AB845" t="str">
        <f>X845*0.02</f>
        <v>#REF!</v>
      </c>
      <c r="AC845" t="str">
        <f>Y845*0.1</f>
        <v>#REF!</v>
      </c>
      <c r="AD845" t="str">
        <f>X845-AA845-AB845</f>
        <v>#REF!</v>
      </c>
      <c r="AE845" t="str">
        <f>Y845-AC845</f>
        <v>#REF!</v>
      </c>
      <c r="AF845" t="str">
        <f>AD845*0.01</f>
        <v>#REF!</v>
      </c>
      <c r="AG845" t="str">
        <f>AD845-Q845-AF845-T845</f>
        <v>#REF!</v>
      </c>
      <c r="AH845" t="str">
        <f>AE845-Q845-AF845-T845</f>
        <v>#REF!</v>
      </c>
      <c r="AI845" t="str">
        <f>AG845/X845</f>
        <v>#REF!</v>
      </c>
      <c r="AJ845" t="str">
        <f>AH845/Y845</f>
        <v>#REF!</v>
      </c>
    </row>
    <row r="846">
      <c r="G846" t="str">
        <v>A</v>
      </c>
      <c r="K846" t="str">
        <f>IF(L846&gt;0,L846*0.0625,)</f>
        <v>#REF!</v>
      </c>
      <c r="L846" t="str">
        <f>IF(K846&gt;0,K846*16,)</f>
        <v>#REF!</v>
      </c>
      <c r="M846" t="str">
        <f>IF(K846&gt;0,K846*0.453592,IF(L846&gt;0,L846*0.02835,))</f>
        <v>#REF!</v>
      </c>
      <c r="P846">
        <f>J846+O846+N846</f>
        <v>0</v>
      </c>
      <c r="Q846">
        <f>P846*C$3</f>
        <v>0</v>
      </c>
      <c r="R846">
        <v>0</v>
      </c>
      <c r="S846">
        <f>ROUND(SUM(Q846:R846), -2)</f>
        <v>0</v>
      </c>
      <c r="T846" t="str">
        <f>ROUNDUP(HLOOKUP(ROUNDUP(K846,0),'배송비 조회'!A$10:AE$22,7,0)*C$3,-2)</f>
        <v>#REF!</v>
      </c>
      <c r="U846">
        <v>0</v>
      </c>
      <c r="V846" t="str">
        <f>ROUND(IF(R842&gt;0,0,(S846+T846)*0.3),-2)</f>
        <v>#REF!</v>
      </c>
      <c r="W846" t="str">
        <f>ROUND(IF(R842&gt;0,0,(S846+T846)*0.5),-2)</f>
        <v>#REF!</v>
      </c>
      <c r="X846" t="str">
        <f>SUM(S846:V846)</f>
        <v>#REF!</v>
      </c>
      <c r="Y846" t="str">
        <f>SUM(S846:U846)+W846</f>
        <v>#REF!</v>
      </c>
      <c r="Z846">
        <v>0</v>
      </c>
      <c r="AA846" t="str">
        <f>X846*0.038</f>
        <v>#REF!</v>
      </c>
      <c r="AB846" t="str">
        <f>X846*0.02</f>
        <v>#REF!</v>
      </c>
      <c r="AC846" t="str">
        <f>Y846*0.1</f>
        <v>#REF!</v>
      </c>
      <c r="AD846" t="str">
        <f>X846-AA846-AB846</f>
        <v>#REF!</v>
      </c>
      <c r="AE846" t="str">
        <f>Y846-AC846</f>
        <v>#REF!</v>
      </c>
      <c r="AF846" t="str">
        <f>AD846*0.01</f>
        <v>#REF!</v>
      </c>
      <c r="AG846" t="str">
        <f>AD846-Q846-AF846-T846</f>
        <v>#REF!</v>
      </c>
      <c r="AH846" t="str">
        <f>AE846-Q846-AF846-T846</f>
        <v>#REF!</v>
      </c>
      <c r="AI846" t="str">
        <f>AG846/X846</f>
        <v>#REF!</v>
      </c>
      <c r="AJ846" t="str">
        <f>AH846/Y846</f>
        <v>#REF!</v>
      </c>
    </row>
    <row r="847">
      <c r="G847" t="str">
        <v>A</v>
      </c>
      <c r="K847" t="str">
        <f>IF(L847&gt;0,L847*0.0625,)</f>
        <v>#REF!</v>
      </c>
      <c r="L847" t="str">
        <f>IF(K847&gt;0,K847*16,)</f>
        <v>#REF!</v>
      </c>
      <c r="M847" t="str">
        <f>IF(K847&gt;0,K847*0.453592,IF(L847&gt;0,L847*0.02835,))</f>
        <v>#REF!</v>
      </c>
      <c r="P847">
        <f>J847+O847+N847</f>
        <v>0</v>
      </c>
      <c r="Q847">
        <f>P847*C$3</f>
        <v>0</v>
      </c>
      <c r="R847">
        <v>0</v>
      </c>
      <c r="S847">
        <f>ROUND(SUM(Q847:R847), -2)</f>
        <v>0</v>
      </c>
      <c r="T847" t="str">
        <f>ROUNDUP(HLOOKUP(ROUNDUP(K847,0),'배송비 조회'!A$10:AE$22,7,0)*C$3,-2)</f>
        <v>#REF!</v>
      </c>
      <c r="U847">
        <v>0</v>
      </c>
      <c r="V847" t="str">
        <f>ROUND(IF(R843&gt;0,0,(S847+T847)*0.3),-2)</f>
        <v>#REF!</v>
      </c>
      <c r="W847" t="str">
        <f>ROUND(IF(R843&gt;0,0,(S847+T847)*0.5),-2)</f>
        <v>#REF!</v>
      </c>
      <c r="X847" t="str">
        <f>SUM(S847:V847)</f>
        <v>#REF!</v>
      </c>
      <c r="Y847" t="str">
        <f>SUM(S847:U847)+W847</f>
        <v>#REF!</v>
      </c>
      <c r="Z847">
        <v>0</v>
      </c>
      <c r="AA847" t="str">
        <f>X847*0.038</f>
        <v>#REF!</v>
      </c>
      <c r="AB847" t="str">
        <f>X847*0.02</f>
        <v>#REF!</v>
      </c>
      <c r="AC847" t="str">
        <f>Y847*0.1</f>
        <v>#REF!</v>
      </c>
      <c r="AD847" t="str">
        <f>X847-AA847-AB847</f>
        <v>#REF!</v>
      </c>
      <c r="AE847" t="str">
        <f>Y847-AC847</f>
        <v>#REF!</v>
      </c>
      <c r="AF847" t="str">
        <f>AD847*0.01</f>
        <v>#REF!</v>
      </c>
      <c r="AG847" t="str">
        <f>AD847-Q847-AF847-T847</f>
        <v>#REF!</v>
      </c>
      <c r="AH847" t="str">
        <f>AE847-Q847-AF847-T847</f>
        <v>#REF!</v>
      </c>
      <c r="AI847" t="str">
        <f>AG847/X847</f>
        <v>#REF!</v>
      </c>
      <c r="AJ847" t="str">
        <f>AH847/Y847</f>
        <v>#REF!</v>
      </c>
    </row>
    <row r="848">
      <c r="G848" t="str">
        <v>A</v>
      </c>
      <c r="K848" t="str">
        <f>IF(L848&gt;0,L848*0.0625,)</f>
        <v>#REF!</v>
      </c>
      <c r="L848" t="str">
        <f>IF(K848&gt;0,K848*16,)</f>
        <v>#REF!</v>
      </c>
      <c r="M848" t="str">
        <f>IF(K848&gt;0,K848*0.453592,IF(L848&gt;0,L848*0.02835,))</f>
        <v>#REF!</v>
      </c>
      <c r="P848">
        <f>J848+O848+N848</f>
        <v>0</v>
      </c>
      <c r="Q848">
        <f>P848*C$3</f>
        <v>0</v>
      </c>
      <c r="R848">
        <v>0</v>
      </c>
      <c r="S848">
        <f>ROUND(SUM(Q848:R848), -2)</f>
        <v>0</v>
      </c>
      <c r="T848" t="str">
        <f>ROUNDUP(HLOOKUP(ROUNDUP(K848,0),'배송비 조회'!A$10:AE$22,7,0)*C$3,-2)</f>
        <v>#REF!</v>
      </c>
      <c r="U848">
        <v>0</v>
      </c>
      <c r="V848" t="str">
        <f>ROUND(IF(R844&gt;0,0,(S848+T848)*0.3),-2)</f>
        <v>#REF!</v>
      </c>
      <c r="W848" t="str">
        <f>ROUND(IF(R844&gt;0,0,(S848+T848)*0.5),-2)</f>
        <v>#REF!</v>
      </c>
      <c r="X848" t="str">
        <f>SUM(S848:V848)</f>
        <v>#REF!</v>
      </c>
      <c r="Y848" t="str">
        <f>SUM(S848:U848)+W848</f>
        <v>#REF!</v>
      </c>
      <c r="Z848">
        <v>0</v>
      </c>
      <c r="AA848" t="str">
        <f>X848*0.038</f>
        <v>#REF!</v>
      </c>
      <c r="AB848" t="str">
        <f>X848*0.02</f>
        <v>#REF!</v>
      </c>
      <c r="AC848" t="str">
        <f>Y848*0.1</f>
        <v>#REF!</v>
      </c>
      <c r="AD848" t="str">
        <f>X848-AA848-AB848</f>
        <v>#REF!</v>
      </c>
      <c r="AE848" t="str">
        <f>Y848-AC848</f>
        <v>#REF!</v>
      </c>
      <c r="AF848" t="str">
        <f>AD848*0.01</f>
        <v>#REF!</v>
      </c>
      <c r="AG848" t="str">
        <f>AD848-Q848-AF848-T848</f>
        <v>#REF!</v>
      </c>
      <c r="AH848" t="str">
        <f>AE848-Q848-AF848-T848</f>
        <v>#REF!</v>
      </c>
      <c r="AI848" t="str">
        <f>AG848/X848</f>
        <v>#REF!</v>
      </c>
      <c r="AJ848" t="str">
        <f>AH848/Y848</f>
        <v>#REF!</v>
      </c>
    </row>
    <row r="849">
      <c r="G849" t="str">
        <v>A</v>
      </c>
      <c r="K849" t="str">
        <f>IF(L849&gt;0,L849*0.0625,)</f>
        <v>#REF!</v>
      </c>
      <c r="L849" t="str">
        <f>IF(K849&gt;0,K849*16,)</f>
        <v>#REF!</v>
      </c>
      <c r="M849" t="str">
        <f>IF(K849&gt;0,K849*0.453592,IF(L849&gt;0,L849*0.02835,))</f>
        <v>#REF!</v>
      </c>
      <c r="P849">
        <f>J849+O849+N849</f>
        <v>0</v>
      </c>
      <c r="Q849">
        <f>P849*C$3</f>
        <v>0</v>
      </c>
      <c r="R849">
        <v>0</v>
      </c>
      <c r="S849">
        <f>ROUND(SUM(Q849:R849), -2)</f>
        <v>0</v>
      </c>
      <c r="T849" t="str">
        <f>ROUNDUP(HLOOKUP(ROUNDUP(K849,0),'배송비 조회'!A$10:AE$22,7,0)*C$3,-2)</f>
        <v>#REF!</v>
      </c>
      <c r="U849">
        <v>0</v>
      </c>
      <c r="V849" t="str">
        <f>ROUND(IF(R845&gt;0,0,(S849+T849)*0.3),-2)</f>
        <v>#REF!</v>
      </c>
      <c r="W849" t="str">
        <f>ROUND(IF(R845&gt;0,0,(S849+T849)*0.5),-2)</f>
        <v>#REF!</v>
      </c>
      <c r="X849" t="str">
        <f>SUM(S849:V849)</f>
        <v>#REF!</v>
      </c>
      <c r="Y849" t="str">
        <f>SUM(S849:U849)+W849</f>
        <v>#REF!</v>
      </c>
      <c r="Z849">
        <v>0</v>
      </c>
      <c r="AA849" t="str">
        <f>X849*0.038</f>
        <v>#REF!</v>
      </c>
      <c r="AB849" t="str">
        <f>X849*0.02</f>
        <v>#REF!</v>
      </c>
      <c r="AC849" t="str">
        <f>Y849*0.1</f>
        <v>#REF!</v>
      </c>
      <c r="AD849" t="str">
        <f>X849-AA849-AB849</f>
        <v>#REF!</v>
      </c>
      <c r="AE849" t="str">
        <f>Y849-AC849</f>
        <v>#REF!</v>
      </c>
      <c r="AF849" t="str">
        <f>AD849*0.01</f>
        <v>#REF!</v>
      </c>
      <c r="AG849" t="str">
        <f>AD849-Q849-AF849-T849</f>
        <v>#REF!</v>
      </c>
      <c r="AH849" t="str">
        <f>AE849-Q849-AF849-T849</f>
        <v>#REF!</v>
      </c>
      <c r="AI849" t="str">
        <f>AG849/X849</f>
        <v>#REF!</v>
      </c>
      <c r="AJ849" t="str">
        <f>AH849/Y849</f>
        <v>#REF!</v>
      </c>
    </row>
    <row r="850">
      <c r="G850" t="str">
        <v>A</v>
      </c>
      <c r="K850" t="str">
        <f>IF(L850&gt;0,L850*0.0625,)</f>
        <v>#REF!</v>
      </c>
      <c r="L850" t="str">
        <f>IF(K850&gt;0,K850*16,)</f>
        <v>#REF!</v>
      </c>
      <c r="M850" t="str">
        <f>IF(K850&gt;0,K850*0.453592,IF(L850&gt;0,L850*0.02835,))</f>
        <v>#REF!</v>
      </c>
      <c r="P850">
        <f>J850+O850+N850</f>
        <v>0</v>
      </c>
      <c r="Q850">
        <f>P850*C$3</f>
        <v>0</v>
      </c>
      <c r="R850">
        <v>0</v>
      </c>
      <c r="S850">
        <f>ROUND(SUM(Q850:R850), -2)</f>
        <v>0</v>
      </c>
      <c r="T850" t="str">
        <f>ROUNDUP(HLOOKUP(ROUNDUP(K850,0),'배송비 조회'!A$10:AE$22,7,0)*C$3,-2)</f>
        <v>#REF!</v>
      </c>
      <c r="U850">
        <v>0</v>
      </c>
      <c r="V850" t="str">
        <f>ROUND(IF(R846&gt;0,0,(S850+T850)*0.3),-2)</f>
        <v>#REF!</v>
      </c>
      <c r="W850" t="str">
        <f>ROUND(IF(R846&gt;0,0,(S850+T850)*0.5),-2)</f>
        <v>#REF!</v>
      </c>
      <c r="X850" t="str">
        <f>SUM(S850:V850)</f>
        <v>#REF!</v>
      </c>
      <c r="Y850" t="str">
        <f>SUM(S850:U850)+W850</f>
        <v>#REF!</v>
      </c>
      <c r="Z850">
        <v>0</v>
      </c>
      <c r="AA850" t="str">
        <f>X850*0.038</f>
        <v>#REF!</v>
      </c>
      <c r="AB850" t="str">
        <f>X850*0.02</f>
        <v>#REF!</v>
      </c>
      <c r="AC850" t="str">
        <f>Y850*0.1</f>
        <v>#REF!</v>
      </c>
      <c r="AD850" t="str">
        <f>X850-AA850-AB850</f>
        <v>#REF!</v>
      </c>
      <c r="AE850" t="str">
        <f>Y850-AC850</f>
        <v>#REF!</v>
      </c>
      <c r="AF850" t="str">
        <f>AD850*0.01</f>
        <v>#REF!</v>
      </c>
      <c r="AG850" t="str">
        <f>AD850-Q850-AF850-T850</f>
        <v>#REF!</v>
      </c>
      <c r="AH850" t="str">
        <f>AE850-Q850-AF850-T850</f>
        <v>#REF!</v>
      </c>
      <c r="AI850" t="str">
        <f>AG850/X850</f>
        <v>#REF!</v>
      </c>
      <c r="AJ850" t="str">
        <f>AH850/Y850</f>
        <v>#REF!</v>
      </c>
    </row>
    <row r="851">
      <c r="G851" t="str">
        <v>A</v>
      </c>
      <c r="K851" t="str">
        <f>IF(L851&gt;0,L851*0.0625,)</f>
        <v>#REF!</v>
      </c>
      <c r="L851" t="str">
        <f>IF(K851&gt;0,K851*16,)</f>
        <v>#REF!</v>
      </c>
      <c r="M851" t="str">
        <f>IF(K851&gt;0,K851*0.453592,IF(L851&gt;0,L851*0.02835,))</f>
        <v>#REF!</v>
      </c>
      <c r="P851">
        <f>J851+O851+N851</f>
        <v>0</v>
      </c>
      <c r="Q851">
        <f>P851*C$3</f>
        <v>0</v>
      </c>
      <c r="R851">
        <v>0</v>
      </c>
      <c r="S851">
        <f>ROUND(SUM(Q851:R851), -2)</f>
        <v>0</v>
      </c>
      <c r="T851" t="str">
        <f>ROUNDUP(HLOOKUP(ROUNDUP(K851,0),'배송비 조회'!A$10:AE$22,7,0)*C$3,-2)</f>
        <v>#REF!</v>
      </c>
      <c r="U851">
        <v>0</v>
      </c>
      <c r="V851" t="str">
        <f>ROUND(IF(R847&gt;0,0,(S851+T851)*0.3),-2)</f>
        <v>#REF!</v>
      </c>
      <c r="W851" t="str">
        <f>ROUND(IF(R847&gt;0,0,(S851+T851)*0.5),-2)</f>
        <v>#REF!</v>
      </c>
      <c r="X851" t="str">
        <f>SUM(S851:V851)</f>
        <v>#REF!</v>
      </c>
      <c r="Y851" t="str">
        <f>SUM(S851:U851)+W851</f>
        <v>#REF!</v>
      </c>
      <c r="Z851">
        <v>0</v>
      </c>
      <c r="AA851" t="str">
        <f>X851*0.038</f>
        <v>#REF!</v>
      </c>
      <c r="AB851" t="str">
        <f>X851*0.02</f>
        <v>#REF!</v>
      </c>
      <c r="AC851" t="str">
        <f>Y851*0.1</f>
        <v>#REF!</v>
      </c>
      <c r="AD851" t="str">
        <f>X851-AA851-AB851</f>
        <v>#REF!</v>
      </c>
      <c r="AE851" t="str">
        <f>Y851-AC851</f>
        <v>#REF!</v>
      </c>
      <c r="AF851" t="str">
        <f>AD851*0.01</f>
        <v>#REF!</v>
      </c>
      <c r="AG851" t="str">
        <f>AD851-Q851-AF851-T851</f>
        <v>#REF!</v>
      </c>
      <c r="AH851" t="str">
        <f>AE851-Q851-AF851-T851</f>
        <v>#REF!</v>
      </c>
      <c r="AI851" t="str">
        <f>AG851/X851</f>
        <v>#REF!</v>
      </c>
      <c r="AJ851" t="str">
        <f>AH851/Y851</f>
        <v>#REF!</v>
      </c>
    </row>
    <row r="852">
      <c r="G852" t="str">
        <v>A</v>
      </c>
      <c r="K852" t="str">
        <f>IF(L852&gt;0,L852*0.0625,)</f>
        <v>#REF!</v>
      </c>
      <c r="L852" t="str">
        <f>IF(K852&gt;0,K852*16,)</f>
        <v>#REF!</v>
      </c>
      <c r="M852" t="str">
        <f>IF(K852&gt;0,K852*0.453592,IF(L852&gt;0,L852*0.02835,))</f>
        <v>#REF!</v>
      </c>
      <c r="P852">
        <f>J852+O852+N852</f>
        <v>0</v>
      </c>
      <c r="Q852">
        <f>P852*C$3</f>
        <v>0</v>
      </c>
      <c r="R852">
        <v>0</v>
      </c>
      <c r="S852">
        <f>ROUND(SUM(Q852:R852), -2)</f>
        <v>0</v>
      </c>
      <c r="T852" t="str">
        <f>ROUNDUP(HLOOKUP(ROUNDUP(K852,0),'배송비 조회'!A$10:AE$22,7,0)*C$3,-2)</f>
        <v>#REF!</v>
      </c>
      <c r="U852">
        <v>0</v>
      </c>
      <c r="V852" t="str">
        <f>ROUND(IF(R848&gt;0,0,(S852+T852)*0.3),-2)</f>
        <v>#REF!</v>
      </c>
      <c r="W852" t="str">
        <f>ROUND(IF(R848&gt;0,0,(S852+T852)*0.5),-2)</f>
        <v>#REF!</v>
      </c>
      <c r="X852" t="str">
        <f>SUM(S852:V852)</f>
        <v>#REF!</v>
      </c>
      <c r="Y852" t="str">
        <f>SUM(S852:U852)+W852</f>
        <v>#REF!</v>
      </c>
      <c r="Z852">
        <v>0</v>
      </c>
      <c r="AA852" t="str">
        <f>X852*0.038</f>
        <v>#REF!</v>
      </c>
      <c r="AB852" t="str">
        <f>X852*0.02</f>
        <v>#REF!</v>
      </c>
      <c r="AC852" t="str">
        <f>Y852*0.1</f>
        <v>#REF!</v>
      </c>
      <c r="AD852" t="str">
        <f>X852-AA852-AB852</f>
        <v>#REF!</v>
      </c>
      <c r="AE852" t="str">
        <f>Y852-AC852</f>
        <v>#REF!</v>
      </c>
      <c r="AF852" t="str">
        <f>AD852*0.01</f>
        <v>#REF!</v>
      </c>
      <c r="AG852" t="str">
        <f>AD852-Q852-AF852-T852</f>
        <v>#REF!</v>
      </c>
      <c r="AH852" t="str">
        <f>AE852-Q852-AF852-T852</f>
        <v>#REF!</v>
      </c>
      <c r="AI852" t="str">
        <f>AG852/X852</f>
        <v>#REF!</v>
      </c>
      <c r="AJ852" t="str">
        <f>AH852/Y852</f>
        <v>#REF!</v>
      </c>
    </row>
    <row r="853">
      <c r="G853" t="str">
        <v>A</v>
      </c>
      <c r="K853" t="str">
        <f>IF(L853&gt;0,L853*0.0625,)</f>
        <v>#REF!</v>
      </c>
      <c r="L853" t="str">
        <f>IF(K853&gt;0,K853*16,)</f>
        <v>#REF!</v>
      </c>
      <c r="M853" t="str">
        <f>IF(K853&gt;0,K853*0.453592,IF(L853&gt;0,L853*0.02835,))</f>
        <v>#REF!</v>
      </c>
      <c r="P853">
        <f>J853+O853+N853</f>
        <v>0</v>
      </c>
      <c r="Q853">
        <f>P853*C$3</f>
        <v>0</v>
      </c>
      <c r="R853">
        <v>0</v>
      </c>
      <c r="S853">
        <f>ROUND(SUM(Q853:R853), -2)</f>
        <v>0</v>
      </c>
      <c r="T853" t="str">
        <f>ROUNDUP(HLOOKUP(ROUNDUP(K853,0),'배송비 조회'!A$10:AE$22,7,0)*C$3,-2)</f>
        <v>#REF!</v>
      </c>
      <c r="U853">
        <v>0</v>
      </c>
      <c r="V853" t="str">
        <f>ROUND(IF(R849&gt;0,0,(S853+T853)*0.3),-2)</f>
        <v>#REF!</v>
      </c>
      <c r="W853" t="str">
        <f>ROUND(IF(R849&gt;0,0,(S853+T853)*0.5),-2)</f>
        <v>#REF!</v>
      </c>
      <c r="X853" t="str">
        <f>SUM(S853:V853)</f>
        <v>#REF!</v>
      </c>
      <c r="Y853" t="str">
        <f>SUM(S853:U853)+W853</f>
        <v>#REF!</v>
      </c>
      <c r="Z853">
        <v>0</v>
      </c>
      <c r="AA853" t="str">
        <f>X853*0.038</f>
        <v>#REF!</v>
      </c>
      <c r="AB853" t="str">
        <f>X853*0.02</f>
        <v>#REF!</v>
      </c>
      <c r="AC853" t="str">
        <f>Y853*0.1</f>
        <v>#REF!</v>
      </c>
      <c r="AD853" t="str">
        <f>X853-AA853-AB853</f>
        <v>#REF!</v>
      </c>
      <c r="AE853" t="str">
        <f>Y853-AC853</f>
        <v>#REF!</v>
      </c>
      <c r="AF853" t="str">
        <f>AD853*0.01</f>
        <v>#REF!</v>
      </c>
      <c r="AG853" t="str">
        <f>AD853-Q853-AF853-T853</f>
        <v>#REF!</v>
      </c>
      <c r="AH853" t="str">
        <f>AE853-Q853-AF853-T853</f>
        <v>#REF!</v>
      </c>
      <c r="AI853" t="str">
        <f>AG853/X853</f>
        <v>#REF!</v>
      </c>
      <c r="AJ853" t="str">
        <f>AH853/Y853</f>
        <v>#REF!</v>
      </c>
    </row>
    <row r="854">
      <c r="G854" t="str">
        <v>A</v>
      </c>
      <c r="K854" t="str">
        <f>IF(L854&gt;0,L854*0.0625,)</f>
        <v>#REF!</v>
      </c>
      <c r="L854" t="str">
        <f>IF(K854&gt;0,K854*16,)</f>
        <v>#REF!</v>
      </c>
      <c r="M854" t="str">
        <f>IF(K854&gt;0,K854*0.453592,IF(L854&gt;0,L854*0.02835,))</f>
        <v>#REF!</v>
      </c>
      <c r="P854">
        <f>J854+O854+N854</f>
        <v>0</v>
      </c>
      <c r="Q854">
        <f>P854*C$3</f>
        <v>0</v>
      </c>
      <c r="R854">
        <v>0</v>
      </c>
      <c r="S854">
        <f>ROUND(SUM(Q854:R854), -2)</f>
        <v>0</v>
      </c>
      <c r="T854" t="str">
        <f>ROUNDUP(HLOOKUP(ROUNDUP(K854,0),'배송비 조회'!A$10:AE$22,7,0)*C$3,-2)</f>
        <v>#REF!</v>
      </c>
      <c r="U854">
        <v>0</v>
      </c>
      <c r="V854" t="str">
        <f>ROUND(IF(R850&gt;0,0,(S854+T854)*0.3),-2)</f>
        <v>#REF!</v>
      </c>
      <c r="W854" t="str">
        <f>ROUND(IF(R850&gt;0,0,(S854+T854)*0.5),-2)</f>
        <v>#REF!</v>
      </c>
      <c r="X854" t="str">
        <f>SUM(S854:V854)</f>
        <v>#REF!</v>
      </c>
      <c r="Y854" t="str">
        <f>SUM(S854:U854)+W854</f>
        <v>#REF!</v>
      </c>
      <c r="Z854">
        <v>0</v>
      </c>
      <c r="AA854" t="str">
        <f>X854*0.038</f>
        <v>#REF!</v>
      </c>
      <c r="AB854" t="str">
        <f>X854*0.02</f>
        <v>#REF!</v>
      </c>
      <c r="AC854" t="str">
        <f>Y854*0.1</f>
        <v>#REF!</v>
      </c>
      <c r="AD854" t="str">
        <f>X854-AA854-AB854</f>
        <v>#REF!</v>
      </c>
      <c r="AE854" t="str">
        <f>Y854-AC854</f>
        <v>#REF!</v>
      </c>
      <c r="AF854" t="str">
        <f>AD854*0.01</f>
        <v>#REF!</v>
      </c>
      <c r="AG854" t="str">
        <f>AD854-Q854-AF854-T854</f>
        <v>#REF!</v>
      </c>
      <c r="AH854" t="str">
        <f>AE854-Q854-AF854-T854</f>
        <v>#REF!</v>
      </c>
      <c r="AI854" t="str">
        <f>AG854/X854</f>
        <v>#REF!</v>
      </c>
      <c r="AJ854" t="str">
        <f>AH854/Y854</f>
        <v>#REF!</v>
      </c>
    </row>
    <row r="855">
      <c r="G855" t="str">
        <v>A</v>
      </c>
      <c r="K855" t="str">
        <f>IF(L855&gt;0,L855*0.0625,)</f>
        <v>#REF!</v>
      </c>
      <c r="L855" t="str">
        <f>IF(K855&gt;0,K855*16,)</f>
        <v>#REF!</v>
      </c>
      <c r="M855" t="str">
        <f>IF(K855&gt;0,K855*0.453592,IF(L855&gt;0,L855*0.02835,))</f>
        <v>#REF!</v>
      </c>
      <c r="P855">
        <f>J855+O855+N855</f>
        <v>0</v>
      </c>
      <c r="Q855">
        <f>P855*C$3</f>
        <v>0</v>
      </c>
      <c r="R855">
        <v>0</v>
      </c>
      <c r="S855">
        <f>ROUND(SUM(Q855:R855), -2)</f>
        <v>0</v>
      </c>
      <c r="T855" t="str">
        <f>ROUNDUP(HLOOKUP(ROUNDUP(K855,0),'배송비 조회'!A$10:AE$22,7,0)*C$3,-2)</f>
        <v>#REF!</v>
      </c>
      <c r="U855">
        <v>0</v>
      </c>
      <c r="V855" t="str">
        <f>ROUND(IF(R851&gt;0,0,(S855+T855)*0.3),-2)</f>
        <v>#REF!</v>
      </c>
      <c r="W855" t="str">
        <f>ROUND(IF(R851&gt;0,0,(S855+T855)*0.5),-2)</f>
        <v>#REF!</v>
      </c>
      <c r="X855" t="str">
        <f>SUM(S855:V855)</f>
        <v>#REF!</v>
      </c>
      <c r="Y855" t="str">
        <f>SUM(S855:U855)+W855</f>
        <v>#REF!</v>
      </c>
      <c r="Z855">
        <v>0</v>
      </c>
      <c r="AA855" t="str">
        <f>X855*0.038</f>
        <v>#REF!</v>
      </c>
      <c r="AB855" t="str">
        <f>X855*0.02</f>
        <v>#REF!</v>
      </c>
      <c r="AC855" t="str">
        <f>Y855*0.1</f>
        <v>#REF!</v>
      </c>
      <c r="AD855" t="str">
        <f>X855-AA855-AB855</f>
        <v>#REF!</v>
      </c>
      <c r="AE855" t="str">
        <f>Y855-AC855</f>
        <v>#REF!</v>
      </c>
      <c r="AF855" t="str">
        <f>AD855*0.01</f>
        <v>#REF!</v>
      </c>
      <c r="AG855" t="str">
        <f>AD855-Q855-AF855-T855</f>
        <v>#REF!</v>
      </c>
      <c r="AH855" t="str">
        <f>AE855-Q855-AF855-T855</f>
        <v>#REF!</v>
      </c>
      <c r="AI855" t="str">
        <f>AG855/X855</f>
        <v>#REF!</v>
      </c>
      <c r="AJ855" t="str">
        <f>AH855/Y855</f>
        <v>#REF!</v>
      </c>
    </row>
    <row r="856">
      <c r="G856" t="str">
        <v>A</v>
      </c>
      <c r="K856" t="str">
        <f>IF(L856&gt;0,L856*0.0625,)</f>
        <v>#REF!</v>
      </c>
      <c r="L856" t="str">
        <f>IF(K856&gt;0,K856*16,)</f>
        <v>#REF!</v>
      </c>
      <c r="M856" t="str">
        <f>IF(K856&gt;0,K856*0.453592,IF(L856&gt;0,L856*0.02835,))</f>
        <v>#REF!</v>
      </c>
      <c r="P856">
        <f>J856+O856+N856</f>
        <v>0</v>
      </c>
      <c r="Q856">
        <f>P856*C$3</f>
        <v>0</v>
      </c>
      <c r="R856">
        <v>0</v>
      </c>
      <c r="S856">
        <f>ROUND(SUM(Q856:R856), -2)</f>
        <v>0</v>
      </c>
      <c r="T856" t="str">
        <f>ROUNDUP(HLOOKUP(ROUNDUP(K856,0),'배송비 조회'!A$10:AE$22,7,0)*C$3,-2)</f>
        <v>#REF!</v>
      </c>
      <c r="U856">
        <v>0</v>
      </c>
      <c r="V856" t="str">
        <f>ROUND(IF(R852&gt;0,0,(S856+T856)*0.3),-2)</f>
        <v>#REF!</v>
      </c>
      <c r="W856" t="str">
        <f>ROUND(IF(R852&gt;0,0,(S856+T856)*0.5),-2)</f>
        <v>#REF!</v>
      </c>
      <c r="X856" t="str">
        <f>SUM(S856:V856)</f>
        <v>#REF!</v>
      </c>
      <c r="Y856" t="str">
        <f>SUM(S856:U856)+W856</f>
        <v>#REF!</v>
      </c>
      <c r="Z856">
        <v>0</v>
      </c>
      <c r="AA856" t="str">
        <f>X856*0.038</f>
        <v>#REF!</v>
      </c>
      <c r="AB856" t="str">
        <f>X856*0.02</f>
        <v>#REF!</v>
      </c>
      <c r="AC856" t="str">
        <f>Y856*0.1</f>
        <v>#REF!</v>
      </c>
      <c r="AD856" t="str">
        <f>X856-AA856-AB856</f>
        <v>#REF!</v>
      </c>
      <c r="AE856" t="str">
        <f>Y856-AC856</f>
        <v>#REF!</v>
      </c>
      <c r="AF856" t="str">
        <f>AD856*0.01</f>
        <v>#REF!</v>
      </c>
      <c r="AG856" t="str">
        <f>AD856-Q856-AF856-T856</f>
        <v>#REF!</v>
      </c>
      <c r="AH856" t="str">
        <f>AE856-Q856-AF856-T856</f>
        <v>#REF!</v>
      </c>
      <c r="AI856" t="str">
        <f>AG856/X856</f>
        <v>#REF!</v>
      </c>
      <c r="AJ856" t="str">
        <f>AH856/Y856</f>
        <v>#REF!</v>
      </c>
    </row>
    <row r="857">
      <c r="G857" t="str">
        <v>A</v>
      </c>
      <c r="K857" t="str">
        <f>IF(L857&gt;0,L857*0.0625,)</f>
        <v>#REF!</v>
      </c>
      <c r="L857" t="str">
        <f>IF(K857&gt;0,K857*16,)</f>
        <v>#REF!</v>
      </c>
      <c r="M857" t="str">
        <f>IF(K857&gt;0,K857*0.453592,IF(L857&gt;0,L857*0.02835,))</f>
        <v>#REF!</v>
      </c>
      <c r="P857">
        <f>J857+O857+N857</f>
        <v>0</v>
      </c>
      <c r="Q857">
        <f>P857*C$3</f>
        <v>0</v>
      </c>
      <c r="R857">
        <v>0</v>
      </c>
      <c r="S857">
        <f>ROUND(SUM(Q857:R857), -2)</f>
        <v>0</v>
      </c>
      <c r="T857" t="str">
        <f>ROUNDUP(HLOOKUP(ROUNDUP(K857,0),'배송비 조회'!A$10:AE$22,7,0)*C$3,-2)</f>
        <v>#REF!</v>
      </c>
      <c r="U857">
        <v>0</v>
      </c>
      <c r="V857" t="str">
        <f>ROUND(IF(R853&gt;0,0,(S857+T857)*0.3),-2)</f>
        <v>#REF!</v>
      </c>
      <c r="W857" t="str">
        <f>ROUND(IF(R853&gt;0,0,(S857+T857)*0.5),-2)</f>
        <v>#REF!</v>
      </c>
      <c r="X857" t="str">
        <f>SUM(S857:V857)</f>
        <v>#REF!</v>
      </c>
      <c r="Y857" t="str">
        <f>SUM(S857:U857)+W857</f>
        <v>#REF!</v>
      </c>
      <c r="Z857">
        <v>0</v>
      </c>
      <c r="AA857" t="str">
        <f>X857*0.038</f>
        <v>#REF!</v>
      </c>
      <c r="AB857" t="str">
        <f>X857*0.02</f>
        <v>#REF!</v>
      </c>
      <c r="AC857" t="str">
        <f>Y857*0.1</f>
        <v>#REF!</v>
      </c>
      <c r="AD857" t="str">
        <f>X857-AA857-AB857</f>
        <v>#REF!</v>
      </c>
      <c r="AE857" t="str">
        <f>Y857-AC857</f>
        <v>#REF!</v>
      </c>
      <c r="AF857" t="str">
        <f>AD857*0.01</f>
        <v>#REF!</v>
      </c>
      <c r="AG857" t="str">
        <f>AD857-Q857-AF857-T857</f>
        <v>#REF!</v>
      </c>
      <c r="AH857" t="str">
        <f>AE857-Q857-AF857-T857</f>
        <v>#REF!</v>
      </c>
      <c r="AI857" t="str">
        <f>AG857/X857</f>
        <v>#REF!</v>
      </c>
      <c r="AJ857" t="str">
        <f>AH857/Y857</f>
        <v>#REF!</v>
      </c>
    </row>
    <row r="858">
      <c r="G858" t="str">
        <v>A</v>
      </c>
      <c r="K858" t="str">
        <f>IF(L858&gt;0,L858*0.0625,)</f>
        <v>#REF!</v>
      </c>
      <c r="L858" t="str">
        <f>IF(K858&gt;0,K858*16,)</f>
        <v>#REF!</v>
      </c>
      <c r="M858" t="str">
        <f>IF(K858&gt;0,K858*0.453592,IF(L858&gt;0,L858*0.02835,))</f>
        <v>#REF!</v>
      </c>
      <c r="P858">
        <f>J858+O858+N858</f>
        <v>0</v>
      </c>
      <c r="Q858">
        <f>P858*C$3</f>
        <v>0</v>
      </c>
      <c r="R858">
        <v>0</v>
      </c>
      <c r="S858">
        <f>ROUND(SUM(Q858:R858), -2)</f>
        <v>0</v>
      </c>
      <c r="T858" t="str">
        <f>ROUNDUP(HLOOKUP(ROUNDUP(K858,0),'배송비 조회'!A$10:AE$22,7,0)*C$3,-2)</f>
        <v>#REF!</v>
      </c>
      <c r="U858">
        <v>0</v>
      </c>
      <c r="V858" t="str">
        <f>ROUND(IF(R854&gt;0,0,(S858+T858)*0.3),-2)</f>
        <v>#REF!</v>
      </c>
      <c r="W858" t="str">
        <f>ROUND(IF(R854&gt;0,0,(S858+T858)*0.5),-2)</f>
        <v>#REF!</v>
      </c>
      <c r="X858" t="str">
        <f>SUM(S858:V858)</f>
        <v>#REF!</v>
      </c>
      <c r="Y858" t="str">
        <f>SUM(S858:U858)+W858</f>
        <v>#REF!</v>
      </c>
      <c r="Z858">
        <v>0</v>
      </c>
      <c r="AA858" t="str">
        <f>X858*0.038</f>
        <v>#REF!</v>
      </c>
      <c r="AB858" t="str">
        <f>X858*0.02</f>
        <v>#REF!</v>
      </c>
      <c r="AC858" t="str">
        <f>Y858*0.1</f>
        <v>#REF!</v>
      </c>
      <c r="AD858" t="str">
        <f>X858-AA858-AB858</f>
        <v>#REF!</v>
      </c>
      <c r="AE858" t="str">
        <f>Y858-AC858</f>
        <v>#REF!</v>
      </c>
      <c r="AF858" t="str">
        <f>AD858*0.01</f>
        <v>#REF!</v>
      </c>
      <c r="AG858" t="str">
        <f>AD858-Q858-AF858-T858</f>
        <v>#REF!</v>
      </c>
      <c r="AH858" t="str">
        <f>AE858-Q858-AF858-T858</f>
        <v>#REF!</v>
      </c>
      <c r="AI858" t="str">
        <f>AG858/X858</f>
        <v>#REF!</v>
      </c>
      <c r="AJ858" t="str">
        <f>AH858/Y858</f>
        <v>#REF!</v>
      </c>
    </row>
    <row r="859">
      <c r="G859" t="str">
        <v>A</v>
      </c>
      <c r="K859" t="str">
        <f>IF(L859&gt;0,L859*0.0625,)</f>
        <v>#REF!</v>
      </c>
      <c r="L859" t="str">
        <f>IF(K859&gt;0,K859*16,)</f>
        <v>#REF!</v>
      </c>
      <c r="M859" t="str">
        <f>IF(K859&gt;0,K859*0.453592,IF(L859&gt;0,L859*0.02835,))</f>
        <v>#REF!</v>
      </c>
      <c r="P859">
        <f>J859+O859+N859</f>
        <v>0</v>
      </c>
      <c r="Q859">
        <f>P859*C$3</f>
        <v>0</v>
      </c>
      <c r="R859">
        <v>0</v>
      </c>
      <c r="S859">
        <f>ROUND(SUM(Q859:R859), -2)</f>
        <v>0</v>
      </c>
      <c r="T859" t="str">
        <f>ROUNDUP(HLOOKUP(ROUNDUP(K859,0),'배송비 조회'!A$10:AE$22,7,0)*C$3,-2)</f>
        <v>#REF!</v>
      </c>
      <c r="U859">
        <v>0</v>
      </c>
      <c r="V859" t="str">
        <f>ROUND(IF(R855&gt;0,0,(S859+T859)*0.3),-2)</f>
        <v>#REF!</v>
      </c>
      <c r="W859" t="str">
        <f>ROUND(IF(R855&gt;0,0,(S859+T859)*0.5),-2)</f>
        <v>#REF!</v>
      </c>
      <c r="X859" t="str">
        <f>SUM(S859:V859)</f>
        <v>#REF!</v>
      </c>
      <c r="Y859" t="str">
        <f>SUM(S859:U859)+W859</f>
        <v>#REF!</v>
      </c>
      <c r="Z859">
        <v>0</v>
      </c>
      <c r="AA859" t="str">
        <f>X859*0.038</f>
        <v>#REF!</v>
      </c>
      <c r="AB859" t="str">
        <f>X859*0.02</f>
        <v>#REF!</v>
      </c>
      <c r="AC859" t="str">
        <f>Y859*0.1</f>
        <v>#REF!</v>
      </c>
      <c r="AD859" t="str">
        <f>X859-AA859-AB859</f>
        <v>#REF!</v>
      </c>
      <c r="AE859" t="str">
        <f>Y859-AC859</f>
        <v>#REF!</v>
      </c>
      <c r="AF859" t="str">
        <f>AD859*0.01</f>
        <v>#REF!</v>
      </c>
      <c r="AG859" t="str">
        <f>AD859-Q859-AF859-T859</f>
        <v>#REF!</v>
      </c>
      <c r="AH859" t="str">
        <f>AE859-Q859-AF859-T859</f>
        <v>#REF!</v>
      </c>
      <c r="AI859" t="str">
        <f>AG859/X859</f>
        <v>#REF!</v>
      </c>
      <c r="AJ859" t="str">
        <f>AH859/Y859</f>
        <v>#REF!</v>
      </c>
    </row>
    <row r="860">
      <c r="G860" t="str">
        <v>A</v>
      </c>
      <c r="K860" t="str">
        <f>IF(L860&gt;0,L860*0.0625,)</f>
        <v>#REF!</v>
      </c>
      <c r="L860" t="str">
        <f>IF(K860&gt;0,K860*16,)</f>
        <v>#REF!</v>
      </c>
      <c r="M860" t="str">
        <f>IF(K860&gt;0,K860*0.453592,IF(L860&gt;0,L860*0.02835,))</f>
        <v>#REF!</v>
      </c>
      <c r="P860">
        <f>J860+O860+N860</f>
        <v>0</v>
      </c>
      <c r="Q860">
        <f>P860*C$3</f>
        <v>0</v>
      </c>
      <c r="R860">
        <v>0</v>
      </c>
      <c r="S860">
        <f>ROUND(SUM(Q860:R860), -2)</f>
        <v>0</v>
      </c>
      <c r="T860" t="str">
        <f>ROUNDUP(HLOOKUP(ROUNDUP(K860,0),'배송비 조회'!A$10:AE$22,7,0)*C$3,-2)</f>
        <v>#REF!</v>
      </c>
      <c r="U860">
        <v>0</v>
      </c>
      <c r="V860" t="str">
        <f>ROUND(IF(R856&gt;0,0,(S860+T860)*0.3),-2)</f>
        <v>#REF!</v>
      </c>
      <c r="W860" t="str">
        <f>ROUND(IF(R856&gt;0,0,(S860+T860)*0.5),-2)</f>
        <v>#REF!</v>
      </c>
      <c r="X860" t="str">
        <f>SUM(S860:V860)</f>
        <v>#REF!</v>
      </c>
      <c r="Y860" t="str">
        <f>SUM(S860:U860)+W860</f>
        <v>#REF!</v>
      </c>
      <c r="Z860">
        <v>0</v>
      </c>
      <c r="AA860" t="str">
        <f>X860*0.038</f>
        <v>#REF!</v>
      </c>
      <c r="AB860" t="str">
        <f>X860*0.02</f>
        <v>#REF!</v>
      </c>
      <c r="AC860" t="str">
        <f>Y860*0.1</f>
        <v>#REF!</v>
      </c>
      <c r="AD860" t="str">
        <f>X860-AA860-AB860</f>
        <v>#REF!</v>
      </c>
      <c r="AE860" t="str">
        <f>Y860-AC860</f>
        <v>#REF!</v>
      </c>
      <c r="AF860" t="str">
        <f>AD860*0.01</f>
        <v>#REF!</v>
      </c>
      <c r="AG860" t="str">
        <f>AD860-Q860-AF860-T860</f>
        <v>#REF!</v>
      </c>
      <c r="AH860" t="str">
        <f>AE860-Q860-AF860-T860</f>
        <v>#REF!</v>
      </c>
      <c r="AI860" t="str">
        <f>AG860/X860</f>
        <v>#REF!</v>
      </c>
      <c r="AJ860" t="str">
        <f>AH860/Y860</f>
        <v>#REF!</v>
      </c>
    </row>
    <row r="861">
      <c r="G861" t="str">
        <v>A</v>
      </c>
      <c r="K861" t="str">
        <f>IF(L861&gt;0,L861*0.0625,)</f>
        <v>#REF!</v>
      </c>
      <c r="L861" t="str">
        <f>IF(K861&gt;0,K861*16,)</f>
        <v>#REF!</v>
      </c>
      <c r="M861" t="str">
        <f>IF(K861&gt;0,K861*0.453592,IF(L861&gt;0,L861*0.02835,))</f>
        <v>#REF!</v>
      </c>
      <c r="P861">
        <f>J861+O861+N861</f>
        <v>0</v>
      </c>
      <c r="Q861">
        <f>P861*C$3</f>
        <v>0</v>
      </c>
      <c r="R861">
        <v>0</v>
      </c>
      <c r="S861">
        <f>ROUND(SUM(Q861:R861), -2)</f>
        <v>0</v>
      </c>
      <c r="T861" t="str">
        <f>ROUNDUP(HLOOKUP(ROUNDUP(K861,0),'배송비 조회'!A$10:AE$22,7,0)*C$3,-2)</f>
        <v>#REF!</v>
      </c>
      <c r="U861">
        <v>0</v>
      </c>
      <c r="V861" t="str">
        <f>ROUND(IF(R857&gt;0,0,(S861+T861)*0.3),-2)</f>
        <v>#REF!</v>
      </c>
      <c r="W861" t="str">
        <f>ROUND(IF(R857&gt;0,0,(S861+T861)*0.5),-2)</f>
        <v>#REF!</v>
      </c>
      <c r="X861" t="str">
        <f>SUM(S861:V861)</f>
        <v>#REF!</v>
      </c>
      <c r="Y861" t="str">
        <f>SUM(S861:U861)+W861</f>
        <v>#REF!</v>
      </c>
      <c r="Z861">
        <v>0</v>
      </c>
      <c r="AA861" t="str">
        <f>X861*0.038</f>
        <v>#REF!</v>
      </c>
      <c r="AB861" t="str">
        <f>X861*0.02</f>
        <v>#REF!</v>
      </c>
      <c r="AC861" t="str">
        <f>Y861*0.1</f>
        <v>#REF!</v>
      </c>
      <c r="AD861" t="str">
        <f>X861-AA861-AB861</f>
        <v>#REF!</v>
      </c>
      <c r="AE861" t="str">
        <f>Y861-AC861</f>
        <v>#REF!</v>
      </c>
      <c r="AF861" t="str">
        <f>AD861*0.01</f>
        <v>#REF!</v>
      </c>
      <c r="AG861" t="str">
        <f>AD861-Q861-AF861-T861</f>
        <v>#REF!</v>
      </c>
      <c r="AH861" t="str">
        <f>AE861-Q861-AF861-T861</f>
        <v>#REF!</v>
      </c>
      <c r="AI861" t="str">
        <f>AG861/X861</f>
        <v>#REF!</v>
      </c>
      <c r="AJ861" t="str">
        <f>AH861/Y861</f>
        <v>#REF!</v>
      </c>
    </row>
    <row r="862">
      <c r="G862" t="str">
        <v>A</v>
      </c>
      <c r="K862" t="str">
        <f>IF(L862&gt;0,L862*0.0625,)</f>
        <v>#REF!</v>
      </c>
      <c r="L862" t="str">
        <f>IF(K862&gt;0,K862*16,)</f>
        <v>#REF!</v>
      </c>
      <c r="M862" t="str">
        <f>IF(K862&gt;0,K862*0.453592,IF(L862&gt;0,L862*0.02835,))</f>
        <v>#REF!</v>
      </c>
      <c r="P862">
        <f>J862+O862+N862</f>
        <v>0</v>
      </c>
      <c r="Q862">
        <f>P862*C$3</f>
        <v>0</v>
      </c>
      <c r="R862">
        <v>0</v>
      </c>
      <c r="S862">
        <f>ROUND(SUM(Q862:R862), -2)</f>
        <v>0</v>
      </c>
      <c r="T862" t="str">
        <f>ROUNDUP(HLOOKUP(ROUNDUP(K862,0),'배송비 조회'!A$10:AE$22,7,0)*C$3,-2)</f>
        <v>#REF!</v>
      </c>
      <c r="U862">
        <v>0</v>
      </c>
      <c r="V862" t="str">
        <f>ROUND(IF(R858&gt;0,0,(S862+T862)*0.3),-2)</f>
        <v>#REF!</v>
      </c>
      <c r="W862" t="str">
        <f>ROUND(IF(R858&gt;0,0,(S862+T862)*0.5),-2)</f>
        <v>#REF!</v>
      </c>
      <c r="X862" t="str">
        <f>SUM(S862:V862)</f>
        <v>#REF!</v>
      </c>
      <c r="Y862" t="str">
        <f>SUM(S862:U862)+W862</f>
        <v>#REF!</v>
      </c>
      <c r="Z862">
        <v>0</v>
      </c>
      <c r="AA862" t="str">
        <f>X862*0.038</f>
        <v>#REF!</v>
      </c>
      <c r="AB862" t="str">
        <f>X862*0.02</f>
        <v>#REF!</v>
      </c>
      <c r="AC862" t="str">
        <f>Y862*0.1</f>
        <v>#REF!</v>
      </c>
      <c r="AD862" t="str">
        <f>X862-AA862-AB862</f>
        <v>#REF!</v>
      </c>
      <c r="AE862" t="str">
        <f>Y862-AC862</f>
        <v>#REF!</v>
      </c>
      <c r="AF862" t="str">
        <f>AD862*0.01</f>
        <v>#REF!</v>
      </c>
      <c r="AG862" t="str">
        <f>AD862-Q862-AF862-T862</f>
        <v>#REF!</v>
      </c>
      <c r="AH862" t="str">
        <f>AE862-Q862-AF862-T862</f>
        <v>#REF!</v>
      </c>
      <c r="AI862" t="str">
        <f>AG862/X862</f>
        <v>#REF!</v>
      </c>
      <c r="AJ862" t="str">
        <f>AH862/Y862</f>
        <v>#REF!</v>
      </c>
    </row>
    <row r="863">
      <c r="G863" t="str">
        <v>A</v>
      </c>
      <c r="K863" t="str">
        <f>IF(L863&gt;0,L863*0.0625,)</f>
        <v>#REF!</v>
      </c>
      <c r="L863" t="str">
        <f>IF(K863&gt;0,K863*16,)</f>
        <v>#REF!</v>
      </c>
      <c r="M863" t="str">
        <f>IF(K863&gt;0,K863*0.453592,IF(L863&gt;0,L863*0.02835,))</f>
        <v>#REF!</v>
      </c>
      <c r="P863">
        <f>J863+O863+N863</f>
        <v>0</v>
      </c>
      <c r="Q863">
        <f>P863*C$3</f>
        <v>0</v>
      </c>
      <c r="R863">
        <v>0</v>
      </c>
      <c r="S863">
        <f>ROUND(SUM(Q863:R863), -2)</f>
        <v>0</v>
      </c>
      <c r="T863" t="str">
        <f>ROUNDUP(HLOOKUP(ROUNDUP(K863,0),'배송비 조회'!A$10:AE$22,7,0)*C$3,-2)</f>
        <v>#REF!</v>
      </c>
      <c r="U863">
        <v>0</v>
      </c>
      <c r="V863" t="str">
        <f>ROUND(IF(R859&gt;0,0,(S863+T863)*0.3),-2)</f>
        <v>#REF!</v>
      </c>
      <c r="W863" t="str">
        <f>ROUND(IF(R859&gt;0,0,(S863+T863)*0.5),-2)</f>
        <v>#REF!</v>
      </c>
      <c r="X863" t="str">
        <f>SUM(S863:V863)</f>
        <v>#REF!</v>
      </c>
      <c r="Y863" t="str">
        <f>SUM(S863:U863)+W863</f>
        <v>#REF!</v>
      </c>
      <c r="Z863">
        <v>0</v>
      </c>
      <c r="AA863" t="str">
        <f>X863*0.038</f>
        <v>#REF!</v>
      </c>
      <c r="AB863" t="str">
        <f>X863*0.02</f>
        <v>#REF!</v>
      </c>
      <c r="AC863" t="str">
        <f>Y863*0.1</f>
        <v>#REF!</v>
      </c>
      <c r="AD863" t="str">
        <f>X863-AA863-AB863</f>
        <v>#REF!</v>
      </c>
      <c r="AE863" t="str">
        <f>Y863-AC863</f>
        <v>#REF!</v>
      </c>
      <c r="AF863" t="str">
        <f>AD863*0.01</f>
        <v>#REF!</v>
      </c>
      <c r="AG863" t="str">
        <f>AD863-Q863-AF863-T863</f>
        <v>#REF!</v>
      </c>
      <c r="AH863" t="str">
        <f>AE863-Q863-AF863-T863</f>
        <v>#REF!</v>
      </c>
      <c r="AI863" t="str">
        <f>AG863/X863</f>
        <v>#REF!</v>
      </c>
      <c r="AJ863" t="str">
        <f>AH863/Y863</f>
        <v>#REF!</v>
      </c>
    </row>
    <row r="864">
      <c r="G864" t="str">
        <v>A</v>
      </c>
      <c r="K864" t="str">
        <f>IF(L864&gt;0,L864*0.0625,)</f>
        <v>#REF!</v>
      </c>
      <c r="L864" t="str">
        <f>IF(K864&gt;0,K864*16,)</f>
        <v>#REF!</v>
      </c>
      <c r="M864" t="str">
        <f>IF(K864&gt;0,K864*0.453592,IF(L864&gt;0,L864*0.02835,))</f>
        <v>#REF!</v>
      </c>
      <c r="P864">
        <f>J864+O864+N864</f>
        <v>0</v>
      </c>
      <c r="Q864">
        <f>P864*C$3</f>
        <v>0</v>
      </c>
      <c r="R864">
        <v>0</v>
      </c>
      <c r="S864">
        <f>ROUND(SUM(Q864:R864), -2)</f>
        <v>0</v>
      </c>
      <c r="T864" t="str">
        <f>ROUNDUP(HLOOKUP(ROUNDUP(K864,0),'배송비 조회'!A$10:AE$22,7,0)*C$3,-2)</f>
        <v>#REF!</v>
      </c>
      <c r="U864">
        <v>0</v>
      </c>
      <c r="V864" t="str">
        <f>ROUND(IF(R860&gt;0,0,(S864+T864)*0.3),-2)</f>
        <v>#REF!</v>
      </c>
      <c r="W864" t="str">
        <f>ROUND(IF(R860&gt;0,0,(S864+T864)*0.5),-2)</f>
        <v>#REF!</v>
      </c>
      <c r="X864" t="str">
        <f>SUM(S864:V864)</f>
        <v>#REF!</v>
      </c>
      <c r="Y864" t="str">
        <f>SUM(S864:U864)+W864</f>
        <v>#REF!</v>
      </c>
      <c r="Z864">
        <v>0</v>
      </c>
      <c r="AA864" t="str">
        <f>X864*0.038</f>
        <v>#REF!</v>
      </c>
      <c r="AB864" t="str">
        <f>X864*0.02</f>
        <v>#REF!</v>
      </c>
      <c r="AC864" t="str">
        <f>Y864*0.1</f>
        <v>#REF!</v>
      </c>
      <c r="AD864" t="str">
        <f>X864-AA864-AB864</f>
        <v>#REF!</v>
      </c>
      <c r="AE864" t="str">
        <f>Y864-AC864</f>
        <v>#REF!</v>
      </c>
      <c r="AF864" t="str">
        <f>AD864*0.01</f>
        <v>#REF!</v>
      </c>
      <c r="AG864" t="str">
        <f>AD864-Q864-AF864-T864</f>
        <v>#REF!</v>
      </c>
      <c r="AH864" t="str">
        <f>AE864-Q864-AF864-T864</f>
        <v>#REF!</v>
      </c>
      <c r="AI864" t="str">
        <f>AG864/X864</f>
        <v>#REF!</v>
      </c>
      <c r="AJ864" t="str">
        <f>AH864/Y864</f>
        <v>#REF!</v>
      </c>
    </row>
    <row r="865">
      <c r="G865" t="str">
        <v>A</v>
      </c>
      <c r="K865" t="str">
        <f>IF(L865&gt;0,L865*0.0625,)</f>
        <v>#REF!</v>
      </c>
      <c r="L865" t="str">
        <f>IF(K865&gt;0,K865*16,)</f>
        <v>#REF!</v>
      </c>
      <c r="M865" t="str">
        <f>IF(K865&gt;0,K865*0.453592,IF(L865&gt;0,L865*0.02835,))</f>
        <v>#REF!</v>
      </c>
      <c r="P865">
        <f>J865+O865+N865</f>
        <v>0</v>
      </c>
      <c r="Q865">
        <f>P865*C$3</f>
        <v>0</v>
      </c>
      <c r="R865">
        <v>0</v>
      </c>
      <c r="S865">
        <f>ROUND(SUM(Q865:R865), -2)</f>
        <v>0</v>
      </c>
      <c r="T865" t="str">
        <f>ROUNDUP(HLOOKUP(ROUNDUP(K865,0),'배송비 조회'!A$10:AE$22,7,0)*C$3,-2)</f>
        <v>#REF!</v>
      </c>
      <c r="U865">
        <v>0</v>
      </c>
      <c r="V865" t="str">
        <f>ROUND(IF(R861&gt;0,0,(S865+T865)*0.3),-2)</f>
        <v>#REF!</v>
      </c>
      <c r="W865" t="str">
        <f>ROUND(IF(R861&gt;0,0,(S865+T865)*0.5),-2)</f>
        <v>#REF!</v>
      </c>
      <c r="X865" t="str">
        <f>SUM(S865:V865)</f>
        <v>#REF!</v>
      </c>
      <c r="Y865" t="str">
        <f>SUM(S865:U865)+W865</f>
        <v>#REF!</v>
      </c>
      <c r="Z865">
        <v>0</v>
      </c>
      <c r="AA865" t="str">
        <f>X865*0.038</f>
        <v>#REF!</v>
      </c>
      <c r="AB865" t="str">
        <f>X865*0.02</f>
        <v>#REF!</v>
      </c>
      <c r="AC865" t="str">
        <f>Y865*0.1</f>
        <v>#REF!</v>
      </c>
      <c r="AD865" t="str">
        <f>X865-AA865-AB865</f>
        <v>#REF!</v>
      </c>
      <c r="AE865" t="str">
        <f>Y865-AC865</f>
        <v>#REF!</v>
      </c>
      <c r="AF865" t="str">
        <f>AD865*0.01</f>
        <v>#REF!</v>
      </c>
      <c r="AG865" t="str">
        <f>AD865-Q865-AF865-T865</f>
        <v>#REF!</v>
      </c>
      <c r="AH865" t="str">
        <f>AE865-Q865-AF865-T865</f>
        <v>#REF!</v>
      </c>
      <c r="AI865" t="str">
        <f>AG865/X865</f>
        <v>#REF!</v>
      </c>
      <c r="AJ865" t="str">
        <f>AH865/Y865</f>
        <v>#REF!</v>
      </c>
    </row>
    <row r="866">
      <c r="G866" t="str">
        <v>A</v>
      </c>
      <c r="K866" t="str">
        <f>IF(L866&gt;0,L866*0.0625,)</f>
        <v>#REF!</v>
      </c>
      <c r="L866" t="str">
        <f>IF(K866&gt;0,K866*16,)</f>
        <v>#REF!</v>
      </c>
      <c r="M866" t="str">
        <f>IF(K866&gt;0,K866*0.453592,IF(L866&gt;0,L866*0.02835,))</f>
        <v>#REF!</v>
      </c>
      <c r="P866">
        <f>J866+O866+N866</f>
        <v>0</v>
      </c>
      <c r="Q866">
        <f>P866*C$3</f>
        <v>0</v>
      </c>
      <c r="R866">
        <v>0</v>
      </c>
      <c r="S866">
        <f>ROUND(SUM(Q866:R866), -2)</f>
        <v>0</v>
      </c>
      <c r="T866" t="str">
        <f>ROUNDUP(HLOOKUP(ROUNDUP(K866,0),'배송비 조회'!A$10:AE$22,7,0)*C$3,-2)</f>
        <v>#REF!</v>
      </c>
      <c r="U866">
        <v>0</v>
      </c>
      <c r="V866" t="str">
        <f>ROUND(IF(R862&gt;0,0,(S866+T866)*0.3),-2)</f>
        <v>#REF!</v>
      </c>
      <c r="W866" t="str">
        <f>ROUND(IF(R862&gt;0,0,(S866+T866)*0.5),-2)</f>
        <v>#REF!</v>
      </c>
      <c r="X866" t="str">
        <f>SUM(S866:V866)</f>
        <v>#REF!</v>
      </c>
      <c r="Y866" t="str">
        <f>SUM(S866:U866)+W866</f>
        <v>#REF!</v>
      </c>
      <c r="Z866">
        <v>0</v>
      </c>
      <c r="AA866" t="str">
        <f>X866*0.038</f>
        <v>#REF!</v>
      </c>
      <c r="AB866" t="str">
        <f>X866*0.02</f>
        <v>#REF!</v>
      </c>
      <c r="AC866" t="str">
        <f>Y866*0.1</f>
        <v>#REF!</v>
      </c>
      <c r="AD866" t="str">
        <f>X866-AA866-AB866</f>
        <v>#REF!</v>
      </c>
      <c r="AE866" t="str">
        <f>Y866-AC866</f>
        <v>#REF!</v>
      </c>
      <c r="AF866" t="str">
        <f>AD866*0.01</f>
        <v>#REF!</v>
      </c>
      <c r="AG866" t="str">
        <f>AD866-Q866-AF866-T866</f>
        <v>#REF!</v>
      </c>
      <c r="AH866" t="str">
        <f>AE866-Q866-AF866-T866</f>
        <v>#REF!</v>
      </c>
      <c r="AI866" t="str">
        <f>AG866/X866</f>
        <v>#REF!</v>
      </c>
      <c r="AJ866" t="str">
        <f>AH866/Y866</f>
        <v>#REF!</v>
      </c>
    </row>
    <row r="867">
      <c r="G867" t="str">
        <v>A</v>
      </c>
      <c r="K867" t="str">
        <f>IF(L867&gt;0,L867*0.0625,)</f>
        <v>#REF!</v>
      </c>
      <c r="L867" t="str">
        <f>IF(K867&gt;0,K867*16,)</f>
        <v>#REF!</v>
      </c>
      <c r="M867" t="str">
        <f>IF(K867&gt;0,K867*0.453592,IF(L867&gt;0,L867*0.02835,))</f>
        <v>#REF!</v>
      </c>
      <c r="P867">
        <f>J867+O867+N867</f>
        <v>0</v>
      </c>
      <c r="Q867">
        <f>P867*C$3</f>
        <v>0</v>
      </c>
      <c r="R867">
        <v>0</v>
      </c>
      <c r="S867">
        <f>ROUND(SUM(Q867:R867), -2)</f>
        <v>0</v>
      </c>
      <c r="T867" t="str">
        <f>ROUNDUP(HLOOKUP(ROUNDUP(K867,0),'배송비 조회'!A$10:AE$22,7,0)*C$3,-2)</f>
        <v>#REF!</v>
      </c>
      <c r="U867">
        <v>0</v>
      </c>
      <c r="V867" t="str">
        <f>ROUND(IF(R863&gt;0,0,(S867+T867)*0.3),-2)</f>
        <v>#REF!</v>
      </c>
      <c r="W867" t="str">
        <f>ROUND(IF(R863&gt;0,0,(S867+T867)*0.5),-2)</f>
        <v>#REF!</v>
      </c>
      <c r="X867" t="str">
        <f>SUM(S867:V867)</f>
        <v>#REF!</v>
      </c>
      <c r="Y867" t="str">
        <f>SUM(S867:U867)+W867</f>
        <v>#REF!</v>
      </c>
      <c r="Z867">
        <v>0</v>
      </c>
      <c r="AA867" t="str">
        <f>X867*0.038</f>
        <v>#REF!</v>
      </c>
      <c r="AB867" t="str">
        <f>X867*0.02</f>
        <v>#REF!</v>
      </c>
      <c r="AC867" t="str">
        <f>Y867*0.1</f>
        <v>#REF!</v>
      </c>
      <c r="AD867" t="str">
        <f>X867-AA867-AB867</f>
        <v>#REF!</v>
      </c>
      <c r="AE867" t="str">
        <f>Y867-AC867</f>
        <v>#REF!</v>
      </c>
      <c r="AF867" t="str">
        <f>AD867*0.01</f>
        <v>#REF!</v>
      </c>
      <c r="AG867" t="str">
        <f>AD867-Q867-AF867-T867</f>
        <v>#REF!</v>
      </c>
      <c r="AH867" t="str">
        <f>AE867-Q867-AF867-T867</f>
        <v>#REF!</v>
      </c>
      <c r="AI867" t="str">
        <f>AG867/X867</f>
        <v>#REF!</v>
      </c>
      <c r="AJ867" t="str">
        <f>AH867/Y867</f>
        <v>#REF!</v>
      </c>
    </row>
    <row r="868">
      <c r="G868" t="str">
        <v>A</v>
      </c>
      <c r="K868" t="str">
        <f>IF(L868&gt;0,L868*0.0625,)</f>
        <v>#REF!</v>
      </c>
      <c r="L868" t="str">
        <f>IF(K868&gt;0,K868*16,)</f>
        <v>#REF!</v>
      </c>
      <c r="M868" t="str">
        <f>IF(K868&gt;0,K868*0.453592,IF(L868&gt;0,L868*0.02835,))</f>
        <v>#REF!</v>
      </c>
      <c r="P868">
        <f>J868+O868+N868</f>
        <v>0</v>
      </c>
      <c r="Q868">
        <f>P868*C$3</f>
        <v>0</v>
      </c>
      <c r="R868">
        <v>0</v>
      </c>
      <c r="S868">
        <f>ROUND(SUM(Q868:R868), -2)</f>
        <v>0</v>
      </c>
      <c r="T868" t="str">
        <f>ROUNDUP(HLOOKUP(ROUNDUP(K868,0),'배송비 조회'!A$10:AE$22,7,0)*C$3,-2)</f>
        <v>#REF!</v>
      </c>
      <c r="U868">
        <v>0</v>
      </c>
      <c r="V868" t="str">
        <f>ROUND(IF(R864&gt;0,0,(S868+T868)*0.3),-2)</f>
        <v>#REF!</v>
      </c>
      <c r="W868" t="str">
        <f>ROUND(IF(R864&gt;0,0,(S868+T868)*0.5),-2)</f>
        <v>#REF!</v>
      </c>
      <c r="X868" t="str">
        <f>SUM(S868:V868)</f>
        <v>#REF!</v>
      </c>
      <c r="Y868" t="str">
        <f>SUM(S868:U868)+W868</f>
        <v>#REF!</v>
      </c>
      <c r="Z868">
        <v>0</v>
      </c>
      <c r="AA868" t="str">
        <f>X868*0.038</f>
        <v>#REF!</v>
      </c>
      <c r="AB868" t="str">
        <f>X868*0.02</f>
        <v>#REF!</v>
      </c>
      <c r="AC868" t="str">
        <f>Y868*0.1</f>
        <v>#REF!</v>
      </c>
      <c r="AD868" t="str">
        <f>X868-AA868-AB868</f>
        <v>#REF!</v>
      </c>
      <c r="AE868" t="str">
        <f>Y868-AC868</f>
        <v>#REF!</v>
      </c>
      <c r="AF868" t="str">
        <f>AD868*0.01</f>
        <v>#REF!</v>
      </c>
      <c r="AG868" t="str">
        <f>AD868-Q868-AF868-T868</f>
        <v>#REF!</v>
      </c>
      <c r="AH868" t="str">
        <f>AE868-Q868-AF868-T868</f>
        <v>#REF!</v>
      </c>
      <c r="AI868" t="str">
        <f>AG868/X868</f>
        <v>#REF!</v>
      </c>
      <c r="AJ868" t="str">
        <f>AH868/Y868</f>
        <v>#REF!</v>
      </c>
    </row>
    <row r="869">
      <c r="G869" t="str">
        <v>A</v>
      </c>
      <c r="K869" t="str">
        <f>IF(L869&gt;0,L869*0.0625,)</f>
        <v>#REF!</v>
      </c>
      <c r="L869" t="str">
        <f>IF(K869&gt;0,K869*16,)</f>
        <v>#REF!</v>
      </c>
      <c r="M869" t="str">
        <f>IF(K869&gt;0,K869*0.453592,IF(L869&gt;0,L869*0.02835,))</f>
        <v>#REF!</v>
      </c>
      <c r="P869">
        <f>J869+O869+N869</f>
        <v>0</v>
      </c>
      <c r="Q869">
        <f>P869*C$3</f>
        <v>0</v>
      </c>
      <c r="R869">
        <v>0</v>
      </c>
      <c r="S869">
        <f>ROUND(SUM(Q869:R869), -2)</f>
        <v>0</v>
      </c>
      <c r="T869" t="str">
        <f>ROUNDUP(HLOOKUP(ROUNDUP(K869,0),'배송비 조회'!A$10:AE$22,7,0)*C$3,-2)</f>
        <v>#REF!</v>
      </c>
      <c r="U869">
        <v>0</v>
      </c>
      <c r="V869" t="str">
        <f>ROUND(IF(R865&gt;0,0,(S869+T869)*0.3),-2)</f>
        <v>#REF!</v>
      </c>
      <c r="W869" t="str">
        <f>ROUND(IF(R865&gt;0,0,(S869+T869)*0.5),-2)</f>
        <v>#REF!</v>
      </c>
      <c r="X869" t="str">
        <f>SUM(S869:V869)</f>
        <v>#REF!</v>
      </c>
      <c r="Y869" t="str">
        <f>SUM(S869:U869)+W869</f>
        <v>#REF!</v>
      </c>
      <c r="Z869">
        <v>0</v>
      </c>
      <c r="AA869" t="str">
        <f>X869*0.038</f>
        <v>#REF!</v>
      </c>
      <c r="AB869" t="str">
        <f>X869*0.02</f>
        <v>#REF!</v>
      </c>
      <c r="AC869" t="str">
        <f>Y869*0.1</f>
        <v>#REF!</v>
      </c>
      <c r="AD869" t="str">
        <f>X869-AA869-AB869</f>
        <v>#REF!</v>
      </c>
      <c r="AE869" t="str">
        <f>Y869-AC869</f>
        <v>#REF!</v>
      </c>
      <c r="AF869" t="str">
        <f>AD869*0.01</f>
        <v>#REF!</v>
      </c>
      <c r="AG869" t="str">
        <f>AD869-Q869-AF869-T869</f>
        <v>#REF!</v>
      </c>
      <c r="AH869" t="str">
        <f>AE869-Q869-AF869-T869</f>
        <v>#REF!</v>
      </c>
      <c r="AI869" t="str">
        <f>AG869/X869</f>
        <v>#REF!</v>
      </c>
      <c r="AJ869" t="str">
        <f>AH869/Y869</f>
        <v>#REF!</v>
      </c>
    </row>
    <row r="870">
      <c r="G870" t="str">
        <v>A</v>
      </c>
      <c r="K870" t="str">
        <f>IF(L870&gt;0,L870*0.0625,)</f>
        <v>#REF!</v>
      </c>
      <c r="L870" t="str">
        <f>IF(K870&gt;0,K870*16,)</f>
        <v>#REF!</v>
      </c>
      <c r="M870" t="str">
        <f>IF(K870&gt;0,K870*0.453592,IF(L870&gt;0,L870*0.02835,))</f>
        <v>#REF!</v>
      </c>
      <c r="P870">
        <f>J870+O870+N870</f>
        <v>0</v>
      </c>
      <c r="Q870">
        <f>P870*C$3</f>
        <v>0</v>
      </c>
      <c r="R870">
        <v>0</v>
      </c>
      <c r="S870">
        <f>ROUND(SUM(Q870:R870), -2)</f>
        <v>0</v>
      </c>
      <c r="T870" t="str">
        <f>ROUNDUP(HLOOKUP(ROUNDUP(K870,0),'배송비 조회'!A$10:AE$22,7,0)*C$3,-2)</f>
        <v>#REF!</v>
      </c>
      <c r="U870">
        <v>0</v>
      </c>
      <c r="V870" t="str">
        <f>ROUND(IF(R866&gt;0,0,(S870+T870)*0.3),-2)</f>
        <v>#REF!</v>
      </c>
      <c r="W870" t="str">
        <f>ROUND(IF(R866&gt;0,0,(S870+T870)*0.5),-2)</f>
        <v>#REF!</v>
      </c>
      <c r="X870" t="str">
        <f>SUM(S870:V870)</f>
        <v>#REF!</v>
      </c>
      <c r="Y870" t="str">
        <f>SUM(S870:U870)+W870</f>
        <v>#REF!</v>
      </c>
      <c r="Z870">
        <v>0</v>
      </c>
      <c r="AA870" t="str">
        <f>X870*0.038</f>
        <v>#REF!</v>
      </c>
      <c r="AB870" t="str">
        <f>X870*0.02</f>
        <v>#REF!</v>
      </c>
      <c r="AC870" t="str">
        <f>Y870*0.1</f>
        <v>#REF!</v>
      </c>
      <c r="AD870" t="str">
        <f>X870-AA870-AB870</f>
        <v>#REF!</v>
      </c>
      <c r="AE870" t="str">
        <f>Y870-AC870</f>
        <v>#REF!</v>
      </c>
      <c r="AF870" t="str">
        <f>AD870*0.01</f>
        <v>#REF!</v>
      </c>
      <c r="AG870" t="str">
        <f>AD870-Q870-AF870-T870</f>
        <v>#REF!</v>
      </c>
      <c r="AH870" t="str">
        <f>AE870-Q870-AF870-T870</f>
        <v>#REF!</v>
      </c>
      <c r="AI870" t="str">
        <f>AG870/X870</f>
        <v>#REF!</v>
      </c>
      <c r="AJ870" t="str">
        <f>AH870/Y870</f>
        <v>#REF!</v>
      </c>
    </row>
    <row r="871">
      <c r="G871" t="str">
        <v>A</v>
      </c>
      <c r="K871" t="str">
        <f>IF(L871&gt;0,L871*0.0625,)</f>
        <v>#REF!</v>
      </c>
      <c r="L871" t="str">
        <f>IF(K871&gt;0,K871*16,)</f>
        <v>#REF!</v>
      </c>
      <c r="M871" t="str">
        <f>IF(K871&gt;0,K871*0.453592,IF(L871&gt;0,L871*0.02835,))</f>
        <v>#REF!</v>
      </c>
      <c r="P871">
        <f>J871+O871+N871</f>
        <v>0</v>
      </c>
      <c r="Q871">
        <f>P871*C$3</f>
        <v>0</v>
      </c>
      <c r="R871">
        <v>0</v>
      </c>
      <c r="S871">
        <f>ROUND(SUM(Q871:R871), -2)</f>
        <v>0</v>
      </c>
      <c r="T871" t="str">
        <f>ROUNDUP(HLOOKUP(ROUNDUP(K871,0),'배송비 조회'!A$10:AE$22,7,0)*C$3,-2)</f>
        <v>#REF!</v>
      </c>
      <c r="U871">
        <v>0</v>
      </c>
      <c r="V871" t="str">
        <f>ROUND(IF(R867&gt;0,0,(S871+T871)*0.3),-2)</f>
        <v>#REF!</v>
      </c>
      <c r="W871" t="str">
        <f>ROUND(IF(R867&gt;0,0,(S871+T871)*0.5),-2)</f>
        <v>#REF!</v>
      </c>
      <c r="X871" t="str">
        <f>SUM(S871:V871)</f>
        <v>#REF!</v>
      </c>
      <c r="Y871" t="str">
        <f>SUM(S871:U871)+W871</f>
        <v>#REF!</v>
      </c>
      <c r="Z871">
        <v>0</v>
      </c>
      <c r="AA871" t="str">
        <f>X871*0.038</f>
        <v>#REF!</v>
      </c>
      <c r="AB871" t="str">
        <f>X871*0.02</f>
        <v>#REF!</v>
      </c>
      <c r="AC871" t="str">
        <f>Y871*0.1</f>
        <v>#REF!</v>
      </c>
      <c r="AD871" t="str">
        <f>X871-AA871-AB871</f>
        <v>#REF!</v>
      </c>
      <c r="AE871" t="str">
        <f>Y871-AC871</f>
        <v>#REF!</v>
      </c>
      <c r="AF871" t="str">
        <f>AD871*0.01</f>
        <v>#REF!</v>
      </c>
      <c r="AG871" t="str">
        <f>AD871-Q871-AF871-T871</f>
        <v>#REF!</v>
      </c>
      <c r="AH871" t="str">
        <f>AE871-Q871-AF871-T871</f>
        <v>#REF!</v>
      </c>
      <c r="AI871" t="str">
        <f>AG871/X871</f>
        <v>#REF!</v>
      </c>
      <c r="AJ871" t="str">
        <f>AH871/Y871</f>
        <v>#REF!</v>
      </c>
    </row>
    <row r="872">
      <c r="G872" t="str">
        <v>A</v>
      </c>
      <c r="K872" t="str">
        <f>IF(L872&gt;0,L872*0.0625,)</f>
        <v>#REF!</v>
      </c>
      <c r="L872" t="str">
        <f>IF(K872&gt;0,K872*16,)</f>
        <v>#REF!</v>
      </c>
      <c r="M872" t="str">
        <f>IF(K872&gt;0,K872*0.453592,IF(L872&gt;0,L872*0.02835,))</f>
        <v>#REF!</v>
      </c>
      <c r="P872">
        <f>J872+O872+N872</f>
        <v>0</v>
      </c>
      <c r="Q872">
        <f>P872*C$3</f>
        <v>0</v>
      </c>
      <c r="R872">
        <v>0</v>
      </c>
      <c r="S872">
        <f>ROUND(SUM(Q872:R872), -2)</f>
        <v>0</v>
      </c>
      <c r="T872" t="str">
        <f>ROUNDUP(HLOOKUP(ROUNDUP(K872,0),'배송비 조회'!A$10:AE$22,7,0)*C$3,-2)</f>
        <v>#REF!</v>
      </c>
      <c r="U872">
        <v>0</v>
      </c>
      <c r="V872" t="str">
        <f>ROUND(IF(R868&gt;0,0,(S872+T872)*0.3),-2)</f>
        <v>#REF!</v>
      </c>
      <c r="W872" t="str">
        <f>ROUND(IF(R868&gt;0,0,(S872+T872)*0.5),-2)</f>
        <v>#REF!</v>
      </c>
      <c r="X872" t="str">
        <f>SUM(S872:V872)</f>
        <v>#REF!</v>
      </c>
      <c r="Y872" t="str">
        <f>SUM(S872:U872)+W872</f>
        <v>#REF!</v>
      </c>
      <c r="Z872">
        <v>0</v>
      </c>
      <c r="AA872" t="str">
        <f>X872*0.038</f>
        <v>#REF!</v>
      </c>
      <c r="AB872" t="str">
        <f>X872*0.02</f>
        <v>#REF!</v>
      </c>
      <c r="AC872" t="str">
        <f>Y872*0.1</f>
        <v>#REF!</v>
      </c>
      <c r="AD872" t="str">
        <f>X872-AA872-AB872</f>
        <v>#REF!</v>
      </c>
      <c r="AE872" t="str">
        <f>Y872-AC872</f>
        <v>#REF!</v>
      </c>
      <c r="AF872" t="str">
        <f>AD872*0.01</f>
        <v>#REF!</v>
      </c>
      <c r="AG872" t="str">
        <f>AD872-Q872-AF872-T872</f>
        <v>#REF!</v>
      </c>
      <c r="AH872" t="str">
        <f>AE872-Q872-AF872-T872</f>
        <v>#REF!</v>
      </c>
      <c r="AI872" t="str">
        <f>AG872/X872</f>
        <v>#REF!</v>
      </c>
      <c r="AJ872" t="str">
        <f>AH872/Y872</f>
        <v>#REF!</v>
      </c>
    </row>
    <row r="873">
      <c r="G873" t="str">
        <v>A</v>
      </c>
      <c r="K873" t="str">
        <f>IF(L873&gt;0,L873*0.0625,)</f>
        <v>#REF!</v>
      </c>
      <c r="L873" t="str">
        <f>IF(K873&gt;0,K873*16,)</f>
        <v>#REF!</v>
      </c>
      <c r="M873" t="str">
        <f>IF(K873&gt;0,K873*0.453592,IF(L873&gt;0,L873*0.02835,))</f>
        <v>#REF!</v>
      </c>
      <c r="P873">
        <f>J873+O873+N873</f>
        <v>0</v>
      </c>
      <c r="Q873">
        <f>P873*C$3</f>
        <v>0</v>
      </c>
      <c r="R873">
        <v>0</v>
      </c>
      <c r="S873">
        <f>ROUND(SUM(Q873:R873), -2)</f>
        <v>0</v>
      </c>
      <c r="T873" t="str">
        <f>ROUNDUP(HLOOKUP(ROUNDUP(K873,0),'배송비 조회'!A$10:AE$22,7,0)*C$3,-2)</f>
        <v>#REF!</v>
      </c>
      <c r="U873">
        <v>0</v>
      </c>
      <c r="V873" t="str">
        <f>ROUND(IF(R869&gt;0,0,(S873+T873)*0.3),-2)</f>
        <v>#REF!</v>
      </c>
      <c r="W873" t="str">
        <f>ROUND(IF(R869&gt;0,0,(S873+T873)*0.5),-2)</f>
        <v>#REF!</v>
      </c>
      <c r="X873" t="str">
        <f>SUM(S873:V873)</f>
        <v>#REF!</v>
      </c>
      <c r="Y873" t="str">
        <f>SUM(S873:U873)+W873</f>
        <v>#REF!</v>
      </c>
      <c r="Z873">
        <v>0</v>
      </c>
      <c r="AA873" t="str">
        <f>X873*0.038</f>
        <v>#REF!</v>
      </c>
      <c r="AB873" t="str">
        <f>X873*0.02</f>
        <v>#REF!</v>
      </c>
      <c r="AC873" t="str">
        <f>Y873*0.1</f>
        <v>#REF!</v>
      </c>
      <c r="AD873" t="str">
        <f>X873-AA873-AB873</f>
        <v>#REF!</v>
      </c>
      <c r="AE873" t="str">
        <f>Y873-AC873</f>
        <v>#REF!</v>
      </c>
      <c r="AF873" t="str">
        <f>AD873*0.01</f>
        <v>#REF!</v>
      </c>
      <c r="AG873" t="str">
        <f>AD873-Q873-AF873-T873</f>
        <v>#REF!</v>
      </c>
      <c r="AH873" t="str">
        <f>AE873-Q873-AF873-T873</f>
        <v>#REF!</v>
      </c>
      <c r="AI873" t="str">
        <f>AG873/X873</f>
        <v>#REF!</v>
      </c>
      <c r="AJ873" t="str">
        <f>AH873/Y873</f>
        <v>#REF!</v>
      </c>
    </row>
    <row r="874">
      <c r="G874" t="str">
        <v>A</v>
      </c>
      <c r="K874" t="str">
        <f>IF(L874&gt;0,L874*0.0625,)</f>
        <v>#REF!</v>
      </c>
      <c r="L874" t="str">
        <f>IF(K874&gt;0,K874*16,)</f>
        <v>#REF!</v>
      </c>
      <c r="M874" t="str">
        <f>IF(K874&gt;0,K874*0.453592,IF(L874&gt;0,L874*0.02835,))</f>
        <v>#REF!</v>
      </c>
      <c r="P874">
        <f>J874+O874+N874</f>
        <v>0</v>
      </c>
      <c r="Q874">
        <f>P874*C$3</f>
        <v>0</v>
      </c>
      <c r="R874">
        <v>0</v>
      </c>
      <c r="S874">
        <f>ROUND(SUM(Q874:R874), -2)</f>
        <v>0</v>
      </c>
      <c r="T874" t="str">
        <f>ROUNDUP(HLOOKUP(ROUNDUP(K874,0),'배송비 조회'!A$10:AE$22,7,0)*C$3,-2)</f>
        <v>#REF!</v>
      </c>
      <c r="U874">
        <v>0</v>
      </c>
      <c r="V874" t="str">
        <f>ROUND(IF(R870&gt;0,0,(S874+T874)*0.3),-2)</f>
        <v>#REF!</v>
      </c>
      <c r="W874" t="str">
        <f>ROUND(IF(R870&gt;0,0,(S874+T874)*0.5),-2)</f>
        <v>#REF!</v>
      </c>
      <c r="X874" t="str">
        <f>SUM(S874:V874)</f>
        <v>#REF!</v>
      </c>
      <c r="Y874" t="str">
        <f>SUM(S874:U874)+W874</f>
        <v>#REF!</v>
      </c>
      <c r="Z874">
        <v>0</v>
      </c>
      <c r="AA874" t="str">
        <f>X874*0.038</f>
        <v>#REF!</v>
      </c>
      <c r="AB874" t="str">
        <f>X874*0.02</f>
        <v>#REF!</v>
      </c>
      <c r="AC874" t="str">
        <f>Y874*0.1</f>
        <v>#REF!</v>
      </c>
      <c r="AD874" t="str">
        <f>X874-AA874-AB874</f>
        <v>#REF!</v>
      </c>
      <c r="AE874" t="str">
        <f>Y874-AC874</f>
        <v>#REF!</v>
      </c>
      <c r="AF874" t="str">
        <f>AD874*0.01</f>
        <v>#REF!</v>
      </c>
      <c r="AG874" t="str">
        <f>AD874-Q874-AF874-T874</f>
        <v>#REF!</v>
      </c>
      <c r="AH874" t="str">
        <f>AE874-Q874-AF874-T874</f>
        <v>#REF!</v>
      </c>
      <c r="AI874" t="str">
        <f>AG874/X874</f>
        <v>#REF!</v>
      </c>
      <c r="AJ874" t="str">
        <f>AH874/Y874</f>
        <v>#REF!</v>
      </c>
    </row>
    <row r="875">
      <c r="G875" t="str">
        <v>A</v>
      </c>
      <c r="K875" t="str">
        <f>IF(L875&gt;0,L875*0.0625,)</f>
        <v>#REF!</v>
      </c>
      <c r="L875" t="str">
        <f>IF(K875&gt;0,K875*16,)</f>
        <v>#REF!</v>
      </c>
      <c r="M875" t="str">
        <f>IF(K875&gt;0,K875*0.453592,IF(L875&gt;0,L875*0.02835,))</f>
        <v>#REF!</v>
      </c>
      <c r="P875">
        <f>J875+O875+N875</f>
        <v>0</v>
      </c>
      <c r="Q875">
        <f>P875*C$3</f>
        <v>0</v>
      </c>
      <c r="R875">
        <v>0</v>
      </c>
      <c r="S875">
        <f>ROUND(SUM(Q875:R875), -2)</f>
        <v>0</v>
      </c>
      <c r="T875" t="str">
        <f>ROUNDUP(HLOOKUP(ROUNDUP(K875,0),'배송비 조회'!A$10:AE$22,7,0)*C$3,-2)</f>
        <v>#REF!</v>
      </c>
      <c r="U875">
        <v>0</v>
      </c>
      <c r="V875" t="str">
        <f>ROUND(IF(R871&gt;0,0,(S875+T875)*0.3),-2)</f>
        <v>#REF!</v>
      </c>
      <c r="W875" t="str">
        <f>ROUND(IF(R871&gt;0,0,(S875+T875)*0.5),-2)</f>
        <v>#REF!</v>
      </c>
      <c r="X875" t="str">
        <f>SUM(S875:V875)</f>
        <v>#REF!</v>
      </c>
      <c r="Y875" t="str">
        <f>SUM(S875:U875)+W875</f>
        <v>#REF!</v>
      </c>
      <c r="Z875">
        <v>0</v>
      </c>
      <c r="AA875" t="str">
        <f>X875*0.038</f>
        <v>#REF!</v>
      </c>
      <c r="AB875" t="str">
        <f>X875*0.02</f>
        <v>#REF!</v>
      </c>
      <c r="AC875" t="str">
        <f>Y875*0.1</f>
        <v>#REF!</v>
      </c>
      <c r="AD875" t="str">
        <f>X875-AA875-AB875</f>
        <v>#REF!</v>
      </c>
      <c r="AE875" t="str">
        <f>Y875-AC875</f>
        <v>#REF!</v>
      </c>
      <c r="AF875" t="str">
        <f>AD875*0.01</f>
        <v>#REF!</v>
      </c>
      <c r="AG875" t="str">
        <f>AD875-Q875-AF875-T875</f>
        <v>#REF!</v>
      </c>
      <c r="AH875" t="str">
        <f>AE875-Q875-AF875-T875</f>
        <v>#REF!</v>
      </c>
      <c r="AI875" t="str">
        <f>AG875/X875</f>
        <v>#REF!</v>
      </c>
      <c r="AJ875" t="str">
        <f>AH875/Y875</f>
        <v>#REF!</v>
      </c>
    </row>
    <row r="876">
      <c r="G876" t="str">
        <v>A</v>
      </c>
      <c r="K876" t="str">
        <f>IF(L876&gt;0,L876*0.0625,)</f>
        <v>#REF!</v>
      </c>
      <c r="L876" t="str">
        <f>IF(K876&gt;0,K876*16,)</f>
        <v>#REF!</v>
      </c>
      <c r="M876" t="str">
        <f>IF(K876&gt;0,K876*0.453592,IF(L876&gt;0,L876*0.02835,))</f>
        <v>#REF!</v>
      </c>
      <c r="P876">
        <f>J876+O876+N876</f>
        <v>0</v>
      </c>
      <c r="Q876">
        <f>P876*C$3</f>
        <v>0</v>
      </c>
      <c r="R876">
        <v>0</v>
      </c>
      <c r="S876">
        <f>ROUND(SUM(Q876:R876), -2)</f>
        <v>0</v>
      </c>
      <c r="T876" t="str">
        <f>ROUNDUP(HLOOKUP(ROUNDUP(K876,0),'배송비 조회'!A$10:AE$22,7,0)*C$3,-2)</f>
        <v>#REF!</v>
      </c>
      <c r="U876">
        <v>0</v>
      </c>
      <c r="V876" t="str">
        <f>ROUND(IF(R872&gt;0,0,(S876+T876)*0.3),-2)</f>
        <v>#REF!</v>
      </c>
      <c r="W876" t="str">
        <f>ROUND(IF(R872&gt;0,0,(S876+T876)*0.5),-2)</f>
        <v>#REF!</v>
      </c>
      <c r="X876" t="str">
        <f>SUM(S876:V876)</f>
        <v>#REF!</v>
      </c>
      <c r="Y876" t="str">
        <f>SUM(S876:U876)+W876</f>
        <v>#REF!</v>
      </c>
      <c r="Z876">
        <v>0</v>
      </c>
      <c r="AA876" t="str">
        <f>X876*0.038</f>
        <v>#REF!</v>
      </c>
      <c r="AB876" t="str">
        <f>X876*0.02</f>
        <v>#REF!</v>
      </c>
      <c r="AC876" t="str">
        <f>Y876*0.1</f>
        <v>#REF!</v>
      </c>
      <c r="AD876" t="str">
        <f>X876-AA876-AB876</f>
        <v>#REF!</v>
      </c>
      <c r="AE876" t="str">
        <f>Y876-AC876</f>
        <v>#REF!</v>
      </c>
      <c r="AF876" t="str">
        <f>AD876*0.01</f>
        <v>#REF!</v>
      </c>
      <c r="AG876" t="str">
        <f>AD876-Q876-AF876-T876</f>
        <v>#REF!</v>
      </c>
      <c r="AH876" t="str">
        <f>AE876-Q876-AF876-T876</f>
        <v>#REF!</v>
      </c>
      <c r="AI876" t="str">
        <f>AG876/X876</f>
        <v>#REF!</v>
      </c>
      <c r="AJ876" t="str">
        <f>AH876/Y876</f>
        <v>#REF!</v>
      </c>
    </row>
    <row r="877">
      <c r="G877" t="str">
        <v>A</v>
      </c>
      <c r="K877" t="str">
        <f>IF(L877&gt;0,L877*0.0625,)</f>
        <v>#REF!</v>
      </c>
      <c r="L877" t="str">
        <f>IF(K877&gt;0,K877*16,)</f>
        <v>#REF!</v>
      </c>
      <c r="M877" t="str">
        <f>IF(K877&gt;0,K877*0.453592,IF(L877&gt;0,L877*0.02835,))</f>
        <v>#REF!</v>
      </c>
      <c r="P877">
        <f>J877+O877+N877</f>
        <v>0</v>
      </c>
      <c r="Q877">
        <f>P877*C$3</f>
        <v>0</v>
      </c>
      <c r="R877">
        <v>0</v>
      </c>
      <c r="S877">
        <f>ROUND(SUM(Q877:R877), -2)</f>
        <v>0</v>
      </c>
      <c r="T877" t="str">
        <f>ROUNDUP(HLOOKUP(ROUNDUP(K877,0),'배송비 조회'!A$10:AE$22,7,0)*C$3,-2)</f>
        <v>#REF!</v>
      </c>
      <c r="U877">
        <v>0</v>
      </c>
      <c r="V877" t="str">
        <f>ROUND(IF(R873&gt;0,0,(S877+T877)*0.3),-2)</f>
        <v>#REF!</v>
      </c>
      <c r="W877" t="str">
        <f>ROUND(IF(R873&gt;0,0,(S877+T877)*0.5),-2)</f>
        <v>#REF!</v>
      </c>
      <c r="X877" t="str">
        <f>SUM(S877:V877)</f>
        <v>#REF!</v>
      </c>
      <c r="Y877" t="str">
        <f>SUM(S877:U877)+W877</f>
        <v>#REF!</v>
      </c>
      <c r="Z877">
        <v>0</v>
      </c>
      <c r="AA877" t="str">
        <f>X877*0.038</f>
        <v>#REF!</v>
      </c>
      <c r="AB877" t="str">
        <f>X877*0.02</f>
        <v>#REF!</v>
      </c>
      <c r="AC877" t="str">
        <f>Y877*0.1</f>
        <v>#REF!</v>
      </c>
      <c r="AD877" t="str">
        <f>X877-AA877-AB877</f>
        <v>#REF!</v>
      </c>
      <c r="AE877" t="str">
        <f>Y877-AC877</f>
        <v>#REF!</v>
      </c>
      <c r="AF877" t="str">
        <f>AD877*0.01</f>
        <v>#REF!</v>
      </c>
      <c r="AG877" t="str">
        <f>AD877-Q877-AF877-T877</f>
        <v>#REF!</v>
      </c>
      <c r="AH877" t="str">
        <f>AE877-Q877-AF877-T877</f>
        <v>#REF!</v>
      </c>
      <c r="AI877" t="str">
        <f>AG877/X877</f>
        <v>#REF!</v>
      </c>
      <c r="AJ877" t="str">
        <f>AH877/Y877</f>
        <v>#REF!</v>
      </c>
    </row>
    <row r="878">
      <c r="G878" t="str">
        <v>A</v>
      </c>
      <c r="K878" t="str">
        <f>IF(L878&gt;0,L878*0.0625,)</f>
        <v>#REF!</v>
      </c>
      <c r="L878" t="str">
        <f>IF(K878&gt;0,K878*16,)</f>
        <v>#REF!</v>
      </c>
      <c r="M878" t="str">
        <f>IF(K878&gt;0,K878*0.453592,IF(L878&gt;0,L878*0.02835,))</f>
        <v>#REF!</v>
      </c>
      <c r="P878">
        <f>J878+O878+N878</f>
        <v>0</v>
      </c>
      <c r="Q878">
        <f>P878*C$3</f>
        <v>0</v>
      </c>
      <c r="R878">
        <v>0</v>
      </c>
      <c r="S878">
        <f>ROUND(SUM(Q878:R878), -2)</f>
        <v>0</v>
      </c>
      <c r="T878" t="str">
        <f>ROUNDUP(HLOOKUP(ROUNDUP(K878,0),'배송비 조회'!A$10:AE$22,7,0)*C$3,-2)</f>
        <v>#REF!</v>
      </c>
      <c r="U878">
        <v>0</v>
      </c>
      <c r="V878" t="str">
        <f>ROUND(IF(R874&gt;0,0,(S878+T878)*0.3),-2)</f>
        <v>#REF!</v>
      </c>
      <c r="W878" t="str">
        <f>ROUND(IF(R874&gt;0,0,(S878+T878)*0.5),-2)</f>
        <v>#REF!</v>
      </c>
      <c r="X878" t="str">
        <f>SUM(S878:V878)</f>
        <v>#REF!</v>
      </c>
      <c r="Y878" t="str">
        <f>SUM(S878:U878)+W878</f>
        <v>#REF!</v>
      </c>
      <c r="Z878">
        <v>0</v>
      </c>
      <c r="AA878" t="str">
        <f>X878*0.038</f>
        <v>#REF!</v>
      </c>
      <c r="AB878" t="str">
        <f>X878*0.02</f>
        <v>#REF!</v>
      </c>
      <c r="AC878" t="str">
        <f>Y878*0.1</f>
        <v>#REF!</v>
      </c>
      <c r="AD878" t="str">
        <f>X878-AA878-AB878</f>
        <v>#REF!</v>
      </c>
      <c r="AE878" t="str">
        <f>Y878-AC878</f>
        <v>#REF!</v>
      </c>
      <c r="AF878" t="str">
        <f>AD878*0.01</f>
        <v>#REF!</v>
      </c>
      <c r="AG878" t="str">
        <f>AD878-Q878-AF878-T878</f>
        <v>#REF!</v>
      </c>
      <c r="AH878" t="str">
        <f>AE878-Q878-AF878-T878</f>
        <v>#REF!</v>
      </c>
      <c r="AI878" t="str">
        <f>AG878/X878</f>
        <v>#REF!</v>
      </c>
      <c r="AJ878" t="str">
        <f>AH878/Y878</f>
        <v>#REF!</v>
      </c>
    </row>
    <row r="879">
      <c r="G879" t="str">
        <v>A</v>
      </c>
      <c r="K879" t="str">
        <f>IF(L879&gt;0,L879*0.0625,)</f>
        <v>#REF!</v>
      </c>
      <c r="L879" t="str">
        <f>IF(K879&gt;0,K879*16,)</f>
        <v>#REF!</v>
      </c>
      <c r="M879" t="str">
        <f>IF(K879&gt;0,K879*0.453592,IF(L879&gt;0,L879*0.02835,))</f>
        <v>#REF!</v>
      </c>
      <c r="P879">
        <f>J879+O879+N879</f>
        <v>0</v>
      </c>
      <c r="Q879">
        <f>P879*C$3</f>
        <v>0</v>
      </c>
      <c r="R879">
        <v>0</v>
      </c>
      <c r="S879">
        <f>ROUND(SUM(Q879:R879), -2)</f>
        <v>0</v>
      </c>
      <c r="T879" t="str">
        <f>ROUNDUP(HLOOKUP(ROUNDUP(K879,0),'배송비 조회'!A$10:AE$22,7,0)*C$3,-2)</f>
        <v>#REF!</v>
      </c>
      <c r="U879">
        <v>0</v>
      </c>
      <c r="V879" t="str">
        <f>ROUND(IF(R875&gt;0,0,(S879+T879)*0.3),-2)</f>
        <v>#REF!</v>
      </c>
      <c r="W879" t="str">
        <f>ROUND(IF(R875&gt;0,0,(S879+T879)*0.5),-2)</f>
        <v>#REF!</v>
      </c>
      <c r="X879" t="str">
        <f>SUM(S879:V879)</f>
        <v>#REF!</v>
      </c>
      <c r="Y879" t="str">
        <f>SUM(S879:U879)+W879</f>
        <v>#REF!</v>
      </c>
      <c r="Z879">
        <v>0</v>
      </c>
      <c r="AA879" t="str">
        <f>X879*0.038</f>
        <v>#REF!</v>
      </c>
      <c r="AB879" t="str">
        <f>X879*0.02</f>
        <v>#REF!</v>
      </c>
      <c r="AC879" t="str">
        <f>Y879*0.1</f>
        <v>#REF!</v>
      </c>
      <c r="AD879" t="str">
        <f>X879-AA879-AB879</f>
        <v>#REF!</v>
      </c>
      <c r="AE879" t="str">
        <f>Y879-AC879</f>
        <v>#REF!</v>
      </c>
      <c r="AF879" t="str">
        <f>AD879*0.01</f>
        <v>#REF!</v>
      </c>
      <c r="AG879" t="str">
        <f>AD879-Q879-AF879-T879</f>
        <v>#REF!</v>
      </c>
      <c r="AH879" t="str">
        <f>AE879-Q879-AF879-T879</f>
        <v>#REF!</v>
      </c>
      <c r="AI879" t="str">
        <f>AG879/X879</f>
        <v>#REF!</v>
      </c>
      <c r="AJ879" t="str">
        <f>AH879/Y879</f>
        <v>#REF!</v>
      </c>
    </row>
    <row r="880">
      <c r="G880" t="str">
        <v>A</v>
      </c>
      <c r="K880" t="str">
        <f>IF(L880&gt;0,L880*0.0625,)</f>
        <v>#REF!</v>
      </c>
      <c r="L880" t="str">
        <f>IF(K880&gt;0,K880*16,)</f>
        <v>#REF!</v>
      </c>
      <c r="M880" t="str">
        <f>IF(K880&gt;0,K880*0.453592,IF(L880&gt;0,L880*0.02835,))</f>
        <v>#REF!</v>
      </c>
      <c r="P880">
        <f>J880+O880+N880</f>
        <v>0</v>
      </c>
      <c r="Q880">
        <f>P880*C$3</f>
        <v>0</v>
      </c>
      <c r="R880">
        <v>0</v>
      </c>
      <c r="S880">
        <f>ROUND(SUM(Q880:R880), -2)</f>
        <v>0</v>
      </c>
      <c r="T880" t="str">
        <f>ROUNDUP(HLOOKUP(ROUNDUP(K880,0),'배송비 조회'!A$10:AE$22,7,0)*C$3,-2)</f>
        <v>#REF!</v>
      </c>
      <c r="U880">
        <v>0</v>
      </c>
      <c r="V880" t="str">
        <f>ROUND(IF(R876&gt;0,0,(S880+T880)*0.3),-2)</f>
        <v>#REF!</v>
      </c>
      <c r="W880" t="str">
        <f>ROUND(IF(R876&gt;0,0,(S880+T880)*0.5),-2)</f>
        <v>#REF!</v>
      </c>
      <c r="X880" t="str">
        <f>SUM(S880:V880)</f>
        <v>#REF!</v>
      </c>
      <c r="Y880" t="str">
        <f>SUM(S880:U880)+W880</f>
        <v>#REF!</v>
      </c>
      <c r="Z880">
        <v>0</v>
      </c>
      <c r="AA880" t="str">
        <f>X880*0.038</f>
        <v>#REF!</v>
      </c>
      <c r="AB880" t="str">
        <f>X880*0.02</f>
        <v>#REF!</v>
      </c>
      <c r="AC880" t="str">
        <f>Y880*0.1</f>
        <v>#REF!</v>
      </c>
      <c r="AD880" t="str">
        <f>X880-AA880-AB880</f>
        <v>#REF!</v>
      </c>
      <c r="AE880" t="str">
        <f>Y880-AC880</f>
        <v>#REF!</v>
      </c>
      <c r="AF880" t="str">
        <f>AD880*0.01</f>
        <v>#REF!</v>
      </c>
      <c r="AG880" t="str">
        <f>AD880-Q880-AF880-T880</f>
        <v>#REF!</v>
      </c>
      <c r="AH880" t="str">
        <f>AE880-Q880-AF880-T880</f>
        <v>#REF!</v>
      </c>
      <c r="AI880" t="str">
        <f>AG880/X880</f>
        <v>#REF!</v>
      </c>
      <c r="AJ880" t="str">
        <f>AH880/Y880</f>
        <v>#REF!</v>
      </c>
    </row>
    <row r="881">
      <c r="G881" t="str">
        <v>A</v>
      </c>
      <c r="K881" t="str">
        <f>IF(L881&gt;0,L881*0.0625,)</f>
        <v>#REF!</v>
      </c>
      <c r="L881" t="str">
        <f>IF(K881&gt;0,K881*16,)</f>
        <v>#REF!</v>
      </c>
      <c r="M881" t="str">
        <f>IF(K881&gt;0,K881*0.453592,IF(L881&gt;0,L881*0.02835,))</f>
        <v>#REF!</v>
      </c>
      <c r="P881">
        <f>J881+O881+N881</f>
        <v>0</v>
      </c>
      <c r="Q881">
        <f>P881*C$3</f>
        <v>0</v>
      </c>
      <c r="R881">
        <v>0</v>
      </c>
      <c r="S881">
        <f>ROUND(SUM(Q881:R881), -2)</f>
        <v>0</v>
      </c>
      <c r="T881" t="str">
        <f>ROUNDUP(HLOOKUP(ROUNDUP(K881,0),'배송비 조회'!A$10:AE$22,7,0)*C$3,-2)</f>
        <v>#REF!</v>
      </c>
      <c r="U881">
        <v>0</v>
      </c>
      <c r="V881" t="str">
        <f>ROUND(IF(R877&gt;0,0,(S881+T881)*0.3),-2)</f>
        <v>#REF!</v>
      </c>
      <c r="W881" t="str">
        <f>ROUND(IF(R877&gt;0,0,(S881+T881)*0.5),-2)</f>
        <v>#REF!</v>
      </c>
      <c r="X881" t="str">
        <f>SUM(S881:V881)</f>
        <v>#REF!</v>
      </c>
      <c r="Y881" t="str">
        <f>SUM(S881:U881)+W881</f>
        <v>#REF!</v>
      </c>
      <c r="Z881">
        <v>0</v>
      </c>
      <c r="AA881" t="str">
        <f>X881*0.038</f>
        <v>#REF!</v>
      </c>
      <c r="AB881" t="str">
        <f>X881*0.02</f>
        <v>#REF!</v>
      </c>
      <c r="AC881" t="str">
        <f>Y881*0.1</f>
        <v>#REF!</v>
      </c>
      <c r="AD881" t="str">
        <f>X881-AA881-AB881</f>
        <v>#REF!</v>
      </c>
      <c r="AE881" t="str">
        <f>Y881-AC881</f>
        <v>#REF!</v>
      </c>
      <c r="AF881" t="str">
        <f>AD881*0.01</f>
        <v>#REF!</v>
      </c>
      <c r="AG881" t="str">
        <f>AD881-Q881-AF881-T881</f>
        <v>#REF!</v>
      </c>
      <c r="AH881" t="str">
        <f>AE881-Q881-AF881-T881</f>
        <v>#REF!</v>
      </c>
      <c r="AI881" t="str">
        <f>AG881/X881</f>
        <v>#REF!</v>
      </c>
      <c r="AJ881" t="str">
        <f>AH881/Y881</f>
        <v>#REF!</v>
      </c>
    </row>
    <row r="882">
      <c r="G882" t="str">
        <v>A</v>
      </c>
      <c r="K882" t="str">
        <f>IF(L882&gt;0,L882*0.0625,)</f>
        <v>#REF!</v>
      </c>
      <c r="L882" t="str">
        <f>IF(K882&gt;0,K882*16,)</f>
        <v>#REF!</v>
      </c>
      <c r="M882" t="str">
        <f>IF(K882&gt;0,K882*0.453592,IF(L882&gt;0,L882*0.02835,))</f>
        <v>#REF!</v>
      </c>
      <c r="P882">
        <f>J882+O882+N882</f>
        <v>0</v>
      </c>
      <c r="Q882">
        <f>P882*C$3</f>
        <v>0</v>
      </c>
      <c r="R882">
        <v>0</v>
      </c>
      <c r="S882">
        <f>ROUND(SUM(Q882:R882), -2)</f>
        <v>0</v>
      </c>
      <c r="T882" t="str">
        <f>ROUNDUP(HLOOKUP(ROUNDUP(K882,0),'배송비 조회'!A$10:AE$22,7,0)*C$3,-2)</f>
        <v>#REF!</v>
      </c>
      <c r="U882">
        <v>0</v>
      </c>
      <c r="V882" t="str">
        <f>ROUND(IF(R878&gt;0,0,(S882+T882)*0.3),-2)</f>
        <v>#REF!</v>
      </c>
      <c r="W882" t="str">
        <f>ROUND(IF(R878&gt;0,0,(S882+T882)*0.5),-2)</f>
        <v>#REF!</v>
      </c>
      <c r="X882" t="str">
        <f>SUM(S882:V882)</f>
        <v>#REF!</v>
      </c>
      <c r="Y882" t="str">
        <f>SUM(S882:U882)+W882</f>
        <v>#REF!</v>
      </c>
      <c r="Z882">
        <v>0</v>
      </c>
      <c r="AA882" t="str">
        <f>X882*0.038</f>
        <v>#REF!</v>
      </c>
      <c r="AB882" t="str">
        <f>X882*0.02</f>
        <v>#REF!</v>
      </c>
      <c r="AC882" t="str">
        <f>Y882*0.1</f>
        <v>#REF!</v>
      </c>
      <c r="AD882" t="str">
        <f>X882-AA882-AB882</f>
        <v>#REF!</v>
      </c>
      <c r="AE882" t="str">
        <f>Y882-AC882</f>
        <v>#REF!</v>
      </c>
      <c r="AF882" t="str">
        <f>AD882*0.01</f>
        <v>#REF!</v>
      </c>
      <c r="AG882" t="str">
        <f>AD882-Q882-AF882-T882</f>
        <v>#REF!</v>
      </c>
      <c r="AH882" t="str">
        <f>AE882-Q882-AF882-T882</f>
        <v>#REF!</v>
      </c>
      <c r="AI882" t="str">
        <f>AG882/X882</f>
        <v>#REF!</v>
      </c>
      <c r="AJ882" t="str">
        <f>AH882/Y882</f>
        <v>#REF!</v>
      </c>
    </row>
    <row r="883">
      <c r="G883" t="str">
        <v>A</v>
      </c>
      <c r="K883" t="str">
        <f>IF(L883&gt;0,L883*0.0625,)</f>
        <v>#REF!</v>
      </c>
      <c r="L883" t="str">
        <f>IF(K883&gt;0,K883*16,)</f>
        <v>#REF!</v>
      </c>
      <c r="M883" t="str">
        <f>IF(K883&gt;0,K883*0.453592,IF(L883&gt;0,L883*0.02835,))</f>
        <v>#REF!</v>
      </c>
      <c r="P883">
        <f>J883+O883+N883</f>
        <v>0</v>
      </c>
      <c r="Q883">
        <f>P883*C$3</f>
        <v>0</v>
      </c>
      <c r="R883">
        <v>0</v>
      </c>
      <c r="S883">
        <f>ROUND(SUM(Q883:R883), -2)</f>
        <v>0</v>
      </c>
      <c r="T883" t="str">
        <f>ROUNDUP(HLOOKUP(ROUNDUP(K883,0),'배송비 조회'!A$10:AE$22,7,0)*C$3,-2)</f>
        <v>#REF!</v>
      </c>
      <c r="U883">
        <v>0</v>
      </c>
      <c r="V883" t="str">
        <f>ROUND(IF(R879&gt;0,0,(S883+T883)*0.3),-2)</f>
        <v>#REF!</v>
      </c>
      <c r="W883" t="str">
        <f>ROUND(IF(R879&gt;0,0,(S883+T883)*0.5),-2)</f>
        <v>#REF!</v>
      </c>
      <c r="X883" t="str">
        <f>SUM(S883:V883)</f>
        <v>#REF!</v>
      </c>
      <c r="Y883" t="str">
        <f>SUM(S883:U883)+W883</f>
        <v>#REF!</v>
      </c>
      <c r="Z883">
        <v>0</v>
      </c>
      <c r="AA883" t="str">
        <f>X883*0.038</f>
        <v>#REF!</v>
      </c>
      <c r="AB883" t="str">
        <f>X883*0.02</f>
        <v>#REF!</v>
      </c>
      <c r="AC883" t="str">
        <f>Y883*0.1</f>
        <v>#REF!</v>
      </c>
      <c r="AD883" t="str">
        <f>X883-AA883-AB883</f>
        <v>#REF!</v>
      </c>
      <c r="AE883" t="str">
        <f>Y883-AC883</f>
        <v>#REF!</v>
      </c>
      <c r="AF883" t="str">
        <f>AD883*0.01</f>
        <v>#REF!</v>
      </c>
      <c r="AG883" t="str">
        <f>AD883-Q883-AF883-T883</f>
        <v>#REF!</v>
      </c>
      <c r="AH883" t="str">
        <f>AE883-Q883-AF883-T883</f>
        <v>#REF!</v>
      </c>
      <c r="AI883" t="str">
        <f>AG883/X883</f>
        <v>#REF!</v>
      </c>
      <c r="AJ883" t="str">
        <f>AH883/Y883</f>
        <v>#REF!</v>
      </c>
    </row>
    <row r="884">
      <c r="G884" t="str">
        <v>A</v>
      </c>
      <c r="K884" t="str">
        <f>IF(L884&gt;0,L884*0.0625,)</f>
        <v>#REF!</v>
      </c>
      <c r="L884" t="str">
        <f>IF(K884&gt;0,K884*16,)</f>
        <v>#REF!</v>
      </c>
      <c r="M884" t="str">
        <f>IF(K884&gt;0,K884*0.453592,IF(L884&gt;0,L884*0.02835,))</f>
        <v>#REF!</v>
      </c>
      <c r="P884">
        <f>J884+O884+N884</f>
        <v>0</v>
      </c>
      <c r="Q884">
        <f>P884*C$3</f>
        <v>0</v>
      </c>
      <c r="R884">
        <v>0</v>
      </c>
      <c r="S884">
        <f>ROUND(SUM(Q884:R884), -2)</f>
        <v>0</v>
      </c>
      <c r="T884" t="str">
        <f>ROUNDUP(HLOOKUP(ROUNDUP(K884,0),'배송비 조회'!A$10:AE$22,7,0)*C$3,-2)</f>
        <v>#REF!</v>
      </c>
      <c r="U884">
        <v>0</v>
      </c>
      <c r="V884" t="str">
        <f>ROUND(IF(R880&gt;0,0,(S884+T884)*0.3),-2)</f>
        <v>#REF!</v>
      </c>
      <c r="W884" t="str">
        <f>ROUND(IF(R880&gt;0,0,(S884+T884)*0.5),-2)</f>
        <v>#REF!</v>
      </c>
      <c r="X884" t="str">
        <f>SUM(S884:V884)</f>
        <v>#REF!</v>
      </c>
      <c r="Y884" t="str">
        <f>SUM(S884:U884)+W884</f>
        <v>#REF!</v>
      </c>
      <c r="Z884">
        <v>0</v>
      </c>
      <c r="AA884" t="str">
        <f>X884*0.038</f>
        <v>#REF!</v>
      </c>
      <c r="AB884" t="str">
        <f>X884*0.02</f>
        <v>#REF!</v>
      </c>
      <c r="AC884" t="str">
        <f>Y884*0.1</f>
        <v>#REF!</v>
      </c>
      <c r="AD884" t="str">
        <f>X884-AA884-AB884</f>
        <v>#REF!</v>
      </c>
      <c r="AE884" t="str">
        <f>Y884-AC884</f>
        <v>#REF!</v>
      </c>
      <c r="AF884" t="str">
        <f>AD884*0.01</f>
        <v>#REF!</v>
      </c>
      <c r="AG884" t="str">
        <f>AD884-Q884-AF884-T884</f>
        <v>#REF!</v>
      </c>
      <c r="AH884" t="str">
        <f>AE884-Q884-AF884-T884</f>
        <v>#REF!</v>
      </c>
      <c r="AI884" t="str">
        <f>AG884/X884</f>
        <v>#REF!</v>
      </c>
      <c r="AJ884" t="str">
        <f>AH884/Y884</f>
        <v>#REF!</v>
      </c>
    </row>
    <row r="885">
      <c r="G885" t="str">
        <v>A</v>
      </c>
      <c r="K885" t="str">
        <f>IF(L885&gt;0,L885*0.0625,)</f>
        <v>#REF!</v>
      </c>
      <c r="L885" t="str">
        <f>IF(K885&gt;0,K885*16,)</f>
        <v>#REF!</v>
      </c>
      <c r="M885" t="str">
        <f>IF(K885&gt;0,K885*0.453592,IF(L885&gt;0,L885*0.02835,))</f>
        <v>#REF!</v>
      </c>
      <c r="P885">
        <f>J885+O885+N885</f>
        <v>0</v>
      </c>
      <c r="Q885">
        <f>P885*C$3</f>
        <v>0</v>
      </c>
      <c r="R885">
        <v>0</v>
      </c>
      <c r="S885">
        <f>ROUND(SUM(Q885:R885), -2)</f>
        <v>0</v>
      </c>
      <c r="T885" t="str">
        <f>ROUNDUP(HLOOKUP(ROUNDUP(K885,0),'배송비 조회'!A$10:AE$22,7,0)*C$3,-2)</f>
        <v>#REF!</v>
      </c>
      <c r="U885">
        <v>0</v>
      </c>
      <c r="V885" t="str">
        <f>ROUND(IF(R881&gt;0,0,(S885+T885)*0.3),-2)</f>
        <v>#REF!</v>
      </c>
      <c r="W885" t="str">
        <f>ROUND(IF(R881&gt;0,0,(S885+T885)*0.5),-2)</f>
        <v>#REF!</v>
      </c>
      <c r="X885" t="str">
        <f>SUM(S885:V885)</f>
        <v>#REF!</v>
      </c>
      <c r="Y885" t="str">
        <f>SUM(S885:U885)+W885</f>
        <v>#REF!</v>
      </c>
      <c r="Z885">
        <v>0</v>
      </c>
      <c r="AA885" t="str">
        <f>X885*0.038</f>
        <v>#REF!</v>
      </c>
      <c r="AB885" t="str">
        <f>X885*0.02</f>
        <v>#REF!</v>
      </c>
      <c r="AC885" t="str">
        <f>Y885*0.1</f>
        <v>#REF!</v>
      </c>
      <c r="AD885" t="str">
        <f>X885-AA885-AB885</f>
        <v>#REF!</v>
      </c>
      <c r="AE885" t="str">
        <f>Y885-AC885</f>
        <v>#REF!</v>
      </c>
      <c r="AF885" t="str">
        <f>AD885*0.01</f>
        <v>#REF!</v>
      </c>
      <c r="AG885" t="str">
        <f>AD885-Q885-AF885-T885</f>
        <v>#REF!</v>
      </c>
      <c r="AH885" t="str">
        <f>AE885-Q885-AF885-T885</f>
        <v>#REF!</v>
      </c>
      <c r="AI885" t="str">
        <f>AG885/X885</f>
        <v>#REF!</v>
      </c>
      <c r="AJ885" t="str">
        <f>AH885/Y885</f>
        <v>#REF!</v>
      </c>
    </row>
    <row r="886">
      <c r="G886" t="str">
        <v>A</v>
      </c>
      <c r="K886" t="str">
        <f>IF(L886&gt;0,L886*0.0625,)</f>
        <v>#REF!</v>
      </c>
      <c r="L886" t="str">
        <f>IF(K886&gt;0,K886*16,)</f>
        <v>#REF!</v>
      </c>
      <c r="M886" t="str">
        <f>IF(K886&gt;0,K886*0.453592,IF(L886&gt;0,L886*0.02835,))</f>
        <v>#REF!</v>
      </c>
      <c r="P886">
        <f>J886+O886+N886</f>
        <v>0</v>
      </c>
      <c r="Q886">
        <f>P886*C$3</f>
        <v>0</v>
      </c>
      <c r="R886">
        <v>0</v>
      </c>
      <c r="S886">
        <f>ROUND(SUM(Q886:R886), -2)</f>
        <v>0</v>
      </c>
      <c r="T886" t="str">
        <f>ROUNDUP(HLOOKUP(ROUNDUP(K886,0),'배송비 조회'!A$10:AE$22,7,0)*C$3,-2)</f>
        <v>#REF!</v>
      </c>
      <c r="U886">
        <v>0</v>
      </c>
      <c r="V886" t="str">
        <f>ROUND(IF(R882&gt;0,0,(S886+T886)*0.3),-2)</f>
        <v>#REF!</v>
      </c>
      <c r="W886" t="str">
        <f>ROUND(IF(R882&gt;0,0,(S886+T886)*0.5),-2)</f>
        <v>#REF!</v>
      </c>
      <c r="X886" t="str">
        <f>SUM(S886:V886)</f>
        <v>#REF!</v>
      </c>
      <c r="Y886" t="str">
        <f>SUM(S886:U886)+W886</f>
        <v>#REF!</v>
      </c>
      <c r="Z886">
        <v>0</v>
      </c>
      <c r="AA886" t="str">
        <f>X886*0.038</f>
        <v>#REF!</v>
      </c>
      <c r="AB886" t="str">
        <f>X886*0.02</f>
        <v>#REF!</v>
      </c>
      <c r="AC886" t="str">
        <f>Y886*0.1</f>
        <v>#REF!</v>
      </c>
      <c r="AD886" t="str">
        <f>X886-AA886-AB886</f>
        <v>#REF!</v>
      </c>
      <c r="AE886" t="str">
        <f>Y886-AC886</f>
        <v>#REF!</v>
      </c>
      <c r="AF886" t="str">
        <f>AD886*0.01</f>
        <v>#REF!</v>
      </c>
      <c r="AG886" t="str">
        <f>AD886-Q886-AF886-T886</f>
        <v>#REF!</v>
      </c>
      <c r="AH886" t="str">
        <f>AE886-Q886-AF886-T886</f>
        <v>#REF!</v>
      </c>
      <c r="AI886" t="str">
        <f>AG886/X886</f>
        <v>#REF!</v>
      </c>
      <c r="AJ886" t="str">
        <f>AH886/Y886</f>
        <v>#REF!</v>
      </c>
    </row>
    <row r="887">
      <c r="G887" t="str">
        <v>A</v>
      </c>
      <c r="K887" t="str">
        <f>IF(L887&gt;0,L887*0.0625,)</f>
        <v>#REF!</v>
      </c>
      <c r="L887" t="str">
        <f>IF(K887&gt;0,K887*16,)</f>
        <v>#REF!</v>
      </c>
      <c r="M887" t="str">
        <f>IF(K887&gt;0,K887*0.453592,IF(L887&gt;0,L887*0.02835,))</f>
        <v>#REF!</v>
      </c>
      <c r="P887">
        <f>J887+O887+N887</f>
        <v>0</v>
      </c>
      <c r="Q887">
        <f>P887*C$3</f>
        <v>0</v>
      </c>
      <c r="R887">
        <v>0</v>
      </c>
      <c r="S887">
        <f>ROUND(SUM(Q887:R887), -2)</f>
        <v>0</v>
      </c>
      <c r="T887" t="str">
        <f>ROUNDUP(HLOOKUP(ROUNDUP(K887,0),'배송비 조회'!A$10:AE$22,7,0)*C$3,-2)</f>
        <v>#REF!</v>
      </c>
      <c r="U887">
        <v>0</v>
      </c>
      <c r="V887" t="str">
        <f>ROUND(IF(R883&gt;0,0,(S887+T887)*0.3),-2)</f>
        <v>#REF!</v>
      </c>
      <c r="W887" t="str">
        <f>ROUND(IF(R883&gt;0,0,(S887+T887)*0.5),-2)</f>
        <v>#REF!</v>
      </c>
      <c r="X887" t="str">
        <f>SUM(S887:V887)</f>
        <v>#REF!</v>
      </c>
      <c r="Y887" t="str">
        <f>SUM(S887:U887)+W887</f>
        <v>#REF!</v>
      </c>
      <c r="Z887">
        <v>0</v>
      </c>
      <c r="AA887" t="str">
        <f>X887*0.038</f>
        <v>#REF!</v>
      </c>
      <c r="AB887" t="str">
        <f>X887*0.02</f>
        <v>#REF!</v>
      </c>
      <c r="AC887" t="str">
        <f>Y887*0.1</f>
        <v>#REF!</v>
      </c>
      <c r="AD887" t="str">
        <f>X887-AA887-AB887</f>
        <v>#REF!</v>
      </c>
      <c r="AE887" t="str">
        <f>Y887-AC887</f>
        <v>#REF!</v>
      </c>
      <c r="AF887" t="str">
        <f>AD887*0.01</f>
        <v>#REF!</v>
      </c>
      <c r="AG887" t="str">
        <f>AD887-Q887-AF887-T887</f>
        <v>#REF!</v>
      </c>
      <c r="AH887" t="str">
        <f>AE887-Q887-AF887-T887</f>
        <v>#REF!</v>
      </c>
      <c r="AI887" t="str">
        <f>AG887/X887</f>
        <v>#REF!</v>
      </c>
      <c r="AJ887" t="str">
        <f>AH887/Y887</f>
        <v>#REF!</v>
      </c>
    </row>
    <row r="888">
      <c r="G888" t="str">
        <v>A</v>
      </c>
      <c r="K888" t="str">
        <f>IF(L888&gt;0,L888*0.0625,)</f>
        <v>#REF!</v>
      </c>
      <c r="L888" t="str">
        <f>IF(K888&gt;0,K888*16,)</f>
        <v>#REF!</v>
      </c>
      <c r="M888" t="str">
        <f>IF(K888&gt;0,K888*0.453592,IF(L888&gt;0,L888*0.02835,))</f>
        <v>#REF!</v>
      </c>
      <c r="P888">
        <f>J888+O888+N888</f>
        <v>0</v>
      </c>
      <c r="Q888">
        <f>P888*C$3</f>
        <v>0</v>
      </c>
      <c r="R888">
        <v>0</v>
      </c>
      <c r="S888">
        <f>ROUND(SUM(Q888:R888), -2)</f>
        <v>0</v>
      </c>
      <c r="T888" t="str">
        <f>ROUNDUP(HLOOKUP(ROUNDUP(K888,0),'배송비 조회'!A$10:AE$22,7,0)*C$3,-2)</f>
        <v>#REF!</v>
      </c>
      <c r="U888">
        <v>0</v>
      </c>
      <c r="V888" t="str">
        <f>ROUND(IF(R884&gt;0,0,(S888+T888)*0.3),-2)</f>
        <v>#REF!</v>
      </c>
      <c r="W888" t="str">
        <f>ROUND(IF(R884&gt;0,0,(S888+T888)*0.5),-2)</f>
        <v>#REF!</v>
      </c>
      <c r="X888" t="str">
        <f>SUM(S888:V888)</f>
        <v>#REF!</v>
      </c>
      <c r="Y888" t="str">
        <f>SUM(S888:U888)+W888</f>
        <v>#REF!</v>
      </c>
      <c r="Z888">
        <v>0</v>
      </c>
      <c r="AA888" t="str">
        <f>X888*0.038</f>
        <v>#REF!</v>
      </c>
      <c r="AB888" t="str">
        <f>X888*0.02</f>
        <v>#REF!</v>
      </c>
      <c r="AC888" t="str">
        <f>Y888*0.1</f>
        <v>#REF!</v>
      </c>
      <c r="AD888" t="str">
        <f>X888-AA888-AB888</f>
        <v>#REF!</v>
      </c>
      <c r="AE888" t="str">
        <f>Y888-AC888</f>
        <v>#REF!</v>
      </c>
      <c r="AF888" t="str">
        <f>AD888*0.01</f>
        <v>#REF!</v>
      </c>
      <c r="AG888" t="str">
        <f>AD888-Q888-AF888-T888</f>
        <v>#REF!</v>
      </c>
      <c r="AH888" t="str">
        <f>AE888-Q888-AF888-T888</f>
        <v>#REF!</v>
      </c>
      <c r="AI888" t="str">
        <f>AG888/X888</f>
        <v>#REF!</v>
      </c>
      <c r="AJ888" t="str">
        <f>AH888/Y888</f>
        <v>#REF!</v>
      </c>
    </row>
    <row r="889">
      <c r="G889" t="str">
        <v>A</v>
      </c>
      <c r="K889" t="str">
        <f>IF(L889&gt;0,L889*0.0625,)</f>
        <v>#REF!</v>
      </c>
      <c r="L889" t="str">
        <f>IF(K889&gt;0,K889*16,)</f>
        <v>#REF!</v>
      </c>
      <c r="M889" t="str">
        <f>IF(K889&gt;0,K889*0.453592,IF(L889&gt;0,L889*0.02835,))</f>
        <v>#REF!</v>
      </c>
      <c r="P889">
        <f>J889+O889+N889</f>
        <v>0</v>
      </c>
      <c r="Q889">
        <f>P889*C$3</f>
        <v>0</v>
      </c>
      <c r="R889">
        <v>0</v>
      </c>
      <c r="S889">
        <f>ROUND(SUM(Q889:R889), -2)</f>
        <v>0</v>
      </c>
      <c r="T889" t="str">
        <f>ROUNDUP(HLOOKUP(ROUNDUP(K889,0),'배송비 조회'!A$10:AE$22,7,0)*C$3,-2)</f>
        <v>#REF!</v>
      </c>
      <c r="U889">
        <v>0</v>
      </c>
      <c r="V889" t="str">
        <f>ROUND(IF(R885&gt;0,0,(S889+T889)*0.3),-2)</f>
        <v>#REF!</v>
      </c>
      <c r="W889" t="str">
        <f>ROUND(IF(R885&gt;0,0,(S889+T889)*0.5),-2)</f>
        <v>#REF!</v>
      </c>
      <c r="X889" t="str">
        <f>SUM(S889:V889)</f>
        <v>#REF!</v>
      </c>
      <c r="Y889" t="str">
        <f>SUM(S889:U889)+W889</f>
        <v>#REF!</v>
      </c>
      <c r="Z889">
        <v>0</v>
      </c>
      <c r="AA889" t="str">
        <f>X889*0.038</f>
        <v>#REF!</v>
      </c>
      <c r="AB889" t="str">
        <f>X889*0.02</f>
        <v>#REF!</v>
      </c>
      <c r="AC889" t="str">
        <f>Y889*0.1</f>
        <v>#REF!</v>
      </c>
      <c r="AD889" t="str">
        <f>X889-AA889-AB889</f>
        <v>#REF!</v>
      </c>
      <c r="AE889" t="str">
        <f>Y889-AC889</f>
        <v>#REF!</v>
      </c>
      <c r="AF889" t="str">
        <f>AD889*0.01</f>
        <v>#REF!</v>
      </c>
      <c r="AG889" t="str">
        <f>AD889-Q889-AF889-T889</f>
        <v>#REF!</v>
      </c>
      <c r="AH889" t="str">
        <f>AE889-Q889-AF889-T889</f>
        <v>#REF!</v>
      </c>
      <c r="AI889" t="str">
        <f>AG889/X889</f>
        <v>#REF!</v>
      </c>
      <c r="AJ889" t="str">
        <f>AH889/Y889</f>
        <v>#REF!</v>
      </c>
    </row>
    <row r="890">
      <c r="G890" t="str">
        <v>A</v>
      </c>
      <c r="K890" t="str">
        <f>IF(L890&gt;0,L890*0.0625,)</f>
        <v>#REF!</v>
      </c>
      <c r="L890" t="str">
        <f>IF(K890&gt;0,K890*16,)</f>
        <v>#REF!</v>
      </c>
      <c r="M890" t="str">
        <f>IF(K890&gt;0,K890*0.453592,IF(L890&gt;0,L890*0.02835,))</f>
        <v>#REF!</v>
      </c>
      <c r="P890">
        <f>J890+O890+N890</f>
        <v>0</v>
      </c>
      <c r="Q890">
        <f>P890*C$3</f>
        <v>0</v>
      </c>
      <c r="R890">
        <v>0</v>
      </c>
      <c r="S890">
        <f>ROUND(SUM(Q890:R890), -2)</f>
        <v>0</v>
      </c>
      <c r="T890" t="str">
        <f>ROUNDUP(HLOOKUP(ROUNDUP(K890,0),'배송비 조회'!A$10:AE$22,7,0)*C$3,-2)</f>
        <v>#REF!</v>
      </c>
      <c r="U890">
        <v>0</v>
      </c>
      <c r="V890" t="str">
        <f>ROUND(IF(R886&gt;0,0,(S890+T890)*0.3),-2)</f>
        <v>#REF!</v>
      </c>
      <c r="W890" t="str">
        <f>ROUND(IF(R886&gt;0,0,(S890+T890)*0.5),-2)</f>
        <v>#REF!</v>
      </c>
      <c r="X890" t="str">
        <f>SUM(S890:V890)</f>
        <v>#REF!</v>
      </c>
      <c r="Y890" t="str">
        <f>SUM(S890:U890)+W890</f>
        <v>#REF!</v>
      </c>
      <c r="Z890">
        <v>0</v>
      </c>
      <c r="AA890" t="str">
        <f>X890*0.038</f>
        <v>#REF!</v>
      </c>
      <c r="AB890" t="str">
        <f>X890*0.02</f>
        <v>#REF!</v>
      </c>
      <c r="AC890" t="str">
        <f>Y890*0.1</f>
        <v>#REF!</v>
      </c>
      <c r="AD890" t="str">
        <f>X890-AA890-AB890</f>
        <v>#REF!</v>
      </c>
      <c r="AE890" t="str">
        <f>Y890-AC890</f>
        <v>#REF!</v>
      </c>
      <c r="AF890" t="str">
        <f>AD890*0.01</f>
        <v>#REF!</v>
      </c>
      <c r="AG890" t="str">
        <f>AD890-Q890-AF890-T890</f>
        <v>#REF!</v>
      </c>
      <c r="AH890" t="str">
        <f>AE890-Q890-AF890-T890</f>
        <v>#REF!</v>
      </c>
      <c r="AI890" t="str">
        <f>AG890/X890</f>
        <v>#REF!</v>
      </c>
      <c r="AJ890" t="str">
        <f>AH890/Y890</f>
        <v>#REF!</v>
      </c>
    </row>
    <row r="891">
      <c r="G891" t="str">
        <v>A</v>
      </c>
      <c r="K891" t="str">
        <f>IF(L891&gt;0,L891*0.0625,)</f>
        <v>#REF!</v>
      </c>
      <c r="L891" t="str">
        <f>IF(K891&gt;0,K891*16,)</f>
        <v>#REF!</v>
      </c>
      <c r="M891" t="str">
        <f>IF(K891&gt;0,K891*0.453592,IF(L891&gt;0,L891*0.02835,))</f>
        <v>#REF!</v>
      </c>
      <c r="P891">
        <f>J891+O891+N891</f>
        <v>0</v>
      </c>
      <c r="Q891">
        <f>P891*C$3</f>
        <v>0</v>
      </c>
      <c r="R891">
        <v>0</v>
      </c>
      <c r="S891">
        <f>ROUND(SUM(Q891:R891), -2)</f>
        <v>0</v>
      </c>
      <c r="T891" t="str">
        <f>ROUNDUP(HLOOKUP(ROUNDUP(K891,0),'배송비 조회'!A$10:AE$22,7,0)*C$3,-2)</f>
        <v>#REF!</v>
      </c>
      <c r="U891">
        <v>0</v>
      </c>
      <c r="V891" t="str">
        <f>ROUND(IF(R887&gt;0,0,(S891+T891)*0.3),-2)</f>
        <v>#REF!</v>
      </c>
      <c r="W891" t="str">
        <f>ROUND(IF(R887&gt;0,0,(S891+T891)*0.5),-2)</f>
        <v>#REF!</v>
      </c>
      <c r="X891" t="str">
        <f>SUM(S891:V891)</f>
        <v>#REF!</v>
      </c>
      <c r="Y891" t="str">
        <f>SUM(S891:U891)+W891</f>
        <v>#REF!</v>
      </c>
      <c r="Z891">
        <v>0</v>
      </c>
      <c r="AA891" t="str">
        <f>X891*0.038</f>
        <v>#REF!</v>
      </c>
      <c r="AB891" t="str">
        <f>X891*0.02</f>
        <v>#REF!</v>
      </c>
      <c r="AC891" t="str">
        <f>Y891*0.1</f>
        <v>#REF!</v>
      </c>
      <c r="AD891" t="str">
        <f>X891-AA891-AB891</f>
        <v>#REF!</v>
      </c>
      <c r="AE891" t="str">
        <f>Y891-AC891</f>
        <v>#REF!</v>
      </c>
      <c r="AF891" t="str">
        <f>AD891*0.01</f>
        <v>#REF!</v>
      </c>
      <c r="AG891" t="str">
        <f>AD891-Q891-AF891-T891</f>
        <v>#REF!</v>
      </c>
      <c r="AH891" t="str">
        <f>AE891-Q891-AF891-T891</f>
        <v>#REF!</v>
      </c>
      <c r="AI891" t="str">
        <f>AG891/X891</f>
        <v>#REF!</v>
      </c>
      <c r="AJ891" t="str">
        <f>AH891/Y891</f>
        <v>#REF!</v>
      </c>
    </row>
    <row r="892">
      <c r="G892" t="str">
        <v>A</v>
      </c>
      <c r="K892" t="str">
        <f>IF(L892&gt;0,L892*0.0625,)</f>
        <v>#REF!</v>
      </c>
      <c r="L892" t="str">
        <f>IF(K892&gt;0,K892*16,)</f>
        <v>#REF!</v>
      </c>
      <c r="M892" t="str">
        <f>IF(K892&gt;0,K892*0.453592,IF(L892&gt;0,L892*0.02835,))</f>
        <v>#REF!</v>
      </c>
      <c r="P892">
        <f>J892+O892+N892</f>
        <v>0</v>
      </c>
      <c r="Q892">
        <f>P892*C$3</f>
        <v>0</v>
      </c>
      <c r="R892">
        <v>0</v>
      </c>
      <c r="S892">
        <f>ROUND(SUM(Q892:R892), -2)</f>
        <v>0</v>
      </c>
      <c r="T892" t="str">
        <f>ROUNDUP(HLOOKUP(ROUNDUP(K892,0),'배송비 조회'!A$10:AE$22,7,0)*C$3,-2)</f>
        <v>#REF!</v>
      </c>
      <c r="U892">
        <v>0</v>
      </c>
      <c r="V892" t="str">
        <f>ROUND(IF(R888&gt;0,0,(S892+T892)*0.3),-2)</f>
        <v>#REF!</v>
      </c>
      <c r="W892" t="str">
        <f>ROUND(IF(R888&gt;0,0,(S892+T892)*0.5),-2)</f>
        <v>#REF!</v>
      </c>
      <c r="X892" t="str">
        <f>SUM(S892:V892)</f>
        <v>#REF!</v>
      </c>
      <c r="Y892" t="str">
        <f>SUM(S892:U892)+W892</f>
        <v>#REF!</v>
      </c>
      <c r="Z892">
        <v>0</v>
      </c>
      <c r="AA892" t="str">
        <f>X892*0.038</f>
        <v>#REF!</v>
      </c>
      <c r="AB892" t="str">
        <f>X892*0.02</f>
        <v>#REF!</v>
      </c>
      <c r="AC892" t="str">
        <f>Y892*0.1</f>
        <v>#REF!</v>
      </c>
      <c r="AD892" t="str">
        <f>X892-AA892-AB892</f>
        <v>#REF!</v>
      </c>
      <c r="AE892" t="str">
        <f>Y892-AC892</f>
        <v>#REF!</v>
      </c>
      <c r="AF892" t="str">
        <f>AD892*0.01</f>
        <v>#REF!</v>
      </c>
      <c r="AG892" t="str">
        <f>AD892-Q892-AF892-T892</f>
        <v>#REF!</v>
      </c>
      <c r="AH892" t="str">
        <f>AE892-Q892-AF892-T892</f>
        <v>#REF!</v>
      </c>
      <c r="AI892" t="str">
        <f>AG892/X892</f>
        <v>#REF!</v>
      </c>
      <c r="AJ892" t="str">
        <f>AH892/Y892</f>
        <v>#REF!</v>
      </c>
    </row>
    <row r="893">
      <c r="G893" t="str">
        <v>A</v>
      </c>
      <c r="K893" t="str">
        <f>IF(L893&gt;0,L893*0.0625,)</f>
        <v>#REF!</v>
      </c>
      <c r="L893" t="str">
        <f>IF(K893&gt;0,K893*16,)</f>
        <v>#REF!</v>
      </c>
      <c r="M893" t="str">
        <f>IF(K893&gt;0,K893*0.453592,IF(L893&gt;0,L893*0.02835,))</f>
        <v>#REF!</v>
      </c>
      <c r="P893">
        <f>J893+O893+N893</f>
        <v>0</v>
      </c>
      <c r="Q893">
        <f>P893*C$3</f>
        <v>0</v>
      </c>
      <c r="R893">
        <v>0</v>
      </c>
      <c r="S893">
        <f>ROUND(SUM(Q893:R893), -2)</f>
        <v>0</v>
      </c>
      <c r="T893" t="str">
        <f>ROUNDUP(HLOOKUP(ROUNDUP(K893,0),'배송비 조회'!A$10:AE$22,7,0)*C$3,-2)</f>
        <v>#REF!</v>
      </c>
      <c r="U893">
        <v>0</v>
      </c>
      <c r="V893" t="str">
        <f>ROUND(IF(R889&gt;0,0,(S893+T893)*0.3),-2)</f>
        <v>#REF!</v>
      </c>
      <c r="W893" t="str">
        <f>ROUND(IF(R889&gt;0,0,(S893+T893)*0.5),-2)</f>
        <v>#REF!</v>
      </c>
      <c r="X893" t="str">
        <f>SUM(S893:V893)</f>
        <v>#REF!</v>
      </c>
      <c r="Y893" t="str">
        <f>SUM(S893:U893)+W893</f>
        <v>#REF!</v>
      </c>
      <c r="Z893">
        <v>0</v>
      </c>
      <c r="AA893" t="str">
        <f>X893*0.038</f>
        <v>#REF!</v>
      </c>
      <c r="AB893" t="str">
        <f>X893*0.02</f>
        <v>#REF!</v>
      </c>
      <c r="AC893" t="str">
        <f>Y893*0.1</f>
        <v>#REF!</v>
      </c>
      <c r="AD893" t="str">
        <f>X893-AA893-AB893</f>
        <v>#REF!</v>
      </c>
      <c r="AE893" t="str">
        <f>Y893-AC893</f>
        <v>#REF!</v>
      </c>
      <c r="AF893" t="str">
        <f>AD893*0.01</f>
        <v>#REF!</v>
      </c>
      <c r="AG893" t="str">
        <f>AD893-Q893-AF893-T893</f>
        <v>#REF!</v>
      </c>
      <c r="AH893" t="str">
        <f>AE893-Q893-AF893-T893</f>
        <v>#REF!</v>
      </c>
      <c r="AI893" t="str">
        <f>AG893/X893</f>
        <v>#REF!</v>
      </c>
      <c r="AJ893" t="str">
        <f>AH893/Y893</f>
        <v>#REF!</v>
      </c>
    </row>
    <row r="894">
      <c r="G894" t="str">
        <v>A</v>
      </c>
      <c r="K894" t="str">
        <f>IF(L894&gt;0,L894*0.0625,)</f>
        <v>#REF!</v>
      </c>
      <c r="L894" t="str">
        <f>IF(K894&gt;0,K894*16,)</f>
        <v>#REF!</v>
      </c>
      <c r="M894" t="str">
        <f>IF(K894&gt;0,K894*0.453592,IF(L894&gt;0,L894*0.02835,))</f>
        <v>#REF!</v>
      </c>
      <c r="P894">
        <f>J894+O894+N894</f>
        <v>0</v>
      </c>
      <c r="Q894">
        <f>P894*C$3</f>
        <v>0</v>
      </c>
      <c r="R894">
        <v>0</v>
      </c>
      <c r="S894">
        <f>ROUND(SUM(Q894:R894), -2)</f>
        <v>0</v>
      </c>
      <c r="T894" t="str">
        <f>ROUNDUP(HLOOKUP(ROUNDUP(K894,0),'배송비 조회'!A$10:AE$22,7,0)*C$3,-2)</f>
        <v>#REF!</v>
      </c>
      <c r="U894">
        <v>0</v>
      </c>
      <c r="V894" t="str">
        <f>ROUND(IF(R890&gt;0,0,(S894+T894)*0.3),-2)</f>
        <v>#REF!</v>
      </c>
      <c r="W894" t="str">
        <f>ROUND(IF(R890&gt;0,0,(S894+T894)*0.5),-2)</f>
        <v>#REF!</v>
      </c>
      <c r="X894" t="str">
        <f>SUM(S894:V894)</f>
        <v>#REF!</v>
      </c>
      <c r="Y894" t="str">
        <f>SUM(S894:U894)+W894</f>
        <v>#REF!</v>
      </c>
      <c r="Z894">
        <v>0</v>
      </c>
      <c r="AA894" t="str">
        <f>X894*0.038</f>
        <v>#REF!</v>
      </c>
      <c r="AB894" t="str">
        <f>X894*0.02</f>
        <v>#REF!</v>
      </c>
      <c r="AC894" t="str">
        <f>Y894*0.1</f>
        <v>#REF!</v>
      </c>
      <c r="AD894" t="str">
        <f>X894-AA894-AB894</f>
        <v>#REF!</v>
      </c>
      <c r="AE894" t="str">
        <f>Y894-AC894</f>
        <v>#REF!</v>
      </c>
      <c r="AF894" t="str">
        <f>AD894*0.01</f>
        <v>#REF!</v>
      </c>
      <c r="AG894" t="str">
        <f>AD894-Q894-AF894-T894</f>
        <v>#REF!</v>
      </c>
      <c r="AH894" t="str">
        <f>AE894-Q894-AF894-T894</f>
        <v>#REF!</v>
      </c>
      <c r="AI894" t="str">
        <f>AG894/X894</f>
        <v>#REF!</v>
      </c>
      <c r="AJ894" t="str">
        <f>AH894/Y894</f>
        <v>#REF!</v>
      </c>
    </row>
    <row r="895">
      <c r="G895" t="str">
        <v>A</v>
      </c>
      <c r="K895" t="str">
        <f>IF(L895&gt;0,L895*0.0625,)</f>
        <v>#REF!</v>
      </c>
      <c r="L895" t="str">
        <f>IF(K895&gt;0,K895*16,)</f>
        <v>#REF!</v>
      </c>
      <c r="M895" t="str">
        <f>IF(K895&gt;0,K895*0.453592,IF(L895&gt;0,L895*0.02835,))</f>
        <v>#REF!</v>
      </c>
      <c r="P895">
        <f>J895+O895+N895</f>
        <v>0</v>
      </c>
      <c r="Q895">
        <f>P895*C$3</f>
        <v>0</v>
      </c>
      <c r="R895">
        <v>0</v>
      </c>
      <c r="S895">
        <f>ROUND(SUM(Q895:R895), -2)</f>
        <v>0</v>
      </c>
      <c r="T895" t="str">
        <f>ROUNDUP(HLOOKUP(ROUNDUP(K895,0),'배송비 조회'!A$10:AE$22,7,0)*C$3,-2)</f>
        <v>#REF!</v>
      </c>
      <c r="U895">
        <v>0</v>
      </c>
      <c r="V895" t="str">
        <f>ROUND(IF(R891&gt;0,0,(S895+T895)*0.3),-2)</f>
        <v>#REF!</v>
      </c>
      <c r="W895" t="str">
        <f>ROUND(IF(R891&gt;0,0,(S895+T895)*0.5),-2)</f>
        <v>#REF!</v>
      </c>
      <c r="X895" t="str">
        <f>SUM(S895:V895)</f>
        <v>#REF!</v>
      </c>
      <c r="Y895" t="str">
        <f>SUM(S895:U895)+W895</f>
        <v>#REF!</v>
      </c>
      <c r="Z895">
        <v>0</v>
      </c>
      <c r="AA895" t="str">
        <f>X895*0.038</f>
        <v>#REF!</v>
      </c>
      <c r="AB895" t="str">
        <f>X895*0.02</f>
        <v>#REF!</v>
      </c>
      <c r="AC895" t="str">
        <f>Y895*0.1</f>
        <v>#REF!</v>
      </c>
      <c r="AD895" t="str">
        <f>X895-AA895-AB895</f>
        <v>#REF!</v>
      </c>
      <c r="AE895" t="str">
        <f>Y895-AC895</f>
        <v>#REF!</v>
      </c>
      <c r="AF895" t="str">
        <f>AD895*0.01</f>
        <v>#REF!</v>
      </c>
      <c r="AG895" t="str">
        <f>AD895-Q895-AF895-T895</f>
        <v>#REF!</v>
      </c>
      <c r="AH895" t="str">
        <f>AE895-Q895-AF895-T895</f>
        <v>#REF!</v>
      </c>
      <c r="AI895" t="str">
        <f>AG895/X895</f>
        <v>#REF!</v>
      </c>
      <c r="AJ895" t="str">
        <f>AH895/Y895</f>
        <v>#REF!</v>
      </c>
    </row>
    <row r="896">
      <c r="G896" t="str">
        <v>A</v>
      </c>
      <c r="K896" t="str">
        <f>IF(L896&gt;0,L896*0.0625,)</f>
        <v>#REF!</v>
      </c>
      <c r="L896" t="str">
        <f>IF(K896&gt;0,K896*16,)</f>
        <v>#REF!</v>
      </c>
      <c r="M896" t="str">
        <f>IF(K896&gt;0,K896*0.453592,IF(L896&gt;0,L896*0.02835,))</f>
        <v>#REF!</v>
      </c>
      <c r="P896">
        <f>J896+O896+N896</f>
        <v>0</v>
      </c>
      <c r="Q896">
        <f>P896*C$3</f>
        <v>0</v>
      </c>
      <c r="R896">
        <v>0</v>
      </c>
      <c r="S896">
        <f>ROUND(SUM(Q896:R896), -2)</f>
        <v>0</v>
      </c>
      <c r="T896" t="str">
        <f>ROUNDUP(HLOOKUP(ROUNDUP(K896,0),'배송비 조회'!A$10:AE$22,7,0)*C$3,-2)</f>
        <v>#REF!</v>
      </c>
      <c r="U896">
        <v>0</v>
      </c>
      <c r="V896" t="str">
        <f>ROUND(IF(R892&gt;0,0,(S896+T896)*0.3),-2)</f>
        <v>#REF!</v>
      </c>
      <c r="W896" t="str">
        <f>ROUND(IF(R892&gt;0,0,(S896+T896)*0.5),-2)</f>
        <v>#REF!</v>
      </c>
      <c r="X896" t="str">
        <f>SUM(S896:V896)</f>
        <v>#REF!</v>
      </c>
      <c r="Y896" t="str">
        <f>SUM(S896:U896)+W896</f>
        <v>#REF!</v>
      </c>
      <c r="Z896">
        <v>0</v>
      </c>
      <c r="AA896" t="str">
        <f>X896*0.038</f>
        <v>#REF!</v>
      </c>
      <c r="AB896" t="str">
        <f>X896*0.02</f>
        <v>#REF!</v>
      </c>
      <c r="AC896" t="str">
        <f>Y896*0.1</f>
        <v>#REF!</v>
      </c>
      <c r="AD896" t="str">
        <f>X896-AA896-AB896</f>
        <v>#REF!</v>
      </c>
      <c r="AE896" t="str">
        <f>Y896-AC896</f>
        <v>#REF!</v>
      </c>
      <c r="AF896" t="str">
        <f>AD896*0.01</f>
        <v>#REF!</v>
      </c>
      <c r="AG896" t="str">
        <f>AD896-Q896-AF896-T896</f>
        <v>#REF!</v>
      </c>
      <c r="AH896" t="str">
        <f>AE896-Q896-AF896-T896</f>
        <v>#REF!</v>
      </c>
      <c r="AI896" t="str">
        <f>AG896/X896</f>
        <v>#REF!</v>
      </c>
      <c r="AJ896" t="str">
        <f>AH896/Y896</f>
        <v>#REF!</v>
      </c>
    </row>
    <row r="897">
      <c r="G897" t="str">
        <v>A</v>
      </c>
      <c r="K897" t="str">
        <f>IF(L897&gt;0,L897*0.0625,)</f>
        <v>#REF!</v>
      </c>
      <c r="L897" t="str">
        <f>IF(K897&gt;0,K897*16,)</f>
        <v>#REF!</v>
      </c>
      <c r="M897" t="str">
        <f>IF(K897&gt;0,K897*0.453592,IF(L897&gt;0,L897*0.02835,))</f>
        <v>#REF!</v>
      </c>
      <c r="P897">
        <f>J897+O897+N897</f>
        <v>0</v>
      </c>
      <c r="Q897">
        <f>P897*C$3</f>
        <v>0</v>
      </c>
      <c r="R897">
        <v>0</v>
      </c>
      <c r="S897">
        <f>ROUND(SUM(Q897:R897), -2)</f>
        <v>0</v>
      </c>
      <c r="T897" t="str">
        <f>ROUNDUP(HLOOKUP(ROUNDUP(K897,0),'배송비 조회'!A$10:AE$22,7,0)*C$3,-2)</f>
        <v>#REF!</v>
      </c>
      <c r="U897">
        <v>0</v>
      </c>
      <c r="V897" t="str">
        <f>ROUND(IF(R893&gt;0,0,(S897+T897)*0.3),-2)</f>
        <v>#REF!</v>
      </c>
      <c r="W897" t="str">
        <f>ROUND(IF(R893&gt;0,0,(S897+T897)*0.5),-2)</f>
        <v>#REF!</v>
      </c>
      <c r="X897" t="str">
        <f>SUM(S897:V897)</f>
        <v>#REF!</v>
      </c>
      <c r="Y897" t="str">
        <f>SUM(S897:U897)+W897</f>
        <v>#REF!</v>
      </c>
      <c r="Z897">
        <v>0</v>
      </c>
      <c r="AA897" t="str">
        <f>X897*0.038</f>
        <v>#REF!</v>
      </c>
      <c r="AB897" t="str">
        <f>X897*0.02</f>
        <v>#REF!</v>
      </c>
      <c r="AC897" t="str">
        <f>Y897*0.1</f>
        <v>#REF!</v>
      </c>
      <c r="AD897" t="str">
        <f>X897-AA897-AB897</f>
        <v>#REF!</v>
      </c>
      <c r="AE897" t="str">
        <f>Y897-AC897</f>
        <v>#REF!</v>
      </c>
      <c r="AF897" t="str">
        <f>AD897*0.01</f>
        <v>#REF!</v>
      </c>
      <c r="AG897" t="str">
        <f>AD897-Q897-AF897-T897</f>
        <v>#REF!</v>
      </c>
      <c r="AH897" t="str">
        <f>AE897-Q897-AF897-T897</f>
        <v>#REF!</v>
      </c>
      <c r="AI897" t="str">
        <f>AG897/X897</f>
        <v>#REF!</v>
      </c>
      <c r="AJ897" t="str">
        <f>AH897/Y897</f>
        <v>#REF!</v>
      </c>
    </row>
    <row r="898">
      <c r="G898" t="str">
        <v>A</v>
      </c>
      <c r="K898" t="str">
        <f>IF(L898&gt;0,L898*0.0625,)</f>
        <v>#REF!</v>
      </c>
      <c r="L898" t="str">
        <f>IF(K898&gt;0,K898*16,)</f>
        <v>#REF!</v>
      </c>
      <c r="M898" t="str">
        <f>IF(K898&gt;0,K898*0.453592,IF(L898&gt;0,L898*0.02835,))</f>
        <v>#REF!</v>
      </c>
      <c r="P898">
        <f>J898+O898+N898</f>
        <v>0</v>
      </c>
      <c r="Q898">
        <f>P898*C$3</f>
        <v>0</v>
      </c>
      <c r="R898">
        <v>0</v>
      </c>
      <c r="S898">
        <f>ROUND(SUM(Q898:R898), -2)</f>
        <v>0</v>
      </c>
      <c r="T898" t="str">
        <f>ROUNDUP(HLOOKUP(ROUNDUP(K898,0),'배송비 조회'!A$10:AE$22,7,0)*C$3,-2)</f>
        <v>#REF!</v>
      </c>
      <c r="U898">
        <v>0</v>
      </c>
      <c r="V898" t="str">
        <f>ROUND(IF(R894&gt;0,0,(S898+T898)*0.3),-2)</f>
        <v>#REF!</v>
      </c>
      <c r="W898" t="str">
        <f>ROUND(IF(R894&gt;0,0,(S898+T898)*0.5),-2)</f>
        <v>#REF!</v>
      </c>
      <c r="X898" t="str">
        <f>SUM(S898:V898)</f>
        <v>#REF!</v>
      </c>
      <c r="Y898" t="str">
        <f>SUM(S898:U898)+W898</f>
        <v>#REF!</v>
      </c>
      <c r="Z898">
        <v>0</v>
      </c>
      <c r="AA898" t="str">
        <f>X898*0.038</f>
        <v>#REF!</v>
      </c>
      <c r="AB898" t="str">
        <f>X898*0.02</f>
        <v>#REF!</v>
      </c>
      <c r="AC898" t="str">
        <f>Y898*0.1</f>
        <v>#REF!</v>
      </c>
      <c r="AD898" t="str">
        <f>X898-AA898-AB898</f>
        <v>#REF!</v>
      </c>
      <c r="AE898" t="str">
        <f>Y898-AC898</f>
        <v>#REF!</v>
      </c>
      <c r="AF898" t="str">
        <f>AD898*0.01</f>
        <v>#REF!</v>
      </c>
      <c r="AG898" t="str">
        <f>AD898-Q898-AF898-T898</f>
        <v>#REF!</v>
      </c>
      <c r="AH898" t="str">
        <f>AE898-Q898-AF898-T898</f>
        <v>#REF!</v>
      </c>
      <c r="AI898" t="str">
        <f>AG898/X898</f>
        <v>#REF!</v>
      </c>
      <c r="AJ898" t="str">
        <f>AH898/Y898</f>
        <v>#REF!</v>
      </c>
    </row>
    <row r="899">
      <c r="G899" t="str">
        <v>A</v>
      </c>
      <c r="K899" t="str">
        <f>IF(L899&gt;0,L899*0.0625,)</f>
        <v>#REF!</v>
      </c>
      <c r="L899" t="str">
        <f>IF(K899&gt;0,K899*16,)</f>
        <v>#REF!</v>
      </c>
      <c r="M899" t="str">
        <f>IF(K899&gt;0,K899*0.453592,IF(L899&gt;0,L899*0.02835,))</f>
        <v>#REF!</v>
      </c>
      <c r="P899">
        <f>J899+O899+N899</f>
        <v>0</v>
      </c>
      <c r="Q899">
        <f>P899*C$3</f>
        <v>0</v>
      </c>
      <c r="R899">
        <v>0</v>
      </c>
      <c r="S899">
        <f>ROUND(SUM(Q899:R899), -2)</f>
        <v>0</v>
      </c>
      <c r="T899" t="str">
        <f>ROUNDUP(HLOOKUP(ROUNDUP(K899,0),'배송비 조회'!A$10:AE$22,7,0)*C$3,-2)</f>
        <v>#REF!</v>
      </c>
      <c r="U899">
        <v>0</v>
      </c>
      <c r="V899" t="str">
        <f>ROUND(IF(R895&gt;0,0,(S899+T899)*0.3),-2)</f>
        <v>#REF!</v>
      </c>
      <c r="W899" t="str">
        <f>ROUND(IF(R895&gt;0,0,(S899+T899)*0.5),-2)</f>
        <v>#REF!</v>
      </c>
      <c r="X899" t="str">
        <f>SUM(S899:V899)</f>
        <v>#REF!</v>
      </c>
      <c r="Y899" t="str">
        <f>SUM(S899:U899)+W899</f>
        <v>#REF!</v>
      </c>
      <c r="Z899">
        <v>0</v>
      </c>
      <c r="AA899" t="str">
        <f>X899*0.038</f>
        <v>#REF!</v>
      </c>
      <c r="AB899" t="str">
        <f>X899*0.02</f>
        <v>#REF!</v>
      </c>
      <c r="AC899" t="str">
        <f>Y899*0.1</f>
        <v>#REF!</v>
      </c>
      <c r="AD899" t="str">
        <f>X899-AA899-AB899</f>
        <v>#REF!</v>
      </c>
      <c r="AE899" t="str">
        <f>Y899-AC899</f>
        <v>#REF!</v>
      </c>
      <c r="AF899" t="str">
        <f>AD899*0.01</f>
        <v>#REF!</v>
      </c>
      <c r="AG899" t="str">
        <f>AD899-Q899-AF899-T899</f>
        <v>#REF!</v>
      </c>
      <c r="AH899" t="str">
        <f>AE899-Q899-AF899-T899</f>
        <v>#REF!</v>
      </c>
      <c r="AI899" t="str">
        <f>AG899/X899</f>
        <v>#REF!</v>
      </c>
      <c r="AJ899" t="str">
        <f>AH899/Y899</f>
        <v>#REF!</v>
      </c>
    </row>
    <row r="900">
      <c r="G900" t="str">
        <v>A</v>
      </c>
      <c r="K900" t="str">
        <f>IF(L900&gt;0,L900*0.0625,)</f>
        <v>#REF!</v>
      </c>
      <c r="L900" t="str">
        <f>IF(K900&gt;0,K900*16,)</f>
        <v>#REF!</v>
      </c>
      <c r="M900" t="str">
        <f>IF(K900&gt;0,K900*0.453592,IF(L900&gt;0,L900*0.02835,))</f>
        <v>#REF!</v>
      </c>
      <c r="P900">
        <f>J900+O900+N900</f>
        <v>0</v>
      </c>
      <c r="Q900">
        <f>P900*C$3</f>
        <v>0</v>
      </c>
      <c r="R900">
        <v>0</v>
      </c>
      <c r="S900">
        <f>ROUND(SUM(Q900:R900), -2)</f>
        <v>0</v>
      </c>
      <c r="T900" t="str">
        <f>ROUNDUP(HLOOKUP(ROUNDUP(K900,0),'배송비 조회'!A$10:AE$22,7,0)*C$3,-2)</f>
        <v>#REF!</v>
      </c>
      <c r="U900">
        <v>0</v>
      </c>
      <c r="V900" t="str">
        <f>ROUND(IF(R896&gt;0,0,(S900+T900)*0.3),-2)</f>
        <v>#REF!</v>
      </c>
      <c r="W900" t="str">
        <f>ROUND(IF(R896&gt;0,0,(S900+T900)*0.5),-2)</f>
        <v>#REF!</v>
      </c>
      <c r="X900" t="str">
        <f>SUM(S900:V900)</f>
        <v>#REF!</v>
      </c>
      <c r="Y900" t="str">
        <f>SUM(S900:U900)+W900</f>
        <v>#REF!</v>
      </c>
      <c r="Z900">
        <v>0</v>
      </c>
      <c r="AA900" t="str">
        <f>X900*0.038</f>
        <v>#REF!</v>
      </c>
      <c r="AB900" t="str">
        <f>X900*0.02</f>
        <v>#REF!</v>
      </c>
      <c r="AC900" t="str">
        <f>Y900*0.1</f>
        <v>#REF!</v>
      </c>
      <c r="AD900" t="str">
        <f>X900-AA900-AB900</f>
        <v>#REF!</v>
      </c>
      <c r="AE900" t="str">
        <f>Y900-AC900</f>
        <v>#REF!</v>
      </c>
      <c r="AF900" t="str">
        <f>AD900*0.01</f>
        <v>#REF!</v>
      </c>
      <c r="AG900" t="str">
        <f>AD900-Q900-AF900-T900</f>
        <v>#REF!</v>
      </c>
      <c r="AH900" t="str">
        <f>AE900-Q900-AF900-T900</f>
        <v>#REF!</v>
      </c>
      <c r="AI900" t="str">
        <f>AG900/X900</f>
        <v>#REF!</v>
      </c>
      <c r="AJ900" t="str">
        <f>AH900/Y900</f>
        <v>#REF!</v>
      </c>
    </row>
    <row r="901">
      <c r="G901" t="str">
        <v>A</v>
      </c>
      <c r="K901" t="str">
        <f>IF(L901&gt;0,L901*0.0625,)</f>
        <v>#REF!</v>
      </c>
      <c r="L901" t="str">
        <f>IF(K901&gt;0,K901*16,)</f>
        <v>#REF!</v>
      </c>
      <c r="M901" t="str">
        <f>IF(K901&gt;0,K901*0.453592,IF(L901&gt;0,L901*0.02835,))</f>
        <v>#REF!</v>
      </c>
      <c r="P901">
        <f>J901+O901+N901</f>
        <v>0</v>
      </c>
      <c r="Q901">
        <f>P901*C$3</f>
        <v>0</v>
      </c>
      <c r="R901">
        <v>0</v>
      </c>
      <c r="S901">
        <f>ROUND(SUM(Q901:R901), -2)</f>
        <v>0</v>
      </c>
      <c r="T901" t="str">
        <f>ROUNDUP(HLOOKUP(ROUNDUP(K901,0),'배송비 조회'!A$10:AE$22,7,0)*C$3,-2)</f>
        <v>#REF!</v>
      </c>
      <c r="U901">
        <v>0</v>
      </c>
      <c r="V901" t="str">
        <f>ROUND(IF(R897&gt;0,0,(S901+T901)*0.3),-2)</f>
        <v>#REF!</v>
      </c>
      <c r="W901" t="str">
        <f>ROUND(IF(R897&gt;0,0,(S901+T901)*0.5),-2)</f>
        <v>#REF!</v>
      </c>
      <c r="X901" t="str">
        <f>SUM(S901:V901)</f>
        <v>#REF!</v>
      </c>
      <c r="Y901" t="str">
        <f>SUM(S901:U901)+W901</f>
        <v>#REF!</v>
      </c>
      <c r="Z901">
        <v>0</v>
      </c>
      <c r="AA901" t="str">
        <f>X901*0.038</f>
        <v>#REF!</v>
      </c>
      <c r="AB901" t="str">
        <f>X901*0.02</f>
        <v>#REF!</v>
      </c>
      <c r="AC901" t="str">
        <f>Y901*0.1</f>
        <v>#REF!</v>
      </c>
      <c r="AD901" t="str">
        <f>X901-AA901-AB901</f>
        <v>#REF!</v>
      </c>
      <c r="AE901" t="str">
        <f>Y901-AC901</f>
        <v>#REF!</v>
      </c>
      <c r="AF901" t="str">
        <f>AD901*0.01</f>
        <v>#REF!</v>
      </c>
      <c r="AG901" t="str">
        <f>AD901-Q901-AF901-T901</f>
        <v>#REF!</v>
      </c>
      <c r="AH901" t="str">
        <f>AE901-Q901-AF901-T901</f>
        <v>#REF!</v>
      </c>
      <c r="AI901" t="str">
        <f>AG901/X901</f>
        <v>#REF!</v>
      </c>
      <c r="AJ901" t="str">
        <f>AH901/Y901</f>
        <v>#REF!</v>
      </c>
    </row>
    <row r="902">
      <c r="G902" t="str">
        <v>A</v>
      </c>
      <c r="K902" t="str">
        <f>IF(L902&gt;0,L902*0.0625,)</f>
        <v>#REF!</v>
      </c>
      <c r="L902" t="str">
        <f>IF(K902&gt;0,K902*16,)</f>
        <v>#REF!</v>
      </c>
      <c r="M902" t="str">
        <f>IF(K902&gt;0,K902*0.453592,IF(L902&gt;0,L902*0.02835,))</f>
        <v>#REF!</v>
      </c>
      <c r="P902">
        <f>J902+O902+N902</f>
        <v>0</v>
      </c>
      <c r="Q902">
        <f>P902*C$3</f>
        <v>0</v>
      </c>
      <c r="R902">
        <v>0</v>
      </c>
      <c r="S902">
        <f>ROUND(SUM(Q902:R902), -2)</f>
        <v>0</v>
      </c>
      <c r="T902" t="str">
        <f>ROUNDUP(HLOOKUP(ROUNDUP(K902,0),'배송비 조회'!A$10:AE$22,7,0)*C$3,-2)</f>
        <v>#REF!</v>
      </c>
      <c r="U902">
        <v>0</v>
      </c>
      <c r="V902" t="str">
        <f>ROUND(IF(R898&gt;0,0,(S902+T902)*0.3),-2)</f>
        <v>#REF!</v>
      </c>
      <c r="W902" t="str">
        <f>ROUND(IF(R898&gt;0,0,(S902+T902)*0.5),-2)</f>
        <v>#REF!</v>
      </c>
      <c r="X902" t="str">
        <f>SUM(S902:V902)</f>
        <v>#REF!</v>
      </c>
      <c r="Y902" t="str">
        <f>SUM(S902:U902)+W902</f>
        <v>#REF!</v>
      </c>
      <c r="Z902">
        <v>0</v>
      </c>
      <c r="AA902" t="str">
        <f>X902*0.038</f>
        <v>#REF!</v>
      </c>
      <c r="AB902" t="str">
        <f>X902*0.02</f>
        <v>#REF!</v>
      </c>
      <c r="AC902" t="str">
        <f>Y902*0.1</f>
        <v>#REF!</v>
      </c>
      <c r="AD902" t="str">
        <f>X902-AA902-AB902</f>
        <v>#REF!</v>
      </c>
      <c r="AE902" t="str">
        <f>Y902-AC902</f>
        <v>#REF!</v>
      </c>
      <c r="AF902" t="str">
        <f>AD902*0.01</f>
        <v>#REF!</v>
      </c>
      <c r="AG902" t="str">
        <f>AD902-Q902-AF902-T902</f>
        <v>#REF!</v>
      </c>
      <c r="AH902" t="str">
        <f>AE902-Q902-AF902-T902</f>
        <v>#REF!</v>
      </c>
      <c r="AI902" t="str">
        <f>AG902/X902</f>
        <v>#REF!</v>
      </c>
      <c r="AJ902" t="str">
        <f>AH902/Y902</f>
        <v>#REF!</v>
      </c>
    </row>
    <row r="903">
      <c r="G903" t="str">
        <v>A</v>
      </c>
      <c r="K903" t="str">
        <f>IF(L903&gt;0,L903*0.0625,)</f>
        <v>#REF!</v>
      </c>
      <c r="L903" t="str">
        <f>IF(K903&gt;0,K903*16,)</f>
        <v>#REF!</v>
      </c>
      <c r="M903" t="str">
        <f>IF(K903&gt;0,K903*0.453592,IF(L903&gt;0,L903*0.02835,))</f>
        <v>#REF!</v>
      </c>
      <c r="P903">
        <f>J903+O903+N903</f>
        <v>0</v>
      </c>
      <c r="Q903">
        <f>P903*C$3</f>
        <v>0</v>
      </c>
      <c r="R903">
        <v>0</v>
      </c>
      <c r="S903">
        <f>ROUND(SUM(Q903:R903), -2)</f>
        <v>0</v>
      </c>
      <c r="T903" t="str">
        <f>ROUNDUP(HLOOKUP(ROUNDUP(K903,0),'배송비 조회'!A$10:AE$22,7,0)*C$3,-2)</f>
        <v>#REF!</v>
      </c>
      <c r="U903">
        <v>0</v>
      </c>
      <c r="V903" t="str">
        <f>ROUND(IF(R899&gt;0,0,(S903+T903)*0.3),-2)</f>
        <v>#REF!</v>
      </c>
      <c r="W903" t="str">
        <f>ROUND(IF(R899&gt;0,0,(S903+T903)*0.5),-2)</f>
        <v>#REF!</v>
      </c>
      <c r="X903" t="str">
        <f>SUM(S903:V903)</f>
        <v>#REF!</v>
      </c>
      <c r="Y903" t="str">
        <f>SUM(S903:U903)+W903</f>
        <v>#REF!</v>
      </c>
      <c r="Z903">
        <v>0</v>
      </c>
      <c r="AA903" t="str">
        <f>X903*0.038</f>
        <v>#REF!</v>
      </c>
      <c r="AB903" t="str">
        <f>X903*0.02</f>
        <v>#REF!</v>
      </c>
      <c r="AC903" t="str">
        <f>Y903*0.1</f>
        <v>#REF!</v>
      </c>
      <c r="AD903" t="str">
        <f>X903-AA903-AB903</f>
        <v>#REF!</v>
      </c>
      <c r="AE903" t="str">
        <f>Y903-AC903</f>
        <v>#REF!</v>
      </c>
      <c r="AF903" t="str">
        <f>AD903*0.01</f>
        <v>#REF!</v>
      </c>
      <c r="AG903" t="str">
        <f>AD903-Q903-AF903-T903</f>
        <v>#REF!</v>
      </c>
      <c r="AH903" t="str">
        <f>AE903-Q903-AF903-T903</f>
        <v>#REF!</v>
      </c>
      <c r="AI903" t="str">
        <f>AG903/X903</f>
        <v>#REF!</v>
      </c>
      <c r="AJ903" t="str">
        <f>AH903/Y903</f>
        <v>#REF!</v>
      </c>
    </row>
    <row r="904">
      <c r="G904" t="str">
        <v>A</v>
      </c>
      <c r="K904" t="str">
        <f>IF(L904&gt;0,L904*0.0625,)</f>
        <v>#REF!</v>
      </c>
      <c r="L904" t="str">
        <f>IF(K904&gt;0,K904*16,)</f>
        <v>#REF!</v>
      </c>
      <c r="M904" t="str">
        <f>IF(K904&gt;0,K904*0.453592,IF(L904&gt;0,L904*0.02835,))</f>
        <v>#REF!</v>
      </c>
      <c r="P904">
        <f>J904+O904+N904</f>
        <v>0</v>
      </c>
      <c r="Q904">
        <f>P904*C$3</f>
        <v>0</v>
      </c>
      <c r="R904">
        <v>0</v>
      </c>
      <c r="S904">
        <f>ROUND(SUM(Q904:R904), -2)</f>
        <v>0</v>
      </c>
      <c r="T904" t="str">
        <f>ROUNDUP(HLOOKUP(ROUNDUP(K904,0),'배송비 조회'!A$10:AE$22,7,0)*C$3,-2)</f>
        <v>#REF!</v>
      </c>
      <c r="U904">
        <v>0</v>
      </c>
      <c r="V904" t="str">
        <f>ROUND(IF(R900&gt;0,0,(S904+T904)*0.3),-2)</f>
        <v>#REF!</v>
      </c>
      <c r="W904" t="str">
        <f>ROUND(IF(R900&gt;0,0,(S904+T904)*0.5),-2)</f>
        <v>#REF!</v>
      </c>
      <c r="X904" t="str">
        <f>SUM(S904:V904)</f>
        <v>#REF!</v>
      </c>
      <c r="Y904" t="str">
        <f>SUM(S904:U904)+W904</f>
        <v>#REF!</v>
      </c>
      <c r="Z904">
        <v>0</v>
      </c>
      <c r="AA904" t="str">
        <f>X904*0.038</f>
        <v>#REF!</v>
      </c>
      <c r="AB904" t="str">
        <f>X904*0.02</f>
        <v>#REF!</v>
      </c>
      <c r="AC904" t="str">
        <f>Y904*0.1</f>
        <v>#REF!</v>
      </c>
      <c r="AD904" t="str">
        <f>X904-AA904-AB904</f>
        <v>#REF!</v>
      </c>
      <c r="AE904" t="str">
        <f>Y904-AC904</f>
        <v>#REF!</v>
      </c>
      <c r="AF904" t="str">
        <f>AD904*0.01</f>
        <v>#REF!</v>
      </c>
      <c r="AG904" t="str">
        <f>AD904-Q904-AF904-T904</f>
        <v>#REF!</v>
      </c>
      <c r="AH904" t="str">
        <f>AE904-Q904-AF904-T904</f>
        <v>#REF!</v>
      </c>
      <c r="AI904" t="str">
        <f>AG904/X904</f>
        <v>#REF!</v>
      </c>
      <c r="AJ904" t="str">
        <f>AH904/Y904</f>
        <v>#REF!</v>
      </c>
    </row>
    <row r="905">
      <c r="G905" t="str">
        <v>A</v>
      </c>
      <c r="K905" t="str">
        <f>IF(L905&gt;0,L905*0.0625,)</f>
        <v>#REF!</v>
      </c>
      <c r="L905" t="str">
        <f>IF(K905&gt;0,K905*16,)</f>
        <v>#REF!</v>
      </c>
      <c r="M905" t="str">
        <f>IF(K905&gt;0,K905*0.453592,IF(L905&gt;0,L905*0.02835,))</f>
        <v>#REF!</v>
      </c>
      <c r="P905">
        <f>J905+O905+N905</f>
        <v>0</v>
      </c>
      <c r="Q905">
        <f>P905*C$3</f>
        <v>0</v>
      </c>
      <c r="R905">
        <v>0</v>
      </c>
      <c r="S905">
        <f>ROUND(SUM(Q905:R905), -2)</f>
        <v>0</v>
      </c>
      <c r="T905" t="str">
        <f>ROUNDUP(HLOOKUP(ROUNDUP(K905,0),'배송비 조회'!A$10:AE$22,7,0)*C$3,-2)</f>
        <v>#REF!</v>
      </c>
      <c r="U905">
        <v>0</v>
      </c>
      <c r="V905" t="str">
        <f>ROUND(IF(R901&gt;0,0,(S905+T905)*0.3),-2)</f>
        <v>#REF!</v>
      </c>
      <c r="W905" t="str">
        <f>ROUND(IF(R901&gt;0,0,(S905+T905)*0.5),-2)</f>
        <v>#REF!</v>
      </c>
      <c r="X905" t="str">
        <f>SUM(S905:V905)</f>
        <v>#REF!</v>
      </c>
      <c r="Y905" t="str">
        <f>SUM(S905:U905)+W905</f>
        <v>#REF!</v>
      </c>
      <c r="Z905">
        <v>0</v>
      </c>
      <c r="AA905" t="str">
        <f>X905*0.038</f>
        <v>#REF!</v>
      </c>
      <c r="AB905" t="str">
        <f>X905*0.02</f>
        <v>#REF!</v>
      </c>
      <c r="AC905" t="str">
        <f>Y905*0.1</f>
        <v>#REF!</v>
      </c>
      <c r="AD905" t="str">
        <f>X905-AA905-AB905</f>
        <v>#REF!</v>
      </c>
      <c r="AE905" t="str">
        <f>Y905-AC905</f>
        <v>#REF!</v>
      </c>
      <c r="AF905" t="str">
        <f>AD905*0.01</f>
        <v>#REF!</v>
      </c>
      <c r="AG905" t="str">
        <f>AD905-Q905-AF905-T905</f>
        <v>#REF!</v>
      </c>
      <c r="AH905" t="str">
        <f>AE905-Q905-AF905-T905</f>
        <v>#REF!</v>
      </c>
      <c r="AI905" t="str">
        <f>AG905/X905</f>
        <v>#REF!</v>
      </c>
      <c r="AJ905" t="str">
        <f>AH905/Y905</f>
        <v>#REF!</v>
      </c>
    </row>
    <row r="906">
      <c r="G906" t="str">
        <v>A</v>
      </c>
      <c r="K906" t="str">
        <f>IF(L906&gt;0,L906*0.0625,)</f>
        <v>#REF!</v>
      </c>
      <c r="L906" t="str">
        <f>IF(K906&gt;0,K906*16,)</f>
        <v>#REF!</v>
      </c>
      <c r="M906" t="str">
        <f>IF(K906&gt;0,K906*0.453592,IF(L906&gt;0,L906*0.02835,))</f>
        <v>#REF!</v>
      </c>
      <c r="P906">
        <f>J906+O906+N906</f>
        <v>0</v>
      </c>
      <c r="Q906">
        <f>P906*C$3</f>
        <v>0</v>
      </c>
      <c r="R906">
        <v>0</v>
      </c>
      <c r="S906">
        <f>ROUND(SUM(Q906:R906), -2)</f>
        <v>0</v>
      </c>
      <c r="T906" t="str">
        <f>ROUNDUP(HLOOKUP(ROUNDUP(K906,0),'배송비 조회'!A$10:AE$22,7,0)*C$3,-2)</f>
        <v>#REF!</v>
      </c>
      <c r="U906">
        <v>0</v>
      </c>
      <c r="V906" t="str">
        <f>ROUND(IF(R902&gt;0,0,(S906+T906)*0.3),-2)</f>
        <v>#REF!</v>
      </c>
      <c r="W906" t="str">
        <f>ROUND(IF(R902&gt;0,0,(S906+T906)*0.5),-2)</f>
        <v>#REF!</v>
      </c>
      <c r="X906" t="str">
        <f>SUM(S906:V906)</f>
        <v>#REF!</v>
      </c>
      <c r="Y906" t="str">
        <f>SUM(S906:U906)+W906</f>
        <v>#REF!</v>
      </c>
      <c r="Z906">
        <v>0</v>
      </c>
      <c r="AA906" t="str">
        <f>X906*0.038</f>
        <v>#REF!</v>
      </c>
      <c r="AB906" t="str">
        <f>X906*0.02</f>
        <v>#REF!</v>
      </c>
      <c r="AC906" t="str">
        <f>Y906*0.1</f>
        <v>#REF!</v>
      </c>
      <c r="AD906" t="str">
        <f>X906-AA906-AB906</f>
        <v>#REF!</v>
      </c>
      <c r="AE906" t="str">
        <f>Y906-AC906</f>
        <v>#REF!</v>
      </c>
      <c r="AF906" t="str">
        <f>AD906*0.01</f>
        <v>#REF!</v>
      </c>
      <c r="AG906" t="str">
        <f>AD906-Q906-AF906-T906</f>
        <v>#REF!</v>
      </c>
      <c r="AH906" t="str">
        <f>AE906-Q906-AF906-T906</f>
        <v>#REF!</v>
      </c>
      <c r="AI906" t="str">
        <f>AG906/X906</f>
        <v>#REF!</v>
      </c>
      <c r="AJ906" t="str">
        <f>AH906/Y906</f>
        <v>#REF!</v>
      </c>
    </row>
    <row r="907">
      <c r="G907" t="str">
        <v>A</v>
      </c>
      <c r="K907" t="str">
        <f>IF(L907&gt;0,L907*0.0625,)</f>
        <v>#REF!</v>
      </c>
      <c r="L907" t="str">
        <f>IF(K907&gt;0,K907*16,)</f>
        <v>#REF!</v>
      </c>
      <c r="M907" t="str">
        <f>IF(K907&gt;0,K907*0.453592,IF(L907&gt;0,L907*0.02835,))</f>
        <v>#REF!</v>
      </c>
      <c r="P907">
        <f>J907+O907+N907</f>
        <v>0</v>
      </c>
      <c r="Q907">
        <f>P907*C$3</f>
        <v>0</v>
      </c>
      <c r="R907">
        <v>0</v>
      </c>
      <c r="S907">
        <f>ROUND(SUM(Q907:R907), -2)</f>
        <v>0</v>
      </c>
      <c r="T907" t="str">
        <f>ROUNDUP(HLOOKUP(ROUNDUP(K907,0),'배송비 조회'!A$10:AE$22,7,0)*C$3,-2)</f>
        <v>#REF!</v>
      </c>
      <c r="U907">
        <v>0</v>
      </c>
      <c r="V907" t="str">
        <f>ROUND(IF(R903&gt;0,0,(S907+T907)*0.3),-2)</f>
        <v>#REF!</v>
      </c>
      <c r="W907" t="str">
        <f>ROUND(IF(R903&gt;0,0,(S907+T907)*0.5),-2)</f>
        <v>#REF!</v>
      </c>
      <c r="X907" t="str">
        <f>SUM(S907:V907)</f>
        <v>#REF!</v>
      </c>
      <c r="Y907" t="str">
        <f>SUM(S907:U907)+W907</f>
        <v>#REF!</v>
      </c>
      <c r="Z907">
        <v>0</v>
      </c>
      <c r="AA907" t="str">
        <f>X907*0.038</f>
        <v>#REF!</v>
      </c>
      <c r="AB907" t="str">
        <f>X907*0.02</f>
        <v>#REF!</v>
      </c>
      <c r="AC907" t="str">
        <f>Y907*0.1</f>
        <v>#REF!</v>
      </c>
      <c r="AD907" t="str">
        <f>X907-AA907-AB907</f>
        <v>#REF!</v>
      </c>
      <c r="AE907" t="str">
        <f>Y907-AC907</f>
        <v>#REF!</v>
      </c>
      <c r="AF907" t="str">
        <f>AD907*0.01</f>
        <v>#REF!</v>
      </c>
      <c r="AG907" t="str">
        <f>AD907-Q907-AF907-T907</f>
        <v>#REF!</v>
      </c>
      <c r="AH907" t="str">
        <f>AE907-Q907-AF907-T907</f>
        <v>#REF!</v>
      </c>
      <c r="AI907" t="str">
        <f>AG907/X907</f>
        <v>#REF!</v>
      </c>
      <c r="AJ907" t="str">
        <f>AH907/Y907</f>
        <v>#REF!</v>
      </c>
    </row>
    <row r="908">
      <c r="G908" t="str">
        <v>A</v>
      </c>
      <c r="K908" t="str">
        <f>IF(L908&gt;0,L908*0.0625,)</f>
        <v>#REF!</v>
      </c>
      <c r="L908" t="str">
        <f>IF(K908&gt;0,K908*16,)</f>
        <v>#REF!</v>
      </c>
      <c r="M908" t="str">
        <f>IF(K908&gt;0,K908*0.453592,IF(L908&gt;0,L908*0.02835,))</f>
        <v>#REF!</v>
      </c>
      <c r="P908">
        <f>J908+O908+N908</f>
        <v>0</v>
      </c>
      <c r="Q908">
        <f>P908*C$3</f>
        <v>0</v>
      </c>
      <c r="R908">
        <v>0</v>
      </c>
      <c r="S908">
        <f>ROUND(SUM(Q908:R908), -2)</f>
        <v>0</v>
      </c>
      <c r="T908" t="str">
        <f>ROUNDUP(HLOOKUP(ROUNDUP(K908,0),'배송비 조회'!A$10:AE$22,7,0)*C$3,-2)</f>
        <v>#REF!</v>
      </c>
      <c r="U908">
        <v>0</v>
      </c>
      <c r="V908" t="str">
        <f>ROUND(IF(R904&gt;0,0,(S908+T908)*0.3),-2)</f>
        <v>#REF!</v>
      </c>
      <c r="W908" t="str">
        <f>ROUND(IF(R904&gt;0,0,(S908+T908)*0.5),-2)</f>
        <v>#REF!</v>
      </c>
      <c r="X908" t="str">
        <f>SUM(S908:V908)</f>
        <v>#REF!</v>
      </c>
      <c r="Y908" t="str">
        <f>SUM(S908:U908)+W908</f>
        <v>#REF!</v>
      </c>
      <c r="Z908">
        <v>0</v>
      </c>
      <c r="AA908" t="str">
        <f>X908*0.038</f>
        <v>#REF!</v>
      </c>
      <c r="AB908" t="str">
        <f>X908*0.02</f>
        <v>#REF!</v>
      </c>
      <c r="AC908" t="str">
        <f>Y908*0.1</f>
        <v>#REF!</v>
      </c>
      <c r="AD908" t="str">
        <f>X908-AA908-AB908</f>
        <v>#REF!</v>
      </c>
      <c r="AE908" t="str">
        <f>Y908-AC908</f>
        <v>#REF!</v>
      </c>
      <c r="AF908" t="str">
        <f>AD908*0.01</f>
        <v>#REF!</v>
      </c>
      <c r="AG908" t="str">
        <f>AD908-Q908-AF908-T908</f>
        <v>#REF!</v>
      </c>
      <c r="AH908" t="str">
        <f>AE908-Q908-AF908-T908</f>
        <v>#REF!</v>
      </c>
      <c r="AI908" t="str">
        <f>AG908/X908</f>
        <v>#REF!</v>
      </c>
      <c r="AJ908" t="str">
        <f>AH908/Y908</f>
        <v>#REF!</v>
      </c>
    </row>
    <row r="909">
      <c r="G909" t="str">
        <v>A</v>
      </c>
      <c r="K909" t="str">
        <f>IF(L909&gt;0,L909*0.0625,)</f>
        <v>#REF!</v>
      </c>
      <c r="L909" t="str">
        <f>IF(K909&gt;0,K909*16,)</f>
        <v>#REF!</v>
      </c>
      <c r="M909" t="str">
        <f>IF(K909&gt;0,K909*0.453592,IF(L909&gt;0,L909*0.02835,))</f>
        <v>#REF!</v>
      </c>
      <c r="P909">
        <f>J909+O909+N909</f>
        <v>0</v>
      </c>
      <c r="Q909">
        <f>P909*C$3</f>
        <v>0</v>
      </c>
      <c r="R909">
        <v>0</v>
      </c>
      <c r="S909">
        <f>ROUND(SUM(Q909:R909), -2)</f>
        <v>0</v>
      </c>
      <c r="T909" t="str">
        <f>ROUNDUP(HLOOKUP(ROUNDUP(K909,0),'배송비 조회'!A$10:AE$22,7,0)*C$3,-2)</f>
        <v>#REF!</v>
      </c>
      <c r="U909">
        <v>0</v>
      </c>
      <c r="V909" t="str">
        <f>ROUND(IF(R905&gt;0,0,(S909+T909)*0.3),-2)</f>
        <v>#REF!</v>
      </c>
      <c r="W909" t="str">
        <f>ROUND(IF(R905&gt;0,0,(S909+T909)*0.5),-2)</f>
        <v>#REF!</v>
      </c>
      <c r="X909" t="str">
        <f>SUM(S909:V909)</f>
        <v>#REF!</v>
      </c>
      <c r="Y909" t="str">
        <f>SUM(S909:U909)+W909</f>
        <v>#REF!</v>
      </c>
      <c r="Z909">
        <v>0</v>
      </c>
      <c r="AA909" t="str">
        <f>X909*0.038</f>
        <v>#REF!</v>
      </c>
      <c r="AB909" t="str">
        <f>X909*0.02</f>
        <v>#REF!</v>
      </c>
      <c r="AC909" t="str">
        <f>Y909*0.1</f>
        <v>#REF!</v>
      </c>
      <c r="AD909" t="str">
        <f>X909-AA909-AB909</f>
        <v>#REF!</v>
      </c>
      <c r="AE909" t="str">
        <f>Y909-AC909</f>
        <v>#REF!</v>
      </c>
      <c r="AF909" t="str">
        <f>AD909*0.01</f>
        <v>#REF!</v>
      </c>
      <c r="AG909" t="str">
        <f>AD909-Q909-AF909-T909</f>
        <v>#REF!</v>
      </c>
      <c r="AH909" t="str">
        <f>AE909-Q909-AF909-T909</f>
        <v>#REF!</v>
      </c>
      <c r="AI909" t="str">
        <f>AG909/X909</f>
        <v>#REF!</v>
      </c>
      <c r="AJ909" t="str">
        <f>AH909/Y909</f>
        <v>#REF!</v>
      </c>
    </row>
    <row r="910">
      <c r="G910" t="str">
        <v>A</v>
      </c>
      <c r="K910" t="str">
        <f>IF(L910&gt;0,L910*0.0625,)</f>
        <v>#REF!</v>
      </c>
      <c r="L910" t="str">
        <f>IF(K910&gt;0,K910*16,)</f>
        <v>#REF!</v>
      </c>
      <c r="M910" t="str">
        <f>IF(K910&gt;0,K910*0.453592,IF(L910&gt;0,L910*0.02835,))</f>
        <v>#REF!</v>
      </c>
      <c r="P910">
        <f>J910+O910+N910</f>
        <v>0</v>
      </c>
      <c r="Q910">
        <f>P910*C$3</f>
        <v>0</v>
      </c>
      <c r="R910">
        <v>0</v>
      </c>
      <c r="S910">
        <f>ROUND(SUM(Q910:R910), -2)</f>
        <v>0</v>
      </c>
      <c r="T910" t="str">
        <f>ROUNDUP(HLOOKUP(ROUNDUP(K910,0),'배송비 조회'!A$10:AE$22,7,0)*C$3,-2)</f>
        <v>#REF!</v>
      </c>
      <c r="U910">
        <v>0</v>
      </c>
      <c r="V910" t="str">
        <f>ROUND(IF(R906&gt;0,0,(S910+T910)*0.3),-2)</f>
        <v>#REF!</v>
      </c>
      <c r="W910" t="str">
        <f>ROUND(IF(R906&gt;0,0,(S910+T910)*0.5),-2)</f>
        <v>#REF!</v>
      </c>
      <c r="X910" t="str">
        <f>SUM(S910:V910)</f>
        <v>#REF!</v>
      </c>
      <c r="Y910" t="str">
        <f>SUM(S910:U910)+W910</f>
        <v>#REF!</v>
      </c>
      <c r="Z910">
        <v>0</v>
      </c>
      <c r="AA910" t="str">
        <f>X910*0.038</f>
        <v>#REF!</v>
      </c>
      <c r="AB910" t="str">
        <f>X910*0.02</f>
        <v>#REF!</v>
      </c>
      <c r="AC910" t="str">
        <f>Y910*0.1</f>
        <v>#REF!</v>
      </c>
      <c r="AD910" t="str">
        <f>X910-AA910-AB910</f>
        <v>#REF!</v>
      </c>
      <c r="AE910" t="str">
        <f>Y910-AC910</f>
        <v>#REF!</v>
      </c>
      <c r="AF910" t="str">
        <f>AD910*0.01</f>
        <v>#REF!</v>
      </c>
      <c r="AG910" t="str">
        <f>AD910-Q910-AF910-T910</f>
        <v>#REF!</v>
      </c>
      <c r="AH910" t="str">
        <f>AE910-Q910-AF910-T910</f>
        <v>#REF!</v>
      </c>
      <c r="AI910" t="str">
        <f>AG910/X910</f>
        <v>#REF!</v>
      </c>
      <c r="AJ910" t="str">
        <f>AH910/Y910</f>
        <v>#REF!</v>
      </c>
    </row>
    <row r="911">
      <c r="G911" t="str">
        <v>A</v>
      </c>
      <c r="K911" t="str">
        <f>IF(L911&gt;0,L911*0.0625,)</f>
        <v>#REF!</v>
      </c>
      <c r="L911" t="str">
        <f>IF(K911&gt;0,K911*16,)</f>
        <v>#REF!</v>
      </c>
      <c r="M911" t="str">
        <f>IF(K911&gt;0,K911*0.453592,IF(L911&gt;0,L911*0.02835,))</f>
        <v>#REF!</v>
      </c>
      <c r="P911">
        <f>J911+O911+N911</f>
        <v>0</v>
      </c>
      <c r="Q911">
        <f>P911*C$3</f>
        <v>0</v>
      </c>
      <c r="R911">
        <v>0</v>
      </c>
      <c r="S911">
        <f>ROUND(SUM(Q911:R911), -2)</f>
        <v>0</v>
      </c>
      <c r="T911" t="str">
        <f>ROUNDUP(HLOOKUP(ROUNDUP(K911,0),'배송비 조회'!A$10:AE$22,7,0)*C$3,-2)</f>
        <v>#REF!</v>
      </c>
      <c r="U911">
        <v>0</v>
      </c>
      <c r="V911" t="str">
        <f>ROUND(IF(R907&gt;0,0,(S911+T911)*0.3),-2)</f>
        <v>#REF!</v>
      </c>
      <c r="W911" t="str">
        <f>ROUND(IF(R907&gt;0,0,(S911+T911)*0.5),-2)</f>
        <v>#REF!</v>
      </c>
      <c r="X911" t="str">
        <f>SUM(S911:V911)</f>
        <v>#REF!</v>
      </c>
      <c r="Y911" t="str">
        <f>SUM(S911:U911)+W911</f>
        <v>#REF!</v>
      </c>
      <c r="Z911">
        <v>0</v>
      </c>
      <c r="AA911" t="str">
        <f>X911*0.038</f>
        <v>#REF!</v>
      </c>
      <c r="AB911" t="str">
        <f>X911*0.02</f>
        <v>#REF!</v>
      </c>
      <c r="AC911" t="str">
        <f>Y911*0.1</f>
        <v>#REF!</v>
      </c>
      <c r="AD911" t="str">
        <f>X911-AA911-AB911</f>
        <v>#REF!</v>
      </c>
      <c r="AE911" t="str">
        <f>Y911-AC911</f>
        <v>#REF!</v>
      </c>
      <c r="AF911" t="str">
        <f>AD911*0.01</f>
        <v>#REF!</v>
      </c>
      <c r="AG911" t="str">
        <f>AD911-Q911-AF911-T911</f>
        <v>#REF!</v>
      </c>
      <c r="AH911" t="str">
        <f>AE911-Q911-AF911-T911</f>
        <v>#REF!</v>
      </c>
      <c r="AI911" t="str">
        <f>AG911/X911</f>
        <v>#REF!</v>
      </c>
      <c r="AJ911" t="str">
        <f>AH911/Y911</f>
        <v>#REF!</v>
      </c>
    </row>
    <row r="912">
      <c r="G912" t="str">
        <v>A</v>
      </c>
      <c r="K912" t="str">
        <f>IF(L912&gt;0,L912*0.0625,)</f>
        <v>#REF!</v>
      </c>
      <c r="L912" t="str">
        <f>IF(K912&gt;0,K912*16,)</f>
        <v>#REF!</v>
      </c>
      <c r="M912" t="str">
        <f>IF(K912&gt;0,K912*0.453592,IF(L912&gt;0,L912*0.02835,))</f>
        <v>#REF!</v>
      </c>
      <c r="P912">
        <f>J912+O912+N912</f>
        <v>0</v>
      </c>
      <c r="Q912">
        <f>P912*C$3</f>
        <v>0</v>
      </c>
      <c r="R912">
        <v>0</v>
      </c>
      <c r="S912">
        <f>ROUND(SUM(Q912:R912), -2)</f>
        <v>0</v>
      </c>
      <c r="T912" t="str">
        <f>ROUNDUP(HLOOKUP(ROUNDUP(K912,0),'배송비 조회'!A$10:AE$22,7,0)*C$3,-2)</f>
        <v>#REF!</v>
      </c>
      <c r="U912">
        <v>0</v>
      </c>
      <c r="V912" t="str">
        <f>ROUND(IF(R908&gt;0,0,(S912+T912)*0.3),-2)</f>
        <v>#REF!</v>
      </c>
      <c r="W912" t="str">
        <f>ROUND(IF(R908&gt;0,0,(S912+T912)*0.5),-2)</f>
        <v>#REF!</v>
      </c>
      <c r="X912" t="str">
        <f>SUM(S912:V912)</f>
        <v>#REF!</v>
      </c>
      <c r="Y912" t="str">
        <f>SUM(S912:U912)+W912</f>
        <v>#REF!</v>
      </c>
      <c r="Z912">
        <v>0</v>
      </c>
      <c r="AA912" t="str">
        <f>X912*0.038</f>
        <v>#REF!</v>
      </c>
      <c r="AB912" t="str">
        <f>X912*0.02</f>
        <v>#REF!</v>
      </c>
      <c r="AC912" t="str">
        <f>Y912*0.1</f>
        <v>#REF!</v>
      </c>
      <c r="AD912" t="str">
        <f>X912-AA912-AB912</f>
        <v>#REF!</v>
      </c>
      <c r="AE912" t="str">
        <f>Y912-AC912</f>
        <v>#REF!</v>
      </c>
      <c r="AF912" t="str">
        <f>AD912*0.01</f>
        <v>#REF!</v>
      </c>
      <c r="AG912" t="str">
        <f>AD912-Q912-AF912-T912</f>
        <v>#REF!</v>
      </c>
      <c r="AH912" t="str">
        <f>AE912-Q912-AF912-T912</f>
        <v>#REF!</v>
      </c>
      <c r="AI912" t="str">
        <f>AG912/X912</f>
        <v>#REF!</v>
      </c>
      <c r="AJ912" t="str">
        <f>AH912/Y912</f>
        <v>#REF!</v>
      </c>
    </row>
    <row r="913">
      <c r="G913" t="str">
        <v>A</v>
      </c>
      <c r="K913" t="str">
        <f>IF(L913&gt;0,L913*0.0625,)</f>
        <v>#REF!</v>
      </c>
      <c r="L913" t="str">
        <f>IF(K913&gt;0,K913*16,)</f>
        <v>#REF!</v>
      </c>
      <c r="M913" t="str">
        <f>IF(K913&gt;0,K913*0.453592,IF(L913&gt;0,L913*0.02835,))</f>
        <v>#REF!</v>
      </c>
      <c r="P913">
        <f>J913+O913+N913</f>
        <v>0</v>
      </c>
      <c r="Q913">
        <f>P913*C$3</f>
        <v>0</v>
      </c>
      <c r="R913">
        <v>0</v>
      </c>
      <c r="S913">
        <f>ROUND(SUM(Q913:R913), -2)</f>
        <v>0</v>
      </c>
      <c r="T913" t="str">
        <f>ROUNDUP(HLOOKUP(ROUNDUP(K913,0),'배송비 조회'!A$10:AE$22,7,0)*C$3,-2)</f>
        <v>#REF!</v>
      </c>
      <c r="U913">
        <v>0</v>
      </c>
      <c r="V913" t="str">
        <f>ROUND(IF(R909&gt;0,0,(S913+T913)*0.3),-2)</f>
        <v>#REF!</v>
      </c>
      <c r="W913" t="str">
        <f>ROUND(IF(R909&gt;0,0,(S913+T913)*0.5),-2)</f>
        <v>#REF!</v>
      </c>
      <c r="X913" t="str">
        <f>SUM(S913:V913)</f>
        <v>#REF!</v>
      </c>
      <c r="Y913" t="str">
        <f>SUM(S913:U913)+W913</f>
        <v>#REF!</v>
      </c>
      <c r="Z913">
        <v>0</v>
      </c>
      <c r="AA913" t="str">
        <f>X913*0.038</f>
        <v>#REF!</v>
      </c>
      <c r="AB913" t="str">
        <f>X913*0.02</f>
        <v>#REF!</v>
      </c>
      <c r="AC913" t="str">
        <f>Y913*0.1</f>
        <v>#REF!</v>
      </c>
      <c r="AD913" t="str">
        <f>X913-AA913-AB913</f>
        <v>#REF!</v>
      </c>
      <c r="AE913" t="str">
        <f>Y913-AC913</f>
        <v>#REF!</v>
      </c>
      <c r="AF913" t="str">
        <f>AD913*0.01</f>
        <v>#REF!</v>
      </c>
      <c r="AG913" t="str">
        <f>AD913-Q913-AF913-T913</f>
        <v>#REF!</v>
      </c>
      <c r="AH913" t="str">
        <f>AE913-Q913-AF913-T913</f>
        <v>#REF!</v>
      </c>
      <c r="AI913" t="str">
        <f>AG913/X913</f>
        <v>#REF!</v>
      </c>
      <c r="AJ913" t="str">
        <f>AH913/Y913</f>
        <v>#REF!</v>
      </c>
    </row>
    <row r="914">
      <c r="G914" t="str">
        <v>A</v>
      </c>
      <c r="K914" t="str">
        <f>IF(L914&gt;0,L914*0.0625,)</f>
        <v>#REF!</v>
      </c>
      <c r="L914" t="str">
        <f>IF(K914&gt;0,K914*16,)</f>
        <v>#REF!</v>
      </c>
      <c r="M914" t="str">
        <f>IF(K914&gt;0,K914*0.453592,IF(L914&gt;0,L914*0.02835,))</f>
        <v>#REF!</v>
      </c>
      <c r="P914">
        <f>J914+O914+N914</f>
        <v>0</v>
      </c>
      <c r="Q914">
        <f>P914*C$3</f>
        <v>0</v>
      </c>
      <c r="R914">
        <v>0</v>
      </c>
      <c r="S914">
        <f>ROUND(SUM(Q914:R914), -2)</f>
        <v>0</v>
      </c>
      <c r="T914" t="str">
        <f>ROUNDUP(HLOOKUP(ROUNDUP(K914,0),'배송비 조회'!A$10:AE$22,7,0)*C$3,-2)</f>
        <v>#REF!</v>
      </c>
      <c r="U914">
        <v>0</v>
      </c>
      <c r="V914" t="str">
        <f>ROUND(IF(R910&gt;0,0,(S914+T914)*0.3),-2)</f>
        <v>#REF!</v>
      </c>
      <c r="W914" t="str">
        <f>ROUND(IF(R910&gt;0,0,(S914+T914)*0.5),-2)</f>
        <v>#REF!</v>
      </c>
      <c r="X914" t="str">
        <f>SUM(S914:V914)</f>
        <v>#REF!</v>
      </c>
      <c r="Y914" t="str">
        <f>SUM(S914:U914)+W914</f>
        <v>#REF!</v>
      </c>
      <c r="Z914">
        <v>0</v>
      </c>
      <c r="AA914" t="str">
        <f>X914*0.038</f>
        <v>#REF!</v>
      </c>
      <c r="AB914" t="str">
        <f>X914*0.02</f>
        <v>#REF!</v>
      </c>
      <c r="AC914" t="str">
        <f>Y914*0.1</f>
        <v>#REF!</v>
      </c>
      <c r="AD914" t="str">
        <f>X914-AA914-AB914</f>
        <v>#REF!</v>
      </c>
      <c r="AE914" t="str">
        <f>Y914-AC914</f>
        <v>#REF!</v>
      </c>
      <c r="AF914" t="str">
        <f>AD914*0.01</f>
        <v>#REF!</v>
      </c>
      <c r="AG914" t="str">
        <f>AD914-Q914-AF914-T914</f>
        <v>#REF!</v>
      </c>
      <c r="AH914" t="str">
        <f>AE914-Q914-AF914-T914</f>
        <v>#REF!</v>
      </c>
      <c r="AI914" t="str">
        <f>AG914/X914</f>
        <v>#REF!</v>
      </c>
      <c r="AJ914" t="str">
        <f>AH914/Y914</f>
        <v>#REF!</v>
      </c>
    </row>
    <row r="915">
      <c r="G915" t="str">
        <v>A</v>
      </c>
      <c r="K915" t="str">
        <f>IF(L915&gt;0,L915*0.0625,)</f>
        <v>#REF!</v>
      </c>
      <c r="L915" t="str">
        <f>IF(K915&gt;0,K915*16,)</f>
        <v>#REF!</v>
      </c>
      <c r="M915" t="str">
        <f>IF(K915&gt;0,K915*0.453592,IF(L915&gt;0,L915*0.02835,))</f>
        <v>#REF!</v>
      </c>
      <c r="P915">
        <f>J915+O915+N915</f>
        <v>0</v>
      </c>
      <c r="Q915">
        <f>P915*C$3</f>
        <v>0</v>
      </c>
      <c r="R915">
        <v>0</v>
      </c>
      <c r="S915">
        <f>ROUND(SUM(Q915:R915), -2)</f>
        <v>0</v>
      </c>
      <c r="T915" t="str">
        <f>ROUNDUP(HLOOKUP(ROUNDUP(K915,0),'배송비 조회'!A$10:AE$22,7,0)*C$3,-2)</f>
        <v>#REF!</v>
      </c>
      <c r="U915">
        <v>0</v>
      </c>
      <c r="V915" t="str">
        <f>ROUND(IF(R911&gt;0,0,(S915+T915)*0.3),-2)</f>
        <v>#REF!</v>
      </c>
      <c r="W915" t="str">
        <f>ROUND(IF(R911&gt;0,0,(S915+T915)*0.5),-2)</f>
        <v>#REF!</v>
      </c>
      <c r="X915" t="str">
        <f>SUM(S915:V915)</f>
        <v>#REF!</v>
      </c>
      <c r="Y915" t="str">
        <f>SUM(S915:U915)+W915</f>
        <v>#REF!</v>
      </c>
      <c r="Z915">
        <v>0</v>
      </c>
      <c r="AA915" t="str">
        <f>X915*0.038</f>
        <v>#REF!</v>
      </c>
      <c r="AB915" t="str">
        <f>X915*0.02</f>
        <v>#REF!</v>
      </c>
      <c r="AC915" t="str">
        <f>Y915*0.1</f>
        <v>#REF!</v>
      </c>
      <c r="AD915" t="str">
        <f>X915-AA915-AB915</f>
        <v>#REF!</v>
      </c>
      <c r="AE915" t="str">
        <f>Y915-AC915</f>
        <v>#REF!</v>
      </c>
      <c r="AF915" t="str">
        <f>AD915*0.01</f>
        <v>#REF!</v>
      </c>
      <c r="AG915" t="str">
        <f>AD915-Q915-AF915-T915</f>
        <v>#REF!</v>
      </c>
      <c r="AH915" t="str">
        <f>AE915-Q915-AF915-T915</f>
        <v>#REF!</v>
      </c>
      <c r="AI915" t="str">
        <f>AG915/X915</f>
        <v>#REF!</v>
      </c>
      <c r="AJ915" t="str">
        <f>AH915/Y915</f>
        <v>#REF!</v>
      </c>
    </row>
    <row r="916">
      <c r="G916" t="str">
        <v>A</v>
      </c>
      <c r="K916" t="str">
        <f>IF(L916&gt;0,L916*0.0625,)</f>
        <v>#REF!</v>
      </c>
      <c r="L916" t="str">
        <f>IF(K916&gt;0,K916*16,)</f>
        <v>#REF!</v>
      </c>
      <c r="M916" t="str">
        <f>IF(K916&gt;0,K916*0.453592,IF(L916&gt;0,L916*0.02835,))</f>
        <v>#REF!</v>
      </c>
      <c r="P916">
        <f>J916+O916+N916</f>
        <v>0</v>
      </c>
      <c r="Q916">
        <f>P916*C$3</f>
        <v>0</v>
      </c>
      <c r="R916">
        <v>0</v>
      </c>
      <c r="S916">
        <f>ROUND(SUM(Q916:R916), -2)</f>
        <v>0</v>
      </c>
      <c r="T916" t="str">
        <f>ROUNDUP(HLOOKUP(ROUNDUP(K916,0),'배송비 조회'!A$10:AE$22,7,0)*C$3,-2)</f>
        <v>#REF!</v>
      </c>
      <c r="U916">
        <v>0</v>
      </c>
      <c r="V916" t="str">
        <f>ROUND(IF(R912&gt;0,0,(S916+T916)*0.3),-2)</f>
        <v>#REF!</v>
      </c>
      <c r="W916" t="str">
        <f>ROUND(IF(R912&gt;0,0,(S916+T916)*0.5),-2)</f>
        <v>#REF!</v>
      </c>
      <c r="X916" t="str">
        <f>SUM(S916:V916)</f>
        <v>#REF!</v>
      </c>
      <c r="Y916" t="str">
        <f>SUM(S916:U916)+W916</f>
        <v>#REF!</v>
      </c>
      <c r="Z916">
        <v>0</v>
      </c>
      <c r="AA916" t="str">
        <f>X916*0.038</f>
        <v>#REF!</v>
      </c>
      <c r="AB916" t="str">
        <f>X916*0.02</f>
        <v>#REF!</v>
      </c>
      <c r="AC916" t="str">
        <f>Y916*0.1</f>
        <v>#REF!</v>
      </c>
      <c r="AD916" t="str">
        <f>X916-AA916-AB916</f>
        <v>#REF!</v>
      </c>
      <c r="AE916" t="str">
        <f>Y916-AC916</f>
        <v>#REF!</v>
      </c>
      <c r="AF916" t="str">
        <f>AD916*0.01</f>
        <v>#REF!</v>
      </c>
      <c r="AG916" t="str">
        <f>AD916-Q916-AF916-T916</f>
        <v>#REF!</v>
      </c>
      <c r="AH916" t="str">
        <f>AE916-Q916-AF916-T916</f>
        <v>#REF!</v>
      </c>
      <c r="AI916" t="str">
        <f>AG916/X916</f>
        <v>#REF!</v>
      </c>
      <c r="AJ916" t="str">
        <f>AH916/Y916</f>
        <v>#REF!</v>
      </c>
    </row>
    <row r="917">
      <c r="G917" t="str">
        <v>A</v>
      </c>
      <c r="K917" t="str">
        <f>IF(L917&gt;0,L917*0.0625,)</f>
        <v>#REF!</v>
      </c>
      <c r="L917" t="str">
        <f>IF(K917&gt;0,K917*16,)</f>
        <v>#REF!</v>
      </c>
      <c r="M917" t="str">
        <f>IF(K917&gt;0,K917*0.453592,IF(L917&gt;0,L917*0.02835,))</f>
        <v>#REF!</v>
      </c>
      <c r="P917">
        <f>J917+O917+N917</f>
        <v>0</v>
      </c>
      <c r="Q917">
        <f>P917*C$3</f>
        <v>0</v>
      </c>
      <c r="R917">
        <v>0</v>
      </c>
      <c r="S917">
        <f>ROUND(SUM(Q917:R917), -2)</f>
        <v>0</v>
      </c>
      <c r="T917" t="str">
        <f>ROUNDUP(HLOOKUP(ROUNDUP(K917,0),'배송비 조회'!A$10:AE$22,7,0)*C$3,-2)</f>
        <v>#REF!</v>
      </c>
      <c r="U917">
        <v>0</v>
      </c>
      <c r="V917" t="str">
        <f>ROUND(IF(R913&gt;0,0,(S917+T917)*0.3),-2)</f>
        <v>#REF!</v>
      </c>
      <c r="W917" t="str">
        <f>ROUND(IF(R913&gt;0,0,(S917+T917)*0.5),-2)</f>
        <v>#REF!</v>
      </c>
      <c r="X917" t="str">
        <f>SUM(S917:V917)</f>
        <v>#REF!</v>
      </c>
      <c r="Y917" t="str">
        <f>SUM(S917:U917)+W917</f>
        <v>#REF!</v>
      </c>
      <c r="Z917">
        <v>0</v>
      </c>
      <c r="AA917" t="str">
        <f>X917*0.038</f>
        <v>#REF!</v>
      </c>
      <c r="AB917" t="str">
        <f>X917*0.02</f>
        <v>#REF!</v>
      </c>
      <c r="AC917" t="str">
        <f>Y917*0.1</f>
        <v>#REF!</v>
      </c>
      <c r="AD917" t="str">
        <f>X917-AA917-AB917</f>
        <v>#REF!</v>
      </c>
      <c r="AE917" t="str">
        <f>Y917-AC917</f>
        <v>#REF!</v>
      </c>
      <c r="AF917" t="str">
        <f>AD917*0.01</f>
        <v>#REF!</v>
      </c>
      <c r="AG917" t="str">
        <f>AD917-Q917-AF917-T917</f>
        <v>#REF!</v>
      </c>
      <c r="AH917" t="str">
        <f>AE917-Q917-AF917-T917</f>
        <v>#REF!</v>
      </c>
      <c r="AI917" t="str">
        <f>AG917/X917</f>
        <v>#REF!</v>
      </c>
      <c r="AJ917" t="str">
        <f>AH917/Y917</f>
        <v>#REF!</v>
      </c>
    </row>
    <row r="918">
      <c r="G918" t="str">
        <v>A</v>
      </c>
      <c r="K918" t="str">
        <f>IF(L918&gt;0,L918*0.0625,)</f>
        <v>#REF!</v>
      </c>
      <c r="L918" t="str">
        <f>IF(K918&gt;0,K918*16,)</f>
        <v>#REF!</v>
      </c>
      <c r="M918" t="str">
        <f>IF(K918&gt;0,K918*0.453592,IF(L918&gt;0,L918*0.02835,))</f>
        <v>#REF!</v>
      </c>
      <c r="P918">
        <f>J918+O918+N918</f>
        <v>0</v>
      </c>
      <c r="Q918">
        <f>P918*C$3</f>
        <v>0</v>
      </c>
      <c r="R918">
        <v>0</v>
      </c>
      <c r="S918">
        <f>ROUND(SUM(Q918:R918), -2)</f>
        <v>0</v>
      </c>
      <c r="T918" t="str">
        <f>ROUNDUP(HLOOKUP(ROUNDUP(K918,0),'배송비 조회'!A$10:AE$22,7,0)*C$3,-2)</f>
        <v>#REF!</v>
      </c>
      <c r="U918">
        <v>0</v>
      </c>
      <c r="V918" t="str">
        <f>ROUND(IF(R914&gt;0,0,(S918+T918)*0.3),-2)</f>
        <v>#REF!</v>
      </c>
      <c r="W918" t="str">
        <f>ROUND(IF(R914&gt;0,0,(S918+T918)*0.5),-2)</f>
        <v>#REF!</v>
      </c>
      <c r="X918" t="str">
        <f>SUM(S918:V918)</f>
        <v>#REF!</v>
      </c>
      <c r="Y918" t="str">
        <f>SUM(S918:U918)+W918</f>
        <v>#REF!</v>
      </c>
      <c r="Z918">
        <v>0</v>
      </c>
      <c r="AA918" t="str">
        <f>X918*0.038</f>
        <v>#REF!</v>
      </c>
      <c r="AB918" t="str">
        <f>X918*0.02</f>
        <v>#REF!</v>
      </c>
      <c r="AC918" t="str">
        <f>Y918*0.1</f>
        <v>#REF!</v>
      </c>
      <c r="AD918" t="str">
        <f>X918-AA918-AB918</f>
        <v>#REF!</v>
      </c>
      <c r="AE918" t="str">
        <f>Y918-AC918</f>
        <v>#REF!</v>
      </c>
      <c r="AF918" t="str">
        <f>AD918*0.01</f>
        <v>#REF!</v>
      </c>
      <c r="AG918" t="str">
        <f>AD918-Q918-AF918-T918</f>
        <v>#REF!</v>
      </c>
      <c r="AH918" t="str">
        <f>AE918-Q918-AF918-T918</f>
        <v>#REF!</v>
      </c>
      <c r="AI918" t="str">
        <f>AG918/X918</f>
        <v>#REF!</v>
      </c>
      <c r="AJ918" t="str">
        <f>AH918/Y918</f>
        <v>#REF!</v>
      </c>
    </row>
    <row r="919">
      <c r="G919" t="str">
        <v>A</v>
      </c>
      <c r="K919" t="str">
        <f>IF(L919&gt;0,L919*0.0625,)</f>
        <v>#REF!</v>
      </c>
      <c r="L919" t="str">
        <f>IF(K919&gt;0,K919*16,)</f>
        <v>#REF!</v>
      </c>
      <c r="M919" t="str">
        <f>IF(K919&gt;0,K919*0.453592,IF(L919&gt;0,L919*0.02835,))</f>
        <v>#REF!</v>
      </c>
      <c r="P919">
        <f>J919+O919+N919</f>
        <v>0</v>
      </c>
      <c r="Q919">
        <f>P919*C$3</f>
        <v>0</v>
      </c>
      <c r="R919">
        <v>0</v>
      </c>
      <c r="S919">
        <f>ROUND(SUM(Q919:R919), -2)</f>
        <v>0</v>
      </c>
      <c r="T919" t="str">
        <f>ROUNDUP(HLOOKUP(ROUNDUP(K919,0),'배송비 조회'!A$10:AE$22,7,0)*C$3,-2)</f>
        <v>#REF!</v>
      </c>
      <c r="U919">
        <v>0</v>
      </c>
      <c r="V919" t="str">
        <f>ROUND(IF(R915&gt;0,0,(S919+T919)*0.3),-2)</f>
        <v>#REF!</v>
      </c>
      <c r="W919" t="str">
        <f>ROUND(IF(R915&gt;0,0,(S919+T919)*0.5),-2)</f>
        <v>#REF!</v>
      </c>
      <c r="X919" t="str">
        <f>SUM(S919:V919)</f>
        <v>#REF!</v>
      </c>
      <c r="Y919" t="str">
        <f>SUM(S919:U919)+W919</f>
        <v>#REF!</v>
      </c>
      <c r="Z919">
        <v>0</v>
      </c>
      <c r="AA919" t="str">
        <f>X919*0.038</f>
        <v>#REF!</v>
      </c>
      <c r="AB919" t="str">
        <f>X919*0.02</f>
        <v>#REF!</v>
      </c>
      <c r="AC919" t="str">
        <f>Y919*0.1</f>
        <v>#REF!</v>
      </c>
      <c r="AD919" t="str">
        <f>X919-AA919-AB919</f>
        <v>#REF!</v>
      </c>
      <c r="AE919" t="str">
        <f>Y919-AC919</f>
        <v>#REF!</v>
      </c>
      <c r="AF919" t="str">
        <f>AD919*0.01</f>
        <v>#REF!</v>
      </c>
      <c r="AG919" t="str">
        <f>AD919-Q919-AF919-T919</f>
        <v>#REF!</v>
      </c>
      <c r="AH919" t="str">
        <f>AE919-Q919-AF919-T919</f>
        <v>#REF!</v>
      </c>
      <c r="AI919" t="str">
        <f>AG919/X919</f>
        <v>#REF!</v>
      </c>
      <c r="AJ919" t="str">
        <f>AH919/Y919</f>
        <v>#REF!</v>
      </c>
    </row>
    <row r="920">
      <c r="G920" t="str">
        <v>A</v>
      </c>
      <c r="K920" t="str">
        <f>IF(L920&gt;0,L920*0.0625,)</f>
        <v>#REF!</v>
      </c>
      <c r="L920" t="str">
        <f>IF(K920&gt;0,K920*16,)</f>
        <v>#REF!</v>
      </c>
      <c r="M920" t="str">
        <f>IF(K920&gt;0,K920*0.453592,IF(L920&gt;0,L920*0.02835,))</f>
        <v>#REF!</v>
      </c>
      <c r="P920">
        <f>J920+O920+N920</f>
        <v>0</v>
      </c>
      <c r="Q920">
        <f>P920*C$3</f>
        <v>0</v>
      </c>
      <c r="R920">
        <v>0</v>
      </c>
      <c r="S920">
        <f>ROUND(SUM(Q920:R920), -2)</f>
        <v>0</v>
      </c>
      <c r="T920" t="str">
        <f>ROUNDUP(HLOOKUP(ROUNDUP(K920,0),'배송비 조회'!A$10:AE$22,7,0)*C$3,-2)</f>
        <v>#REF!</v>
      </c>
      <c r="U920">
        <v>0</v>
      </c>
      <c r="V920" t="str">
        <f>ROUND(IF(R916&gt;0,0,(S920+T920)*0.3),-2)</f>
        <v>#REF!</v>
      </c>
      <c r="W920" t="str">
        <f>ROUND(IF(R916&gt;0,0,(S920+T920)*0.5),-2)</f>
        <v>#REF!</v>
      </c>
      <c r="X920" t="str">
        <f>SUM(S920:V920)</f>
        <v>#REF!</v>
      </c>
      <c r="Y920" t="str">
        <f>SUM(S920:U920)+W920</f>
        <v>#REF!</v>
      </c>
      <c r="Z920">
        <v>0</v>
      </c>
      <c r="AA920" t="str">
        <f>X920*0.038</f>
        <v>#REF!</v>
      </c>
      <c r="AB920" t="str">
        <f>X920*0.02</f>
        <v>#REF!</v>
      </c>
      <c r="AC920" t="str">
        <f>Y920*0.1</f>
        <v>#REF!</v>
      </c>
      <c r="AD920" t="str">
        <f>X920-AA920-AB920</f>
        <v>#REF!</v>
      </c>
      <c r="AE920" t="str">
        <f>Y920-AC920</f>
        <v>#REF!</v>
      </c>
      <c r="AF920" t="str">
        <f>AD920*0.01</f>
        <v>#REF!</v>
      </c>
      <c r="AG920" t="str">
        <f>AD920-Q920-AF920-T920</f>
        <v>#REF!</v>
      </c>
      <c r="AH920" t="str">
        <f>AE920-Q920-AF920-T920</f>
        <v>#REF!</v>
      </c>
      <c r="AI920" t="str">
        <f>AG920/X920</f>
        <v>#REF!</v>
      </c>
      <c r="AJ920" t="str">
        <f>AH920/Y920</f>
        <v>#REF!</v>
      </c>
    </row>
    <row r="921">
      <c r="G921" t="str">
        <v>A</v>
      </c>
      <c r="K921" t="str">
        <f>IF(L921&gt;0,L921*0.0625,)</f>
        <v>#REF!</v>
      </c>
      <c r="L921" t="str">
        <f>IF(K921&gt;0,K921*16,)</f>
        <v>#REF!</v>
      </c>
      <c r="M921" t="str">
        <f>IF(K921&gt;0,K921*0.453592,IF(L921&gt;0,L921*0.02835,))</f>
        <v>#REF!</v>
      </c>
      <c r="P921">
        <f>J921+O921+N921</f>
        <v>0</v>
      </c>
      <c r="Q921">
        <f>P921*C$3</f>
        <v>0</v>
      </c>
      <c r="R921">
        <v>0</v>
      </c>
      <c r="S921">
        <f>ROUND(SUM(Q921:R921), -2)</f>
        <v>0</v>
      </c>
      <c r="T921" t="str">
        <f>ROUNDUP(HLOOKUP(ROUNDUP(K921,0),'배송비 조회'!A$10:AE$22,7,0)*C$3,-2)</f>
        <v>#REF!</v>
      </c>
      <c r="U921">
        <v>0</v>
      </c>
      <c r="V921" t="str">
        <f>ROUND(IF(R917&gt;0,0,(S921+T921)*0.3),-2)</f>
        <v>#REF!</v>
      </c>
      <c r="W921" t="str">
        <f>ROUND(IF(R917&gt;0,0,(S921+T921)*0.5),-2)</f>
        <v>#REF!</v>
      </c>
      <c r="X921" t="str">
        <f>SUM(S921:V921)</f>
        <v>#REF!</v>
      </c>
      <c r="Y921" t="str">
        <f>SUM(S921:U921)+W921</f>
        <v>#REF!</v>
      </c>
      <c r="Z921">
        <v>0</v>
      </c>
      <c r="AA921" t="str">
        <f>X921*0.038</f>
        <v>#REF!</v>
      </c>
      <c r="AB921" t="str">
        <f>X921*0.02</f>
        <v>#REF!</v>
      </c>
      <c r="AC921" t="str">
        <f>Y921*0.1</f>
        <v>#REF!</v>
      </c>
      <c r="AD921" t="str">
        <f>X921-AA921-AB921</f>
        <v>#REF!</v>
      </c>
      <c r="AE921" t="str">
        <f>Y921-AC921</f>
        <v>#REF!</v>
      </c>
      <c r="AF921" t="str">
        <f>AD921*0.01</f>
        <v>#REF!</v>
      </c>
      <c r="AG921" t="str">
        <f>AD921-Q921-AF921-T921</f>
        <v>#REF!</v>
      </c>
      <c r="AH921" t="str">
        <f>AE921-Q921-AF921-T921</f>
        <v>#REF!</v>
      </c>
      <c r="AI921" t="str">
        <f>AG921/X921</f>
        <v>#REF!</v>
      </c>
      <c r="AJ921" t="str">
        <f>AH921/Y921</f>
        <v>#REF!</v>
      </c>
    </row>
    <row r="922">
      <c r="G922" t="str">
        <v>A</v>
      </c>
      <c r="K922" t="str">
        <f>IF(L922&gt;0,L922*0.0625,)</f>
        <v>#REF!</v>
      </c>
      <c r="L922" t="str">
        <f>IF(K922&gt;0,K922*16,)</f>
        <v>#REF!</v>
      </c>
      <c r="M922" t="str">
        <f>IF(K922&gt;0,K922*0.453592,IF(L922&gt;0,L922*0.02835,))</f>
        <v>#REF!</v>
      </c>
      <c r="P922">
        <f>J922+O922+N922</f>
        <v>0</v>
      </c>
      <c r="Q922">
        <f>P922*C$3</f>
        <v>0</v>
      </c>
      <c r="R922">
        <v>0</v>
      </c>
      <c r="S922">
        <f>ROUND(SUM(Q922:R922), -2)</f>
        <v>0</v>
      </c>
      <c r="T922" t="str">
        <f>ROUNDUP(HLOOKUP(ROUNDUP(K922,0),'배송비 조회'!A$10:AE$22,7,0)*C$3,-2)</f>
        <v>#REF!</v>
      </c>
      <c r="U922">
        <v>0</v>
      </c>
      <c r="V922" t="str">
        <f>ROUND(IF(R918&gt;0,0,(S922+T922)*0.3),-2)</f>
        <v>#REF!</v>
      </c>
      <c r="W922" t="str">
        <f>ROUND(IF(R918&gt;0,0,(S922+T922)*0.5),-2)</f>
        <v>#REF!</v>
      </c>
      <c r="X922" t="str">
        <f>SUM(S922:V922)</f>
        <v>#REF!</v>
      </c>
      <c r="Y922" t="str">
        <f>SUM(S922:U922)+W922</f>
        <v>#REF!</v>
      </c>
      <c r="Z922">
        <v>0</v>
      </c>
      <c r="AA922" t="str">
        <f>X922*0.038</f>
        <v>#REF!</v>
      </c>
      <c r="AB922" t="str">
        <f>X922*0.02</f>
        <v>#REF!</v>
      </c>
      <c r="AC922" t="str">
        <f>Y922*0.1</f>
        <v>#REF!</v>
      </c>
      <c r="AD922" t="str">
        <f>X922-AA922-AB922</f>
        <v>#REF!</v>
      </c>
      <c r="AE922" t="str">
        <f>Y922-AC922</f>
        <v>#REF!</v>
      </c>
      <c r="AF922" t="str">
        <f>AD922*0.01</f>
        <v>#REF!</v>
      </c>
      <c r="AG922" t="str">
        <f>AD922-Q922-AF922-T922</f>
        <v>#REF!</v>
      </c>
      <c r="AH922" t="str">
        <f>AE922-Q922-AF922-T922</f>
        <v>#REF!</v>
      </c>
      <c r="AI922" t="str">
        <f>AG922/X922</f>
        <v>#REF!</v>
      </c>
      <c r="AJ922" t="str">
        <f>AH922/Y922</f>
        <v>#REF!</v>
      </c>
    </row>
    <row r="923">
      <c r="G923" t="str">
        <v>A</v>
      </c>
      <c r="K923" t="str">
        <f>IF(L923&gt;0,L923*0.0625,)</f>
        <v>#REF!</v>
      </c>
      <c r="L923" t="str">
        <f>IF(K923&gt;0,K923*16,)</f>
        <v>#REF!</v>
      </c>
      <c r="M923" t="str">
        <f>IF(K923&gt;0,K923*0.453592,IF(L923&gt;0,L923*0.02835,))</f>
        <v>#REF!</v>
      </c>
      <c r="P923">
        <f>J923+O923+N923</f>
        <v>0</v>
      </c>
      <c r="Q923">
        <f>P923*C$3</f>
        <v>0</v>
      </c>
      <c r="R923">
        <v>0</v>
      </c>
      <c r="S923">
        <f>ROUND(SUM(Q923:R923), -2)</f>
        <v>0</v>
      </c>
      <c r="T923" t="str">
        <f>ROUNDUP(HLOOKUP(ROUNDUP(K923,0),'배송비 조회'!A$10:AE$22,7,0)*C$3,-2)</f>
        <v>#REF!</v>
      </c>
      <c r="U923">
        <v>0</v>
      </c>
      <c r="V923" t="str">
        <f>ROUND(IF(R919&gt;0,0,(S923+T923)*0.3),-2)</f>
        <v>#REF!</v>
      </c>
      <c r="W923" t="str">
        <f>ROUND(IF(R919&gt;0,0,(S923+T923)*0.5),-2)</f>
        <v>#REF!</v>
      </c>
      <c r="X923" t="str">
        <f>SUM(S923:V923)</f>
        <v>#REF!</v>
      </c>
      <c r="Y923" t="str">
        <f>SUM(S923:U923)+W923</f>
        <v>#REF!</v>
      </c>
      <c r="Z923">
        <v>0</v>
      </c>
      <c r="AA923" t="str">
        <f>X923*0.038</f>
        <v>#REF!</v>
      </c>
      <c r="AB923" t="str">
        <f>X923*0.02</f>
        <v>#REF!</v>
      </c>
      <c r="AC923" t="str">
        <f>Y923*0.1</f>
        <v>#REF!</v>
      </c>
      <c r="AD923" t="str">
        <f>X923-AA923-AB923</f>
        <v>#REF!</v>
      </c>
      <c r="AE923" t="str">
        <f>Y923-AC923</f>
        <v>#REF!</v>
      </c>
      <c r="AF923" t="str">
        <f>AD923*0.01</f>
        <v>#REF!</v>
      </c>
      <c r="AG923" t="str">
        <f>AD923-Q923-AF923-T923</f>
        <v>#REF!</v>
      </c>
      <c r="AH923" t="str">
        <f>AE923-Q923-AF923-T923</f>
        <v>#REF!</v>
      </c>
      <c r="AI923" t="str">
        <f>AG923/X923</f>
        <v>#REF!</v>
      </c>
      <c r="AJ923" t="str">
        <f>AH923/Y923</f>
        <v>#REF!</v>
      </c>
    </row>
    <row r="924">
      <c r="G924" t="str">
        <v>A</v>
      </c>
      <c r="K924" t="str">
        <f>IF(L924&gt;0,L924*0.0625,)</f>
        <v>#REF!</v>
      </c>
      <c r="L924" t="str">
        <f>IF(K924&gt;0,K924*16,)</f>
        <v>#REF!</v>
      </c>
      <c r="M924" t="str">
        <f>IF(K924&gt;0,K924*0.453592,IF(L924&gt;0,L924*0.02835,))</f>
        <v>#REF!</v>
      </c>
      <c r="P924">
        <f>J924+O924+N924</f>
        <v>0</v>
      </c>
      <c r="Q924">
        <f>P924*C$3</f>
        <v>0</v>
      </c>
      <c r="R924">
        <v>0</v>
      </c>
      <c r="S924">
        <f>ROUND(SUM(Q924:R924), -2)</f>
        <v>0</v>
      </c>
      <c r="T924" t="str">
        <f>ROUNDUP(HLOOKUP(ROUNDUP(K924,0),'배송비 조회'!A$10:AE$22,7,0)*C$3,-2)</f>
        <v>#REF!</v>
      </c>
      <c r="U924">
        <v>0</v>
      </c>
      <c r="V924" t="str">
        <f>ROUND(IF(R920&gt;0,0,(S924+T924)*0.3),-2)</f>
        <v>#REF!</v>
      </c>
      <c r="W924" t="str">
        <f>ROUND(IF(R920&gt;0,0,(S924+T924)*0.5),-2)</f>
        <v>#REF!</v>
      </c>
      <c r="X924" t="str">
        <f>SUM(S924:V924)</f>
        <v>#REF!</v>
      </c>
      <c r="Y924" t="str">
        <f>SUM(S924:U924)+W924</f>
        <v>#REF!</v>
      </c>
      <c r="Z924">
        <v>0</v>
      </c>
      <c r="AA924" t="str">
        <f>X924*0.038</f>
        <v>#REF!</v>
      </c>
      <c r="AB924" t="str">
        <f>X924*0.02</f>
        <v>#REF!</v>
      </c>
      <c r="AC924" t="str">
        <f>Y924*0.1</f>
        <v>#REF!</v>
      </c>
      <c r="AD924" t="str">
        <f>X924-AA924-AB924</f>
        <v>#REF!</v>
      </c>
      <c r="AE924" t="str">
        <f>Y924-AC924</f>
        <v>#REF!</v>
      </c>
      <c r="AF924" t="str">
        <f>AD924*0.01</f>
        <v>#REF!</v>
      </c>
      <c r="AG924" t="str">
        <f>AD924-Q924-AF924-T924</f>
        <v>#REF!</v>
      </c>
      <c r="AH924" t="str">
        <f>AE924-Q924-AF924-T924</f>
        <v>#REF!</v>
      </c>
      <c r="AI924" t="str">
        <f>AG924/X924</f>
        <v>#REF!</v>
      </c>
      <c r="AJ924" t="str">
        <f>AH924/Y924</f>
        <v>#REF!</v>
      </c>
    </row>
    <row r="925">
      <c r="G925" t="str">
        <v>A</v>
      </c>
      <c r="K925" t="str">
        <f>IF(L925&gt;0,L925*0.0625,)</f>
        <v>#REF!</v>
      </c>
      <c r="L925" t="str">
        <f>IF(K925&gt;0,K925*16,)</f>
        <v>#REF!</v>
      </c>
      <c r="M925" t="str">
        <f>IF(K925&gt;0,K925*0.453592,IF(L925&gt;0,L925*0.02835,))</f>
        <v>#REF!</v>
      </c>
      <c r="P925">
        <f>J925+O925+N925</f>
        <v>0</v>
      </c>
      <c r="Q925">
        <f>P925*C$3</f>
        <v>0</v>
      </c>
      <c r="R925">
        <v>0</v>
      </c>
      <c r="S925">
        <f>ROUND(SUM(Q925:R925), -2)</f>
        <v>0</v>
      </c>
      <c r="T925" t="str">
        <f>ROUNDUP(HLOOKUP(ROUNDUP(K925,0),'배송비 조회'!A$10:AE$22,7,0)*C$3,-2)</f>
        <v>#REF!</v>
      </c>
      <c r="U925">
        <v>0</v>
      </c>
      <c r="V925" t="str">
        <f>ROUND(IF(R921&gt;0,0,(S925+T925)*0.3),-2)</f>
        <v>#REF!</v>
      </c>
      <c r="W925" t="str">
        <f>ROUND(IF(R921&gt;0,0,(S925+T925)*0.5),-2)</f>
        <v>#REF!</v>
      </c>
      <c r="X925" t="str">
        <f>SUM(S925:V925)</f>
        <v>#REF!</v>
      </c>
      <c r="Y925" t="str">
        <f>SUM(S925:U925)+W925</f>
        <v>#REF!</v>
      </c>
      <c r="Z925">
        <v>0</v>
      </c>
      <c r="AA925" t="str">
        <f>X925*0.038</f>
        <v>#REF!</v>
      </c>
      <c r="AB925" t="str">
        <f>X925*0.02</f>
        <v>#REF!</v>
      </c>
      <c r="AC925" t="str">
        <f>Y925*0.1</f>
        <v>#REF!</v>
      </c>
      <c r="AD925" t="str">
        <f>X925-AA925-AB925</f>
        <v>#REF!</v>
      </c>
      <c r="AE925" t="str">
        <f>Y925-AC925</f>
        <v>#REF!</v>
      </c>
      <c r="AF925" t="str">
        <f>AD925*0.01</f>
        <v>#REF!</v>
      </c>
      <c r="AG925" t="str">
        <f>AD925-Q925-AF925-T925</f>
        <v>#REF!</v>
      </c>
      <c r="AH925" t="str">
        <f>AE925-Q925-AF925-T925</f>
        <v>#REF!</v>
      </c>
      <c r="AI925" t="str">
        <f>AG925/X925</f>
        <v>#REF!</v>
      </c>
      <c r="AJ925" t="str">
        <f>AH925/Y925</f>
        <v>#REF!</v>
      </c>
    </row>
    <row r="926">
      <c r="G926" t="str">
        <v>A</v>
      </c>
      <c r="K926" t="str">
        <f>IF(L926&gt;0,L926*0.0625,)</f>
        <v>#REF!</v>
      </c>
      <c r="L926" t="str">
        <f>IF(K926&gt;0,K926*16,)</f>
        <v>#REF!</v>
      </c>
      <c r="M926" t="str">
        <f>IF(K926&gt;0,K926*0.453592,IF(L926&gt;0,L926*0.02835,))</f>
        <v>#REF!</v>
      </c>
      <c r="P926">
        <f>J926+O926+N926</f>
        <v>0</v>
      </c>
      <c r="Q926">
        <f>P926*C$3</f>
        <v>0</v>
      </c>
      <c r="R926">
        <v>0</v>
      </c>
      <c r="S926">
        <f>ROUND(SUM(Q926:R926), -2)</f>
        <v>0</v>
      </c>
      <c r="T926" t="str">
        <f>ROUNDUP(HLOOKUP(ROUNDUP(K926,0),'배송비 조회'!A$10:AE$22,7,0)*C$3,-2)</f>
        <v>#REF!</v>
      </c>
      <c r="U926">
        <v>0</v>
      </c>
      <c r="V926" t="str">
        <f>ROUND(IF(R922&gt;0,0,(S926+T926)*0.3),-2)</f>
        <v>#REF!</v>
      </c>
      <c r="W926" t="str">
        <f>ROUND(IF(R922&gt;0,0,(S926+T926)*0.5),-2)</f>
        <v>#REF!</v>
      </c>
      <c r="X926" t="str">
        <f>SUM(S926:V926)</f>
        <v>#REF!</v>
      </c>
      <c r="Y926" t="str">
        <f>SUM(S926:U926)+W926</f>
        <v>#REF!</v>
      </c>
      <c r="Z926">
        <v>0</v>
      </c>
      <c r="AA926" t="str">
        <f>X926*0.038</f>
        <v>#REF!</v>
      </c>
      <c r="AB926" t="str">
        <f>X926*0.02</f>
        <v>#REF!</v>
      </c>
      <c r="AC926" t="str">
        <f>Y926*0.1</f>
        <v>#REF!</v>
      </c>
      <c r="AD926" t="str">
        <f>X926-AA926-AB926</f>
        <v>#REF!</v>
      </c>
      <c r="AE926" t="str">
        <f>Y926-AC926</f>
        <v>#REF!</v>
      </c>
      <c r="AF926" t="str">
        <f>AD926*0.01</f>
        <v>#REF!</v>
      </c>
      <c r="AG926" t="str">
        <f>AD926-Q926-AF926-T926</f>
        <v>#REF!</v>
      </c>
      <c r="AH926" t="str">
        <f>AE926-Q926-AF926-T926</f>
        <v>#REF!</v>
      </c>
      <c r="AI926" t="str">
        <f>AG926/X926</f>
        <v>#REF!</v>
      </c>
      <c r="AJ926" t="str">
        <f>AH926/Y926</f>
        <v>#REF!</v>
      </c>
    </row>
    <row r="927">
      <c r="G927" t="str">
        <v>A</v>
      </c>
      <c r="K927" t="str">
        <f>IF(L927&gt;0,L927*0.0625,)</f>
        <v>#REF!</v>
      </c>
      <c r="L927" t="str">
        <f>IF(K927&gt;0,K927*16,)</f>
        <v>#REF!</v>
      </c>
      <c r="M927" t="str">
        <f>IF(K927&gt;0,K927*0.453592,IF(L927&gt;0,L927*0.02835,))</f>
        <v>#REF!</v>
      </c>
      <c r="P927">
        <f>J927+O927+N927</f>
        <v>0</v>
      </c>
      <c r="Q927">
        <f>P927*C$3</f>
        <v>0</v>
      </c>
      <c r="R927">
        <v>0</v>
      </c>
      <c r="S927">
        <f>ROUND(SUM(Q927:R927), -2)</f>
        <v>0</v>
      </c>
      <c r="T927" t="str">
        <f>ROUNDUP(HLOOKUP(ROUNDUP(K927,0),'배송비 조회'!A$10:AE$22,7,0)*C$3,-2)</f>
        <v>#REF!</v>
      </c>
      <c r="U927">
        <v>0</v>
      </c>
      <c r="V927" t="str">
        <f>ROUND(IF(R923&gt;0,0,(S927+T927)*0.3),-2)</f>
        <v>#REF!</v>
      </c>
      <c r="W927" t="str">
        <f>ROUND(IF(R923&gt;0,0,(S927+T927)*0.5),-2)</f>
        <v>#REF!</v>
      </c>
      <c r="X927" t="str">
        <f>SUM(S927:V927)</f>
        <v>#REF!</v>
      </c>
      <c r="Y927" t="str">
        <f>SUM(S927:U927)+W927</f>
        <v>#REF!</v>
      </c>
      <c r="Z927">
        <v>0</v>
      </c>
      <c r="AA927" t="str">
        <f>X927*0.038</f>
        <v>#REF!</v>
      </c>
      <c r="AB927" t="str">
        <f>X927*0.02</f>
        <v>#REF!</v>
      </c>
      <c r="AC927" t="str">
        <f>Y927*0.1</f>
        <v>#REF!</v>
      </c>
      <c r="AD927" t="str">
        <f>X927-AA927-AB927</f>
        <v>#REF!</v>
      </c>
      <c r="AE927" t="str">
        <f>Y927-AC927</f>
        <v>#REF!</v>
      </c>
      <c r="AF927" t="str">
        <f>AD927*0.01</f>
        <v>#REF!</v>
      </c>
      <c r="AG927" t="str">
        <f>AD927-Q927-AF927-T927</f>
        <v>#REF!</v>
      </c>
      <c r="AH927" t="str">
        <f>AE927-Q927-AF927-T927</f>
        <v>#REF!</v>
      </c>
      <c r="AI927" t="str">
        <f>AG927/X927</f>
        <v>#REF!</v>
      </c>
      <c r="AJ927" t="str">
        <f>AH927/Y927</f>
        <v>#REF!</v>
      </c>
    </row>
    <row r="928">
      <c r="G928" t="str">
        <v>A</v>
      </c>
      <c r="K928" t="str">
        <f>IF(L928&gt;0,L928*0.0625,)</f>
        <v>#REF!</v>
      </c>
      <c r="L928" t="str">
        <f>IF(K928&gt;0,K928*16,)</f>
        <v>#REF!</v>
      </c>
      <c r="M928" t="str">
        <f>IF(K928&gt;0,K928*0.453592,IF(L928&gt;0,L928*0.02835,))</f>
        <v>#REF!</v>
      </c>
      <c r="P928">
        <f>J928+O928+N928</f>
        <v>0</v>
      </c>
      <c r="Q928">
        <f>P928*C$3</f>
        <v>0</v>
      </c>
      <c r="R928">
        <v>0</v>
      </c>
      <c r="S928">
        <f>ROUND(SUM(Q928:R928), -2)</f>
        <v>0</v>
      </c>
      <c r="T928" t="str">
        <f>ROUNDUP(HLOOKUP(ROUNDUP(K928,0),'배송비 조회'!A$10:AE$22,7,0)*C$3,-2)</f>
        <v>#REF!</v>
      </c>
      <c r="U928">
        <v>0</v>
      </c>
      <c r="V928" t="str">
        <f>ROUND(IF(R924&gt;0,0,(S928+T928)*0.3),-2)</f>
        <v>#REF!</v>
      </c>
      <c r="W928" t="str">
        <f>ROUND(IF(R924&gt;0,0,(S928+T928)*0.5),-2)</f>
        <v>#REF!</v>
      </c>
      <c r="X928" t="str">
        <f>SUM(S928:V928)</f>
        <v>#REF!</v>
      </c>
      <c r="Y928" t="str">
        <f>SUM(S928:U928)+W928</f>
        <v>#REF!</v>
      </c>
      <c r="Z928">
        <v>0</v>
      </c>
      <c r="AA928" t="str">
        <f>X928*0.038</f>
        <v>#REF!</v>
      </c>
      <c r="AB928" t="str">
        <f>X928*0.02</f>
        <v>#REF!</v>
      </c>
      <c r="AC928" t="str">
        <f>Y928*0.1</f>
        <v>#REF!</v>
      </c>
      <c r="AD928" t="str">
        <f>X928-AA928-AB928</f>
        <v>#REF!</v>
      </c>
      <c r="AE928" t="str">
        <f>Y928-AC928</f>
        <v>#REF!</v>
      </c>
      <c r="AF928" t="str">
        <f>AD928*0.01</f>
        <v>#REF!</v>
      </c>
      <c r="AG928" t="str">
        <f>AD928-Q928-AF928-T928</f>
        <v>#REF!</v>
      </c>
      <c r="AH928" t="str">
        <f>AE928-Q928-AF928-T928</f>
        <v>#REF!</v>
      </c>
      <c r="AI928" t="str">
        <f>AG928/X928</f>
        <v>#REF!</v>
      </c>
      <c r="AJ928" t="str">
        <f>AH928/Y928</f>
        <v>#REF!</v>
      </c>
    </row>
    <row r="929">
      <c r="G929" t="str">
        <v>A</v>
      </c>
      <c r="K929" t="str">
        <f>IF(L929&gt;0,L929*0.0625,)</f>
        <v>#REF!</v>
      </c>
      <c r="L929" t="str">
        <f>IF(K929&gt;0,K929*16,)</f>
        <v>#REF!</v>
      </c>
      <c r="M929" t="str">
        <f>IF(K929&gt;0,K929*0.453592,IF(L929&gt;0,L929*0.02835,))</f>
        <v>#REF!</v>
      </c>
      <c r="P929">
        <f>J929+O929+N929</f>
        <v>0</v>
      </c>
      <c r="Q929">
        <f>P929*C$3</f>
        <v>0</v>
      </c>
      <c r="R929">
        <v>0</v>
      </c>
      <c r="S929">
        <f>ROUND(SUM(Q929:R929), -2)</f>
        <v>0</v>
      </c>
      <c r="T929" t="str">
        <f>ROUNDUP(HLOOKUP(ROUNDUP(K929,0),'배송비 조회'!A$10:AE$22,7,0)*C$3,-2)</f>
        <v>#REF!</v>
      </c>
      <c r="U929">
        <v>0</v>
      </c>
      <c r="V929" t="str">
        <f>ROUND(IF(R925&gt;0,0,(S929+T929)*0.3),-2)</f>
        <v>#REF!</v>
      </c>
      <c r="W929" t="str">
        <f>ROUND(IF(R925&gt;0,0,(S929+T929)*0.5),-2)</f>
        <v>#REF!</v>
      </c>
      <c r="X929" t="str">
        <f>SUM(S929:V929)</f>
        <v>#REF!</v>
      </c>
      <c r="Y929" t="str">
        <f>SUM(S929:U929)+W929</f>
        <v>#REF!</v>
      </c>
      <c r="Z929">
        <v>0</v>
      </c>
      <c r="AA929" t="str">
        <f>X929*0.038</f>
        <v>#REF!</v>
      </c>
      <c r="AB929" t="str">
        <f>X929*0.02</f>
        <v>#REF!</v>
      </c>
      <c r="AC929" t="str">
        <f>Y929*0.1</f>
        <v>#REF!</v>
      </c>
      <c r="AD929" t="str">
        <f>X929-AA929-AB929</f>
        <v>#REF!</v>
      </c>
      <c r="AE929" t="str">
        <f>Y929-AC929</f>
        <v>#REF!</v>
      </c>
      <c r="AF929" t="str">
        <f>AD929*0.01</f>
        <v>#REF!</v>
      </c>
      <c r="AG929" t="str">
        <f>AD929-Q929-AF929-T929</f>
        <v>#REF!</v>
      </c>
      <c r="AH929" t="str">
        <f>AE929-Q929-AF929-T929</f>
        <v>#REF!</v>
      </c>
      <c r="AI929" t="str">
        <f>AG929/X929</f>
        <v>#REF!</v>
      </c>
      <c r="AJ929" t="str">
        <f>AH929/Y929</f>
        <v>#REF!</v>
      </c>
    </row>
    <row r="930">
      <c r="G930" t="str">
        <v>A</v>
      </c>
      <c r="K930" t="str">
        <f>IF(L930&gt;0,L930*0.0625,)</f>
        <v>#REF!</v>
      </c>
      <c r="L930" t="str">
        <f>IF(K930&gt;0,K930*16,)</f>
        <v>#REF!</v>
      </c>
      <c r="M930" t="str">
        <f>IF(K930&gt;0,K930*0.453592,IF(L930&gt;0,L930*0.02835,))</f>
        <v>#REF!</v>
      </c>
      <c r="P930">
        <f>J930+O930+N930</f>
        <v>0</v>
      </c>
      <c r="Q930">
        <f>P930*C$3</f>
        <v>0</v>
      </c>
      <c r="R930">
        <v>0</v>
      </c>
      <c r="S930">
        <f>ROUND(SUM(Q930:R930), -2)</f>
        <v>0</v>
      </c>
      <c r="T930" t="str">
        <f>ROUNDUP(HLOOKUP(ROUNDUP(K930,0),'배송비 조회'!A$10:AE$22,7,0)*C$3,-2)</f>
        <v>#REF!</v>
      </c>
      <c r="U930">
        <v>0</v>
      </c>
      <c r="V930" t="str">
        <f>ROUND(IF(R926&gt;0,0,(S930+T930)*0.3),-2)</f>
        <v>#REF!</v>
      </c>
      <c r="W930" t="str">
        <f>ROUND(IF(R926&gt;0,0,(S930+T930)*0.5),-2)</f>
        <v>#REF!</v>
      </c>
      <c r="X930" t="str">
        <f>SUM(S930:V930)</f>
        <v>#REF!</v>
      </c>
      <c r="Y930" t="str">
        <f>SUM(S930:U930)+W930</f>
        <v>#REF!</v>
      </c>
      <c r="Z930">
        <v>0</v>
      </c>
      <c r="AA930" t="str">
        <f>X930*0.038</f>
        <v>#REF!</v>
      </c>
      <c r="AB930" t="str">
        <f>X930*0.02</f>
        <v>#REF!</v>
      </c>
      <c r="AC930" t="str">
        <f>Y930*0.1</f>
        <v>#REF!</v>
      </c>
      <c r="AD930" t="str">
        <f>X930-AA930-AB930</f>
        <v>#REF!</v>
      </c>
      <c r="AE930" t="str">
        <f>Y930-AC930</f>
        <v>#REF!</v>
      </c>
      <c r="AF930" t="str">
        <f>AD930*0.01</f>
        <v>#REF!</v>
      </c>
      <c r="AG930" t="str">
        <f>AD930-Q930-AF930-T930</f>
        <v>#REF!</v>
      </c>
      <c r="AH930" t="str">
        <f>AE930-Q930-AF930-T930</f>
        <v>#REF!</v>
      </c>
      <c r="AI930" t="str">
        <f>AG930/X930</f>
        <v>#REF!</v>
      </c>
      <c r="AJ930" t="str">
        <f>AH930/Y930</f>
        <v>#REF!</v>
      </c>
    </row>
    <row r="931">
      <c r="G931" t="str">
        <v>A</v>
      </c>
      <c r="K931" t="str">
        <f>IF(L931&gt;0,L931*0.0625,)</f>
        <v>#REF!</v>
      </c>
      <c r="L931" t="str">
        <f>IF(K931&gt;0,K931*16,)</f>
        <v>#REF!</v>
      </c>
      <c r="M931" t="str">
        <f>IF(K931&gt;0,K931*0.453592,IF(L931&gt;0,L931*0.02835,))</f>
        <v>#REF!</v>
      </c>
      <c r="P931">
        <f>J931+O931+N931</f>
        <v>0</v>
      </c>
      <c r="Q931">
        <f>P931*C$3</f>
        <v>0</v>
      </c>
      <c r="R931">
        <v>0</v>
      </c>
      <c r="S931">
        <f>ROUND(SUM(Q931:R931), -2)</f>
        <v>0</v>
      </c>
      <c r="T931" t="str">
        <f>ROUNDUP(HLOOKUP(ROUNDUP(K931,0),'배송비 조회'!A$10:AE$22,7,0)*C$3,-2)</f>
        <v>#REF!</v>
      </c>
      <c r="U931">
        <v>0</v>
      </c>
      <c r="V931" t="str">
        <f>ROUND(IF(R927&gt;0,0,(S931+T931)*0.3),-2)</f>
        <v>#REF!</v>
      </c>
      <c r="W931" t="str">
        <f>ROUND(IF(R927&gt;0,0,(S931+T931)*0.5),-2)</f>
        <v>#REF!</v>
      </c>
      <c r="X931" t="str">
        <f>SUM(S931:V931)</f>
        <v>#REF!</v>
      </c>
      <c r="Y931" t="str">
        <f>SUM(S931:U931)+W931</f>
        <v>#REF!</v>
      </c>
      <c r="Z931">
        <v>0</v>
      </c>
      <c r="AA931" t="str">
        <f>X931*0.038</f>
        <v>#REF!</v>
      </c>
      <c r="AB931" t="str">
        <f>X931*0.02</f>
        <v>#REF!</v>
      </c>
      <c r="AC931" t="str">
        <f>Y931*0.1</f>
        <v>#REF!</v>
      </c>
      <c r="AD931" t="str">
        <f>X931-AA931-AB931</f>
        <v>#REF!</v>
      </c>
      <c r="AE931" t="str">
        <f>Y931-AC931</f>
        <v>#REF!</v>
      </c>
      <c r="AF931" t="str">
        <f>AD931*0.01</f>
        <v>#REF!</v>
      </c>
      <c r="AG931" t="str">
        <f>AD931-Q931-AF931-T931</f>
        <v>#REF!</v>
      </c>
      <c r="AH931" t="str">
        <f>AE931-Q931-AF931-T931</f>
        <v>#REF!</v>
      </c>
      <c r="AI931" t="str">
        <f>AG931/X931</f>
        <v>#REF!</v>
      </c>
      <c r="AJ931" t="str">
        <f>AH931/Y931</f>
        <v>#REF!</v>
      </c>
    </row>
    <row r="932">
      <c r="G932" t="str">
        <v>A</v>
      </c>
      <c r="K932" t="str">
        <f>IF(L932&gt;0,L932*0.0625,)</f>
        <v>#REF!</v>
      </c>
      <c r="L932" t="str">
        <f>IF(K932&gt;0,K932*16,)</f>
        <v>#REF!</v>
      </c>
      <c r="M932" t="str">
        <f>IF(K932&gt;0,K932*0.453592,IF(L932&gt;0,L932*0.02835,))</f>
        <v>#REF!</v>
      </c>
      <c r="P932">
        <f>J932+O932+N932</f>
        <v>0</v>
      </c>
      <c r="Q932">
        <f>P932*C$3</f>
        <v>0</v>
      </c>
      <c r="R932">
        <v>0</v>
      </c>
      <c r="S932">
        <f>ROUND(SUM(Q932:R932), -2)</f>
        <v>0</v>
      </c>
      <c r="T932" t="str">
        <f>ROUNDUP(HLOOKUP(ROUNDUP(K932,0),'배송비 조회'!A$10:AE$22,7,0)*C$3,-2)</f>
        <v>#REF!</v>
      </c>
      <c r="U932">
        <v>0</v>
      </c>
      <c r="V932" t="str">
        <f>ROUND(IF(R928&gt;0,0,(S932+T932)*0.3),-2)</f>
        <v>#REF!</v>
      </c>
      <c r="W932" t="str">
        <f>ROUND(IF(R928&gt;0,0,(S932+T932)*0.5),-2)</f>
        <v>#REF!</v>
      </c>
      <c r="X932" t="str">
        <f>SUM(S932:V932)</f>
        <v>#REF!</v>
      </c>
      <c r="Y932" t="str">
        <f>SUM(S932:U932)+W932</f>
        <v>#REF!</v>
      </c>
      <c r="Z932">
        <v>0</v>
      </c>
      <c r="AA932" t="str">
        <f>X932*0.038</f>
        <v>#REF!</v>
      </c>
      <c r="AB932" t="str">
        <f>X932*0.02</f>
        <v>#REF!</v>
      </c>
      <c r="AC932" t="str">
        <f>Y932*0.1</f>
        <v>#REF!</v>
      </c>
      <c r="AD932" t="str">
        <f>X932-AA932-AB932</f>
        <v>#REF!</v>
      </c>
      <c r="AE932" t="str">
        <f>Y932-AC932</f>
        <v>#REF!</v>
      </c>
      <c r="AF932" t="str">
        <f>AD932*0.01</f>
        <v>#REF!</v>
      </c>
      <c r="AG932" t="str">
        <f>AD932-Q932-AF932-T932</f>
        <v>#REF!</v>
      </c>
      <c r="AH932" t="str">
        <f>AE932-Q932-AF932-T932</f>
        <v>#REF!</v>
      </c>
      <c r="AI932" t="str">
        <f>AG932/X932</f>
        <v>#REF!</v>
      </c>
      <c r="AJ932" t="str">
        <f>AH932/Y932</f>
        <v>#REF!</v>
      </c>
    </row>
    <row r="933">
      <c r="G933" t="str">
        <v>A</v>
      </c>
      <c r="K933" t="str">
        <f>IF(L933&gt;0,L933*0.0625,)</f>
        <v>#REF!</v>
      </c>
      <c r="L933" t="str">
        <f>IF(K933&gt;0,K933*16,)</f>
        <v>#REF!</v>
      </c>
      <c r="M933" t="str">
        <f>IF(K933&gt;0,K933*0.453592,IF(L933&gt;0,L933*0.02835,))</f>
        <v>#REF!</v>
      </c>
      <c r="P933">
        <f>J933+O933+N933</f>
        <v>0</v>
      </c>
      <c r="Q933">
        <f>P933*C$3</f>
        <v>0</v>
      </c>
      <c r="R933">
        <v>0</v>
      </c>
      <c r="S933">
        <f>ROUND(SUM(Q933:R933), -2)</f>
        <v>0</v>
      </c>
      <c r="T933" t="str">
        <f>ROUNDUP(HLOOKUP(ROUNDUP(K933,0),'배송비 조회'!A$10:AE$22,7,0)*C$3,-2)</f>
        <v>#REF!</v>
      </c>
      <c r="U933">
        <v>0</v>
      </c>
      <c r="V933" t="str">
        <f>ROUND(IF(R929&gt;0,0,(S933+T933)*0.3),-2)</f>
        <v>#REF!</v>
      </c>
      <c r="W933" t="str">
        <f>ROUND(IF(R929&gt;0,0,(S933+T933)*0.5),-2)</f>
        <v>#REF!</v>
      </c>
      <c r="X933" t="str">
        <f>SUM(S933:V933)</f>
        <v>#REF!</v>
      </c>
      <c r="Y933" t="str">
        <f>SUM(S933:U933)+W933</f>
        <v>#REF!</v>
      </c>
      <c r="Z933">
        <v>0</v>
      </c>
      <c r="AA933" t="str">
        <f>X933*0.038</f>
        <v>#REF!</v>
      </c>
      <c r="AB933" t="str">
        <f>X933*0.02</f>
        <v>#REF!</v>
      </c>
      <c r="AC933" t="str">
        <f>Y933*0.1</f>
        <v>#REF!</v>
      </c>
      <c r="AD933" t="str">
        <f>X933-AA933-AB933</f>
        <v>#REF!</v>
      </c>
      <c r="AE933" t="str">
        <f>Y933-AC933</f>
        <v>#REF!</v>
      </c>
      <c r="AF933" t="str">
        <f>AD933*0.01</f>
        <v>#REF!</v>
      </c>
      <c r="AG933" t="str">
        <f>AD933-Q933-AF933-T933</f>
        <v>#REF!</v>
      </c>
      <c r="AH933" t="str">
        <f>AE933-Q933-AF933-T933</f>
        <v>#REF!</v>
      </c>
      <c r="AI933" t="str">
        <f>AG933/X933</f>
        <v>#REF!</v>
      </c>
      <c r="AJ933" t="str">
        <f>AH933/Y933</f>
        <v>#REF!</v>
      </c>
    </row>
    <row r="934">
      <c r="G934" t="str">
        <v>A</v>
      </c>
      <c r="K934" t="str">
        <f>IF(L934&gt;0,L934*0.0625,)</f>
        <v>#REF!</v>
      </c>
      <c r="L934" t="str">
        <f>IF(K934&gt;0,K934*16,)</f>
        <v>#REF!</v>
      </c>
      <c r="M934" t="str">
        <f>IF(K934&gt;0,K934*0.453592,IF(L934&gt;0,L934*0.02835,))</f>
        <v>#REF!</v>
      </c>
      <c r="P934">
        <f>J934+O934+N934</f>
        <v>0</v>
      </c>
      <c r="Q934">
        <f>P934*C$3</f>
        <v>0</v>
      </c>
      <c r="R934">
        <v>0</v>
      </c>
      <c r="S934">
        <f>ROUND(SUM(Q934:R934), -2)</f>
        <v>0</v>
      </c>
      <c r="T934" t="str">
        <f>ROUNDUP(HLOOKUP(ROUNDUP(K934,0),'배송비 조회'!A$10:AE$22,7,0)*C$3,-2)</f>
        <v>#REF!</v>
      </c>
      <c r="U934">
        <v>0</v>
      </c>
      <c r="V934" t="str">
        <f>ROUND(IF(R930&gt;0,0,(S934+T934)*0.3),-2)</f>
        <v>#REF!</v>
      </c>
      <c r="W934" t="str">
        <f>ROUND(IF(R930&gt;0,0,(S934+T934)*0.5),-2)</f>
        <v>#REF!</v>
      </c>
      <c r="X934" t="str">
        <f>SUM(S934:V934)</f>
        <v>#REF!</v>
      </c>
      <c r="Y934" t="str">
        <f>SUM(S934:U934)+W934</f>
        <v>#REF!</v>
      </c>
      <c r="Z934">
        <v>0</v>
      </c>
      <c r="AA934" t="str">
        <f>X934*0.038</f>
        <v>#REF!</v>
      </c>
      <c r="AB934" t="str">
        <f>X934*0.02</f>
        <v>#REF!</v>
      </c>
      <c r="AC934" t="str">
        <f>Y934*0.1</f>
        <v>#REF!</v>
      </c>
      <c r="AD934" t="str">
        <f>X934-AA934-AB934</f>
        <v>#REF!</v>
      </c>
      <c r="AE934" t="str">
        <f>Y934-AC934</f>
        <v>#REF!</v>
      </c>
      <c r="AF934" t="str">
        <f>AD934*0.01</f>
        <v>#REF!</v>
      </c>
      <c r="AG934" t="str">
        <f>AD934-Q934-AF934-T934</f>
        <v>#REF!</v>
      </c>
      <c r="AH934" t="str">
        <f>AE934-Q934-AF934-T934</f>
        <v>#REF!</v>
      </c>
      <c r="AI934" t="str">
        <f>AG934/X934</f>
        <v>#REF!</v>
      </c>
      <c r="AJ934" t="str">
        <f>AH934/Y934</f>
        <v>#REF!</v>
      </c>
    </row>
    <row r="935">
      <c r="G935" t="str">
        <v>A</v>
      </c>
      <c r="K935" t="str">
        <f>IF(L935&gt;0,L935*0.0625,)</f>
        <v>#REF!</v>
      </c>
      <c r="L935" t="str">
        <f>IF(K935&gt;0,K935*16,)</f>
        <v>#REF!</v>
      </c>
      <c r="M935" t="str">
        <f>IF(K935&gt;0,K935*0.453592,IF(L935&gt;0,L935*0.02835,))</f>
        <v>#REF!</v>
      </c>
      <c r="P935">
        <f>J935+O935+N935</f>
        <v>0</v>
      </c>
      <c r="Q935">
        <f>P935*C$3</f>
        <v>0</v>
      </c>
      <c r="R935">
        <v>0</v>
      </c>
      <c r="S935">
        <f>ROUND(SUM(Q935:R935), -2)</f>
        <v>0</v>
      </c>
      <c r="T935" t="str">
        <f>ROUNDUP(HLOOKUP(ROUNDUP(K935,0),'배송비 조회'!A$10:AE$22,7,0)*C$3,-2)</f>
        <v>#REF!</v>
      </c>
      <c r="U935">
        <v>0</v>
      </c>
      <c r="V935" t="str">
        <f>ROUND(IF(R931&gt;0,0,(S935+T935)*0.3),-2)</f>
        <v>#REF!</v>
      </c>
      <c r="W935" t="str">
        <f>ROUND(IF(R931&gt;0,0,(S935+T935)*0.5),-2)</f>
        <v>#REF!</v>
      </c>
      <c r="X935" t="str">
        <f>SUM(S935:V935)</f>
        <v>#REF!</v>
      </c>
      <c r="Y935" t="str">
        <f>SUM(S935:U935)+W935</f>
        <v>#REF!</v>
      </c>
      <c r="Z935">
        <v>0</v>
      </c>
      <c r="AA935" t="str">
        <f>X935*0.038</f>
        <v>#REF!</v>
      </c>
      <c r="AB935" t="str">
        <f>X935*0.02</f>
        <v>#REF!</v>
      </c>
      <c r="AC935" t="str">
        <f>Y935*0.1</f>
        <v>#REF!</v>
      </c>
      <c r="AD935" t="str">
        <f>X935-AA935-AB935</f>
        <v>#REF!</v>
      </c>
      <c r="AE935" t="str">
        <f>Y935-AC935</f>
        <v>#REF!</v>
      </c>
      <c r="AF935" t="str">
        <f>AD935*0.01</f>
        <v>#REF!</v>
      </c>
      <c r="AG935" t="str">
        <f>AD935-Q935-AF935-T935</f>
        <v>#REF!</v>
      </c>
      <c r="AH935" t="str">
        <f>AE935-Q935-AF935-T935</f>
        <v>#REF!</v>
      </c>
      <c r="AI935" t="str">
        <f>AG935/X935</f>
        <v>#REF!</v>
      </c>
      <c r="AJ935" t="str">
        <f>AH935/Y935</f>
        <v>#REF!</v>
      </c>
    </row>
    <row r="936">
      <c r="G936" t="str">
        <v>A</v>
      </c>
      <c r="K936" t="str">
        <f>IF(L936&gt;0,L936*0.0625,)</f>
        <v>#REF!</v>
      </c>
      <c r="L936" t="str">
        <f>IF(K936&gt;0,K936*16,)</f>
        <v>#REF!</v>
      </c>
      <c r="M936" t="str">
        <f>IF(K936&gt;0,K936*0.453592,IF(L936&gt;0,L936*0.02835,))</f>
        <v>#REF!</v>
      </c>
      <c r="P936">
        <f>J936+O936+N936</f>
        <v>0</v>
      </c>
      <c r="Q936">
        <f>P936*C$3</f>
        <v>0</v>
      </c>
      <c r="R936">
        <v>0</v>
      </c>
      <c r="S936">
        <f>ROUND(SUM(Q936:R936), -2)</f>
        <v>0</v>
      </c>
      <c r="T936" t="str">
        <f>ROUNDUP(HLOOKUP(ROUNDUP(K936,0),'배송비 조회'!A$10:AE$22,7,0)*C$3,-2)</f>
        <v>#REF!</v>
      </c>
      <c r="U936">
        <v>0</v>
      </c>
      <c r="V936" t="str">
        <f>ROUND(IF(R932&gt;0,0,(S936+T936)*0.3),-2)</f>
        <v>#REF!</v>
      </c>
      <c r="W936" t="str">
        <f>ROUND(IF(R932&gt;0,0,(S936+T936)*0.5),-2)</f>
        <v>#REF!</v>
      </c>
      <c r="X936" t="str">
        <f>SUM(S936:V936)</f>
        <v>#REF!</v>
      </c>
      <c r="Y936" t="str">
        <f>SUM(S936:U936)+W936</f>
        <v>#REF!</v>
      </c>
      <c r="Z936">
        <v>0</v>
      </c>
      <c r="AA936" t="str">
        <f>X936*0.038</f>
        <v>#REF!</v>
      </c>
      <c r="AB936" t="str">
        <f>X936*0.02</f>
        <v>#REF!</v>
      </c>
      <c r="AC936" t="str">
        <f>Y936*0.1</f>
        <v>#REF!</v>
      </c>
      <c r="AD936" t="str">
        <f>X936-AA936-AB936</f>
        <v>#REF!</v>
      </c>
      <c r="AE936" t="str">
        <f>Y936-AC936</f>
        <v>#REF!</v>
      </c>
      <c r="AF936" t="str">
        <f>AD936*0.01</f>
        <v>#REF!</v>
      </c>
      <c r="AG936" t="str">
        <f>AD936-Q936-AF936-T936</f>
        <v>#REF!</v>
      </c>
      <c r="AH936" t="str">
        <f>AE936-Q936-AF936-T936</f>
        <v>#REF!</v>
      </c>
      <c r="AI936" t="str">
        <f>AG936/X936</f>
        <v>#REF!</v>
      </c>
      <c r="AJ936" t="str">
        <f>AH936/Y936</f>
        <v>#REF!</v>
      </c>
    </row>
    <row r="937">
      <c r="G937" t="str">
        <v>A</v>
      </c>
      <c r="K937" t="str">
        <f>IF(L937&gt;0,L937*0.0625,)</f>
        <v>#REF!</v>
      </c>
      <c r="L937" t="str">
        <f>IF(K937&gt;0,K937*16,)</f>
        <v>#REF!</v>
      </c>
      <c r="M937" t="str">
        <f>IF(K937&gt;0,K937*0.453592,IF(L937&gt;0,L937*0.02835,))</f>
        <v>#REF!</v>
      </c>
      <c r="P937">
        <f>J937+O937+N937</f>
        <v>0</v>
      </c>
      <c r="Q937">
        <f>P937*C$3</f>
        <v>0</v>
      </c>
      <c r="R937">
        <v>0</v>
      </c>
      <c r="S937">
        <f>ROUND(SUM(Q937:R937), -2)</f>
        <v>0</v>
      </c>
      <c r="T937" t="str">
        <f>ROUNDUP(HLOOKUP(ROUNDUP(K937,0),'배송비 조회'!A$10:AE$22,7,0)*C$3,-2)</f>
        <v>#REF!</v>
      </c>
      <c r="U937">
        <v>0</v>
      </c>
      <c r="V937" t="str">
        <f>ROUND(IF(R933&gt;0,0,(S937+T937)*0.3),-2)</f>
        <v>#REF!</v>
      </c>
      <c r="W937" t="str">
        <f>ROUND(IF(R933&gt;0,0,(S937+T937)*0.5),-2)</f>
        <v>#REF!</v>
      </c>
      <c r="X937" t="str">
        <f>SUM(S937:V937)</f>
        <v>#REF!</v>
      </c>
      <c r="Y937" t="str">
        <f>SUM(S937:U937)+W937</f>
        <v>#REF!</v>
      </c>
      <c r="Z937">
        <v>0</v>
      </c>
      <c r="AA937" t="str">
        <f>X937*0.038</f>
        <v>#REF!</v>
      </c>
      <c r="AB937" t="str">
        <f>X937*0.02</f>
        <v>#REF!</v>
      </c>
      <c r="AC937" t="str">
        <f>Y937*0.1</f>
        <v>#REF!</v>
      </c>
      <c r="AD937" t="str">
        <f>X937-AA937-AB937</f>
        <v>#REF!</v>
      </c>
      <c r="AE937" t="str">
        <f>Y937-AC937</f>
        <v>#REF!</v>
      </c>
      <c r="AF937" t="str">
        <f>AD937*0.01</f>
        <v>#REF!</v>
      </c>
      <c r="AG937" t="str">
        <f>AD937-Q937-AF937-T937</f>
        <v>#REF!</v>
      </c>
      <c r="AH937" t="str">
        <f>AE937-Q937-AF937-T937</f>
        <v>#REF!</v>
      </c>
      <c r="AI937" t="str">
        <f>AG937/X937</f>
        <v>#REF!</v>
      </c>
      <c r="AJ937" t="str">
        <f>AH937/Y937</f>
        <v>#REF!</v>
      </c>
    </row>
    <row r="938">
      <c r="G938" t="str">
        <v>A</v>
      </c>
      <c r="K938" t="str">
        <f>IF(L938&gt;0,L938*0.0625,)</f>
        <v>#REF!</v>
      </c>
      <c r="L938" t="str">
        <f>IF(K938&gt;0,K938*16,)</f>
        <v>#REF!</v>
      </c>
      <c r="M938" t="str">
        <f>IF(K938&gt;0,K938*0.453592,IF(L938&gt;0,L938*0.02835,))</f>
        <v>#REF!</v>
      </c>
      <c r="P938">
        <f>J938+O938+N938</f>
        <v>0</v>
      </c>
      <c r="Q938">
        <f>P938*C$3</f>
        <v>0</v>
      </c>
      <c r="R938">
        <v>0</v>
      </c>
      <c r="S938">
        <f>ROUND(SUM(Q938:R938), -2)</f>
        <v>0</v>
      </c>
      <c r="T938" t="str">
        <f>ROUNDUP(HLOOKUP(ROUNDUP(K938,0),'배송비 조회'!A$10:AE$22,7,0)*C$3,-2)</f>
        <v>#REF!</v>
      </c>
      <c r="U938">
        <v>0</v>
      </c>
      <c r="V938" t="str">
        <f>ROUND(IF(R934&gt;0,0,(S938+T938)*0.3),-2)</f>
        <v>#REF!</v>
      </c>
      <c r="W938" t="str">
        <f>ROUND(IF(R934&gt;0,0,(S938+T938)*0.5),-2)</f>
        <v>#REF!</v>
      </c>
      <c r="X938" t="str">
        <f>SUM(S938:V938)</f>
        <v>#REF!</v>
      </c>
      <c r="Y938" t="str">
        <f>SUM(S938:U938)+W938</f>
        <v>#REF!</v>
      </c>
      <c r="Z938">
        <v>0</v>
      </c>
      <c r="AA938" t="str">
        <f>X938*0.038</f>
        <v>#REF!</v>
      </c>
      <c r="AB938" t="str">
        <f>X938*0.02</f>
        <v>#REF!</v>
      </c>
      <c r="AC938" t="str">
        <f>Y938*0.1</f>
        <v>#REF!</v>
      </c>
      <c r="AD938" t="str">
        <f>X938-AA938-AB938</f>
        <v>#REF!</v>
      </c>
      <c r="AE938" t="str">
        <f>Y938-AC938</f>
        <v>#REF!</v>
      </c>
      <c r="AF938" t="str">
        <f>AD938*0.01</f>
        <v>#REF!</v>
      </c>
      <c r="AG938" t="str">
        <f>AD938-Q938-AF938-T938</f>
        <v>#REF!</v>
      </c>
      <c r="AH938" t="str">
        <f>AE938-Q938-AF938-T938</f>
        <v>#REF!</v>
      </c>
      <c r="AI938" t="str">
        <f>AG938/X938</f>
        <v>#REF!</v>
      </c>
      <c r="AJ938" t="str">
        <f>AH938/Y938</f>
        <v>#REF!</v>
      </c>
    </row>
    <row r="939">
      <c r="G939" t="str">
        <v>A</v>
      </c>
      <c r="K939" t="str">
        <f>IF(L939&gt;0,L939*0.0625,)</f>
        <v>#REF!</v>
      </c>
      <c r="L939" t="str">
        <f>IF(K939&gt;0,K939*16,)</f>
        <v>#REF!</v>
      </c>
      <c r="M939" t="str">
        <f>IF(K939&gt;0,K939*0.453592,IF(L939&gt;0,L939*0.02835,))</f>
        <v>#REF!</v>
      </c>
      <c r="P939">
        <f>J939+O939+N939</f>
        <v>0</v>
      </c>
      <c r="Q939">
        <f>P939*C$3</f>
        <v>0</v>
      </c>
      <c r="R939">
        <v>0</v>
      </c>
      <c r="S939">
        <f>ROUND(SUM(Q939:R939), -2)</f>
        <v>0</v>
      </c>
      <c r="T939" t="str">
        <f>ROUNDUP(HLOOKUP(ROUNDUP(K939,0),'배송비 조회'!A$10:AE$22,7,0)*C$3,-2)</f>
        <v>#REF!</v>
      </c>
      <c r="U939">
        <v>0</v>
      </c>
      <c r="V939" t="str">
        <f>ROUND(IF(R935&gt;0,0,(S939+T939)*0.3),-2)</f>
        <v>#REF!</v>
      </c>
      <c r="W939" t="str">
        <f>ROUND(IF(R935&gt;0,0,(S939+T939)*0.5),-2)</f>
        <v>#REF!</v>
      </c>
      <c r="X939" t="str">
        <f>SUM(S939:V939)</f>
        <v>#REF!</v>
      </c>
      <c r="Y939" t="str">
        <f>SUM(S939:U939)+W939</f>
        <v>#REF!</v>
      </c>
      <c r="Z939">
        <v>0</v>
      </c>
      <c r="AA939" t="str">
        <f>X939*0.038</f>
        <v>#REF!</v>
      </c>
      <c r="AB939" t="str">
        <f>X939*0.02</f>
        <v>#REF!</v>
      </c>
      <c r="AC939" t="str">
        <f>Y939*0.1</f>
        <v>#REF!</v>
      </c>
      <c r="AD939" t="str">
        <f>X939-AA939-AB939</f>
        <v>#REF!</v>
      </c>
      <c r="AE939" t="str">
        <f>Y939-AC939</f>
        <v>#REF!</v>
      </c>
      <c r="AF939" t="str">
        <f>AD939*0.01</f>
        <v>#REF!</v>
      </c>
      <c r="AG939" t="str">
        <f>AD939-Q939-AF939-T939</f>
        <v>#REF!</v>
      </c>
      <c r="AH939" t="str">
        <f>AE939-Q939-AF939-T939</f>
        <v>#REF!</v>
      </c>
      <c r="AI939" t="str">
        <f>AG939/X939</f>
        <v>#REF!</v>
      </c>
      <c r="AJ939" t="str">
        <f>AH939/Y939</f>
        <v>#REF!</v>
      </c>
    </row>
    <row r="940">
      <c r="G940" t="str">
        <v>A</v>
      </c>
      <c r="K940" t="str">
        <f>IF(L940&gt;0,L940*0.0625,)</f>
        <v>#REF!</v>
      </c>
      <c r="L940" t="str">
        <f>IF(K940&gt;0,K940*16,)</f>
        <v>#REF!</v>
      </c>
      <c r="M940" t="str">
        <f>IF(K940&gt;0,K940*0.453592,IF(L940&gt;0,L940*0.02835,))</f>
        <v>#REF!</v>
      </c>
      <c r="P940">
        <f>J940+O940+N940</f>
        <v>0</v>
      </c>
      <c r="Q940">
        <f>P940*C$3</f>
        <v>0</v>
      </c>
      <c r="R940">
        <v>0</v>
      </c>
      <c r="S940">
        <f>ROUND(SUM(Q940:R940), -2)</f>
        <v>0</v>
      </c>
      <c r="T940" t="str">
        <f>ROUNDUP(HLOOKUP(ROUNDUP(K940,0),'배송비 조회'!A$10:AE$22,7,0)*C$3,-2)</f>
        <v>#REF!</v>
      </c>
      <c r="U940">
        <v>0</v>
      </c>
      <c r="V940" t="str">
        <f>ROUND(IF(R936&gt;0,0,(S940+T940)*0.3),-2)</f>
        <v>#REF!</v>
      </c>
      <c r="W940" t="str">
        <f>ROUND(IF(R936&gt;0,0,(S940+T940)*0.5),-2)</f>
        <v>#REF!</v>
      </c>
      <c r="X940" t="str">
        <f>SUM(S940:V940)</f>
        <v>#REF!</v>
      </c>
      <c r="Y940" t="str">
        <f>SUM(S940:U940)+W940</f>
        <v>#REF!</v>
      </c>
      <c r="Z940">
        <v>0</v>
      </c>
      <c r="AA940" t="str">
        <f>X940*0.038</f>
        <v>#REF!</v>
      </c>
      <c r="AB940" t="str">
        <f>X940*0.02</f>
        <v>#REF!</v>
      </c>
      <c r="AC940" t="str">
        <f>Y940*0.1</f>
        <v>#REF!</v>
      </c>
      <c r="AD940" t="str">
        <f>X940-AA940-AB940</f>
        <v>#REF!</v>
      </c>
      <c r="AE940" t="str">
        <f>Y940-AC940</f>
        <v>#REF!</v>
      </c>
      <c r="AF940" t="str">
        <f>AD940*0.01</f>
        <v>#REF!</v>
      </c>
      <c r="AG940" t="str">
        <f>AD940-Q940-AF940-T940</f>
        <v>#REF!</v>
      </c>
      <c r="AH940" t="str">
        <f>AE940-Q940-AF940-T940</f>
        <v>#REF!</v>
      </c>
      <c r="AI940" t="str">
        <f>AG940/X940</f>
        <v>#REF!</v>
      </c>
      <c r="AJ940" t="str">
        <f>AH940/Y940</f>
        <v>#REF!</v>
      </c>
    </row>
    <row r="941">
      <c r="G941" t="str">
        <v>A</v>
      </c>
      <c r="K941" t="str">
        <f>IF(L941&gt;0,L941*0.0625,)</f>
        <v>#REF!</v>
      </c>
      <c r="L941" t="str">
        <f>IF(K941&gt;0,K941*16,)</f>
        <v>#REF!</v>
      </c>
      <c r="M941" t="str">
        <f>IF(K941&gt;0,K941*0.453592,IF(L941&gt;0,L941*0.02835,))</f>
        <v>#REF!</v>
      </c>
      <c r="P941">
        <f>J941+O941+N941</f>
        <v>0</v>
      </c>
      <c r="Q941">
        <f>P941*C$3</f>
        <v>0</v>
      </c>
      <c r="R941">
        <v>0</v>
      </c>
      <c r="S941">
        <f>ROUND(SUM(Q941:R941), -2)</f>
        <v>0</v>
      </c>
      <c r="T941" t="str">
        <f>ROUNDUP(HLOOKUP(ROUNDUP(K941,0),'배송비 조회'!A$10:AE$22,7,0)*C$3,-2)</f>
        <v>#REF!</v>
      </c>
      <c r="U941">
        <v>0</v>
      </c>
      <c r="V941" t="str">
        <f>ROUND(IF(R937&gt;0,0,(S941+T941)*0.3),-2)</f>
        <v>#REF!</v>
      </c>
      <c r="W941" t="str">
        <f>ROUND(IF(R937&gt;0,0,(S941+T941)*0.5),-2)</f>
        <v>#REF!</v>
      </c>
      <c r="X941" t="str">
        <f>SUM(S941:V941)</f>
        <v>#REF!</v>
      </c>
      <c r="Y941" t="str">
        <f>SUM(S941:U941)+W941</f>
        <v>#REF!</v>
      </c>
      <c r="Z941">
        <v>0</v>
      </c>
      <c r="AA941" t="str">
        <f>X941*0.038</f>
        <v>#REF!</v>
      </c>
      <c r="AB941" t="str">
        <f>X941*0.02</f>
        <v>#REF!</v>
      </c>
      <c r="AC941" t="str">
        <f>Y941*0.1</f>
        <v>#REF!</v>
      </c>
      <c r="AD941" t="str">
        <f>X941-AA941-AB941</f>
        <v>#REF!</v>
      </c>
      <c r="AE941" t="str">
        <f>Y941-AC941</f>
        <v>#REF!</v>
      </c>
      <c r="AF941" t="str">
        <f>AD941*0.01</f>
        <v>#REF!</v>
      </c>
      <c r="AG941" t="str">
        <f>AD941-Q941-AF941-T941</f>
        <v>#REF!</v>
      </c>
      <c r="AH941" t="str">
        <f>AE941-Q941-AF941-T941</f>
        <v>#REF!</v>
      </c>
      <c r="AI941" t="str">
        <f>AG941/X941</f>
        <v>#REF!</v>
      </c>
      <c r="AJ941" t="str">
        <f>AH941/Y941</f>
        <v>#REF!</v>
      </c>
    </row>
    <row r="942">
      <c r="G942" t="str">
        <v>A</v>
      </c>
      <c r="K942" t="str">
        <f>IF(L942&gt;0,L942*0.0625,)</f>
        <v>#REF!</v>
      </c>
      <c r="L942" t="str">
        <f>IF(K942&gt;0,K942*16,)</f>
        <v>#REF!</v>
      </c>
      <c r="M942" t="str">
        <f>IF(K942&gt;0,K942*0.453592,IF(L942&gt;0,L942*0.02835,))</f>
        <v>#REF!</v>
      </c>
      <c r="P942">
        <f>J942+O942+N942</f>
        <v>0</v>
      </c>
      <c r="Q942">
        <f>P942*C$3</f>
        <v>0</v>
      </c>
      <c r="R942">
        <v>0</v>
      </c>
      <c r="S942">
        <f>ROUND(SUM(Q942:R942), -2)</f>
        <v>0</v>
      </c>
      <c r="T942" t="str">
        <f>ROUNDUP(HLOOKUP(ROUNDUP(K942,0),'배송비 조회'!A$10:AE$22,7,0)*C$3,-2)</f>
        <v>#REF!</v>
      </c>
      <c r="U942">
        <v>0</v>
      </c>
      <c r="V942" t="str">
        <f>ROUND(IF(R938&gt;0,0,(S942+T942)*0.3),-2)</f>
        <v>#REF!</v>
      </c>
      <c r="W942" t="str">
        <f>ROUND(IF(R938&gt;0,0,(S942+T942)*0.5),-2)</f>
        <v>#REF!</v>
      </c>
      <c r="X942" t="str">
        <f>SUM(S942:V942)</f>
        <v>#REF!</v>
      </c>
      <c r="Y942" t="str">
        <f>SUM(S942:U942)+W942</f>
        <v>#REF!</v>
      </c>
      <c r="Z942">
        <v>0</v>
      </c>
      <c r="AA942" t="str">
        <f>X942*0.038</f>
        <v>#REF!</v>
      </c>
      <c r="AB942" t="str">
        <f>X942*0.02</f>
        <v>#REF!</v>
      </c>
      <c r="AC942" t="str">
        <f>Y942*0.1</f>
        <v>#REF!</v>
      </c>
      <c r="AD942" t="str">
        <f>X942-AA942-AB942</f>
        <v>#REF!</v>
      </c>
      <c r="AE942" t="str">
        <f>Y942-AC942</f>
        <v>#REF!</v>
      </c>
      <c r="AF942" t="str">
        <f>AD942*0.01</f>
        <v>#REF!</v>
      </c>
      <c r="AG942" t="str">
        <f>AD942-Q942-AF942-T942</f>
        <v>#REF!</v>
      </c>
      <c r="AH942" t="str">
        <f>AE942-Q942-AF942-T942</f>
        <v>#REF!</v>
      </c>
      <c r="AI942" t="str">
        <f>AG942/X942</f>
        <v>#REF!</v>
      </c>
      <c r="AJ942" t="str">
        <f>AH942/Y942</f>
        <v>#REF!</v>
      </c>
    </row>
    <row r="943">
      <c r="G943" t="str">
        <v>A</v>
      </c>
      <c r="K943" t="str">
        <f>IF(L943&gt;0,L943*0.0625,)</f>
        <v>#REF!</v>
      </c>
      <c r="L943" t="str">
        <f>IF(K943&gt;0,K943*16,)</f>
        <v>#REF!</v>
      </c>
      <c r="M943" t="str">
        <f>IF(K943&gt;0,K943*0.453592,IF(L943&gt;0,L943*0.02835,))</f>
        <v>#REF!</v>
      </c>
      <c r="P943">
        <f>J943+O943+N943</f>
        <v>0</v>
      </c>
      <c r="Q943">
        <f>P943*C$3</f>
        <v>0</v>
      </c>
      <c r="R943">
        <v>0</v>
      </c>
      <c r="S943">
        <f>ROUND(SUM(Q943:R943), -2)</f>
        <v>0</v>
      </c>
      <c r="T943" t="str">
        <f>ROUNDUP(HLOOKUP(ROUNDUP(K943,0),'배송비 조회'!A$10:AE$22,7,0)*C$3,-2)</f>
        <v>#REF!</v>
      </c>
      <c r="U943">
        <v>0</v>
      </c>
      <c r="V943" t="str">
        <f>ROUND(IF(R939&gt;0,0,(S943+T943)*0.3),-2)</f>
        <v>#REF!</v>
      </c>
      <c r="W943" t="str">
        <f>ROUND(IF(R939&gt;0,0,(S943+T943)*0.5),-2)</f>
        <v>#REF!</v>
      </c>
      <c r="X943" t="str">
        <f>SUM(S943:V943)</f>
        <v>#REF!</v>
      </c>
      <c r="Y943" t="str">
        <f>SUM(S943:U943)+W943</f>
        <v>#REF!</v>
      </c>
      <c r="Z943">
        <v>0</v>
      </c>
      <c r="AA943" t="str">
        <f>X943*0.038</f>
        <v>#REF!</v>
      </c>
      <c r="AB943" t="str">
        <f>X943*0.02</f>
        <v>#REF!</v>
      </c>
      <c r="AC943" t="str">
        <f>Y943*0.1</f>
        <v>#REF!</v>
      </c>
      <c r="AD943" t="str">
        <f>X943-AA943-AB943</f>
        <v>#REF!</v>
      </c>
      <c r="AE943" t="str">
        <f>Y943-AC943</f>
        <v>#REF!</v>
      </c>
      <c r="AF943" t="str">
        <f>AD943*0.01</f>
        <v>#REF!</v>
      </c>
      <c r="AG943" t="str">
        <f>AD943-Q943-AF943-T943</f>
        <v>#REF!</v>
      </c>
      <c r="AH943" t="str">
        <f>AE943-Q943-AF943-T943</f>
        <v>#REF!</v>
      </c>
      <c r="AI943" t="str">
        <f>AG943/X943</f>
        <v>#REF!</v>
      </c>
      <c r="AJ943" t="str">
        <f>AH943/Y943</f>
        <v>#REF!</v>
      </c>
    </row>
    <row r="944">
      <c r="G944" t="str">
        <v>A</v>
      </c>
      <c r="K944" t="str">
        <f>IF(L944&gt;0,L944*0.0625,)</f>
        <v>#REF!</v>
      </c>
      <c r="L944" t="str">
        <f>IF(K944&gt;0,K944*16,)</f>
        <v>#REF!</v>
      </c>
      <c r="M944" t="str">
        <f>IF(K944&gt;0,K944*0.453592,IF(L944&gt;0,L944*0.02835,))</f>
        <v>#REF!</v>
      </c>
      <c r="P944">
        <f>J944+O944+N944</f>
        <v>0</v>
      </c>
      <c r="Q944">
        <f>P944*C$3</f>
        <v>0</v>
      </c>
      <c r="R944">
        <v>0</v>
      </c>
      <c r="S944">
        <f>ROUND(SUM(Q944:R944), -2)</f>
        <v>0</v>
      </c>
      <c r="T944" t="str">
        <f>ROUNDUP(HLOOKUP(ROUNDUP(K944,0),'배송비 조회'!A$10:AE$22,7,0)*C$3,-2)</f>
        <v>#REF!</v>
      </c>
      <c r="U944">
        <v>0</v>
      </c>
      <c r="V944" t="str">
        <f>ROUND(IF(R940&gt;0,0,(S944+T944)*0.3),-2)</f>
        <v>#REF!</v>
      </c>
      <c r="W944" t="str">
        <f>ROUND(IF(R940&gt;0,0,(S944+T944)*0.5),-2)</f>
        <v>#REF!</v>
      </c>
      <c r="X944" t="str">
        <f>SUM(S944:V944)</f>
        <v>#REF!</v>
      </c>
      <c r="Y944" t="str">
        <f>SUM(S944:U944)+W944</f>
        <v>#REF!</v>
      </c>
      <c r="Z944">
        <v>0</v>
      </c>
      <c r="AA944" t="str">
        <f>X944*0.038</f>
        <v>#REF!</v>
      </c>
      <c r="AB944" t="str">
        <f>X944*0.02</f>
        <v>#REF!</v>
      </c>
      <c r="AC944" t="str">
        <f>Y944*0.1</f>
        <v>#REF!</v>
      </c>
      <c r="AD944" t="str">
        <f>X944-AA944-AB944</f>
        <v>#REF!</v>
      </c>
      <c r="AE944" t="str">
        <f>Y944-AC944</f>
        <v>#REF!</v>
      </c>
      <c r="AF944" t="str">
        <f>AD944*0.01</f>
        <v>#REF!</v>
      </c>
      <c r="AG944" t="str">
        <f>AD944-Q944-AF944-T944</f>
        <v>#REF!</v>
      </c>
      <c r="AH944" t="str">
        <f>AE944-Q944-AF944-T944</f>
        <v>#REF!</v>
      </c>
      <c r="AI944" t="str">
        <f>AG944/X944</f>
        <v>#REF!</v>
      </c>
      <c r="AJ944" t="str">
        <f>AH944/Y944</f>
        <v>#REF!</v>
      </c>
    </row>
    <row r="945">
      <c r="G945" t="str">
        <v>A</v>
      </c>
      <c r="K945" t="str">
        <f>IF(L945&gt;0,L945*0.0625,)</f>
        <v>#REF!</v>
      </c>
      <c r="L945" t="str">
        <f>IF(K945&gt;0,K945*16,)</f>
        <v>#REF!</v>
      </c>
      <c r="M945" t="str">
        <f>IF(K945&gt;0,K945*0.453592,IF(L945&gt;0,L945*0.02835,))</f>
        <v>#REF!</v>
      </c>
      <c r="P945">
        <f>J945+O945+N945</f>
        <v>0</v>
      </c>
      <c r="Q945">
        <f>P945*C$3</f>
        <v>0</v>
      </c>
      <c r="R945">
        <v>0</v>
      </c>
      <c r="S945">
        <f>ROUND(SUM(Q945:R945), -2)</f>
        <v>0</v>
      </c>
      <c r="T945" t="str">
        <f>ROUNDUP(HLOOKUP(ROUNDUP(K945,0),'배송비 조회'!A$10:AE$22,7,0)*C$3,-2)</f>
        <v>#REF!</v>
      </c>
      <c r="U945">
        <v>0</v>
      </c>
      <c r="V945" t="str">
        <f>ROUND(IF(R941&gt;0,0,(S945+T945)*0.3),-2)</f>
        <v>#REF!</v>
      </c>
      <c r="W945" t="str">
        <f>ROUND(IF(R941&gt;0,0,(S945+T945)*0.5),-2)</f>
        <v>#REF!</v>
      </c>
      <c r="X945" t="str">
        <f>SUM(S945:V945)</f>
        <v>#REF!</v>
      </c>
      <c r="Y945" t="str">
        <f>SUM(S945:U945)+W945</f>
        <v>#REF!</v>
      </c>
      <c r="Z945">
        <v>0</v>
      </c>
      <c r="AA945" t="str">
        <f>X945*0.038</f>
        <v>#REF!</v>
      </c>
      <c r="AB945" t="str">
        <f>X945*0.02</f>
        <v>#REF!</v>
      </c>
      <c r="AC945" t="str">
        <f>Y945*0.1</f>
        <v>#REF!</v>
      </c>
      <c r="AD945" t="str">
        <f>X945-AA945-AB945</f>
        <v>#REF!</v>
      </c>
      <c r="AE945" t="str">
        <f>Y945-AC945</f>
        <v>#REF!</v>
      </c>
      <c r="AF945" t="str">
        <f>AD945*0.01</f>
        <v>#REF!</v>
      </c>
      <c r="AG945" t="str">
        <f>AD945-Q945-AF945-T945</f>
        <v>#REF!</v>
      </c>
      <c r="AH945" t="str">
        <f>AE945-Q945-AF945-T945</f>
        <v>#REF!</v>
      </c>
      <c r="AI945" t="str">
        <f>AG945/X945</f>
        <v>#REF!</v>
      </c>
      <c r="AJ945" t="str">
        <f>AH945/Y945</f>
        <v>#REF!</v>
      </c>
    </row>
    <row r="946">
      <c r="G946" t="str">
        <v>A</v>
      </c>
      <c r="K946" t="str">
        <f>IF(L946&gt;0,L946*0.0625,)</f>
        <v>#REF!</v>
      </c>
      <c r="L946" t="str">
        <f>IF(K946&gt;0,K946*16,)</f>
        <v>#REF!</v>
      </c>
      <c r="M946" t="str">
        <f>IF(K946&gt;0,K946*0.453592,IF(L946&gt;0,L946*0.02835,))</f>
        <v>#REF!</v>
      </c>
      <c r="P946">
        <f>J946+O946+N946</f>
        <v>0</v>
      </c>
      <c r="Q946">
        <f>P946*C$3</f>
        <v>0</v>
      </c>
      <c r="R946">
        <v>0</v>
      </c>
      <c r="S946">
        <f>ROUND(SUM(Q946:R946), -2)</f>
        <v>0</v>
      </c>
      <c r="T946" t="str">
        <f>ROUNDUP(HLOOKUP(ROUNDUP(K946,0),'배송비 조회'!A$10:AE$22,7,0)*C$3,-2)</f>
        <v>#REF!</v>
      </c>
      <c r="U946">
        <v>0</v>
      </c>
      <c r="V946" t="str">
        <f>ROUND(IF(R942&gt;0,0,(S946+T946)*0.3),-2)</f>
        <v>#REF!</v>
      </c>
      <c r="W946" t="str">
        <f>ROUND(IF(R942&gt;0,0,(S946+T946)*0.5),-2)</f>
        <v>#REF!</v>
      </c>
      <c r="X946" t="str">
        <f>SUM(S946:V946)</f>
        <v>#REF!</v>
      </c>
      <c r="Y946" t="str">
        <f>SUM(S946:U946)+W946</f>
        <v>#REF!</v>
      </c>
      <c r="Z946">
        <v>0</v>
      </c>
      <c r="AA946" t="str">
        <f>X946*0.038</f>
        <v>#REF!</v>
      </c>
      <c r="AB946" t="str">
        <f>X946*0.02</f>
        <v>#REF!</v>
      </c>
      <c r="AC946" t="str">
        <f>Y946*0.1</f>
        <v>#REF!</v>
      </c>
      <c r="AD946" t="str">
        <f>X946-AA946-AB946</f>
        <v>#REF!</v>
      </c>
      <c r="AE946" t="str">
        <f>Y946-AC946</f>
        <v>#REF!</v>
      </c>
      <c r="AF946" t="str">
        <f>AD946*0.01</f>
        <v>#REF!</v>
      </c>
      <c r="AG946" t="str">
        <f>AD946-Q946-AF946-T946</f>
        <v>#REF!</v>
      </c>
      <c r="AH946" t="str">
        <f>AE946-Q946-AF946-T946</f>
        <v>#REF!</v>
      </c>
      <c r="AI946" t="str">
        <f>AG946/X946</f>
        <v>#REF!</v>
      </c>
      <c r="AJ946" t="str">
        <f>AH946/Y946</f>
        <v>#REF!</v>
      </c>
    </row>
    <row r="947">
      <c r="G947" t="str">
        <v>A</v>
      </c>
      <c r="K947" t="str">
        <f>IF(L947&gt;0,L947*0.0625,)</f>
        <v>#REF!</v>
      </c>
      <c r="L947" t="str">
        <f>IF(K947&gt;0,K947*16,)</f>
        <v>#REF!</v>
      </c>
      <c r="M947" t="str">
        <f>IF(K947&gt;0,K947*0.453592,IF(L947&gt;0,L947*0.02835,))</f>
        <v>#REF!</v>
      </c>
      <c r="P947">
        <f>J947+O947+N947</f>
        <v>0</v>
      </c>
      <c r="Q947">
        <f>P947*C$3</f>
        <v>0</v>
      </c>
      <c r="R947">
        <v>0</v>
      </c>
      <c r="S947">
        <f>ROUND(SUM(Q947:R947), -2)</f>
        <v>0</v>
      </c>
      <c r="T947" t="str">
        <f>ROUNDUP(HLOOKUP(ROUNDUP(K947,0),'배송비 조회'!A$10:AE$22,7,0)*C$3,-2)</f>
        <v>#REF!</v>
      </c>
      <c r="U947">
        <v>0</v>
      </c>
      <c r="V947" t="str">
        <f>ROUND(IF(R943&gt;0,0,(S947+T947)*0.3),-2)</f>
        <v>#REF!</v>
      </c>
      <c r="W947" t="str">
        <f>ROUND(IF(R943&gt;0,0,(S947+T947)*0.5),-2)</f>
        <v>#REF!</v>
      </c>
      <c r="X947" t="str">
        <f>SUM(S947:V947)</f>
        <v>#REF!</v>
      </c>
      <c r="Y947" t="str">
        <f>SUM(S947:U947)+W947</f>
        <v>#REF!</v>
      </c>
      <c r="Z947">
        <v>0</v>
      </c>
      <c r="AA947" t="str">
        <f>X947*0.038</f>
        <v>#REF!</v>
      </c>
      <c r="AB947" t="str">
        <f>X947*0.02</f>
        <v>#REF!</v>
      </c>
      <c r="AC947" t="str">
        <f>Y947*0.1</f>
        <v>#REF!</v>
      </c>
      <c r="AD947" t="str">
        <f>X947-AA947-AB947</f>
        <v>#REF!</v>
      </c>
      <c r="AE947" t="str">
        <f>Y947-AC947</f>
        <v>#REF!</v>
      </c>
      <c r="AF947" t="str">
        <f>AD947*0.01</f>
        <v>#REF!</v>
      </c>
      <c r="AG947" t="str">
        <f>AD947-Q947-AF947-T947</f>
        <v>#REF!</v>
      </c>
      <c r="AH947" t="str">
        <f>AE947-Q947-AF947-T947</f>
        <v>#REF!</v>
      </c>
      <c r="AI947" t="str">
        <f>AG947/X947</f>
        <v>#REF!</v>
      </c>
      <c r="AJ947" t="str">
        <f>AH947/Y947</f>
        <v>#REF!</v>
      </c>
    </row>
    <row r="948">
      <c r="G948" t="str">
        <v>A</v>
      </c>
      <c r="K948" t="str">
        <f>IF(L948&gt;0,L948*0.0625,)</f>
        <v>#REF!</v>
      </c>
      <c r="L948" t="str">
        <f>IF(K948&gt;0,K948*16,)</f>
        <v>#REF!</v>
      </c>
      <c r="M948" t="str">
        <f>IF(K948&gt;0,K948*0.453592,IF(L948&gt;0,L948*0.02835,))</f>
        <v>#REF!</v>
      </c>
      <c r="P948">
        <f>J948+O948+N948</f>
        <v>0</v>
      </c>
      <c r="Q948">
        <f>P948*C$3</f>
        <v>0</v>
      </c>
      <c r="R948">
        <v>0</v>
      </c>
      <c r="S948">
        <f>ROUND(SUM(Q948:R948), -2)</f>
        <v>0</v>
      </c>
      <c r="T948" t="str">
        <f>ROUNDUP(HLOOKUP(ROUNDUP(K948,0),'배송비 조회'!A$10:AE$22,7,0)*C$3,-2)</f>
        <v>#REF!</v>
      </c>
      <c r="U948">
        <v>0</v>
      </c>
      <c r="V948" t="str">
        <f>ROUND(IF(R944&gt;0,0,(S948+T948)*0.3),-2)</f>
        <v>#REF!</v>
      </c>
      <c r="W948" t="str">
        <f>ROUND(IF(R944&gt;0,0,(S948+T948)*0.5),-2)</f>
        <v>#REF!</v>
      </c>
      <c r="X948" t="str">
        <f>SUM(S948:V948)</f>
        <v>#REF!</v>
      </c>
      <c r="Y948" t="str">
        <f>SUM(S948:U948)+W948</f>
        <v>#REF!</v>
      </c>
      <c r="Z948">
        <v>0</v>
      </c>
      <c r="AA948" t="str">
        <f>X948*0.038</f>
        <v>#REF!</v>
      </c>
      <c r="AB948" t="str">
        <f>X948*0.02</f>
        <v>#REF!</v>
      </c>
      <c r="AC948" t="str">
        <f>Y948*0.1</f>
        <v>#REF!</v>
      </c>
      <c r="AD948" t="str">
        <f>X948-AA948-AB948</f>
        <v>#REF!</v>
      </c>
      <c r="AE948" t="str">
        <f>Y948-AC948</f>
        <v>#REF!</v>
      </c>
      <c r="AF948" t="str">
        <f>AD948*0.01</f>
        <v>#REF!</v>
      </c>
      <c r="AG948" t="str">
        <f>AD948-Q948-AF948-T948</f>
        <v>#REF!</v>
      </c>
      <c r="AH948" t="str">
        <f>AE948-Q948-AF948-T948</f>
        <v>#REF!</v>
      </c>
      <c r="AI948" t="str">
        <f>AG948/X948</f>
        <v>#REF!</v>
      </c>
      <c r="AJ948" t="str">
        <f>AH948/Y948</f>
        <v>#REF!</v>
      </c>
    </row>
    <row r="949">
      <c r="G949" t="str">
        <v>A</v>
      </c>
      <c r="K949" t="str">
        <f>IF(L949&gt;0,L949*0.0625,)</f>
        <v>#REF!</v>
      </c>
      <c r="L949" t="str">
        <f>IF(K949&gt;0,K949*16,)</f>
        <v>#REF!</v>
      </c>
      <c r="M949" t="str">
        <f>IF(K949&gt;0,K949*0.453592,IF(L949&gt;0,L949*0.02835,))</f>
        <v>#REF!</v>
      </c>
      <c r="P949">
        <f>J949+O949+N949</f>
        <v>0</v>
      </c>
      <c r="Q949">
        <f>P949*C$3</f>
        <v>0</v>
      </c>
      <c r="R949">
        <v>0</v>
      </c>
      <c r="S949">
        <f>ROUND(SUM(Q949:R949), -2)</f>
        <v>0</v>
      </c>
      <c r="T949" t="str">
        <f>ROUNDUP(HLOOKUP(ROUNDUP(K949,0),'배송비 조회'!A$10:AE$22,7,0)*C$3,-2)</f>
        <v>#REF!</v>
      </c>
      <c r="U949">
        <v>0</v>
      </c>
      <c r="V949" t="str">
        <f>ROUND(IF(R945&gt;0,0,(S949+T949)*0.3),-2)</f>
        <v>#REF!</v>
      </c>
      <c r="W949" t="str">
        <f>ROUND(IF(R945&gt;0,0,(S949+T949)*0.5),-2)</f>
        <v>#REF!</v>
      </c>
      <c r="X949" t="str">
        <f>SUM(S949:V949)</f>
        <v>#REF!</v>
      </c>
      <c r="Y949" t="str">
        <f>SUM(S949:U949)+W949</f>
        <v>#REF!</v>
      </c>
      <c r="Z949">
        <v>0</v>
      </c>
      <c r="AA949" t="str">
        <f>X949*0.038</f>
        <v>#REF!</v>
      </c>
      <c r="AB949" t="str">
        <f>X949*0.02</f>
        <v>#REF!</v>
      </c>
      <c r="AC949" t="str">
        <f>Y949*0.1</f>
        <v>#REF!</v>
      </c>
      <c r="AD949" t="str">
        <f>X949-AA949-AB949</f>
        <v>#REF!</v>
      </c>
      <c r="AE949" t="str">
        <f>Y949-AC949</f>
        <v>#REF!</v>
      </c>
      <c r="AF949" t="str">
        <f>AD949*0.01</f>
        <v>#REF!</v>
      </c>
      <c r="AG949" t="str">
        <f>AD949-Q949-AF949-T949</f>
        <v>#REF!</v>
      </c>
      <c r="AH949" t="str">
        <f>AE949-Q949-AF949-T949</f>
        <v>#REF!</v>
      </c>
      <c r="AI949" t="str">
        <f>AG949/X949</f>
        <v>#REF!</v>
      </c>
      <c r="AJ949" t="str">
        <f>AH949/Y949</f>
        <v>#REF!</v>
      </c>
    </row>
    <row r="950">
      <c r="G950" t="str">
        <v>A</v>
      </c>
      <c r="K950" t="str">
        <f>IF(L950&gt;0,L950*0.0625,)</f>
        <v>#REF!</v>
      </c>
      <c r="L950" t="str">
        <f>IF(K950&gt;0,K950*16,)</f>
        <v>#REF!</v>
      </c>
      <c r="M950" t="str">
        <f>IF(K950&gt;0,K950*0.453592,IF(L950&gt;0,L950*0.02835,))</f>
        <v>#REF!</v>
      </c>
      <c r="P950">
        <f>J950+O950+N950</f>
        <v>0</v>
      </c>
      <c r="Q950">
        <f>P950*C$3</f>
        <v>0</v>
      </c>
      <c r="R950">
        <v>0</v>
      </c>
      <c r="S950">
        <f>ROUND(SUM(Q950:R950), -2)</f>
        <v>0</v>
      </c>
      <c r="T950" t="str">
        <f>ROUNDUP(HLOOKUP(ROUNDUP(K950,0),'배송비 조회'!A$10:AE$22,7,0)*C$3,-2)</f>
        <v>#REF!</v>
      </c>
      <c r="U950">
        <v>0</v>
      </c>
      <c r="V950" t="str">
        <f>ROUND(IF(R946&gt;0,0,(S950+T950)*0.3),-2)</f>
        <v>#REF!</v>
      </c>
      <c r="W950" t="str">
        <f>ROUND(IF(R946&gt;0,0,(S950+T950)*0.5),-2)</f>
        <v>#REF!</v>
      </c>
      <c r="X950" t="str">
        <f>SUM(S950:V950)</f>
        <v>#REF!</v>
      </c>
      <c r="Y950" t="str">
        <f>SUM(S950:U950)+W950</f>
        <v>#REF!</v>
      </c>
      <c r="Z950">
        <v>0</v>
      </c>
      <c r="AA950" t="str">
        <f>X950*0.038</f>
        <v>#REF!</v>
      </c>
      <c r="AB950" t="str">
        <f>X950*0.02</f>
        <v>#REF!</v>
      </c>
      <c r="AC950" t="str">
        <f>Y950*0.1</f>
        <v>#REF!</v>
      </c>
      <c r="AD950" t="str">
        <f>X950-AA950-AB950</f>
        <v>#REF!</v>
      </c>
      <c r="AE950" t="str">
        <f>Y950-AC950</f>
        <v>#REF!</v>
      </c>
      <c r="AF950" t="str">
        <f>AD950*0.01</f>
        <v>#REF!</v>
      </c>
      <c r="AG950" t="str">
        <f>AD950-Q950-AF950-T950</f>
        <v>#REF!</v>
      </c>
      <c r="AH950" t="str">
        <f>AE950-Q950-AF950-T950</f>
        <v>#REF!</v>
      </c>
      <c r="AI950" t="str">
        <f>AG950/X950</f>
        <v>#REF!</v>
      </c>
      <c r="AJ950" t="str">
        <f>AH950/Y950</f>
        <v>#REF!</v>
      </c>
    </row>
    <row r="951">
      <c r="G951" t="str">
        <v>A</v>
      </c>
      <c r="K951" t="str">
        <f>IF(L951&gt;0,L951*0.0625,)</f>
        <v>#REF!</v>
      </c>
      <c r="L951" t="str">
        <f>IF(K951&gt;0,K951*16,)</f>
        <v>#REF!</v>
      </c>
      <c r="M951" t="str">
        <f>IF(K951&gt;0,K951*0.453592,IF(L951&gt;0,L951*0.02835,))</f>
        <v>#REF!</v>
      </c>
      <c r="P951">
        <f>J951+O951+N951</f>
        <v>0</v>
      </c>
      <c r="Q951">
        <f>P951*C$3</f>
        <v>0</v>
      </c>
      <c r="R951">
        <v>0</v>
      </c>
      <c r="S951">
        <f>ROUND(SUM(Q951:R951), -2)</f>
        <v>0</v>
      </c>
      <c r="T951" t="str">
        <f>ROUNDUP(HLOOKUP(ROUNDUP(K951,0),'배송비 조회'!A$10:AE$22,7,0)*C$3,-2)</f>
        <v>#REF!</v>
      </c>
      <c r="U951">
        <v>0</v>
      </c>
      <c r="V951" t="str">
        <f>ROUND(IF(R947&gt;0,0,(S951+T951)*0.3),-2)</f>
        <v>#REF!</v>
      </c>
      <c r="W951" t="str">
        <f>ROUND(IF(R947&gt;0,0,(S951+T951)*0.5),-2)</f>
        <v>#REF!</v>
      </c>
      <c r="X951" t="str">
        <f>SUM(S951:V951)</f>
        <v>#REF!</v>
      </c>
      <c r="Y951" t="str">
        <f>SUM(S951:U951)+W951</f>
        <v>#REF!</v>
      </c>
      <c r="Z951">
        <v>0</v>
      </c>
      <c r="AA951" t="str">
        <f>X951*0.038</f>
        <v>#REF!</v>
      </c>
      <c r="AB951" t="str">
        <f>X951*0.02</f>
        <v>#REF!</v>
      </c>
      <c r="AC951" t="str">
        <f>Y951*0.1</f>
        <v>#REF!</v>
      </c>
      <c r="AD951" t="str">
        <f>X951-AA951-AB951</f>
        <v>#REF!</v>
      </c>
      <c r="AE951" t="str">
        <f>Y951-AC951</f>
        <v>#REF!</v>
      </c>
      <c r="AF951" t="str">
        <f>AD951*0.01</f>
        <v>#REF!</v>
      </c>
      <c r="AG951" t="str">
        <f>AD951-Q951-AF951-T951</f>
        <v>#REF!</v>
      </c>
      <c r="AH951" t="str">
        <f>AE951-Q951-AF951-T951</f>
        <v>#REF!</v>
      </c>
      <c r="AI951" t="str">
        <f>AG951/X951</f>
        <v>#REF!</v>
      </c>
      <c r="AJ951" t="str">
        <f>AH951/Y951</f>
        <v>#REF!</v>
      </c>
    </row>
    <row r="952">
      <c r="G952" t="str">
        <v>A</v>
      </c>
      <c r="K952" t="str">
        <f>IF(L952&gt;0,L952*0.0625,)</f>
        <v>#REF!</v>
      </c>
      <c r="L952" t="str">
        <f>IF(K952&gt;0,K952*16,)</f>
        <v>#REF!</v>
      </c>
      <c r="M952" t="str">
        <f>IF(K952&gt;0,K952*0.453592,IF(L952&gt;0,L952*0.02835,))</f>
        <v>#REF!</v>
      </c>
      <c r="P952">
        <f>J952+O952+N952</f>
        <v>0</v>
      </c>
      <c r="Q952">
        <f>P952*C$3</f>
        <v>0</v>
      </c>
      <c r="R952">
        <v>0</v>
      </c>
      <c r="S952">
        <f>ROUND(SUM(Q952:R952), -2)</f>
        <v>0</v>
      </c>
      <c r="T952" t="str">
        <f>ROUNDUP(HLOOKUP(ROUNDUP(K952,0),'배송비 조회'!A$10:AE$22,7,0)*C$3,-2)</f>
        <v>#REF!</v>
      </c>
      <c r="U952">
        <v>0</v>
      </c>
      <c r="V952" t="str">
        <f>ROUND(IF(R948&gt;0,0,(S952+T952)*0.3),-2)</f>
        <v>#REF!</v>
      </c>
      <c r="W952" t="str">
        <f>ROUND(IF(R948&gt;0,0,(S952+T952)*0.5),-2)</f>
        <v>#REF!</v>
      </c>
      <c r="X952" t="str">
        <f>SUM(S952:V952)</f>
        <v>#REF!</v>
      </c>
      <c r="Y952" t="str">
        <f>SUM(S952:U952)+W952</f>
        <v>#REF!</v>
      </c>
      <c r="Z952">
        <v>0</v>
      </c>
      <c r="AA952" t="str">
        <f>X952*0.038</f>
        <v>#REF!</v>
      </c>
      <c r="AB952" t="str">
        <f>X952*0.02</f>
        <v>#REF!</v>
      </c>
      <c r="AC952" t="str">
        <f>Y952*0.1</f>
        <v>#REF!</v>
      </c>
      <c r="AD952" t="str">
        <f>X952-AA952-AB952</f>
        <v>#REF!</v>
      </c>
      <c r="AE952" t="str">
        <f>Y952-AC952</f>
        <v>#REF!</v>
      </c>
      <c r="AF952" t="str">
        <f>AD952*0.01</f>
        <v>#REF!</v>
      </c>
      <c r="AG952" t="str">
        <f>AD952-Q952-AF952-T952</f>
        <v>#REF!</v>
      </c>
      <c r="AH952" t="str">
        <f>AE952-Q952-AF952-T952</f>
        <v>#REF!</v>
      </c>
      <c r="AI952" t="str">
        <f>AG952/X952</f>
        <v>#REF!</v>
      </c>
      <c r="AJ952" t="str">
        <f>AH952/Y952</f>
        <v>#REF!</v>
      </c>
    </row>
    <row r="953">
      <c r="G953" t="str">
        <v>A</v>
      </c>
      <c r="K953" t="str">
        <f>IF(L953&gt;0,L953*0.0625,)</f>
        <v>#REF!</v>
      </c>
      <c r="L953" t="str">
        <f>IF(K953&gt;0,K953*16,)</f>
        <v>#REF!</v>
      </c>
      <c r="M953" t="str">
        <f>IF(K953&gt;0,K953*0.453592,IF(L953&gt;0,L953*0.02835,))</f>
        <v>#REF!</v>
      </c>
      <c r="P953">
        <f>J953+O953+N953</f>
        <v>0</v>
      </c>
      <c r="Q953">
        <f>P953*C$3</f>
        <v>0</v>
      </c>
      <c r="R953">
        <v>0</v>
      </c>
      <c r="S953">
        <f>ROUND(SUM(Q953:R953), -2)</f>
        <v>0</v>
      </c>
      <c r="T953" t="str">
        <f>ROUNDUP(HLOOKUP(ROUNDUP(K953,0),'배송비 조회'!A$10:AE$22,7,0)*C$3,-2)</f>
        <v>#REF!</v>
      </c>
      <c r="U953">
        <v>0</v>
      </c>
      <c r="V953" t="str">
        <f>ROUND(IF(R949&gt;0,0,(S953+T953)*0.3),-2)</f>
        <v>#REF!</v>
      </c>
      <c r="W953" t="str">
        <f>ROUND(IF(R949&gt;0,0,(S953+T953)*0.5),-2)</f>
        <v>#REF!</v>
      </c>
      <c r="X953" t="str">
        <f>SUM(S953:V953)</f>
        <v>#REF!</v>
      </c>
      <c r="Y953" t="str">
        <f>SUM(S953:U953)+W953</f>
        <v>#REF!</v>
      </c>
      <c r="Z953">
        <v>0</v>
      </c>
      <c r="AA953" t="str">
        <f>X953*0.038</f>
        <v>#REF!</v>
      </c>
      <c r="AB953" t="str">
        <f>X953*0.02</f>
        <v>#REF!</v>
      </c>
      <c r="AC953" t="str">
        <f>Y953*0.1</f>
        <v>#REF!</v>
      </c>
      <c r="AD953" t="str">
        <f>X953-AA953-AB953</f>
        <v>#REF!</v>
      </c>
      <c r="AE953" t="str">
        <f>Y953-AC953</f>
        <v>#REF!</v>
      </c>
      <c r="AF953" t="str">
        <f>AD953*0.01</f>
        <v>#REF!</v>
      </c>
      <c r="AG953" t="str">
        <f>AD953-Q953-AF953-T953</f>
        <v>#REF!</v>
      </c>
      <c r="AH953" t="str">
        <f>AE953-Q953-AF953-T953</f>
        <v>#REF!</v>
      </c>
      <c r="AI953" t="str">
        <f>AG953/X953</f>
        <v>#REF!</v>
      </c>
      <c r="AJ953" t="str">
        <f>AH953/Y953</f>
        <v>#REF!</v>
      </c>
    </row>
    <row r="954">
      <c r="G954" t="str">
        <v>A</v>
      </c>
      <c r="K954" t="str">
        <f>IF(L954&gt;0,L954*0.0625,)</f>
        <v>#REF!</v>
      </c>
      <c r="L954" t="str">
        <f>IF(K954&gt;0,K954*16,)</f>
        <v>#REF!</v>
      </c>
      <c r="M954" t="str">
        <f>IF(K954&gt;0,K954*0.453592,IF(L954&gt;0,L954*0.02835,))</f>
        <v>#REF!</v>
      </c>
      <c r="P954">
        <f>J954+O954+N954</f>
        <v>0</v>
      </c>
      <c r="Q954">
        <f>P954*C$3</f>
        <v>0</v>
      </c>
      <c r="R954">
        <v>0</v>
      </c>
      <c r="S954">
        <f>ROUND(SUM(Q954:R954), -2)</f>
        <v>0</v>
      </c>
      <c r="T954" t="str">
        <f>ROUNDUP(HLOOKUP(ROUNDUP(K954,0),'배송비 조회'!A$10:AE$22,7,0)*C$3,-2)</f>
        <v>#REF!</v>
      </c>
      <c r="U954">
        <v>0</v>
      </c>
      <c r="V954" t="str">
        <f>ROUND(IF(R950&gt;0,0,(S954+T954)*0.3),-2)</f>
        <v>#REF!</v>
      </c>
      <c r="W954" t="str">
        <f>ROUND(IF(R950&gt;0,0,(S954+T954)*0.5),-2)</f>
        <v>#REF!</v>
      </c>
      <c r="X954" t="str">
        <f>SUM(S954:V954)</f>
        <v>#REF!</v>
      </c>
      <c r="Y954" t="str">
        <f>SUM(S954:U954)+W954</f>
        <v>#REF!</v>
      </c>
      <c r="Z954">
        <v>0</v>
      </c>
      <c r="AA954" t="str">
        <f>X954*0.038</f>
        <v>#REF!</v>
      </c>
      <c r="AB954" t="str">
        <f>X954*0.02</f>
        <v>#REF!</v>
      </c>
      <c r="AC954" t="str">
        <f>Y954*0.1</f>
        <v>#REF!</v>
      </c>
      <c r="AD954" t="str">
        <f>X954-AA954-AB954</f>
        <v>#REF!</v>
      </c>
      <c r="AE954" t="str">
        <f>Y954-AC954</f>
        <v>#REF!</v>
      </c>
      <c r="AF954" t="str">
        <f>AD954*0.01</f>
        <v>#REF!</v>
      </c>
      <c r="AG954" t="str">
        <f>AD954-Q954-AF954-T954</f>
        <v>#REF!</v>
      </c>
      <c r="AH954" t="str">
        <f>AE954-Q954-AF954-T954</f>
        <v>#REF!</v>
      </c>
      <c r="AI954" t="str">
        <f>AG954/X954</f>
        <v>#REF!</v>
      </c>
      <c r="AJ954" t="str">
        <f>AH954/Y954</f>
        <v>#REF!</v>
      </c>
    </row>
    <row r="955">
      <c r="G955" t="str">
        <v>A</v>
      </c>
      <c r="K955" t="str">
        <f>IF(L955&gt;0,L955*0.0625,)</f>
        <v>#REF!</v>
      </c>
      <c r="L955" t="str">
        <f>IF(K955&gt;0,K955*16,)</f>
        <v>#REF!</v>
      </c>
      <c r="M955" t="str">
        <f>IF(K955&gt;0,K955*0.453592,IF(L955&gt;0,L955*0.02835,))</f>
        <v>#REF!</v>
      </c>
      <c r="P955">
        <f>J955+O955+N955</f>
        <v>0</v>
      </c>
      <c r="Q955">
        <f>P955*C$3</f>
        <v>0</v>
      </c>
      <c r="R955">
        <v>0</v>
      </c>
      <c r="S955">
        <f>ROUND(SUM(Q955:R955), -2)</f>
        <v>0</v>
      </c>
      <c r="T955" t="str">
        <f>ROUNDUP(HLOOKUP(ROUNDUP(K955,0),'배송비 조회'!A$10:AE$22,7,0)*C$3,-2)</f>
        <v>#REF!</v>
      </c>
      <c r="U955">
        <v>0</v>
      </c>
      <c r="V955" t="str">
        <f>ROUND(IF(R951&gt;0,0,(S955+T955)*0.3),-2)</f>
        <v>#REF!</v>
      </c>
      <c r="W955" t="str">
        <f>ROUND(IF(R951&gt;0,0,(S955+T955)*0.5),-2)</f>
        <v>#REF!</v>
      </c>
      <c r="X955" t="str">
        <f>SUM(S955:V955)</f>
        <v>#REF!</v>
      </c>
      <c r="Y955" t="str">
        <f>SUM(S955:U955)+W955</f>
        <v>#REF!</v>
      </c>
      <c r="Z955">
        <v>0</v>
      </c>
      <c r="AA955" t="str">
        <f>X955*0.038</f>
        <v>#REF!</v>
      </c>
      <c r="AB955" t="str">
        <f>X955*0.02</f>
        <v>#REF!</v>
      </c>
      <c r="AC955" t="str">
        <f>Y955*0.1</f>
        <v>#REF!</v>
      </c>
      <c r="AD955" t="str">
        <f>X955-AA955-AB955</f>
        <v>#REF!</v>
      </c>
      <c r="AE955" t="str">
        <f>Y955-AC955</f>
        <v>#REF!</v>
      </c>
      <c r="AF955" t="str">
        <f>AD955*0.01</f>
        <v>#REF!</v>
      </c>
      <c r="AG955" t="str">
        <f>AD955-Q955-AF955-T955</f>
        <v>#REF!</v>
      </c>
      <c r="AH955" t="str">
        <f>AE955-Q955-AF955-T955</f>
        <v>#REF!</v>
      </c>
      <c r="AI955" t="str">
        <f>AG955/X955</f>
        <v>#REF!</v>
      </c>
      <c r="AJ955" t="str">
        <f>AH955/Y955</f>
        <v>#REF!</v>
      </c>
    </row>
    <row r="956">
      <c r="G956" t="str">
        <v>A</v>
      </c>
      <c r="K956" t="str">
        <f>IF(L956&gt;0,L956*0.0625,)</f>
        <v>#REF!</v>
      </c>
      <c r="L956" t="str">
        <f>IF(K956&gt;0,K956*16,)</f>
        <v>#REF!</v>
      </c>
      <c r="M956" t="str">
        <f>IF(K956&gt;0,K956*0.453592,IF(L956&gt;0,L956*0.02835,))</f>
        <v>#REF!</v>
      </c>
      <c r="P956">
        <f>J956+O956+N956</f>
        <v>0</v>
      </c>
      <c r="Q956">
        <f>P956*C$3</f>
        <v>0</v>
      </c>
      <c r="R956">
        <v>0</v>
      </c>
      <c r="S956">
        <f>ROUND(SUM(Q956:R956), -2)</f>
        <v>0</v>
      </c>
      <c r="T956" t="str">
        <f>ROUNDUP(HLOOKUP(ROUNDUP(K956,0),'배송비 조회'!A$10:AE$22,7,0)*C$3,-2)</f>
        <v>#REF!</v>
      </c>
      <c r="U956">
        <v>0</v>
      </c>
      <c r="V956" t="str">
        <f>ROUND(IF(R952&gt;0,0,(S956+T956)*0.3),-2)</f>
        <v>#REF!</v>
      </c>
      <c r="W956" t="str">
        <f>ROUND(IF(R952&gt;0,0,(S956+T956)*0.5),-2)</f>
        <v>#REF!</v>
      </c>
      <c r="X956" t="str">
        <f>SUM(S956:V956)</f>
        <v>#REF!</v>
      </c>
      <c r="Y956" t="str">
        <f>SUM(S956:U956)+W956</f>
        <v>#REF!</v>
      </c>
      <c r="Z956">
        <v>0</v>
      </c>
      <c r="AA956" t="str">
        <f>X956*0.038</f>
        <v>#REF!</v>
      </c>
      <c r="AB956" t="str">
        <f>X956*0.02</f>
        <v>#REF!</v>
      </c>
      <c r="AC956" t="str">
        <f>Y956*0.1</f>
        <v>#REF!</v>
      </c>
      <c r="AD956" t="str">
        <f>X956-AA956-AB956</f>
        <v>#REF!</v>
      </c>
      <c r="AE956" t="str">
        <f>Y956-AC956</f>
        <v>#REF!</v>
      </c>
      <c r="AF956" t="str">
        <f>AD956*0.01</f>
        <v>#REF!</v>
      </c>
      <c r="AG956" t="str">
        <f>AD956-Q956-AF956-T956</f>
        <v>#REF!</v>
      </c>
      <c r="AH956" t="str">
        <f>AE956-Q956-AF956-T956</f>
        <v>#REF!</v>
      </c>
      <c r="AI956" t="str">
        <f>AG956/X956</f>
        <v>#REF!</v>
      </c>
      <c r="AJ956" t="str">
        <f>AH956/Y956</f>
        <v>#REF!</v>
      </c>
    </row>
    <row r="957">
      <c r="G957" t="str">
        <v>A</v>
      </c>
      <c r="K957" t="str">
        <f>IF(L957&gt;0,L957*0.0625,)</f>
        <v>#REF!</v>
      </c>
      <c r="L957" t="str">
        <f>IF(K957&gt;0,K957*16,)</f>
        <v>#REF!</v>
      </c>
      <c r="M957" t="str">
        <f>IF(K957&gt;0,K957*0.453592,IF(L957&gt;0,L957*0.02835,))</f>
        <v>#REF!</v>
      </c>
      <c r="P957">
        <f>J957+O957+N957</f>
        <v>0</v>
      </c>
      <c r="Q957">
        <f>P957*C$3</f>
        <v>0</v>
      </c>
      <c r="R957">
        <v>0</v>
      </c>
      <c r="S957">
        <f>ROUND(SUM(Q957:R957), -2)</f>
        <v>0</v>
      </c>
      <c r="T957" t="str">
        <f>ROUNDUP(HLOOKUP(ROUNDUP(K957,0),'배송비 조회'!A$10:AE$22,7,0)*C$3,-2)</f>
        <v>#REF!</v>
      </c>
      <c r="U957">
        <v>0</v>
      </c>
      <c r="V957" t="str">
        <f>ROUND(IF(R953&gt;0,0,(S957+T957)*0.3),-2)</f>
        <v>#REF!</v>
      </c>
      <c r="W957" t="str">
        <f>ROUND(IF(R953&gt;0,0,(S957+T957)*0.5),-2)</f>
        <v>#REF!</v>
      </c>
      <c r="X957" t="str">
        <f>SUM(S957:V957)</f>
        <v>#REF!</v>
      </c>
      <c r="Y957" t="str">
        <f>SUM(S957:U957)+W957</f>
        <v>#REF!</v>
      </c>
      <c r="Z957">
        <v>0</v>
      </c>
      <c r="AA957" t="str">
        <f>X957*0.038</f>
        <v>#REF!</v>
      </c>
      <c r="AB957" t="str">
        <f>X957*0.02</f>
        <v>#REF!</v>
      </c>
      <c r="AC957" t="str">
        <f>Y957*0.1</f>
        <v>#REF!</v>
      </c>
      <c r="AD957" t="str">
        <f>X957-AA957-AB957</f>
        <v>#REF!</v>
      </c>
      <c r="AE957" t="str">
        <f>Y957-AC957</f>
        <v>#REF!</v>
      </c>
      <c r="AF957" t="str">
        <f>AD957*0.01</f>
        <v>#REF!</v>
      </c>
      <c r="AG957" t="str">
        <f>AD957-Q957-AF957-T957</f>
        <v>#REF!</v>
      </c>
      <c r="AH957" t="str">
        <f>AE957-Q957-AF957-T957</f>
        <v>#REF!</v>
      </c>
      <c r="AI957" t="str">
        <f>AG957/X957</f>
        <v>#REF!</v>
      </c>
      <c r="AJ957" t="str">
        <f>AH957/Y957</f>
        <v>#REF!</v>
      </c>
    </row>
    <row r="958">
      <c r="G958" t="str">
        <v>A</v>
      </c>
      <c r="K958" t="str">
        <f>IF(L958&gt;0,L958*0.0625,)</f>
        <v>#REF!</v>
      </c>
      <c r="L958" t="str">
        <f>IF(K958&gt;0,K958*16,)</f>
        <v>#REF!</v>
      </c>
      <c r="M958" t="str">
        <f>IF(K958&gt;0,K958*0.453592,IF(L958&gt;0,L958*0.02835,))</f>
        <v>#REF!</v>
      </c>
      <c r="P958">
        <f>J958+O958+N958</f>
        <v>0</v>
      </c>
      <c r="Q958">
        <f>P958*C$3</f>
        <v>0</v>
      </c>
      <c r="R958">
        <v>0</v>
      </c>
      <c r="S958">
        <f>ROUND(SUM(Q958:R958), -2)</f>
        <v>0</v>
      </c>
      <c r="T958" t="str">
        <f>ROUNDUP(HLOOKUP(ROUNDUP(K958,0),'배송비 조회'!A$10:AE$22,7,0)*C$3,-2)</f>
        <v>#REF!</v>
      </c>
      <c r="U958">
        <v>0</v>
      </c>
      <c r="V958" t="str">
        <f>ROUND(IF(R954&gt;0,0,(S958+T958)*0.3),-2)</f>
        <v>#REF!</v>
      </c>
      <c r="W958" t="str">
        <f>ROUND(IF(R954&gt;0,0,(S958+T958)*0.5),-2)</f>
        <v>#REF!</v>
      </c>
      <c r="X958" t="str">
        <f>SUM(S958:V958)</f>
        <v>#REF!</v>
      </c>
      <c r="Y958" t="str">
        <f>SUM(S958:U958)+W958</f>
        <v>#REF!</v>
      </c>
      <c r="Z958">
        <v>0</v>
      </c>
      <c r="AA958" t="str">
        <f>X958*0.038</f>
        <v>#REF!</v>
      </c>
      <c r="AB958" t="str">
        <f>X958*0.02</f>
        <v>#REF!</v>
      </c>
      <c r="AC958" t="str">
        <f>Y958*0.1</f>
        <v>#REF!</v>
      </c>
      <c r="AD958" t="str">
        <f>X958-AA958-AB958</f>
        <v>#REF!</v>
      </c>
      <c r="AE958" t="str">
        <f>Y958-AC958</f>
        <v>#REF!</v>
      </c>
      <c r="AF958" t="str">
        <f>AD958*0.01</f>
        <v>#REF!</v>
      </c>
      <c r="AG958" t="str">
        <f>AD958-Q958-AF958-T958</f>
        <v>#REF!</v>
      </c>
      <c r="AH958" t="str">
        <f>AE958-Q958-AF958-T958</f>
        <v>#REF!</v>
      </c>
      <c r="AI958" t="str">
        <f>AG958/X958</f>
        <v>#REF!</v>
      </c>
      <c r="AJ958" t="str">
        <f>AH958/Y958</f>
        <v>#REF!</v>
      </c>
    </row>
    <row r="959">
      <c r="G959" t="str">
        <v>A</v>
      </c>
      <c r="K959" t="str">
        <f>IF(L959&gt;0,L959*0.0625,)</f>
        <v>#REF!</v>
      </c>
      <c r="L959" t="str">
        <f>IF(K959&gt;0,K959*16,)</f>
        <v>#REF!</v>
      </c>
      <c r="M959" t="str">
        <f>IF(K959&gt;0,K959*0.453592,IF(L959&gt;0,L959*0.02835,))</f>
        <v>#REF!</v>
      </c>
      <c r="P959">
        <f>J959+O959+N959</f>
        <v>0</v>
      </c>
      <c r="Q959">
        <f>P959*C$3</f>
        <v>0</v>
      </c>
      <c r="R959">
        <v>0</v>
      </c>
      <c r="S959">
        <f>ROUND(SUM(Q959:R959), -2)</f>
        <v>0</v>
      </c>
      <c r="T959" t="str">
        <f>ROUNDUP(HLOOKUP(ROUNDUP(K959,0),'배송비 조회'!A$10:AE$22,7,0)*C$3,-2)</f>
        <v>#REF!</v>
      </c>
      <c r="U959">
        <v>0</v>
      </c>
      <c r="V959" t="str">
        <f>ROUND(IF(R955&gt;0,0,(S959+T959)*0.3),-2)</f>
        <v>#REF!</v>
      </c>
      <c r="W959" t="str">
        <f>ROUND(IF(R955&gt;0,0,(S959+T959)*0.5),-2)</f>
        <v>#REF!</v>
      </c>
      <c r="X959" t="str">
        <f>SUM(S959:V959)</f>
        <v>#REF!</v>
      </c>
      <c r="Y959" t="str">
        <f>SUM(S959:U959)+W959</f>
        <v>#REF!</v>
      </c>
      <c r="Z959">
        <v>0</v>
      </c>
      <c r="AA959" t="str">
        <f>X959*0.038</f>
        <v>#REF!</v>
      </c>
      <c r="AB959" t="str">
        <f>X959*0.02</f>
        <v>#REF!</v>
      </c>
      <c r="AC959" t="str">
        <f>Y959*0.1</f>
        <v>#REF!</v>
      </c>
      <c r="AD959" t="str">
        <f>X959-AA959-AB959</f>
        <v>#REF!</v>
      </c>
      <c r="AE959" t="str">
        <f>Y959-AC959</f>
        <v>#REF!</v>
      </c>
      <c r="AF959" t="str">
        <f>AD959*0.01</f>
        <v>#REF!</v>
      </c>
      <c r="AG959" t="str">
        <f>AD959-Q959-AF959-T959</f>
        <v>#REF!</v>
      </c>
      <c r="AH959" t="str">
        <f>AE959-Q959-AF959-T959</f>
        <v>#REF!</v>
      </c>
      <c r="AI959" t="str">
        <f>AG959/X959</f>
        <v>#REF!</v>
      </c>
      <c r="AJ959" t="str">
        <f>AH959/Y959</f>
        <v>#REF!</v>
      </c>
    </row>
    <row r="960">
      <c r="G960" t="str">
        <v>A</v>
      </c>
      <c r="K960" t="str">
        <f>IF(L960&gt;0,L960*0.0625,)</f>
        <v>#REF!</v>
      </c>
      <c r="L960" t="str">
        <f>IF(K960&gt;0,K960*16,)</f>
        <v>#REF!</v>
      </c>
      <c r="M960" t="str">
        <f>IF(K960&gt;0,K960*0.453592,IF(L960&gt;0,L960*0.02835,))</f>
        <v>#REF!</v>
      </c>
      <c r="P960">
        <f>J960+O960+N960</f>
        <v>0</v>
      </c>
      <c r="Q960">
        <f>P960*C$3</f>
        <v>0</v>
      </c>
      <c r="R960">
        <v>0</v>
      </c>
      <c r="S960">
        <f>ROUND(SUM(Q960:R960), -2)</f>
        <v>0</v>
      </c>
      <c r="T960" t="str">
        <f>ROUNDUP(HLOOKUP(ROUNDUP(K960,0),'배송비 조회'!A$10:AE$22,7,0)*C$3,-2)</f>
        <v>#REF!</v>
      </c>
      <c r="U960">
        <v>0</v>
      </c>
      <c r="V960" t="str">
        <f>ROUND(IF(R956&gt;0,0,(S960+T960)*0.3),-2)</f>
        <v>#REF!</v>
      </c>
      <c r="W960" t="str">
        <f>ROUND(IF(R956&gt;0,0,(S960+T960)*0.5),-2)</f>
        <v>#REF!</v>
      </c>
      <c r="X960" t="str">
        <f>SUM(S960:V960)</f>
        <v>#REF!</v>
      </c>
      <c r="Y960" t="str">
        <f>SUM(S960:U960)+W960</f>
        <v>#REF!</v>
      </c>
      <c r="Z960">
        <v>0</v>
      </c>
      <c r="AA960" t="str">
        <f>X960*0.038</f>
        <v>#REF!</v>
      </c>
      <c r="AB960" t="str">
        <f>X960*0.02</f>
        <v>#REF!</v>
      </c>
      <c r="AC960" t="str">
        <f>Y960*0.1</f>
        <v>#REF!</v>
      </c>
      <c r="AD960" t="str">
        <f>X960-AA960-AB960</f>
        <v>#REF!</v>
      </c>
      <c r="AE960" t="str">
        <f>Y960-AC960</f>
        <v>#REF!</v>
      </c>
      <c r="AF960" t="str">
        <f>AD960*0.01</f>
        <v>#REF!</v>
      </c>
      <c r="AG960" t="str">
        <f>AD960-Q960-AF960-T960</f>
        <v>#REF!</v>
      </c>
      <c r="AH960" t="str">
        <f>AE960-Q960-AF960-T960</f>
        <v>#REF!</v>
      </c>
      <c r="AI960" t="str">
        <f>AG960/X960</f>
        <v>#REF!</v>
      </c>
      <c r="AJ960" t="str">
        <f>AH960/Y960</f>
        <v>#REF!</v>
      </c>
    </row>
    <row r="961">
      <c r="G961" t="str">
        <v>A</v>
      </c>
      <c r="K961" t="str">
        <f>IF(L961&gt;0,L961*0.0625,)</f>
        <v>#REF!</v>
      </c>
      <c r="L961" t="str">
        <f>IF(K961&gt;0,K961*16,)</f>
        <v>#REF!</v>
      </c>
      <c r="M961" t="str">
        <f>IF(K961&gt;0,K961*0.453592,IF(L961&gt;0,L961*0.02835,))</f>
        <v>#REF!</v>
      </c>
      <c r="P961">
        <f>J961+O961+N961</f>
        <v>0</v>
      </c>
      <c r="Q961">
        <f>P961*C$3</f>
        <v>0</v>
      </c>
      <c r="R961">
        <v>0</v>
      </c>
      <c r="S961">
        <f>ROUND(SUM(Q961:R961), -2)</f>
        <v>0</v>
      </c>
      <c r="T961" t="str">
        <f>ROUNDUP(HLOOKUP(ROUNDUP(K961,0),'배송비 조회'!A$10:AE$22,7,0)*C$3,-2)</f>
        <v>#REF!</v>
      </c>
      <c r="U961">
        <v>0</v>
      </c>
      <c r="V961" t="str">
        <f>ROUND(IF(R957&gt;0,0,(S961+T961)*0.3),-2)</f>
        <v>#REF!</v>
      </c>
      <c r="W961" t="str">
        <f>ROUND(IF(R957&gt;0,0,(S961+T961)*0.5),-2)</f>
        <v>#REF!</v>
      </c>
      <c r="X961" t="str">
        <f>SUM(S961:V961)</f>
        <v>#REF!</v>
      </c>
      <c r="Y961" t="str">
        <f>SUM(S961:U961)+W961</f>
        <v>#REF!</v>
      </c>
      <c r="Z961">
        <v>0</v>
      </c>
      <c r="AA961" t="str">
        <f>X961*0.038</f>
        <v>#REF!</v>
      </c>
      <c r="AB961" t="str">
        <f>X961*0.02</f>
        <v>#REF!</v>
      </c>
      <c r="AC961" t="str">
        <f>Y961*0.1</f>
        <v>#REF!</v>
      </c>
      <c r="AD961" t="str">
        <f>X961-AA961-AB961</f>
        <v>#REF!</v>
      </c>
      <c r="AE961" t="str">
        <f>Y961-AC961</f>
        <v>#REF!</v>
      </c>
      <c r="AF961" t="str">
        <f>AD961*0.01</f>
        <v>#REF!</v>
      </c>
      <c r="AG961" t="str">
        <f>AD961-Q961-AF961-T961</f>
        <v>#REF!</v>
      </c>
      <c r="AH961" t="str">
        <f>AE961-Q961-AF961-T961</f>
        <v>#REF!</v>
      </c>
      <c r="AI961" t="str">
        <f>AG961/X961</f>
        <v>#REF!</v>
      </c>
      <c r="AJ961" t="str">
        <f>AH961/Y961</f>
        <v>#REF!</v>
      </c>
    </row>
    <row r="962">
      <c r="G962" t="str">
        <v>A</v>
      </c>
      <c r="K962" t="str">
        <f>IF(L962&gt;0,L962*0.0625,)</f>
        <v>#REF!</v>
      </c>
      <c r="L962" t="str">
        <f>IF(K962&gt;0,K962*16,)</f>
        <v>#REF!</v>
      </c>
      <c r="M962" t="str">
        <f>IF(K962&gt;0,K962*0.453592,IF(L962&gt;0,L962*0.02835,))</f>
        <v>#REF!</v>
      </c>
      <c r="P962">
        <f>J962+O962+N962</f>
        <v>0</v>
      </c>
      <c r="Q962">
        <f>P962*C$3</f>
        <v>0</v>
      </c>
      <c r="R962">
        <v>0</v>
      </c>
      <c r="S962">
        <f>ROUND(SUM(Q962:R962), -2)</f>
        <v>0</v>
      </c>
      <c r="T962" t="str">
        <f>ROUNDUP(HLOOKUP(ROUNDUP(K962,0),'배송비 조회'!A$10:AE$22,7,0)*C$3,-2)</f>
        <v>#REF!</v>
      </c>
      <c r="U962">
        <v>0</v>
      </c>
      <c r="V962" t="str">
        <f>ROUND(IF(R958&gt;0,0,(S962+T962)*0.3),-2)</f>
        <v>#REF!</v>
      </c>
      <c r="W962" t="str">
        <f>ROUND(IF(R958&gt;0,0,(S962+T962)*0.5),-2)</f>
        <v>#REF!</v>
      </c>
      <c r="X962" t="str">
        <f>SUM(S962:V962)</f>
        <v>#REF!</v>
      </c>
      <c r="Y962" t="str">
        <f>SUM(S962:U962)+W962</f>
        <v>#REF!</v>
      </c>
      <c r="Z962">
        <v>0</v>
      </c>
      <c r="AA962" t="str">
        <f>X962*0.038</f>
        <v>#REF!</v>
      </c>
      <c r="AB962" t="str">
        <f>X962*0.02</f>
        <v>#REF!</v>
      </c>
      <c r="AC962" t="str">
        <f>Y962*0.1</f>
        <v>#REF!</v>
      </c>
      <c r="AD962" t="str">
        <f>X962-AA962-AB962</f>
        <v>#REF!</v>
      </c>
      <c r="AE962" t="str">
        <f>Y962-AC962</f>
        <v>#REF!</v>
      </c>
      <c r="AF962" t="str">
        <f>AD962*0.01</f>
        <v>#REF!</v>
      </c>
      <c r="AG962" t="str">
        <f>AD962-Q962-AF962-T962</f>
        <v>#REF!</v>
      </c>
      <c r="AH962" t="str">
        <f>AE962-Q962-AF962-T962</f>
        <v>#REF!</v>
      </c>
      <c r="AI962" t="str">
        <f>AG962/X962</f>
        <v>#REF!</v>
      </c>
      <c r="AJ962" t="str">
        <f>AH962/Y962</f>
        <v>#REF!</v>
      </c>
    </row>
    <row r="963">
      <c r="G963" t="str">
        <v>A</v>
      </c>
      <c r="K963" t="str">
        <f>IF(L963&gt;0,L963*0.0625,)</f>
        <v>#REF!</v>
      </c>
      <c r="L963" t="str">
        <f>IF(K963&gt;0,K963*16,)</f>
        <v>#REF!</v>
      </c>
      <c r="M963" t="str">
        <f>IF(K963&gt;0,K963*0.453592,IF(L963&gt;0,L963*0.02835,))</f>
        <v>#REF!</v>
      </c>
      <c r="P963">
        <f>J963+O963+N963</f>
        <v>0</v>
      </c>
      <c r="Q963">
        <f>P963*C$3</f>
        <v>0</v>
      </c>
      <c r="R963">
        <v>0</v>
      </c>
      <c r="S963">
        <f>ROUND(SUM(Q963:R963), -2)</f>
        <v>0</v>
      </c>
      <c r="T963" t="str">
        <f>ROUNDUP(HLOOKUP(ROUNDUP(K963,0),'배송비 조회'!A$10:AE$22,7,0)*C$3,-2)</f>
        <v>#REF!</v>
      </c>
      <c r="U963">
        <v>0</v>
      </c>
      <c r="V963" t="str">
        <f>ROUND(IF(R959&gt;0,0,(S963+T963)*0.3),-2)</f>
        <v>#REF!</v>
      </c>
      <c r="W963" t="str">
        <f>ROUND(IF(R959&gt;0,0,(S963+T963)*0.5),-2)</f>
        <v>#REF!</v>
      </c>
      <c r="X963" t="str">
        <f>SUM(S963:V963)</f>
        <v>#REF!</v>
      </c>
      <c r="Y963" t="str">
        <f>SUM(S963:U963)+W963</f>
        <v>#REF!</v>
      </c>
      <c r="Z963">
        <v>0</v>
      </c>
      <c r="AA963" t="str">
        <f>X963*0.038</f>
        <v>#REF!</v>
      </c>
      <c r="AB963" t="str">
        <f>X963*0.02</f>
        <v>#REF!</v>
      </c>
      <c r="AC963" t="str">
        <f>Y963*0.1</f>
        <v>#REF!</v>
      </c>
      <c r="AD963" t="str">
        <f>X963-AA963-AB963</f>
        <v>#REF!</v>
      </c>
      <c r="AE963" t="str">
        <f>Y963-AC963</f>
        <v>#REF!</v>
      </c>
      <c r="AF963" t="str">
        <f>AD963*0.01</f>
        <v>#REF!</v>
      </c>
      <c r="AG963" t="str">
        <f>AD963-Q963-AF963-T963</f>
        <v>#REF!</v>
      </c>
      <c r="AH963" t="str">
        <f>AE963-Q963-AF963-T963</f>
        <v>#REF!</v>
      </c>
      <c r="AI963" t="str">
        <f>AG963/X963</f>
        <v>#REF!</v>
      </c>
      <c r="AJ963" t="str">
        <f>AH963/Y963</f>
        <v>#REF!</v>
      </c>
    </row>
    <row r="964">
      <c r="G964" t="str">
        <v>A</v>
      </c>
      <c r="K964" t="str">
        <f>IF(L964&gt;0,L964*0.0625,)</f>
        <v>#REF!</v>
      </c>
      <c r="L964" t="str">
        <f>IF(K964&gt;0,K964*16,)</f>
        <v>#REF!</v>
      </c>
      <c r="M964" t="str">
        <f>IF(K964&gt;0,K964*0.453592,IF(L964&gt;0,L964*0.02835,))</f>
        <v>#REF!</v>
      </c>
      <c r="P964">
        <f>J964+O964+N964</f>
        <v>0</v>
      </c>
      <c r="Q964">
        <f>P964*C$3</f>
        <v>0</v>
      </c>
      <c r="R964">
        <v>0</v>
      </c>
      <c r="S964">
        <f>ROUND(SUM(Q964:R964), -2)</f>
        <v>0</v>
      </c>
      <c r="T964" t="str">
        <f>ROUNDUP(HLOOKUP(ROUNDUP(K964,0),'배송비 조회'!A$10:AE$22,7,0)*C$3,-2)</f>
        <v>#REF!</v>
      </c>
      <c r="U964">
        <v>0</v>
      </c>
      <c r="V964" t="str">
        <f>ROUND(IF(R960&gt;0,0,(S964+T964)*0.3),-2)</f>
        <v>#REF!</v>
      </c>
      <c r="W964" t="str">
        <f>ROUND(IF(R960&gt;0,0,(S964+T964)*0.5),-2)</f>
        <v>#REF!</v>
      </c>
      <c r="X964" t="str">
        <f>SUM(S964:V964)</f>
        <v>#REF!</v>
      </c>
      <c r="Y964" t="str">
        <f>SUM(S964:U964)+W964</f>
        <v>#REF!</v>
      </c>
      <c r="Z964">
        <v>0</v>
      </c>
      <c r="AA964" t="str">
        <f>X964*0.038</f>
        <v>#REF!</v>
      </c>
      <c r="AB964" t="str">
        <f>X964*0.02</f>
        <v>#REF!</v>
      </c>
      <c r="AC964" t="str">
        <f>Y964*0.1</f>
        <v>#REF!</v>
      </c>
      <c r="AD964" t="str">
        <f>X964-AA964-AB964</f>
        <v>#REF!</v>
      </c>
      <c r="AE964" t="str">
        <f>Y964-AC964</f>
        <v>#REF!</v>
      </c>
      <c r="AF964" t="str">
        <f>AD964*0.01</f>
        <v>#REF!</v>
      </c>
      <c r="AG964" t="str">
        <f>AD964-Q964-AF964-T964</f>
        <v>#REF!</v>
      </c>
      <c r="AH964" t="str">
        <f>AE964-Q964-AF964-T964</f>
        <v>#REF!</v>
      </c>
      <c r="AI964" t="str">
        <f>AG964/X964</f>
        <v>#REF!</v>
      </c>
      <c r="AJ964" t="str">
        <f>AH964/Y964</f>
        <v>#REF!</v>
      </c>
    </row>
    <row r="965">
      <c r="G965" t="str">
        <v>A</v>
      </c>
      <c r="K965" t="str">
        <f>IF(L965&gt;0,L965*0.0625,)</f>
        <v>#REF!</v>
      </c>
      <c r="L965" t="str">
        <f>IF(K965&gt;0,K965*16,)</f>
        <v>#REF!</v>
      </c>
      <c r="M965" t="str">
        <f>IF(K965&gt;0,K965*0.453592,IF(L965&gt;0,L965*0.02835,))</f>
        <v>#REF!</v>
      </c>
      <c r="P965">
        <f>J965+O965+N965</f>
        <v>0</v>
      </c>
      <c r="Q965">
        <f>P965*C$3</f>
        <v>0</v>
      </c>
      <c r="R965">
        <v>0</v>
      </c>
      <c r="S965">
        <f>ROUND(SUM(Q965:R965), -2)</f>
        <v>0</v>
      </c>
      <c r="T965" t="str">
        <f>ROUNDUP(HLOOKUP(ROUNDUP(K965,0),'배송비 조회'!A$10:AE$22,7,0)*C$3,-2)</f>
        <v>#REF!</v>
      </c>
      <c r="U965">
        <v>0</v>
      </c>
      <c r="V965" t="str">
        <f>ROUND(IF(R961&gt;0,0,(S965+T965)*0.3),-2)</f>
        <v>#REF!</v>
      </c>
      <c r="W965" t="str">
        <f>ROUND(IF(R961&gt;0,0,(S965+T965)*0.5),-2)</f>
        <v>#REF!</v>
      </c>
      <c r="X965" t="str">
        <f>SUM(S965:V965)</f>
        <v>#REF!</v>
      </c>
      <c r="Y965" t="str">
        <f>SUM(S965:U965)+W965</f>
        <v>#REF!</v>
      </c>
      <c r="Z965">
        <v>0</v>
      </c>
      <c r="AA965" t="str">
        <f>X965*0.038</f>
        <v>#REF!</v>
      </c>
      <c r="AB965" t="str">
        <f>X965*0.02</f>
        <v>#REF!</v>
      </c>
      <c r="AC965" t="str">
        <f>Y965*0.1</f>
        <v>#REF!</v>
      </c>
      <c r="AD965" t="str">
        <f>X965-AA965-AB965</f>
        <v>#REF!</v>
      </c>
      <c r="AE965" t="str">
        <f>Y965-AC965</f>
        <v>#REF!</v>
      </c>
      <c r="AF965" t="str">
        <f>AD965*0.01</f>
        <v>#REF!</v>
      </c>
      <c r="AG965" t="str">
        <f>AD965-Q965-AF965-T965</f>
        <v>#REF!</v>
      </c>
      <c r="AH965" t="str">
        <f>AE965-Q965-AF965-T965</f>
        <v>#REF!</v>
      </c>
      <c r="AI965" t="str">
        <f>AG965/X965</f>
        <v>#REF!</v>
      </c>
      <c r="AJ965" t="str">
        <f>AH965/Y965</f>
        <v>#REF!</v>
      </c>
    </row>
    <row r="966">
      <c r="G966" t="str">
        <v>A</v>
      </c>
      <c r="K966" t="str">
        <f>IF(L966&gt;0,L966*0.0625,)</f>
        <v>#REF!</v>
      </c>
      <c r="L966" t="str">
        <f>IF(K966&gt;0,K966*16,)</f>
        <v>#REF!</v>
      </c>
      <c r="M966" t="str">
        <f>IF(K966&gt;0,K966*0.453592,IF(L966&gt;0,L966*0.02835,))</f>
        <v>#REF!</v>
      </c>
      <c r="P966">
        <f>J966+O966+N966</f>
        <v>0</v>
      </c>
      <c r="Q966">
        <f>P966*C$3</f>
        <v>0</v>
      </c>
      <c r="R966">
        <v>0</v>
      </c>
      <c r="S966">
        <f>ROUND(SUM(Q966:R966), -2)</f>
        <v>0</v>
      </c>
      <c r="T966" t="str">
        <f>ROUNDUP(HLOOKUP(ROUNDUP(K966,0),'배송비 조회'!A$10:AE$22,7,0)*C$3,-2)</f>
        <v>#REF!</v>
      </c>
      <c r="U966">
        <v>0</v>
      </c>
      <c r="V966" t="str">
        <f>ROUND(IF(R962&gt;0,0,(S966+T966)*0.3),-2)</f>
        <v>#REF!</v>
      </c>
      <c r="W966" t="str">
        <f>ROUND(IF(R962&gt;0,0,(S966+T966)*0.5),-2)</f>
        <v>#REF!</v>
      </c>
      <c r="X966" t="str">
        <f>SUM(S966:V966)</f>
        <v>#REF!</v>
      </c>
      <c r="Y966" t="str">
        <f>SUM(S966:U966)+W966</f>
        <v>#REF!</v>
      </c>
      <c r="Z966">
        <v>0</v>
      </c>
      <c r="AA966" t="str">
        <f>X966*0.038</f>
        <v>#REF!</v>
      </c>
      <c r="AB966" t="str">
        <f>X966*0.02</f>
        <v>#REF!</v>
      </c>
      <c r="AC966" t="str">
        <f>Y966*0.1</f>
        <v>#REF!</v>
      </c>
      <c r="AD966" t="str">
        <f>X966-AA966-AB966</f>
        <v>#REF!</v>
      </c>
      <c r="AE966" t="str">
        <f>Y966-AC966</f>
        <v>#REF!</v>
      </c>
      <c r="AF966" t="str">
        <f>AD966*0.01</f>
        <v>#REF!</v>
      </c>
      <c r="AG966" t="str">
        <f>AD966-Q966-AF966-T966</f>
        <v>#REF!</v>
      </c>
      <c r="AH966" t="str">
        <f>AE966-Q966-AF966-T966</f>
        <v>#REF!</v>
      </c>
      <c r="AI966" t="str">
        <f>AG966/X966</f>
        <v>#REF!</v>
      </c>
      <c r="AJ966" t="str">
        <f>AH966/Y966</f>
        <v>#REF!</v>
      </c>
    </row>
    <row r="967">
      <c r="G967" t="str">
        <v>A</v>
      </c>
      <c r="K967" t="str">
        <f>IF(L967&gt;0,L967*0.0625,)</f>
        <v>#REF!</v>
      </c>
      <c r="L967" t="str">
        <f>IF(K967&gt;0,K967*16,)</f>
        <v>#REF!</v>
      </c>
      <c r="M967" t="str">
        <f>IF(K967&gt;0,K967*0.453592,IF(L967&gt;0,L967*0.02835,))</f>
        <v>#REF!</v>
      </c>
      <c r="P967">
        <f>J967+O967+N967</f>
        <v>0</v>
      </c>
      <c r="Q967">
        <f>P967*C$3</f>
        <v>0</v>
      </c>
      <c r="R967">
        <v>0</v>
      </c>
      <c r="S967">
        <f>ROUND(SUM(Q967:R967), -2)</f>
        <v>0</v>
      </c>
      <c r="T967" t="str">
        <f>ROUNDUP(HLOOKUP(ROUNDUP(K967,0),'배송비 조회'!A$10:AE$22,7,0)*C$3,-2)</f>
        <v>#REF!</v>
      </c>
      <c r="U967">
        <v>0</v>
      </c>
      <c r="V967" t="str">
        <f>ROUND(IF(R963&gt;0,0,(S967+T967)*0.3),-2)</f>
        <v>#REF!</v>
      </c>
      <c r="W967" t="str">
        <f>ROUND(IF(R963&gt;0,0,(S967+T967)*0.5),-2)</f>
        <v>#REF!</v>
      </c>
      <c r="X967" t="str">
        <f>SUM(S967:V967)</f>
        <v>#REF!</v>
      </c>
      <c r="Y967" t="str">
        <f>SUM(S967:U967)+W967</f>
        <v>#REF!</v>
      </c>
      <c r="Z967">
        <v>0</v>
      </c>
      <c r="AA967" t="str">
        <f>X967*0.038</f>
        <v>#REF!</v>
      </c>
      <c r="AB967" t="str">
        <f>X967*0.02</f>
        <v>#REF!</v>
      </c>
      <c r="AC967" t="str">
        <f>Y967*0.1</f>
        <v>#REF!</v>
      </c>
      <c r="AD967" t="str">
        <f>X967-AA967-AB967</f>
        <v>#REF!</v>
      </c>
      <c r="AE967" t="str">
        <f>Y967-AC967</f>
        <v>#REF!</v>
      </c>
      <c r="AF967" t="str">
        <f>AD967*0.01</f>
        <v>#REF!</v>
      </c>
      <c r="AG967" t="str">
        <f>AD967-Q967-AF967-T967</f>
        <v>#REF!</v>
      </c>
      <c r="AH967" t="str">
        <f>AE967-Q967-AF967-T967</f>
        <v>#REF!</v>
      </c>
      <c r="AI967" t="str">
        <f>AG967/X967</f>
        <v>#REF!</v>
      </c>
      <c r="AJ967" t="str">
        <f>AH967/Y967</f>
        <v>#REF!</v>
      </c>
    </row>
    <row r="968">
      <c r="G968" t="str">
        <v>A</v>
      </c>
      <c r="K968" t="str">
        <f>IF(L968&gt;0,L968*0.0625,)</f>
        <v>#REF!</v>
      </c>
      <c r="L968" t="str">
        <f>IF(K968&gt;0,K968*16,)</f>
        <v>#REF!</v>
      </c>
      <c r="M968" t="str">
        <f>IF(K968&gt;0,K968*0.453592,IF(L968&gt;0,L968*0.02835,))</f>
        <v>#REF!</v>
      </c>
      <c r="P968">
        <f>J968+O968+N968</f>
        <v>0</v>
      </c>
      <c r="Q968">
        <f>P968*C$3</f>
        <v>0</v>
      </c>
      <c r="R968">
        <v>0</v>
      </c>
      <c r="S968">
        <f>ROUND(SUM(Q968:R968), -2)</f>
        <v>0</v>
      </c>
      <c r="T968" t="str">
        <f>ROUNDUP(HLOOKUP(ROUNDUP(K968,0),'배송비 조회'!A$10:AE$22,7,0)*C$3,-2)</f>
        <v>#REF!</v>
      </c>
      <c r="U968">
        <v>0</v>
      </c>
      <c r="V968" t="str">
        <f>ROUND(IF(R964&gt;0,0,(S968+T968)*0.3),-2)</f>
        <v>#REF!</v>
      </c>
      <c r="W968" t="str">
        <f>ROUND(IF(R964&gt;0,0,(S968+T968)*0.5),-2)</f>
        <v>#REF!</v>
      </c>
      <c r="X968" t="str">
        <f>SUM(S968:V968)</f>
        <v>#REF!</v>
      </c>
      <c r="Y968" t="str">
        <f>SUM(S968:U968)+W968</f>
        <v>#REF!</v>
      </c>
      <c r="Z968">
        <v>0</v>
      </c>
      <c r="AA968" t="str">
        <f>X968*0.038</f>
        <v>#REF!</v>
      </c>
      <c r="AB968" t="str">
        <f>X968*0.02</f>
        <v>#REF!</v>
      </c>
      <c r="AC968" t="str">
        <f>Y968*0.1</f>
        <v>#REF!</v>
      </c>
      <c r="AD968" t="str">
        <f>X968-AA968-AB968</f>
        <v>#REF!</v>
      </c>
      <c r="AE968" t="str">
        <f>Y968-AC968</f>
        <v>#REF!</v>
      </c>
      <c r="AF968" t="str">
        <f>AD968*0.01</f>
        <v>#REF!</v>
      </c>
      <c r="AG968" t="str">
        <f>AD968-Q968-AF968-T968</f>
        <v>#REF!</v>
      </c>
      <c r="AH968" t="str">
        <f>AE968-Q968-AF968-T968</f>
        <v>#REF!</v>
      </c>
      <c r="AI968" t="str">
        <f>AG968/X968</f>
        <v>#REF!</v>
      </c>
      <c r="AJ968" t="str">
        <f>AH968/Y968</f>
        <v>#REF!</v>
      </c>
    </row>
    <row r="969">
      <c r="G969" t="str">
        <v>A</v>
      </c>
      <c r="K969" t="str">
        <f>IF(L969&gt;0,L969*0.0625,)</f>
        <v>#REF!</v>
      </c>
      <c r="L969" t="str">
        <f>IF(K969&gt;0,K969*16,)</f>
        <v>#REF!</v>
      </c>
      <c r="M969" t="str">
        <f>IF(K969&gt;0,K969*0.453592,IF(L969&gt;0,L969*0.02835,))</f>
        <v>#REF!</v>
      </c>
      <c r="P969">
        <f>J969+O969+N969</f>
        <v>0</v>
      </c>
      <c r="Q969">
        <f>P969*C$3</f>
        <v>0</v>
      </c>
      <c r="R969">
        <v>0</v>
      </c>
      <c r="S969">
        <f>ROUND(SUM(Q969:R969), -2)</f>
        <v>0</v>
      </c>
      <c r="T969" t="str">
        <f>ROUNDUP(HLOOKUP(ROUNDUP(K969,0),'배송비 조회'!A$10:AE$22,7,0)*C$3,-2)</f>
        <v>#REF!</v>
      </c>
      <c r="U969">
        <v>0</v>
      </c>
      <c r="V969" t="str">
        <f>ROUND(IF(R965&gt;0,0,(S969+T969)*0.3),-2)</f>
        <v>#REF!</v>
      </c>
      <c r="W969" t="str">
        <f>ROUND(IF(R965&gt;0,0,(S969+T969)*0.5),-2)</f>
        <v>#REF!</v>
      </c>
      <c r="X969" t="str">
        <f>SUM(S969:V969)</f>
        <v>#REF!</v>
      </c>
      <c r="Y969" t="str">
        <f>SUM(S969:U969)+W969</f>
        <v>#REF!</v>
      </c>
      <c r="Z969">
        <v>0</v>
      </c>
      <c r="AA969" t="str">
        <f>X969*0.038</f>
        <v>#REF!</v>
      </c>
      <c r="AB969" t="str">
        <f>X969*0.02</f>
        <v>#REF!</v>
      </c>
      <c r="AC969" t="str">
        <f>Y969*0.1</f>
        <v>#REF!</v>
      </c>
      <c r="AD969" t="str">
        <f>X969-AA969-AB969</f>
        <v>#REF!</v>
      </c>
      <c r="AE969" t="str">
        <f>Y969-AC969</f>
        <v>#REF!</v>
      </c>
      <c r="AF969" t="str">
        <f>AD969*0.01</f>
        <v>#REF!</v>
      </c>
      <c r="AG969" t="str">
        <f>AD969-Q969-AF969-T969</f>
        <v>#REF!</v>
      </c>
      <c r="AH969" t="str">
        <f>AE969-Q969-AF969-T969</f>
        <v>#REF!</v>
      </c>
      <c r="AI969" t="str">
        <f>AG969/X969</f>
        <v>#REF!</v>
      </c>
      <c r="AJ969" t="str">
        <f>AH969/Y969</f>
        <v>#REF!</v>
      </c>
    </row>
    <row r="970">
      <c r="G970" t="str">
        <v>A</v>
      </c>
      <c r="K970" t="str">
        <f>IF(L970&gt;0,L970*0.0625,)</f>
        <v>#REF!</v>
      </c>
      <c r="L970" t="str">
        <f>IF(K970&gt;0,K970*16,)</f>
        <v>#REF!</v>
      </c>
      <c r="M970" t="str">
        <f>IF(K970&gt;0,K970*0.453592,IF(L970&gt;0,L970*0.02835,))</f>
        <v>#REF!</v>
      </c>
      <c r="P970">
        <f>J970+O970+N970</f>
        <v>0</v>
      </c>
      <c r="Q970">
        <f>P970*C$3</f>
        <v>0</v>
      </c>
      <c r="R970">
        <v>0</v>
      </c>
      <c r="S970">
        <f>ROUND(SUM(Q970:R970), -2)</f>
        <v>0</v>
      </c>
      <c r="T970" t="str">
        <f>ROUNDUP(HLOOKUP(ROUNDUP(K970,0),'배송비 조회'!A$10:AE$22,7,0)*C$3,-2)</f>
        <v>#REF!</v>
      </c>
      <c r="U970">
        <v>0</v>
      </c>
      <c r="V970" t="str">
        <f>ROUND(IF(R966&gt;0,0,(S970+T970)*0.3),-2)</f>
        <v>#REF!</v>
      </c>
      <c r="W970" t="str">
        <f>ROUND(IF(R966&gt;0,0,(S970+T970)*0.5),-2)</f>
        <v>#REF!</v>
      </c>
      <c r="X970" t="str">
        <f>SUM(S970:V970)</f>
        <v>#REF!</v>
      </c>
      <c r="Y970" t="str">
        <f>SUM(S970:U970)+W970</f>
        <v>#REF!</v>
      </c>
      <c r="Z970">
        <v>0</v>
      </c>
      <c r="AA970" t="str">
        <f>X970*0.038</f>
        <v>#REF!</v>
      </c>
      <c r="AB970" t="str">
        <f>X970*0.02</f>
        <v>#REF!</v>
      </c>
      <c r="AC970" t="str">
        <f>Y970*0.1</f>
        <v>#REF!</v>
      </c>
      <c r="AD970" t="str">
        <f>X970-AA970-AB970</f>
        <v>#REF!</v>
      </c>
      <c r="AE970" t="str">
        <f>Y970-AC970</f>
        <v>#REF!</v>
      </c>
      <c r="AF970" t="str">
        <f>AD970*0.01</f>
        <v>#REF!</v>
      </c>
      <c r="AG970" t="str">
        <f>AD970-Q970-AF970-T970</f>
        <v>#REF!</v>
      </c>
      <c r="AH970" t="str">
        <f>AE970-Q970-AF970-T970</f>
        <v>#REF!</v>
      </c>
      <c r="AI970" t="str">
        <f>AG970/X970</f>
        <v>#REF!</v>
      </c>
      <c r="AJ970" t="str">
        <f>AH970/Y970</f>
        <v>#REF!</v>
      </c>
    </row>
    <row r="971">
      <c r="G971" t="str">
        <v>A</v>
      </c>
      <c r="K971" t="str">
        <f>IF(L971&gt;0,L971*0.0625,)</f>
        <v>#REF!</v>
      </c>
      <c r="L971" t="str">
        <f>IF(K971&gt;0,K971*16,)</f>
        <v>#REF!</v>
      </c>
      <c r="M971" t="str">
        <f>IF(K971&gt;0,K971*0.453592,IF(L971&gt;0,L971*0.02835,))</f>
        <v>#REF!</v>
      </c>
      <c r="P971">
        <f>J971+O971+N971</f>
        <v>0</v>
      </c>
      <c r="Q971">
        <f>P971*C$3</f>
        <v>0</v>
      </c>
      <c r="R971">
        <v>0</v>
      </c>
      <c r="S971">
        <f>ROUND(SUM(Q971:R971), -2)</f>
        <v>0</v>
      </c>
      <c r="T971" t="str">
        <f>ROUNDUP(HLOOKUP(ROUNDUP(K971,0),'배송비 조회'!A$10:AE$22,7,0)*C$3,-2)</f>
        <v>#REF!</v>
      </c>
      <c r="U971">
        <v>0</v>
      </c>
      <c r="V971" t="str">
        <f>ROUND(IF(R967&gt;0,0,(S971+T971)*0.3),-2)</f>
        <v>#REF!</v>
      </c>
      <c r="W971" t="str">
        <f>ROUND(IF(R967&gt;0,0,(S971+T971)*0.5),-2)</f>
        <v>#REF!</v>
      </c>
      <c r="X971" t="str">
        <f>SUM(S971:V971)</f>
        <v>#REF!</v>
      </c>
      <c r="Y971" t="str">
        <f>SUM(S971:U971)+W971</f>
        <v>#REF!</v>
      </c>
      <c r="Z971">
        <v>0</v>
      </c>
      <c r="AA971" t="str">
        <f>X971*0.038</f>
        <v>#REF!</v>
      </c>
      <c r="AB971" t="str">
        <f>X971*0.02</f>
        <v>#REF!</v>
      </c>
      <c r="AC971" t="str">
        <f>Y971*0.1</f>
        <v>#REF!</v>
      </c>
      <c r="AD971" t="str">
        <f>X971-AA971-AB971</f>
        <v>#REF!</v>
      </c>
      <c r="AE971" t="str">
        <f>Y971-AC971</f>
        <v>#REF!</v>
      </c>
      <c r="AF971" t="str">
        <f>AD971*0.01</f>
        <v>#REF!</v>
      </c>
      <c r="AG971" t="str">
        <f>AD971-Q971-AF971-T971</f>
        <v>#REF!</v>
      </c>
      <c r="AH971" t="str">
        <f>AE971-Q971-AF971-T971</f>
        <v>#REF!</v>
      </c>
      <c r="AI971" t="str">
        <f>AG971/X971</f>
        <v>#REF!</v>
      </c>
      <c r="AJ971" t="str">
        <f>AH971/Y971</f>
        <v>#REF!</v>
      </c>
    </row>
    <row r="972">
      <c r="G972" t="str">
        <v>A</v>
      </c>
      <c r="K972" t="str">
        <f>IF(L972&gt;0,L972*0.0625,)</f>
        <v>#REF!</v>
      </c>
      <c r="L972" t="str">
        <f>IF(K972&gt;0,K972*16,)</f>
        <v>#REF!</v>
      </c>
      <c r="M972" t="str">
        <f>IF(K972&gt;0,K972*0.453592,IF(L972&gt;0,L972*0.02835,))</f>
        <v>#REF!</v>
      </c>
      <c r="P972">
        <f>J972+O972+N972</f>
        <v>0</v>
      </c>
      <c r="Q972">
        <f>P972*C$3</f>
        <v>0</v>
      </c>
      <c r="R972">
        <v>0</v>
      </c>
      <c r="S972">
        <f>ROUND(SUM(Q972:R972), -2)</f>
        <v>0</v>
      </c>
      <c r="T972" t="str">
        <f>ROUNDUP(HLOOKUP(ROUNDUP(K972,0),'배송비 조회'!A$10:AE$22,7,0)*C$3,-2)</f>
        <v>#REF!</v>
      </c>
      <c r="U972">
        <v>0</v>
      </c>
      <c r="V972" t="str">
        <f>ROUND(IF(R968&gt;0,0,(S972+T972)*0.3),-2)</f>
        <v>#REF!</v>
      </c>
      <c r="W972" t="str">
        <f>ROUND(IF(R968&gt;0,0,(S972+T972)*0.5),-2)</f>
        <v>#REF!</v>
      </c>
      <c r="X972" t="str">
        <f>SUM(S972:V972)</f>
        <v>#REF!</v>
      </c>
      <c r="Y972" t="str">
        <f>SUM(S972:U972)+W972</f>
        <v>#REF!</v>
      </c>
      <c r="Z972">
        <v>0</v>
      </c>
      <c r="AA972" t="str">
        <f>X972*0.038</f>
        <v>#REF!</v>
      </c>
      <c r="AB972" t="str">
        <f>X972*0.02</f>
        <v>#REF!</v>
      </c>
      <c r="AC972" t="str">
        <f>Y972*0.1</f>
        <v>#REF!</v>
      </c>
      <c r="AD972" t="str">
        <f>X972-AA972-AB972</f>
        <v>#REF!</v>
      </c>
      <c r="AE972" t="str">
        <f>Y972-AC972</f>
        <v>#REF!</v>
      </c>
      <c r="AF972" t="str">
        <f>AD972*0.01</f>
        <v>#REF!</v>
      </c>
      <c r="AG972" t="str">
        <f>AD972-Q972-AF972-T972</f>
        <v>#REF!</v>
      </c>
      <c r="AH972" t="str">
        <f>AE972-Q972-AF972-T972</f>
        <v>#REF!</v>
      </c>
      <c r="AI972" t="str">
        <f>AG972/X972</f>
        <v>#REF!</v>
      </c>
      <c r="AJ972" t="str">
        <f>AH972/Y972</f>
        <v>#REF!</v>
      </c>
    </row>
    <row r="973">
      <c r="G973" t="str">
        <v>A</v>
      </c>
      <c r="K973" t="str">
        <f>IF(L973&gt;0,L973*0.0625,)</f>
        <v>#REF!</v>
      </c>
      <c r="L973" t="str">
        <f>IF(K973&gt;0,K973*16,)</f>
        <v>#REF!</v>
      </c>
      <c r="M973" t="str">
        <f>IF(K973&gt;0,K973*0.453592,IF(L973&gt;0,L973*0.02835,))</f>
        <v>#REF!</v>
      </c>
      <c r="P973">
        <f>J973+O973+N973</f>
        <v>0</v>
      </c>
      <c r="Q973">
        <f>P973*C$3</f>
        <v>0</v>
      </c>
      <c r="R973">
        <v>0</v>
      </c>
      <c r="S973">
        <f>ROUND(SUM(Q973:R973), -2)</f>
        <v>0</v>
      </c>
      <c r="T973" t="str">
        <f>ROUNDUP(HLOOKUP(ROUNDUP(K973,0),'배송비 조회'!A$10:AE$22,7,0)*C$3,-2)</f>
        <v>#REF!</v>
      </c>
      <c r="U973">
        <v>0</v>
      </c>
      <c r="V973" t="str">
        <f>ROUND(IF(R969&gt;0,0,(S973+T973)*0.3),-2)</f>
        <v>#REF!</v>
      </c>
      <c r="W973" t="str">
        <f>ROUND(IF(R969&gt;0,0,(S973+T973)*0.5),-2)</f>
        <v>#REF!</v>
      </c>
      <c r="X973" t="str">
        <f>SUM(S973:V973)</f>
        <v>#REF!</v>
      </c>
      <c r="Y973" t="str">
        <f>SUM(S973:U973)+W973</f>
        <v>#REF!</v>
      </c>
      <c r="Z973">
        <v>0</v>
      </c>
      <c r="AA973" t="str">
        <f>X973*0.038</f>
        <v>#REF!</v>
      </c>
      <c r="AB973" t="str">
        <f>X973*0.02</f>
        <v>#REF!</v>
      </c>
      <c r="AC973" t="str">
        <f>Y973*0.1</f>
        <v>#REF!</v>
      </c>
      <c r="AD973" t="str">
        <f>X973-AA973-AB973</f>
        <v>#REF!</v>
      </c>
      <c r="AE973" t="str">
        <f>Y973-AC973</f>
        <v>#REF!</v>
      </c>
      <c r="AF973" t="str">
        <f>AD973*0.01</f>
        <v>#REF!</v>
      </c>
      <c r="AG973" t="str">
        <f>AD973-Q973-AF973-T973</f>
        <v>#REF!</v>
      </c>
      <c r="AH973" t="str">
        <f>AE973-Q973-AF973-T973</f>
        <v>#REF!</v>
      </c>
      <c r="AI973" t="str">
        <f>AG973/X973</f>
        <v>#REF!</v>
      </c>
      <c r="AJ973" t="str">
        <f>AH973/Y973</f>
        <v>#REF!</v>
      </c>
    </row>
    <row r="974">
      <c r="G974" t="str">
        <v>A</v>
      </c>
      <c r="K974" t="str">
        <f>IF(L974&gt;0,L974*0.0625,)</f>
        <v>#REF!</v>
      </c>
      <c r="L974" t="str">
        <f>IF(K974&gt;0,K974*16,)</f>
        <v>#REF!</v>
      </c>
      <c r="M974" t="str">
        <f>IF(K974&gt;0,K974*0.453592,IF(L974&gt;0,L974*0.02835,))</f>
        <v>#REF!</v>
      </c>
      <c r="P974">
        <f>J974+O974+N974</f>
        <v>0</v>
      </c>
      <c r="Q974">
        <f>P974*C$3</f>
        <v>0</v>
      </c>
      <c r="R974">
        <v>0</v>
      </c>
      <c r="S974">
        <f>ROUND(SUM(Q974:R974), -2)</f>
        <v>0</v>
      </c>
      <c r="T974" t="str">
        <f>ROUNDUP(HLOOKUP(ROUNDUP(K974,0),'배송비 조회'!A$10:AE$22,7,0)*C$3,-2)</f>
        <v>#REF!</v>
      </c>
      <c r="U974">
        <v>0</v>
      </c>
      <c r="V974" t="str">
        <f>ROUND(IF(R970&gt;0,0,(S974+T974)*0.3),-2)</f>
        <v>#REF!</v>
      </c>
      <c r="W974" t="str">
        <f>ROUND(IF(R970&gt;0,0,(S974+T974)*0.5),-2)</f>
        <v>#REF!</v>
      </c>
      <c r="X974" t="str">
        <f>SUM(S974:V974)</f>
        <v>#REF!</v>
      </c>
      <c r="Y974" t="str">
        <f>SUM(S974:U974)+W974</f>
        <v>#REF!</v>
      </c>
      <c r="Z974">
        <v>0</v>
      </c>
      <c r="AA974" t="str">
        <f>X974*0.038</f>
        <v>#REF!</v>
      </c>
      <c r="AB974" t="str">
        <f>X974*0.02</f>
        <v>#REF!</v>
      </c>
      <c r="AC974" t="str">
        <f>Y974*0.1</f>
        <v>#REF!</v>
      </c>
      <c r="AD974" t="str">
        <f>X974-AA974-AB974</f>
        <v>#REF!</v>
      </c>
      <c r="AE974" t="str">
        <f>Y974-AC974</f>
        <v>#REF!</v>
      </c>
      <c r="AF974" t="str">
        <f>AD974*0.01</f>
        <v>#REF!</v>
      </c>
      <c r="AG974" t="str">
        <f>AD974-Q974-AF974-T974</f>
        <v>#REF!</v>
      </c>
      <c r="AH974" t="str">
        <f>AE974-Q974-AF974-T974</f>
        <v>#REF!</v>
      </c>
      <c r="AI974" t="str">
        <f>AG974/X974</f>
        <v>#REF!</v>
      </c>
      <c r="AJ974" t="str">
        <f>AH974/Y974</f>
        <v>#REF!</v>
      </c>
    </row>
    <row r="975">
      <c r="G975" t="str">
        <v>A</v>
      </c>
      <c r="K975" t="str">
        <f>IF(L975&gt;0,L975*0.0625,)</f>
        <v>#REF!</v>
      </c>
      <c r="L975" t="str">
        <f>IF(K975&gt;0,K975*16,)</f>
        <v>#REF!</v>
      </c>
      <c r="M975" t="str">
        <f>IF(K975&gt;0,K975*0.453592,IF(L975&gt;0,L975*0.02835,))</f>
        <v>#REF!</v>
      </c>
      <c r="P975">
        <f>J975+O975+N975</f>
        <v>0</v>
      </c>
      <c r="Q975">
        <f>P975*C$3</f>
        <v>0</v>
      </c>
      <c r="R975">
        <v>0</v>
      </c>
      <c r="S975">
        <f>ROUND(SUM(Q975:R975), -2)</f>
        <v>0</v>
      </c>
      <c r="T975" t="str">
        <f>ROUNDUP(HLOOKUP(ROUNDUP(K975,0),'배송비 조회'!A$10:AE$22,7,0)*C$3,-2)</f>
        <v>#REF!</v>
      </c>
      <c r="U975">
        <v>0</v>
      </c>
      <c r="V975" t="str">
        <f>ROUND(IF(R971&gt;0,0,(S975+T975)*0.3),-2)</f>
        <v>#REF!</v>
      </c>
      <c r="W975" t="str">
        <f>ROUND(IF(R971&gt;0,0,(S975+T975)*0.5),-2)</f>
        <v>#REF!</v>
      </c>
      <c r="X975" t="str">
        <f>SUM(S975:V975)</f>
        <v>#REF!</v>
      </c>
      <c r="Y975" t="str">
        <f>SUM(S975:U975)+W975</f>
        <v>#REF!</v>
      </c>
      <c r="Z975">
        <v>0</v>
      </c>
      <c r="AA975" t="str">
        <f>X975*0.038</f>
        <v>#REF!</v>
      </c>
      <c r="AB975" t="str">
        <f>X975*0.02</f>
        <v>#REF!</v>
      </c>
      <c r="AC975" t="str">
        <f>Y975*0.1</f>
        <v>#REF!</v>
      </c>
      <c r="AD975" t="str">
        <f>X975-AA975-AB975</f>
        <v>#REF!</v>
      </c>
      <c r="AE975" t="str">
        <f>Y975-AC975</f>
        <v>#REF!</v>
      </c>
      <c r="AF975" t="str">
        <f>AD975*0.01</f>
        <v>#REF!</v>
      </c>
      <c r="AG975" t="str">
        <f>AD975-Q975-AF975-T975</f>
        <v>#REF!</v>
      </c>
      <c r="AH975" t="str">
        <f>AE975-Q975-AF975-T975</f>
        <v>#REF!</v>
      </c>
      <c r="AI975" t="str">
        <f>AG975/X975</f>
        <v>#REF!</v>
      </c>
      <c r="AJ975" t="str">
        <f>AH975/Y975</f>
        <v>#REF!</v>
      </c>
    </row>
    <row r="976">
      <c r="G976" t="str">
        <v>A</v>
      </c>
      <c r="K976" t="str">
        <f>IF(L976&gt;0,L976*0.0625,)</f>
        <v>#REF!</v>
      </c>
      <c r="L976" t="str">
        <f>IF(K976&gt;0,K976*16,)</f>
        <v>#REF!</v>
      </c>
      <c r="M976" t="str">
        <f>IF(K976&gt;0,K976*0.453592,IF(L976&gt;0,L976*0.02835,))</f>
        <v>#REF!</v>
      </c>
      <c r="P976">
        <f>J976+O976+N976</f>
        <v>0</v>
      </c>
      <c r="Q976">
        <f>P976*C$3</f>
        <v>0</v>
      </c>
      <c r="R976">
        <v>0</v>
      </c>
      <c r="S976">
        <f>ROUND(SUM(Q976:R976), -2)</f>
        <v>0</v>
      </c>
      <c r="T976" t="str">
        <f>ROUNDUP(HLOOKUP(ROUNDUP(K976,0),'배송비 조회'!A$10:AE$22,7,0)*C$3,-2)</f>
        <v>#REF!</v>
      </c>
      <c r="U976">
        <v>0</v>
      </c>
      <c r="V976" t="str">
        <f>ROUND(IF(R972&gt;0,0,(S976+T976)*0.3),-2)</f>
        <v>#REF!</v>
      </c>
      <c r="W976" t="str">
        <f>ROUND(IF(R972&gt;0,0,(S976+T976)*0.5),-2)</f>
        <v>#REF!</v>
      </c>
      <c r="X976" t="str">
        <f>SUM(S976:V976)</f>
        <v>#REF!</v>
      </c>
      <c r="Y976" t="str">
        <f>SUM(S976:U976)+W976</f>
        <v>#REF!</v>
      </c>
      <c r="Z976">
        <v>0</v>
      </c>
      <c r="AA976" t="str">
        <f>X976*0.038</f>
        <v>#REF!</v>
      </c>
      <c r="AB976" t="str">
        <f>X976*0.02</f>
        <v>#REF!</v>
      </c>
      <c r="AC976" t="str">
        <f>Y976*0.1</f>
        <v>#REF!</v>
      </c>
      <c r="AD976" t="str">
        <f>X976-AA976-AB976</f>
        <v>#REF!</v>
      </c>
      <c r="AE976" t="str">
        <f>Y976-AC976</f>
        <v>#REF!</v>
      </c>
      <c r="AF976" t="str">
        <f>AD976*0.01</f>
        <v>#REF!</v>
      </c>
      <c r="AG976" t="str">
        <f>AD976-Q976-AF976-T976</f>
        <v>#REF!</v>
      </c>
      <c r="AH976" t="str">
        <f>AE976-Q976-AF976-T976</f>
        <v>#REF!</v>
      </c>
      <c r="AI976" t="str">
        <f>AG976/X976</f>
        <v>#REF!</v>
      </c>
      <c r="AJ976" t="str">
        <f>AH976/Y976</f>
        <v>#REF!</v>
      </c>
    </row>
    <row r="977">
      <c r="G977" t="str">
        <v>A</v>
      </c>
      <c r="K977" t="str">
        <f>IF(L977&gt;0,L977*0.0625,)</f>
        <v>#REF!</v>
      </c>
      <c r="L977" t="str">
        <f>IF(K977&gt;0,K977*16,)</f>
        <v>#REF!</v>
      </c>
      <c r="M977" t="str">
        <f>IF(K977&gt;0,K977*0.453592,IF(L977&gt;0,L977*0.02835,))</f>
        <v>#REF!</v>
      </c>
      <c r="P977">
        <f>J977+O977+N977</f>
        <v>0</v>
      </c>
      <c r="Q977">
        <f>P977*C$3</f>
        <v>0</v>
      </c>
      <c r="R977">
        <v>0</v>
      </c>
      <c r="S977">
        <f>ROUND(SUM(Q977:R977), -2)</f>
        <v>0</v>
      </c>
      <c r="T977" t="str">
        <f>ROUNDUP(HLOOKUP(ROUNDUP(K977,0),'배송비 조회'!A$10:AE$22,7,0)*C$3,-2)</f>
        <v>#REF!</v>
      </c>
      <c r="U977">
        <v>0</v>
      </c>
      <c r="V977" t="str">
        <f>ROUND(IF(R973&gt;0,0,(S977+T977)*0.3),-2)</f>
        <v>#REF!</v>
      </c>
      <c r="W977" t="str">
        <f>ROUND(IF(R973&gt;0,0,(S977+T977)*0.5),-2)</f>
        <v>#REF!</v>
      </c>
      <c r="X977" t="str">
        <f>SUM(S977:V977)</f>
        <v>#REF!</v>
      </c>
      <c r="Y977" t="str">
        <f>SUM(S977:U977)+W977</f>
        <v>#REF!</v>
      </c>
      <c r="Z977">
        <v>0</v>
      </c>
      <c r="AA977" t="str">
        <f>X977*0.038</f>
        <v>#REF!</v>
      </c>
      <c r="AB977" t="str">
        <f>X977*0.02</f>
        <v>#REF!</v>
      </c>
      <c r="AC977" t="str">
        <f>Y977*0.1</f>
        <v>#REF!</v>
      </c>
      <c r="AD977" t="str">
        <f>X977-AA977-AB977</f>
        <v>#REF!</v>
      </c>
      <c r="AE977" t="str">
        <f>Y977-AC977</f>
        <v>#REF!</v>
      </c>
      <c r="AF977" t="str">
        <f>AD977*0.01</f>
        <v>#REF!</v>
      </c>
      <c r="AG977" t="str">
        <f>AD977-Q977-AF977-T977</f>
        <v>#REF!</v>
      </c>
      <c r="AH977" t="str">
        <f>AE977-Q977-AF977-T977</f>
        <v>#REF!</v>
      </c>
      <c r="AI977" t="str">
        <f>AG977/X977</f>
        <v>#REF!</v>
      </c>
      <c r="AJ977" t="str">
        <f>AH977/Y977</f>
        <v>#REF!</v>
      </c>
    </row>
    <row r="978">
      <c r="G978" t="str">
        <v>A</v>
      </c>
      <c r="K978" t="str">
        <f>IF(L978&gt;0,L978*0.0625,)</f>
        <v>#REF!</v>
      </c>
      <c r="L978" t="str">
        <f>IF(K978&gt;0,K978*16,)</f>
        <v>#REF!</v>
      </c>
      <c r="M978" t="str">
        <f>IF(K978&gt;0,K978*0.453592,IF(L978&gt;0,L978*0.02835,))</f>
        <v>#REF!</v>
      </c>
      <c r="P978">
        <f>J978+O978+N978</f>
        <v>0</v>
      </c>
      <c r="Q978">
        <f>P978*C$3</f>
        <v>0</v>
      </c>
      <c r="R978">
        <v>0</v>
      </c>
      <c r="S978">
        <f>ROUND(SUM(Q978:R978), -2)</f>
        <v>0</v>
      </c>
      <c r="T978" t="str">
        <f>ROUNDUP(HLOOKUP(ROUNDUP(K978,0),'배송비 조회'!A$10:AE$22,7,0)*C$3,-2)</f>
        <v>#REF!</v>
      </c>
      <c r="U978">
        <v>0</v>
      </c>
      <c r="V978" t="str">
        <f>ROUND(IF(R974&gt;0,0,(S978+T978)*0.3),-2)</f>
        <v>#REF!</v>
      </c>
      <c r="W978" t="str">
        <f>ROUND(IF(R974&gt;0,0,(S978+T978)*0.5),-2)</f>
        <v>#REF!</v>
      </c>
      <c r="X978" t="str">
        <f>SUM(S978:V978)</f>
        <v>#REF!</v>
      </c>
      <c r="Y978" t="str">
        <f>SUM(S978:U978)+W978</f>
        <v>#REF!</v>
      </c>
      <c r="Z978">
        <v>0</v>
      </c>
      <c r="AA978" t="str">
        <f>X978*0.038</f>
        <v>#REF!</v>
      </c>
      <c r="AB978" t="str">
        <f>X978*0.02</f>
        <v>#REF!</v>
      </c>
      <c r="AC978" t="str">
        <f>Y978*0.1</f>
        <v>#REF!</v>
      </c>
      <c r="AD978" t="str">
        <f>X978-AA978-AB978</f>
        <v>#REF!</v>
      </c>
      <c r="AE978" t="str">
        <f>Y978-AC978</f>
        <v>#REF!</v>
      </c>
      <c r="AF978" t="str">
        <f>AD978*0.01</f>
        <v>#REF!</v>
      </c>
      <c r="AG978" t="str">
        <f>AD978-Q978-AF978-T978</f>
        <v>#REF!</v>
      </c>
      <c r="AH978" t="str">
        <f>AE978-Q978-AF978-T978</f>
        <v>#REF!</v>
      </c>
      <c r="AI978" t="str">
        <f>AG978/X978</f>
        <v>#REF!</v>
      </c>
      <c r="AJ978" t="str">
        <f>AH978/Y978</f>
        <v>#REF!</v>
      </c>
    </row>
    <row r="979">
      <c r="G979" t="str">
        <v>A</v>
      </c>
      <c r="K979" t="str">
        <f>IF(L979&gt;0,L979*0.0625,)</f>
        <v>#REF!</v>
      </c>
      <c r="L979" t="str">
        <f>IF(K979&gt;0,K979*16,)</f>
        <v>#REF!</v>
      </c>
      <c r="M979" t="str">
        <f>IF(K979&gt;0,K979*0.453592,IF(L979&gt;0,L979*0.02835,))</f>
        <v>#REF!</v>
      </c>
      <c r="P979">
        <f>J979+O979+N979</f>
        <v>0</v>
      </c>
      <c r="Q979">
        <f>P979*C$3</f>
        <v>0</v>
      </c>
      <c r="R979">
        <v>0</v>
      </c>
      <c r="S979">
        <f>ROUND(SUM(Q979:R979), -2)</f>
        <v>0</v>
      </c>
      <c r="T979" t="str">
        <f>ROUNDUP(HLOOKUP(ROUNDUP(K979,0),'배송비 조회'!A$10:AE$22,7,0)*C$3,-2)</f>
        <v>#REF!</v>
      </c>
      <c r="U979">
        <v>0</v>
      </c>
      <c r="V979" t="str">
        <f>ROUND(IF(R975&gt;0,0,(S979+T979)*0.3),-2)</f>
        <v>#REF!</v>
      </c>
      <c r="W979" t="str">
        <f>ROUND(IF(R975&gt;0,0,(S979+T979)*0.5),-2)</f>
        <v>#REF!</v>
      </c>
      <c r="X979" t="str">
        <f>SUM(S979:V979)</f>
        <v>#REF!</v>
      </c>
      <c r="Y979" t="str">
        <f>SUM(S979:U979)+W979</f>
        <v>#REF!</v>
      </c>
      <c r="Z979">
        <v>0</v>
      </c>
      <c r="AA979" t="str">
        <f>X979*0.038</f>
        <v>#REF!</v>
      </c>
      <c r="AB979" t="str">
        <f>X979*0.02</f>
        <v>#REF!</v>
      </c>
      <c r="AC979" t="str">
        <f>Y979*0.1</f>
        <v>#REF!</v>
      </c>
      <c r="AD979" t="str">
        <f>X979-AA979-AB979</f>
        <v>#REF!</v>
      </c>
      <c r="AE979" t="str">
        <f>Y979-AC979</f>
        <v>#REF!</v>
      </c>
      <c r="AF979" t="str">
        <f>AD979*0.01</f>
        <v>#REF!</v>
      </c>
      <c r="AG979" t="str">
        <f>AD979-Q979-AF979-T979</f>
        <v>#REF!</v>
      </c>
      <c r="AH979" t="str">
        <f>AE979-Q979-AF979-T979</f>
        <v>#REF!</v>
      </c>
      <c r="AI979" t="str">
        <f>AG979/X979</f>
        <v>#REF!</v>
      </c>
      <c r="AJ979" t="str">
        <f>AH979/Y979</f>
        <v>#REF!</v>
      </c>
    </row>
    <row r="980">
      <c r="G980" t="str">
        <v>A</v>
      </c>
      <c r="K980" t="str">
        <f>IF(L980&gt;0,L980*0.0625,)</f>
        <v>#REF!</v>
      </c>
      <c r="L980" t="str">
        <f>IF(K980&gt;0,K980*16,)</f>
        <v>#REF!</v>
      </c>
      <c r="M980" t="str">
        <f>IF(K980&gt;0,K980*0.453592,IF(L980&gt;0,L980*0.02835,))</f>
        <v>#REF!</v>
      </c>
      <c r="P980">
        <f>J980+O980+N980</f>
        <v>0</v>
      </c>
      <c r="Q980">
        <f>P980*C$3</f>
        <v>0</v>
      </c>
      <c r="R980">
        <v>0</v>
      </c>
      <c r="S980">
        <f>ROUND(SUM(Q980:R980), -2)</f>
        <v>0</v>
      </c>
      <c r="T980" t="str">
        <f>ROUNDUP(HLOOKUP(ROUNDUP(K980,0),'배송비 조회'!A$10:AE$22,7,0)*C$3,-2)</f>
        <v>#REF!</v>
      </c>
      <c r="U980">
        <v>0</v>
      </c>
      <c r="V980" t="str">
        <f>ROUND(IF(R976&gt;0,0,(S980+T980)*0.3),-2)</f>
        <v>#REF!</v>
      </c>
      <c r="W980" t="str">
        <f>ROUND(IF(R976&gt;0,0,(S980+T980)*0.5),-2)</f>
        <v>#REF!</v>
      </c>
      <c r="X980" t="str">
        <f>SUM(S980:V980)</f>
        <v>#REF!</v>
      </c>
      <c r="Y980" t="str">
        <f>SUM(S980:U980)+W980</f>
        <v>#REF!</v>
      </c>
      <c r="Z980">
        <v>0</v>
      </c>
      <c r="AA980" t="str">
        <f>X980*0.038</f>
        <v>#REF!</v>
      </c>
      <c r="AB980" t="str">
        <f>X980*0.02</f>
        <v>#REF!</v>
      </c>
      <c r="AC980" t="str">
        <f>Y980*0.1</f>
        <v>#REF!</v>
      </c>
      <c r="AD980" t="str">
        <f>X980-AA980-AB980</f>
        <v>#REF!</v>
      </c>
      <c r="AE980" t="str">
        <f>Y980-AC980</f>
        <v>#REF!</v>
      </c>
      <c r="AF980" t="str">
        <f>AD980*0.01</f>
        <v>#REF!</v>
      </c>
      <c r="AG980" t="str">
        <f>AD980-Q980-AF980-T980</f>
        <v>#REF!</v>
      </c>
      <c r="AH980" t="str">
        <f>AE980-Q980-AF980-T980</f>
        <v>#REF!</v>
      </c>
      <c r="AI980" t="str">
        <f>AG980/X980</f>
        <v>#REF!</v>
      </c>
      <c r="AJ980" t="str">
        <f>AH980/Y980</f>
        <v>#REF!</v>
      </c>
    </row>
    <row r="981">
      <c r="G981" t="str">
        <v>A</v>
      </c>
      <c r="K981" t="str">
        <f>IF(L981&gt;0,L981*0.0625,)</f>
        <v>#REF!</v>
      </c>
      <c r="L981" t="str">
        <f>IF(K981&gt;0,K981*16,)</f>
        <v>#REF!</v>
      </c>
      <c r="M981" t="str">
        <f>IF(K981&gt;0,K981*0.453592,IF(L981&gt;0,L981*0.02835,))</f>
        <v>#REF!</v>
      </c>
      <c r="P981">
        <f>J981+O981+N981</f>
        <v>0</v>
      </c>
      <c r="Q981">
        <f>P981*C$3</f>
        <v>0</v>
      </c>
      <c r="R981">
        <v>0</v>
      </c>
      <c r="S981">
        <f>ROUND(SUM(Q981:R981), -2)</f>
        <v>0</v>
      </c>
      <c r="T981" t="str">
        <f>ROUNDUP(HLOOKUP(ROUNDUP(K981,0),'배송비 조회'!A$10:AE$22,7,0)*C$3,-2)</f>
        <v>#REF!</v>
      </c>
      <c r="U981">
        <v>0</v>
      </c>
      <c r="V981" t="str">
        <f>ROUND(IF(R977&gt;0,0,(S981+T981)*0.3),-2)</f>
        <v>#REF!</v>
      </c>
      <c r="W981" t="str">
        <f>ROUND(IF(R977&gt;0,0,(S981+T981)*0.5),-2)</f>
        <v>#REF!</v>
      </c>
      <c r="X981" t="str">
        <f>SUM(S981:V981)</f>
        <v>#REF!</v>
      </c>
      <c r="Y981" t="str">
        <f>SUM(S981:U981)+W981</f>
        <v>#REF!</v>
      </c>
      <c r="Z981">
        <v>0</v>
      </c>
      <c r="AA981" t="str">
        <f>X981*0.038</f>
        <v>#REF!</v>
      </c>
      <c r="AB981" t="str">
        <f>X981*0.02</f>
        <v>#REF!</v>
      </c>
      <c r="AC981" t="str">
        <f>Y981*0.1</f>
        <v>#REF!</v>
      </c>
      <c r="AD981" t="str">
        <f>X981-AA981-AB981</f>
        <v>#REF!</v>
      </c>
      <c r="AE981" t="str">
        <f>Y981-AC981</f>
        <v>#REF!</v>
      </c>
      <c r="AF981" t="str">
        <f>AD981*0.01</f>
        <v>#REF!</v>
      </c>
      <c r="AG981" t="str">
        <f>AD981-Q981-AF981-T981</f>
        <v>#REF!</v>
      </c>
      <c r="AH981" t="str">
        <f>AE981-Q981-AF981-T981</f>
        <v>#REF!</v>
      </c>
      <c r="AI981" t="str">
        <f>AG981/X981</f>
        <v>#REF!</v>
      </c>
      <c r="AJ981" t="str">
        <f>AH981/Y981</f>
        <v>#REF!</v>
      </c>
    </row>
    <row r="982">
      <c r="G982" t="str">
        <v>A</v>
      </c>
      <c r="K982" t="str">
        <f>IF(L982&gt;0,L982*0.0625,)</f>
        <v>#REF!</v>
      </c>
      <c r="L982" t="str">
        <f>IF(K982&gt;0,K982*16,)</f>
        <v>#REF!</v>
      </c>
      <c r="M982" t="str">
        <f>IF(K982&gt;0,K982*0.453592,IF(L982&gt;0,L982*0.02835,))</f>
        <v>#REF!</v>
      </c>
      <c r="P982">
        <f>J982+O982+N982</f>
        <v>0</v>
      </c>
      <c r="Q982">
        <f>P982*C$3</f>
        <v>0</v>
      </c>
      <c r="R982">
        <v>0</v>
      </c>
      <c r="S982">
        <f>ROUND(SUM(Q982:R982), -2)</f>
        <v>0</v>
      </c>
      <c r="T982" t="str">
        <f>ROUNDUP(HLOOKUP(ROUNDUP(K982,0),'배송비 조회'!A$10:AE$22,7,0)*C$3,-2)</f>
        <v>#REF!</v>
      </c>
      <c r="U982">
        <v>0</v>
      </c>
      <c r="V982" t="str">
        <f>ROUND(IF(R978&gt;0,0,(S982+T982)*0.3),-2)</f>
        <v>#REF!</v>
      </c>
      <c r="W982" t="str">
        <f>ROUND(IF(R978&gt;0,0,(S982+T982)*0.5),-2)</f>
        <v>#REF!</v>
      </c>
      <c r="X982" t="str">
        <f>SUM(S982:V982)</f>
        <v>#REF!</v>
      </c>
      <c r="Y982" t="str">
        <f>SUM(S982:U982)+W982</f>
        <v>#REF!</v>
      </c>
      <c r="Z982">
        <v>0</v>
      </c>
      <c r="AA982" t="str">
        <f>X982*0.038</f>
        <v>#REF!</v>
      </c>
      <c r="AB982" t="str">
        <f>X982*0.02</f>
        <v>#REF!</v>
      </c>
      <c r="AC982" t="str">
        <f>Y982*0.1</f>
        <v>#REF!</v>
      </c>
      <c r="AD982" t="str">
        <f>X982-AA982-AB982</f>
        <v>#REF!</v>
      </c>
      <c r="AE982" t="str">
        <f>Y982-AC982</f>
        <v>#REF!</v>
      </c>
      <c r="AF982" t="str">
        <f>AD982*0.01</f>
        <v>#REF!</v>
      </c>
      <c r="AG982" t="str">
        <f>AD982-Q982-AF982-T982</f>
        <v>#REF!</v>
      </c>
      <c r="AH982" t="str">
        <f>AE982-Q982-AF982-T982</f>
        <v>#REF!</v>
      </c>
      <c r="AI982" t="str">
        <f>AG982/X982</f>
        <v>#REF!</v>
      </c>
      <c r="AJ982" t="str">
        <f>AH982/Y982</f>
        <v>#REF!</v>
      </c>
    </row>
    <row r="983">
      <c r="G983" t="str">
        <v>A</v>
      </c>
      <c r="K983" t="str">
        <f>IF(L983&gt;0,L983*0.0625,)</f>
        <v>#REF!</v>
      </c>
      <c r="L983" t="str">
        <f>IF(K983&gt;0,K983*16,)</f>
        <v>#REF!</v>
      </c>
      <c r="M983" t="str">
        <f>IF(K983&gt;0,K983*0.453592,IF(L983&gt;0,L983*0.02835,))</f>
        <v>#REF!</v>
      </c>
      <c r="P983">
        <f>J983+O983+N983</f>
        <v>0</v>
      </c>
      <c r="Q983">
        <f>P983*C$3</f>
        <v>0</v>
      </c>
      <c r="R983">
        <v>0</v>
      </c>
      <c r="S983">
        <f>ROUND(SUM(Q983:R983), -2)</f>
        <v>0</v>
      </c>
      <c r="T983" t="str">
        <f>ROUNDUP(HLOOKUP(ROUNDUP(K983,0),'배송비 조회'!A$10:AE$22,7,0)*C$3,-2)</f>
        <v>#REF!</v>
      </c>
      <c r="U983">
        <v>0</v>
      </c>
      <c r="V983" t="str">
        <f>ROUND(IF(R979&gt;0,0,(S983+T983)*0.3),-2)</f>
        <v>#REF!</v>
      </c>
      <c r="W983" t="str">
        <f>ROUND(IF(R979&gt;0,0,(S983+T983)*0.5),-2)</f>
        <v>#REF!</v>
      </c>
      <c r="X983" t="str">
        <f>SUM(S983:V983)</f>
        <v>#REF!</v>
      </c>
      <c r="Y983" t="str">
        <f>SUM(S983:U983)+W983</f>
        <v>#REF!</v>
      </c>
      <c r="Z983">
        <v>0</v>
      </c>
      <c r="AA983" t="str">
        <f>X983*0.038</f>
        <v>#REF!</v>
      </c>
      <c r="AB983" t="str">
        <f>X983*0.02</f>
        <v>#REF!</v>
      </c>
      <c r="AC983" t="str">
        <f>Y983*0.1</f>
        <v>#REF!</v>
      </c>
      <c r="AD983" t="str">
        <f>X983-AA983-AB983</f>
        <v>#REF!</v>
      </c>
      <c r="AE983" t="str">
        <f>Y983-AC983</f>
        <v>#REF!</v>
      </c>
      <c r="AF983" t="str">
        <f>AD983*0.01</f>
        <v>#REF!</v>
      </c>
      <c r="AG983" t="str">
        <f>AD983-Q983-AF983-T983</f>
        <v>#REF!</v>
      </c>
      <c r="AH983" t="str">
        <f>AE983-Q983-AF983-T983</f>
        <v>#REF!</v>
      </c>
      <c r="AI983" t="str">
        <f>AG983/X983</f>
        <v>#REF!</v>
      </c>
      <c r="AJ983" t="str">
        <f>AH983/Y983</f>
        <v>#REF!</v>
      </c>
    </row>
    <row r="984">
      <c r="G984" t="str">
        <v>A</v>
      </c>
      <c r="K984" t="str">
        <f>IF(L984&gt;0,L984*0.0625,)</f>
        <v>#REF!</v>
      </c>
      <c r="L984" t="str">
        <f>IF(K984&gt;0,K984*16,)</f>
        <v>#REF!</v>
      </c>
      <c r="M984" t="str">
        <f>IF(K984&gt;0,K984*0.453592,IF(L984&gt;0,L984*0.02835,))</f>
        <v>#REF!</v>
      </c>
      <c r="P984">
        <f>J984+O984+N984</f>
        <v>0</v>
      </c>
      <c r="Q984">
        <f>P984*C$3</f>
        <v>0</v>
      </c>
      <c r="R984">
        <v>0</v>
      </c>
      <c r="S984">
        <f>ROUND(SUM(Q984:R984), -2)</f>
        <v>0</v>
      </c>
      <c r="T984" t="str">
        <f>ROUNDUP(HLOOKUP(ROUNDUP(K984,0),'배송비 조회'!A$10:AE$22,7,0)*C$3,-2)</f>
        <v>#REF!</v>
      </c>
      <c r="U984">
        <v>0</v>
      </c>
      <c r="V984" t="str">
        <f>ROUND(IF(R980&gt;0,0,(S984+T984)*0.3),-2)</f>
        <v>#REF!</v>
      </c>
      <c r="W984" t="str">
        <f>ROUND(IF(R980&gt;0,0,(S984+T984)*0.5),-2)</f>
        <v>#REF!</v>
      </c>
      <c r="X984" t="str">
        <f>SUM(S984:V984)</f>
        <v>#REF!</v>
      </c>
      <c r="Y984" t="str">
        <f>SUM(S984:U984)+W984</f>
        <v>#REF!</v>
      </c>
      <c r="Z984">
        <v>0</v>
      </c>
      <c r="AA984" t="str">
        <f>X984*0.038</f>
        <v>#REF!</v>
      </c>
      <c r="AB984" t="str">
        <f>X984*0.02</f>
        <v>#REF!</v>
      </c>
      <c r="AC984" t="str">
        <f>Y984*0.1</f>
        <v>#REF!</v>
      </c>
      <c r="AD984" t="str">
        <f>X984-AA984-AB984</f>
        <v>#REF!</v>
      </c>
      <c r="AE984" t="str">
        <f>Y984-AC984</f>
        <v>#REF!</v>
      </c>
      <c r="AF984" t="str">
        <f>AD984*0.01</f>
        <v>#REF!</v>
      </c>
      <c r="AG984" t="str">
        <f>AD984-Q984-AF984-T984</f>
        <v>#REF!</v>
      </c>
      <c r="AH984" t="str">
        <f>AE984-Q984-AF984-T984</f>
        <v>#REF!</v>
      </c>
      <c r="AI984" t="str">
        <f>AG984/X984</f>
        <v>#REF!</v>
      </c>
      <c r="AJ984" t="str">
        <f>AH984/Y984</f>
        <v>#REF!</v>
      </c>
    </row>
    <row r="985">
      <c r="G985" t="str">
        <v>A</v>
      </c>
      <c r="K985" t="str">
        <f>IF(L985&gt;0,L985*0.0625,)</f>
        <v>#REF!</v>
      </c>
      <c r="L985" t="str">
        <f>IF(K985&gt;0,K985*16,)</f>
        <v>#REF!</v>
      </c>
      <c r="M985" t="str">
        <f>IF(K985&gt;0,K985*0.453592,IF(L985&gt;0,L985*0.02835,))</f>
        <v>#REF!</v>
      </c>
      <c r="P985">
        <f>J985+O985+N985</f>
        <v>0</v>
      </c>
      <c r="Q985">
        <f>P985*C$3</f>
        <v>0</v>
      </c>
      <c r="R985">
        <v>0</v>
      </c>
      <c r="S985">
        <f>ROUND(SUM(Q985:R985), -2)</f>
        <v>0</v>
      </c>
      <c r="T985" t="str">
        <f>ROUNDUP(HLOOKUP(ROUNDUP(K985,0),'배송비 조회'!A$10:AE$22,7,0)*C$3,-2)</f>
        <v>#REF!</v>
      </c>
      <c r="U985">
        <v>0</v>
      </c>
      <c r="V985" t="str">
        <f>ROUND(IF(R981&gt;0,0,(S985+T985)*0.3),-2)</f>
        <v>#REF!</v>
      </c>
      <c r="W985" t="str">
        <f>ROUND(IF(R981&gt;0,0,(S985+T985)*0.5),-2)</f>
        <v>#REF!</v>
      </c>
      <c r="X985" t="str">
        <f>SUM(S985:V985)</f>
        <v>#REF!</v>
      </c>
      <c r="Y985" t="str">
        <f>SUM(S985:U985)+W985</f>
        <v>#REF!</v>
      </c>
      <c r="Z985">
        <v>0</v>
      </c>
      <c r="AA985" t="str">
        <f>X985*0.038</f>
        <v>#REF!</v>
      </c>
      <c r="AB985" t="str">
        <f>X985*0.02</f>
        <v>#REF!</v>
      </c>
      <c r="AC985" t="str">
        <f>Y985*0.1</f>
        <v>#REF!</v>
      </c>
      <c r="AD985" t="str">
        <f>X985-AA985-AB985</f>
        <v>#REF!</v>
      </c>
      <c r="AE985" t="str">
        <f>Y985-AC985</f>
        <v>#REF!</v>
      </c>
      <c r="AF985" t="str">
        <f>AD985*0.01</f>
        <v>#REF!</v>
      </c>
      <c r="AG985" t="str">
        <f>AD985-Q985-AF985-T985</f>
        <v>#REF!</v>
      </c>
      <c r="AH985" t="str">
        <f>AE985-Q985-AF985-T985</f>
        <v>#REF!</v>
      </c>
      <c r="AI985" t="str">
        <f>AG985/X985</f>
        <v>#REF!</v>
      </c>
      <c r="AJ985" t="str">
        <f>AH985/Y985</f>
        <v>#REF!</v>
      </c>
    </row>
    <row r="986">
      <c r="G986" t="str">
        <v>A</v>
      </c>
      <c r="K986" t="str">
        <f>IF(L986&gt;0,L986*0.0625,)</f>
        <v>#REF!</v>
      </c>
      <c r="L986" t="str">
        <f>IF(K986&gt;0,K986*16,)</f>
        <v>#REF!</v>
      </c>
      <c r="M986" t="str">
        <f>IF(K986&gt;0,K986*0.453592,IF(L986&gt;0,L986*0.02835,))</f>
        <v>#REF!</v>
      </c>
      <c r="P986">
        <f>J986+O986+N986</f>
        <v>0</v>
      </c>
      <c r="Q986">
        <f>P986*C$3</f>
        <v>0</v>
      </c>
      <c r="R986">
        <v>0</v>
      </c>
      <c r="S986">
        <f>ROUND(SUM(Q986:R986), -2)</f>
        <v>0</v>
      </c>
      <c r="T986" t="str">
        <f>ROUNDUP(HLOOKUP(ROUNDUP(K986,0),'배송비 조회'!A$10:AE$22,7,0)*C$3,-2)</f>
        <v>#REF!</v>
      </c>
      <c r="U986">
        <v>0</v>
      </c>
      <c r="V986" t="str">
        <f>ROUND(IF(R982&gt;0,0,(S986+T986)*0.3),-2)</f>
        <v>#REF!</v>
      </c>
      <c r="W986" t="str">
        <f>ROUND(IF(R982&gt;0,0,(S986+T986)*0.5),-2)</f>
        <v>#REF!</v>
      </c>
      <c r="X986" t="str">
        <f>SUM(S986:V986)</f>
        <v>#REF!</v>
      </c>
      <c r="Y986" t="str">
        <f>SUM(S986:U986)+W986</f>
        <v>#REF!</v>
      </c>
      <c r="Z986">
        <v>0</v>
      </c>
      <c r="AA986" t="str">
        <f>X986*0.038</f>
        <v>#REF!</v>
      </c>
      <c r="AB986" t="str">
        <f>X986*0.02</f>
        <v>#REF!</v>
      </c>
      <c r="AC986" t="str">
        <f>Y986*0.1</f>
        <v>#REF!</v>
      </c>
      <c r="AD986" t="str">
        <f>X986-AA986-AB986</f>
        <v>#REF!</v>
      </c>
      <c r="AE986" t="str">
        <f>Y986-AC986</f>
        <v>#REF!</v>
      </c>
      <c r="AF986" t="str">
        <f>AD986*0.01</f>
        <v>#REF!</v>
      </c>
      <c r="AG986" t="str">
        <f>AD986-Q986-AF986-T986</f>
        <v>#REF!</v>
      </c>
      <c r="AH986" t="str">
        <f>AE986-Q986-AF986-T986</f>
        <v>#REF!</v>
      </c>
      <c r="AI986" t="str">
        <f>AG986/X986</f>
        <v>#REF!</v>
      </c>
      <c r="AJ986" t="str">
        <f>AH986/Y986</f>
        <v>#REF!</v>
      </c>
    </row>
    <row r="987">
      <c r="G987" t="str">
        <v>A</v>
      </c>
      <c r="K987" t="str">
        <f>IF(L987&gt;0,L987*0.0625,)</f>
        <v>#REF!</v>
      </c>
      <c r="L987" t="str">
        <f>IF(K987&gt;0,K987*16,)</f>
        <v>#REF!</v>
      </c>
      <c r="M987" t="str">
        <f>IF(K987&gt;0,K987*0.453592,IF(L987&gt;0,L987*0.02835,))</f>
        <v>#REF!</v>
      </c>
      <c r="P987">
        <f>J987+O987+N987</f>
        <v>0</v>
      </c>
      <c r="Q987">
        <f>P987*C$3</f>
        <v>0</v>
      </c>
      <c r="R987">
        <v>0</v>
      </c>
      <c r="S987">
        <f>ROUND(SUM(Q987:R987), -2)</f>
        <v>0</v>
      </c>
      <c r="T987" t="str">
        <f>ROUNDUP(HLOOKUP(ROUNDUP(K987,0),'배송비 조회'!A$10:AE$22,7,0)*C$3,-2)</f>
        <v>#REF!</v>
      </c>
      <c r="U987">
        <v>0</v>
      </c>
      <c r="V987" t="str">
        <f>ROUND(IF(R983&gt;0,0,(S987+T987)*0.3),-2)</f>
        <v>#REF!</v>
      </c>
      <c r="W987" t="str">
        <f>ROUND(IF(R983&gt;0,0,(S987+T987)*0.5),-2)</f>
        <v>#REF!</v>
      </c>
      <c r="X987" t="str">
        <f>SUM(S987:V987)</f>
        <v>#REF!</v>
      </c>
      <c r="Y987" t="str">
        <f>SUM(S987:U987)+W987</f>
        <v>#REF!</v>
      </c>
      <c r="Z987">
        <v>0</v>
      </c>
      <c r="AA987" t="str">
        <f>X987*0.038</f>
        <v>#REF!</v>
      </c>
      <c r="AB987" t="str">
        <f>X987*0.02</f>
        <v>#REF!</v>
      </c>
      <c r="AC987" t="str">
        <f>Y987*0.1</f>
        <v>#REF!</v>
      </c>
      <c r="AD987" t="str">
        <f>X987-AA987-AB987</f>
        <v>#REF!</v>
      </c>
      <c r="AE987" t="str">
        <f>Y987-AC987</f>
        <v>#REF!</v>
      </c>
      <c r="AF987" t="str">
        <f>AD987*0.01</f>
        <v>#REF!</v>
      </c>
      <c r="AG987" t="str">
        <f>AD987-Q987-AF987-T987</f>
        <v>#REF!</v>
      </c>
      <c r="AH987" t="str">
        <f>AE987-Q987-AF987-T987</f>
        <v>#REF!</v>
      </c>
      <c r="AI987" t="str">
        <f>AG987/X987</f>
        <v>#REF!</v>
      </c>
      <c r="AJ987" t="str">
        <f>AH987/Y987</f>
        <v>#REF!</v>
      </c>
    </row>
    <row r="988">
      <c r="G988" t="str">
        <v>A</v>
      </c>
      <c r="K988" t="str">
        <f>IF(L988&gt;0,L988*0.0625,)</f>
        <v>#REF!</v>
      </c>
      <c r="L988" t="str">
        <f>IF(K988&gt;0,K988*16,)</f>
        <v>#REF!</v>
      </c>
      <c r="M988" t="str">
        <f>IF(K988&gt;0,K988*0.453592,IF(L988&gt;0,L988*0.02835,))</f>
        <v>#REF!</v>
      </c>
      <c r="P988">
        <f>J988+O988+N988</f>
        <v>0</v>
      </c>
      <c r="Q988">
        <f>P988*C$3</f>
        <v>0</v>
      </c>
      <c r="R988">
        <v>0</v>
      </c>
      <c r="S988">
        <f>ROUND(SUM(Q988:R988), -2)</f>
        <v>0</v>
      </c>
      <c r="T988" t="str">
        <f>ROUNDUP(HLOOKUP(ROUNDUP(K988,0),'배송비 조회'!A$10:AE$22,7,0)*C$3,-2)</f>
        <v>#REF!</v>
      </c>
      <c r="U988">
        <v>0</v>
      </c>
      <c r="V988" t="str">
        <f>ROUND(IF(R984&gt;0,0,(S988+T988)*0.3),-2)</f>
        <v>#REF!</v>
      </c>
      <c r="W988" t="str">
        <f>ROUND(IF(R984&gt;0,0,(S988+T988)*0.5),-2)</f>
        <v>#REF!</v>
      </c>
      <c r="X988" t="str">
        <f>SUM(S988:V988)</f>
        <v>#REF!</v>
      </c>
      <c r="Y988" t="str">
        <f>SUM(S988:U988)+W988</f>
        <v>#REF!</v>
      </c>
      <c r="Z988">
        <v>0</v>
      </c>
      <c r="AA988" t="str">
        <f>X988*0.038</f>
        <v>#REF!</v>
      </c>
      <c r="AB988" t="str">
        <f>X988*0.02</f>
        <v>#REF!</v>
      </c>
      <c r="AC988" t="str">
        <f>Y988*0.1</f>
        <v>#REF!</v>
      </c>
      <c r="AD988" t="str">
        <f>X988-AA988-AB988</f>
        <v>#REF!</v>
      </c>
      <c r="AE988" t="str">
        <f>Y988-AC988</f>
        <v>#REF!</v>
      </c>
      <c r="AF988" t="str">
        <f>AD988*0.01</f>
        <v>#REF!</v>
      </c>
      <c r="AG988" t="str">
        <f>AD988-Q988-AF988-T988</f>
        <v>#REF!</v>
      </c>
      <c r="AH988" t="str">
        <f>AE988-Q988-AF988-T988</f>
        <v>#REF!</v>
      </c>
      <c r="AI988" t="str">
        <f>AG988/X988</f>
        <v>#REF!</v>
      </c>
      <c r="AJ988" t="str">
        <f>AH988/Y988</f>
        <v>#REF!</v>
      </c>
    </row>
    <row r="989">
      <c r="G989" t="str">
        <v>A</v>
      </c>
      <c r="K989" t="str">
        <f>IF(L989&gt;0,L989*0.0625,)</f>
        <v>#REF!</v>
      </c>
      <c r="L989" t="str">
        <f>IF(K989&gt;0,K989*16,)</f>
        <v>#REF!</v>
      </c>
      <c r="M989" t="str">
        <f>IF(K989&gt;0,K989*0.453592,IF(L989&gt;0,L989*0.02835,))</f>
        <v>#REF!</v>
      </c>
      <c r="P989">
        <f>J989+O989+N989</f>
        <v>0</v>
      </c>
      <c r="Q989">
        <f>P989*C$3</f>
        <v>0</v>
      </c>
      <c r="R989">
        <v>0</v>
      </c>
      <c r="S989">
        <f>ROUND(SUM(Q989:R989), -2)</f>
        <v>0</v>
      </c>
      <c r="T989" t="str">
        <f>ROUNDUP(HLOOKUP(ROUNDUP(K989,0),'배송비 조회'!A$10:AE$22,7,0)*C$3,-2)</f>
        <v>#REF!</v>
      </c>
      <c r="U989">
        <v>0</v>
      </c>
      <c r="V989" t="str">
        <f>ROUND(IF(R985&gt;0,0,(S989+T989)*0.3),-2)</f>
        <v>#REF!</v>
      </c>
      <c r="W989" t="str">
        <f>ROUND(IF(R985&gt;0,0,(S989+T989)*0.5),-2)</f>
        <v>#REF!</v>
      </c>
      <c r="X989" t="str">
        <f>SUM(S989:V989)</f>
        <v>#REF!</v>
      </c>
      <c r="Y989" t="str">
        <f>SUM(S989:U989)+W989</f>
        <v>#REF!</v>
      </c>
      <c r="Z989">
        <v>0</v>
      </c>
      <c r="AA989" t="str">
        <f>X989*0.038</f>
        <v>#REF!</v>
      </c>
      <c r="AB989" t="str">
        <f>X989*0.02</f>
        <v>#REF!</v>
      </c>
      <c r="AC989" t="str">
        <f>Y989*0.1</f>
        <v>#REF!</v>
      </c>
      <c r="AD989" t="str">
        <f>X989-AA989-AB989</f>
        <v>#REF!</v>
      </c>
      <c r="AE989" t="str">
        <f>Y989-AC989</f>
        <v>#REF!</v>
      </c>
      <c r="AF989" t="str">
        <f>AD989*0.01</f>
        <v>#REF!</v>
      </c>
      <c r="AG989" t="str">
        <f>AD989-Q989-AF989-T989</f>
        <v>#REF!</v>
      </c>
      <c r="AH989" t="str">
        <f>AE989-Q989-AF989-T989</f>
        <v>#REF!</v>
      </c>
      <c r="AI989" t="str">
        <f>AG989/X989</f>
        <v>#REF!</v>
      </c>
      <c r="AJ989" t="str">
        <f>AH989/Y989</f>
        <v>#REF!</v>
      </c>
    </row>
    <row r="990">
      <c r="G990" t="str">
        <v>A</v>
      </c>
      <c r="K990" t="str">
        <f>IF(L990&gt;0,L990*0.0625,)</f>
        <v>#REF!</v>
      </c>
      <c r="L990" t="str">
        <f>IF(K990&gt;0,K990*16,)</f>
        <v>#REF!</v>
      </c>
      <c r="M990" t="str">
        <f>IF(K990&gt;0,K990*0.453592,IF(L990&gt;0,L990*0.02835,))</f>
        <v>#REF!</v>
      </c>
      <c r="P990">
        <f>J990+O990+N990</f>
        <v>0</v>
      </c>
      <c r="Q990">
        <f>P990*C$3</f>
        <v>0</v>
      </c>
      <c r="R990">
        <v>0</v>
      </c>
      <c r="S990">
        <f>ROUND(SUM(Q990:R990), -2)</f>
        <v>0</v>
      </c>
      <c r="T990" t="str">
        <f>ROUNDUP(HLOOKUP(ROUNDUP(K990,0),'배송비 조회'!A$10:AE$22,7,0)*C$3,-2)</f>
        <v>#REF!</v>
      </c>
      <c r="U990">
        <v>0</v>
      </c>
      <c r="V990" t="str">
        <f>ROUND(IF(R986&gt;0,0,(S990+T990)*0.3),-2)</f>
        <v>#REF!</v>
      </c>
      <c r="W990" t="str">
        <f>ROUND(IF(R986&gt;0,0,(S990+T990)*0.5),-2)</f>
        <v>#REF!</v>
      </c>
      <c r="X990" t="str">
        <f>SUM(S990:V990)</f>
        <v>#REF!</v>
      </c>
      <c r="Y990" t="str">
        <f>SUM(S990:U990)+W990</f>
        <v>#REF!</v>
      </c>
      <c r="Z990">
        <v>0</v>
      </c>
      <c r="AA990" t="str">
        <f>X990*0.038</f>
        <v>#REF!</v>
      </c>
      <c r="AB990" t="str">
        <f>X990*0.02</f>
        <v>#REF!</v>
      </c>
      <c r="AC990" t="str">
        <f>Y990*0.1</f>
        <v>#REF!</v>
      </c>
      <c r="AD990" t="str">
        <f>X990-AA990-AB990</f>
        <v>#REF!</v>
      </c>
      <c r="AE990" t="str">
        <f>Y990-AC990</f>
        <v>#REF!</v>
      </c>
      <c r="AF990" t="str">
        <f>AD990*0.01</f>
        <v>#REF!</v>
      </c>
      <c r="AG990" t="str">
        <f>AD990-Q990-AF990-T990</f>
        <v>#REF!</v>
      </c>
      <c r="AH990" t="str">
        <f>AE990-Q990-AF990-T990</f>
        <v>#REF!</v>
      </c>
      <c r="AI990" t="str">
        <f>AG990/X990</f>
        <v>#REF!</v>
      </c>
      <c r="AJ990" t="str">
        <f>AH990/Y990</f>
        <v>#REF!</v>
      </c>
    </row>
    <row r="991">
      <c r="G991" t="str">
        <v>A</v>
      </c>
      <c r="K991" t="str">
        <f>IF(L991&gt;0,L991*0.0625,)</f>
        <v>#REF!</v>
      </c>
      <c r="L991" t="str">
        <f>IF(K991&gt;0,K991*16,)</f>
        <v>#REF!</v>
      </c>
      <c r="M991" t="str">
        <f>IF(K991&gt;0,K991*0.453592,IF(L991&gt;0,L991*0.02835,))</f>
        <v>#REF!</v>
      </c>
      <c r="P991">
        <f>J991+O991+N991</f>
        <v>0</v>
      </c>
      <c r="Q991">
        <f>P991*C$3</f>
        <v>0</v>
      </c>
      <c r="R991">
        <v>0</v>
      </c>
      <c r="S991">
        <f>ROUND(SUM(Q991:R991), -2)</f>
        <v>0</v>
      </c>
      <c r="T991" t="str">
        <f>ROUNDUP(HLOOKUP(ROUNDUP(K991,0),'배송비 조회'!A$10:AE$22,7,0)*C$3,-2)</f>
        <v>#REF!</v>
      </c>
      <c r="U991">
        <v>0</v>
      </c>
      <c r="V991" t="str">
        <f>ROUND(IF(R987&gt;0,0,(S991+T991)*0.3),-2)</f>
        <v>#REF!</v>
      </c>
      <c r="W991" t="str">
        <f>ROUND(IF(R987&gt;0,0,(S991+T991)*0.5),-2)</f>
        <v>#REF!</v>
      </c>
      <c r="X991" t="str">
        <f>SUM(S991:V991)</f>
        <v>#REF!</v>
      </c>
      <c r="Y991" t="str">
        <f>SUM(S991:U991)+W991</f>
        <v>#REF!</v>
      </c>
      <c r="Z991">
        <v>0</v>
      </c>
      <c r="AA991" t="str">
        <f>X991*0.038</f>
        <v>#REF!</v>
      </c>
      <c r="AB991" t="str">
        <f>X991*0.02</f>
        <v>#REF!</v>
      </c>
      <c r="AC991" t="str">
        <f>Y991*0.1</f>
        <v>#REF!</v>
      </c>
      <c r="AD991" t="str">
        <f>X991-AA991-AB991</f>
        <v>#REF!</v>
      </c>
      <c r="AE991" t="str">
        <f>Y991-AC991</f>
        <v>#REF!</v>
      </c>
      <c r="AF991" t="str">
        <f>AD991*0.01</f>
        <v>#REF!</v>
      </c>
      <c r="AG991" t="str">
        <f>AD991-Q991-AF991-T991</f>
        <v>#REF!</v>
      </c>
      <c r="AH991" t="str">
        <f>AE991-Q991-AF991-T991</f>
        <v>#REF!</v>
      </c>
      <c r="AI991" t="str">
        <f>AG991/X991</f>
        <v>#REF!</v>
      </c>
      <c r="AJ991" t="str">
        <f>AH991/Y991</f>
        <v>#REF!</v>
      </c>
    </row>
    <row r="992">
      <c r="G992" t="str">
        <v>A</v>
      </c>
      <c r="K992" t="str">
        <f>IF(L992&gt;0,L992*0.0625,)</f>
        <v>#REF!</v>
      </c>
      <c r="L992" t="str">
        <f>IF(K992&gt;0,K992*16,)</f>
        <v>#REF!</v>
      </c>
      <c r="M992" t="str">
        <f>IF(K992&gt;0,K992*0.453592,IF(L992&gt;0,L992*0.02835,))</f>
        <v>#REF!</v>
      </c>
      <c r="P992">
        <f>J992+O992+N992</f>
        <v>0</v>
      </c>
      <c r="Q992">
        <f>P992*C$3</f>
        <v>0</v>
      </c>
      <c r="R992">
        <v>0</v>
      </c>
      <c r="S992">
        <f>ROUND(SUM(Q992:R992), -2)</f>
        <v>0</v>
      </c>
      <c r="T992" t="str">
        <f>ROUNDUP(HLOOKUP(ROUNDUP(K992,0),'배송비 조회'!A$10:AE$22,7,0)*C$3,-2)</f>
        <v>#REF!</v>
      </c>
      <c r="U992">
        <v>0</v>
      </c>
      <c r="V992" t="str">
        <f>ROUND(IF(R988&gt;0,0,(S992+T992)*0.3),-2)</f>
        <v>#REF!</v>
      </c>
      <c r="W992" t="str">
        <f>ROUND(IF(R988&gt;0,0,(S992+T992)*0.5),-2)</f>
        <v>#REF!</v>
      </c>
      <c r="X992" t="str">
        <f>SUM(S992:V992)</f>
        <v>#REF!</v>
      </c>
      <c r="Y992" t="str">
        <f>SUM(S992:U992)+W992</f>
        <v>#REF!</v>
      </c>
      <c r="Z992">
        <v>0</v>
      </c>
      <c r="AA992" t="str">
        <f>X992*0.038</f>
        <v>#REF!</v>
      </c>
      <c r="AB992" t="str">
        <f>X992*0.02</f>
        <v>#REF!</v>
      </c>
      <c r="AC992" t="str">
        <f>Y992*0.1</f>
        <v>#REF!</v>
      </c>
      <c r="AD992" t="str">
        <f>X992-AA992-AB992</f>
        <v>#REF!</v>
      </c>
      <c r="AE992" t="str">
        <f>Y992-AC992</f>
        <v>#REF!</v>
      </c>
      <c r="AF992" t="str">
        <f>AD992*0.01</f>
        <v>#REF!</v>
      </c>
      <c r="AG992" t="str">
        <f>AD992-Q992-AF992-T992</f>
        <v>#REF!</v>
      </c>
      <c r="AH992" t="str">
        <f>AE992-Q992-AF992-T992</f>
        <v>#REF!</v>
      </c>
      <c r="AI992" t="str">
        <f>AG992/X992</f>
        <v>#REF!</v>
      </c>
      <c r="AJ992" t="str">
        <f>AH992/Y992</f>
        <v>#REF!</v>
      </c>
    </row>
    <row r="993">
      <c r="G993" t="str">
        <v>A</v>
      </c>
      <c r="K993" t="str">
        <f>IF(L993&gt;0,L993*0.0625,)</f>
        <v>#REF!</v>
      </c>
      <c r="L993" t="str">
        <f>IF(K993&gt;0,K993*16,)</f>
        <v>#REF!</v>
      </c>
      <c r="M993" t="str">
        <f>IF(K993&gt;0,K993*0.453592,IF(L993&gt;0,L993*0.02835,))</f>
        <v>#REF!</v>
      </c>
      <c r="P993">
        <f>J993+O993+N993</f>
        <v>0</v>
      </c>
      <c r="Q993">
        <f>P993*C$3</f>
        <v>0</v>
      </c>
      <c r="R993">
        <v>0</v>
      </c>
      <c r="S993">
        <f>ROUND(SUM(Q993:R993), -2)</f>
        <v>0</v>
      </c>
      <c r="T993" t="str">
        <f>ROUNDUP(HLOOKUP(ROUNDUP(K993,0),'배송비 조회'!A$10:AE$22,7,0)*C$3,-2)</f>
        <v>#REF!</v>
      </c>
      <c r="U993">
        <v>0</v>
      </c>
      <c r="V993" t="str">
        <f>ROUND(IF(R989&gt;0,0,(S993+T993)*0.3),-2)</f>
        <v>#REF!</v>
      </c>
      <c r="W993" t="str">
        <f>ROUND(IF(R989&gt;0,0,(S993+T993)*0.5),-2)</f>
        <v>#REF!</v>
      </c>
      <c r="X993" t="str">
        <f>SUM(S993:V993)</f>
        <v>#REF!</v>
      </c>
      <c r="Y993" t="str">
        <f>SUM(S993:U993)+W993</f>
        <v>#REF!</v>
      </c>
      <c r="Z993">
        <v>0</v>
      </c>
      <c r="AA993" t="str">
        <f>X993*0.038</f>
        <v>#REF!</v>
      </c>
      <c r="AB993" t="str">
        <f>X993*0.02</f>
        <v>#REF!</v>
      </c>
      <c r="AC993" t="str">
        <f>Y993*0.1</f>
        <v>#REF!</v>
      </c>
      <c r="AD993" t="str">
        <f>X993-AA993-AB993</f>
        <v>#REF!</v>
      </c>
      <c r="AE993" t="str">
        <f>Y993-AC993</f>
        <v>#REF!</v>
      </c>
      <c r="AF993" t="str">
        <f>AD993*0.01</f>
        <v>#REF!</v>
      </c>
      <c r="AG993" t="str">
        <f>AD993-Q993-AF993-T993</f>
        <v>#REF!</v>
      </c>
      <c r="AH993" t="str">
        <f>AE993-Q993-AF993-T993</f>
        <v>#REF!</v>
      </c>
      <c r="AI993" t="str">
        <f>AG993/X993</f>
        <v>#REF!</v>
      </c>
      <c r="AJ993" t="str">
        <f>AH993/Y993</f>
        <v>#REF!</v>
      </c>
    </row>
    <row r="994">
      <c r="G994" t="str">
        <v>A</v>
      </c>
      <c r="K994" t="str">
        <f>IF(L994&gt;0,L994*0.0625,)</f>
        <v>#REF!</v>
      </c>
      <c r="L994" t="str">
        <f>IF(K994&gt;0,K994*16,)</f>
        <v>#REF!</v>
      </c>
      <c r="M994" t="str">
        <f>IF(K994&gt;0,K994*0.453592,IF(L994&gt;0,L994*0.02835,))</f>
        <v>#REF!</v>
      </c>
      <c r="P994">
        <f>J994+O994+N994</f>
        <v>0</v>
      </c>
      <c r="Q994">
        <f>P994*C$3</f>
        <v>0</v>
      </c>
      <c r="R994">
        <v>0</v>
      </c>
      <c r="S994">
        <f>ROUND(SUM(Q994:R994), -2)</f>
        <v>0</v>
      </c>
      <c r="T994" t="str">
        <f>ROUNDUP(HLOOKUP(ROUNDUP(K994,0),'배송비 조회'!A$10:AE$22,7,0)*C$3,-2)</f>
        <v>#REF!</v>
      </c>
      <c r="U994">
        <v>0</v>
      </c>
      <c r="V994" t="str">
        <f>ROUND(IF(R990&gt;0,0,(S994+T994)*0.3),-2)</f>
        <v>#REF!</v>
      </c>
      <c r="W994" t="str">
        <f>ROUND(IF(R990&gt;0,0,(S994+T994)*0.5),-2)</f>
        <v>#REF!</v>
      </c>
      <c r="X994" t="str">
        <f>SUM(S994:V994)</f>
        <v>#REF!</v>
      </c>
      <c r="Y994" t="str">
        <f>SUM(S994:U994)+W994</f>
        <v>#REF!</v>
      </c>
      <c r="Z994">
        <v>0</v>
      </c>
      <c r="AA994" t="str">
        <f>X994*0.038</f>
        <v>#REF!</v>
      </c>
      <c r="AB994" t="str">
        <f>X994*0.02</f>
        <v>#REF!</v>
      </c>
      <c r="AC994" t="str">
        <f>Y994*0.1</f>
        <v>#REF!</v>
      </c>
      <c r="AD994" t="str">
        <f>X994-AA994-AB994</f>
        <v>#REF!</v>
      </c>
      <c r="AE994" t="str">
        <f>Y994-AC994</f>
        <v>#REF!</v>
      </c>
      <c r="AF994" t="str">
        <f>AD994*0.01</f>
        <v>#REF!</v>
      </c>
      <c r="AG994" t="str">
        <f>AD994-Q994-AF994-T994</f>
        <v>#REF!</v>
      </c>
      <c r="AH994" t="str">
        <f>AE994-Q994-AF994-T994</f>
        <v>#REF!</v>
      </c>
      <c r="AI994" t="str">
        <f>AG994/X994</f>
        <v>#REF!</v>
      </c>
      <c r="AJ994" t="str">
        <f>AH994/Y994</f>
        <v>#REF!</v>
      </c>
    </row>
    <row r="995">
      <c r="G995" t="str">
        <v>A</v>
      </c>
      <c r="K995" t="str">
        <f>IF(L995&gt;0,L995*0.0625,)</f>
        <v>#REF!</v>
      </c>
      <c r="L995" t="str">
        <f>IF(K995&gt;0,K995*16,)</f>
        <v>#REF!</v>
      </c>
      <c r="M995" t="str">
        <f>IF(K995&gt;0,K995*0.453592,IF(L995&gt;0,L995*0.02835,))</f>
        <v>#REF!</v>
      </c>
      <c r="P995">
        <f>J995+O995+N995</f>
        <v>0</v>
      </c>
      <c r="Q995">
        <f>P995*C$3</f>
        <v>0</v>
      </c>
      <c r="R995">
        <v>0</v>
      </c>
      <c r="S995">
        <f>ROUND(SUM(Q995:R995), -2)</f>
        <v>0</v>
      </c>
      <c r="T995" t="str">
        <f>ROUNDUP(HLOOKUP(ROUNDUP(K995,0),'배송비 조회'!A$10:AE$22,7,0)*C$3,-2)</f>
        <v>#REF!</v>
      </c>
      <c r="U995">
        <v>0</v>
      </c>
      <c r="V995" t="str">
        <f>ROUND(IF(R991&gt;0,0,(S995+T995)*0.3),-2)</f>
        <v>#REF!</v>
      </c>
      <c r="W995" t="str">
        <f>ROUND(IF(R991&gt;0,0,(S995+T995)*0.5),-2)</f>
        <v>#REF!</v>
      </c>
      <c r="X995" t="str">
        <f>SUM(S995:V995)</f>
        <v>#REF!</v>
      </c>
      <c r="Y995" t="str">
        <f>SUM(S995:U995)+W995</f>
        <v>#REF!</v>
      </c>
      <c r="Z995">
        <v>0</v>
      </c>
      <c r="AA995" t="str">
        <f>X995*0.038</f>
        <v>#REF!</v>
      </c>
      <c r="AB995" t="str">
        <f>X995*0.02</f>
        <v>#REF!</v>
      </c>
      <c r="AC995" t="str">
        <f>Y995*0.1</f>
        <v>#REF!</v>
      </c>
      <c r="AD995" t="str">
        <f>X995-AA995-AB995</f>
        <v>#REF!</v>
      </c>
      <c r="AE995" t="str">
        <f>Y995-AC995</f>
        <v>#REF!</v>
      </c>
      <c r="AF995" t="str">
        <f>AD995*0.01</f>
        <v>#REF!</v>
      </c>
      <c r="AG995" t="str">
        <f>AD995-Q995-AF995-T995</f>
        <v>#REF!</v>
      </c>
      <c r="AH995" t="str">
        <f>AE995-Q995-AF995-T995</f>
        <v>#REF!</v>
      </c>
      <c r="AI995" t="str">
        <f>AG995/X995</f>
        <v>#REF!</v>
      </c>
      <c r="AJ995" t="str">
        <f>AH995/Y995</f>
        <v>#REF!</v>
      </c>
    </row>
    <row r="996">
      <c r="G996" t="str">
        <v>A</v>
      </c>
      <c r="K996" t="str">
        <f>IF(L996&gt;0,L996*0.0625,)</f>
        <v>#REF!</v>
      </c>
      <c r="L996" t="str">
        <f>IF(K996&gt;0,K996*16,)</f>
        <v>#REF!</v>
      </c>
      <c r="M996" t="str">
        <f>IF(K996&gt;0,K996*0.453592,IF(L996&gt;0,L996*0.02835,))</f>
        <v>#REF!</v>
      </c>
      <c r="P996">
        <f>J996+O996+N996</f>
        <v>0</v>
      </c>
      <c r="Q996">
        <f>P996*C$3</f>
        <v>0</v>
      </c>
      <c r="R996">
        <v>0</v>
      </c>
      <c r="S996">
        <f>ROUND(SUM(Q996:R996), -2)</f>
        <v>0</v>
      </c>
      <c r="T996" t="str">
        <f>ROUNDUP(HLOOKUP(ROUNDUP(K996,0),'배송비 조회'!A$10:AE$22,7,0)*C$3,-2)</f>
        <v>#REF!</v>
      </c>
      <c r="U996">
        <v>0</v>
      </c>
      <c r="V996" t="str">
        <f>ROUND(IF(R992&gt;0,0,(S996+T996)*0.3),-2)</f>
        <v>#REF!</v>
      </c>
      <c r="W996" t="str">
        <f>ROUND(IF(R992&gt;0,0,(S996+T996)*0.5),-2)</f>
        <v>#REF!</v>
      </c>
      <c r="X996" t="str">
        <f>SUM(S996:V996)</f>
        <v>#REF!</v>
      </c>
      <c r="Y996" t="str">
        <f>SUM(S996:U996)+W996</f>
        <v>#REF!</v>
      </c>
      <c r="Z996">
        <v>0</v>
      </c>
      <c r="AA996" t="str">
        <f>X996*0.038</f>
        <v>#REF!</v>
      </c>
      <c r="AB996" t="str">
        <f>X996*0.02</f>
        <v>#REF!</v>
      </c>
      <c r="AC996" t="str">
        <f>Y996*0.1</f>
        <v>#REF!</v>
      </c>
      <c r="AD996" t="str">
        <f>X996-AA996-AB996</f>
        <v>#REF!</v>
      </c>
      <c r="AE996" t="str">
        <f>Y996-AC996</f>
        <v>#REF!</v>
      </c>
      <c r="AF996" t="str">
        <f>AD996*0.01</f>
        <v>#REF!</v>
      </c>
      <c r="AG996" t="str">
        <f>AD996-Q996-AF996-T996</f>
        <v>#REF!</v>
      </c>
      <c r="AH996" t="str">
        <f>AE996-Q996-AF996-T996</f>
        <v>#REF!</v>
      </c>
      <c r="AI996" t="str">
        <f>AG996/X996</f>
        <v>#REF!</v>
      </c>
      <c r="AJ996" t="str">
        <f>AH996/Y996</f>
        <v>#REF!</v>
      </c>
    </row>
    <row r="997">
      <c r="G997" t="str">
        <v>A</v>
      </c>
      <c r="K997" t="str">
        <f>IF(L997&gt;0,L997*0.0625,)</f>
        <v>#REF!</v>
      </c>
      <c r="L997" t="str">
        <f>IF(K997&gt;0,K997*16,)</f>
        <v>#REF!</v>
      </c>
      <c r="M997" t="str">
        <f>IF(K997&gt;0,K997*0.453592,IF(L997&gt;0,L997*0.02835,))</f>
        <v>#REF!</v>
      </c>
      <c r="P997">
        <f>J997+O997+N997</f>
        <v>0</v>
      </c>
      <c r="Q997">
        <f>P997*C$3</f>
        <v>0</v>
      </c>
      <c r="R997">
        <v>0</v>
      </c>
      <c r="S997">
        <f>ROUND(SUM(Q997:R997), -2)</f>
        <v>0</v>
      </c>
      <c r="T997" t="str">
        <f>ROUNDUP(HLOOKUP(ROUNDUP(K997,0),'배송비 조회'!A$10:AE$22,7,0)*C$3,-2)</f>
        <v>#REF!</v>
      </c>
      <c r="U997">
        <v>0</v>
      </c>
      <c r="V997" t="str">
        <f>ROUND(IF(R993&gt;0,0,(S997+T997)*0.3),-2)</f>
        <v>#REF!</v>
      </c>
      <c r="W997" t="str">
        <f>ROUND(IF(R993&gt;0,0,(S997+T997)*0.5),-2)</f>
        <v>#REF!</v>
      </c>
      <c r="X997" t="str">
        <f>SUM(S997:V997)</f>
        <v>#REF!</v>
      </c>
      <c r="Y997" t="str">
        <f>SUM(S997:U997)+W997</f>
        <v>#REF!</v>
      </c>
      <c r="Z997">
        <v>0</v>
      </c>
      <c r="AA997" t="str">
        <f>X997*0.038</f>
        <v>#REF!</v>
      </c>
      <c r="AB997" t="str">
        <f>X997*0.02</f>
        <v>#REF!</v>
      </c>
      <c r="AC997" t="str">
        <f>Y997*0.1</f>
        <v>#REF!</v>
      </c>
      <c r="AD997" t="str">
        <f>X997-AA997-AB997</f>
        <v>#REF!</v>
      </c>
      <c r="AE997" t="str">
        <f>Y997-AC997</f>
        <v>#REF!</v>
      </c>
      <c r="AF997" t="str">
        <f>AD997*0.01</f>
        <v>#REF!</v>
      </c>
      <c r="AG997" t="str">
        <f>AD997-Q997-AF997-T997</f>
        <v>#REF!</v>
      </c>
      <c r="AH997" t="str">
        <f>AE997-Q997-AF997-T997</f>
        <v>#REF!</v>
      </c>
      <c r="AI997" t="str">
        <f>AG997/X997</f>
        <v>#REF!</v>
      </c>
      <c r="AJ997" t="str">
        <f>AH997/Y997</f>
        <v>#REF!</v>
      </c>
    </row>
    <row r="998">
      <c r="G998" t="str">
        <v>A</v>
      </c>
      <c r="K998" t="str">
        <f>IF(L998&gt;0,L998*0.0625,)</f>
        <v>#REF!</v>
      </c>
      <c r="L998" t="str">
        <f>IF(K998&gt;0,K998*16,)</f>
        <v>#REF!</v>
      </c>
      <c r="M998" t="str">
        <f>IF(K998&gt;0,K998*0.453592,IF(L998&gt;0,L998*0.02835,))</f>
        <v>#REF!</v>
      </c>
      <c r="P998">
        <f>J998+O998+N998</f>
        <v>0</v>
      </c>
      <c r="Q998">
        <f>P998*C$3</f>
        <v>0</v>
      </c>
      <c r="R998">
        <v>0</v>
      </c>
      <c r="S998">
        <f>ROUND(SUM(Q998:R998), -2)</f>
        <v>0</v>
      </c>
      <c r="T998" t="str">
        <f>ROUNDUP(HLOOKUP(ROUNDUP(K998,0),'배송비 조회'!A$10:AE$22,7,0)*C$3,-2)</f>
        <v>#REF!</v>
      </c>
      <c r="U998">
        <v>0</v>
      </c>
      <c r="V998" t="str">
        <f>ROUND(IF(R994&gt;0,0,(S998+T998)*0.3),-2)</f>
        <v>#REF!</v>
      </c>
      <c r="W998" t="str">
        <f>ROUND(IF(R994&gt;0,0,(S998+T998)*0.5),-2)</f>
        <v>#REF!</v>
      </c>
      <c r="X998" t="str">
        <f>SUM(S998:V998)</f>
        <v>#REF!</v>
      </c>
      <c r="Y998" t="str">
        <f>SUM(S998:U998)+W998</f>
        <v>#REF!</v>
      </c>
      <c r="Z998">
        <v>0</v>
      </c>
      <c r="AA998" t="str">
        <f>X998*0.038</f>
        <v>#REF!</v>
      </c>
      <c r="AB998" t="str">
        <f>X998*0.02</f>
        <v>#REF!</v>
      </c>
      <c r="AC998" t="str">
        <f>Y998*0.1</f>
        <v>#REF!</v>
      </c>
      <c r="AD998" t="str">
        <f>X998-AA998-AB998</f>
        <v>#REF!</v>
      </c>
      <c r="AE998" t="str">
        <f>Y998-AC998</f>
        <v>#REF!</v>
      </c>
      <c r="AF998" t="str">
        <f>AD998*0.01</f>
        <v>#REF!</v>
      </c>
      <c r="AG998" t="str">
        <f>AD998-Q998-AF998-T998</f>
        <v>#REF!</v>
      </c>
      <c r="AH998" t="str">
        <f>AE998-Q998-AF998-T998</f>
        <v>#REF!</v>
      </c>
      <c r="AI998" t="str">
        <f>AG998/X998</f>
        <v>#REF!</v>
      </c>
      <c r="AJ998" t="str">
        <f>AH998/Y998</f>
        <v>#REF!</v>
      </c>
    </row>
    <row r="999">
      <c r="G999" t="str">
        <v>A</v>
      </c>
      <c r="K999" t="str">
        <f>IF(L999&gt;0,L999*0.0625,)</f>
        <v>#REF!</v>
      </c>
      <c r="L999" t="str">
        <f>IF(K999&gt;0,K999*16,)</f>
        <v>#REF!</v>
      </c>
      <c r="M999" t="str">
        <f>IF(K999&gt;0,K999*0.453592,IF(L999&gt;0,L999*0.02835,))</f>
        <v>#REF!</v>
      </c>
      <c r="P999">
        <f>J999+O999+N999</f>
        <v>0</v>
      </c>
      <c r="Q999">
        <f>P999*C$3</f>
        <v>0</v>
      </c>
      <c r="R999">
        <v>0</v>
      </c>
      <c r="S999">
        <f>ROUND(SUM(Q999:R999), -2)</f>
        <v>0</v>
      </c>
      <c r="T999" t="str">
        <f>ROUNDUP(HLOOKUP(ROUNDUP(K999,0),'배송비 조회'!A$10:AE$22,7,0)*C$3,-2)</f>
        <v>#REF!</v>
      </c>
      <c r="U999">
        <v>0</v>
      </c>
      <c r="V999" t="str">
        <f>ROUND(IF(R995&gt;0,0,(S999+T999)*0.3),-2)</f>
        <v>#REF!</v>
      </c>
      <c r="W999" t="str">
        <f>ROUND(IF(R995&gt;0,0,(S999+T999)*0.5),-2)</f>
        <v>#REF!</v>
      </c>
      <c r="X999" t="str">
        <f>SUM(S999:V999)</f>
        <v>#REF!</v>
      </c>
      <c r="Y999" t="str">
        <f>SUM(S999:U999)+W999</f>
        <v>#REF!</v>
      </c>
      <c r="Z999">
        <v>0</v>
      </c>
      <c r="AA999" t="str">
        <f>X999*0.038</f>
        <v>#REF!</v>
      </c>
      <c r="AB999" t="str">
        <f>X999*0.02</f>
        <v>#REF!</v>
      </c>
      <c r="AC999" t="str">
        <f>Y999*0.1</f>
        <v>#REF!</v>
      </c>
      <c r="AD999" t="str">
        <f>X999-AA999-AB999</f>
        <v>#REF!</v>
      </c>
      <c r="AE999" t="str">
        <f>Y999-AC999</f>
        <v>#REF!</v>
      </c>
      <c r="AF999" t="str">
        <f>AD999*0.01</f>
        <v>#REF!</v>
      </c>
      <c r="AG999" t="str">
        <f>AD999-Q999-AF999-T999</f>
        <v>#REF!</v>
      </c>
      <c r="AH999" t="str">
        <f>AE999-Q999-AF999-T999</f>
        <v>#REF!</v>
      </c>
      <c r="AI999" t="str">
        <f>AG999/X999</f>
        <v>#REF!</v>
      </c>
      <c r="AJ999" t="str">
        <f>AH999/Y999</f>
        <v>#REF!</v>
      </c>
    </row>
    <row r="1000">
      <c r="G1000" t="str">
        <v>A</v>
      </c>
      <c r="K1000" t="str">
        <f>IF(L1000&gt;0,L1000*0.0625,)</f>
        <v>#REF!</v>
      </c>
      <c r="L1000" t="str">
        <f>IF(K1000&gt;0,K1000*16,)</f>
        <v>#REF!</v>
      </c>
      <c r="M1000" t="str">
        <f>IF(K1000&gt;0,K1000*0.453592,IF(L1000&gt;0,L1000*0.02835,))</f>
        <v>#REF!</v>
      </c>
      <c r="P1000">
        <f>J1000+O1000+N1000</f>
        <v>0</v>
      </c>
      <c r="Q1000">
        <f>P1000*C$3</f>
        <v>0</v>
      </c>
      <c r="R1000">
        <v>0</v>
      </c>
      <c r="S1000">
        <f>ROUND(SUM(Q1000:R1000), -2)</f>
        <v>0</v>
      </c>
      <c r="T1000" t="str">
        <f>ROUNDUP(HLOOKUP(ROUNDUP(K1000,0),'배송비 조회'!A$10:AE$22,7,0)*C$3,-2)</f>
        <v>#REF!</v>
      </c>
      <c r="U1000">
        <v>0</v>
      </c>
      <c r="V1000" t="str">
        <f>ROUND(IF(R996&gt;0,0,(S1000+T1000)*0.3),-2)</f>
        <v>#REF!</v>
      </c>
      <c r="W1000" t="str">
        <f>ROUND(IF(R996&gt;0,0,(S1000+T1000)*0.5),-2)</f>
        <v>#REF!</v>
      </c>
      <c r="X1000" t="str">
        <f>SUM(S1000:V1000)</f>
        <v>#REF!</v>
      </c>
      <c r="Y1000" t="str">
        <f>SUM(S1000:U1000)+W1000</f>
        <v>#REF!</v>
      </c>
      <c r="Z1000">
        <v>0</v>
      </c>
      <c r="AA1000" t="str">
        <f>X1000*0.038</f>
        <v>#REF!</v>
      </c>
      <c r="AB1000" t="str">
        <f>X1000*0.02</f>
        <v>#REF!</v>
      </c>
      <c r="AC1000" t="str">
        <f>Y1000*0.1</f>
        <v>#REF!</v>
      </c>
      <c r="AD1000" t="str">
        <f>X1000-AA1000-AB1000</f>
        <v>#REF!</v>
      </c>
      <c r="AE1000" t="str">
        <f>Y1000-AC1000</f>
        <v>#REF!</v>
      </c>
      <c r="AF1000" t="str">
        <f>AD1000*0.01</f>
        <v>#REF!</v>
      </c>
      <c r="AG1000" t="str">
        <f>AD1000-Q1000-AF1000-T1000</f>
        <v>#REF!</v>
      </c>
      <c r="AH1000" t="str">
        <f>AE1000-Q1000-AF1000-T1000</f>
        <v>#REF!</v>
      </c>
      <c r="AI1000" t="str">
        <f>AG1000/X1000</f>
        <v>#REF!</v>
      </c>
      <c r="AJ1000" t="str">
        <f>AH1000/Y1000</f>
        <v>#REF!</v>
      </c>
    </row>
    <row r="1001">
      <c r="G1001" t="str">
        <v>A</v>
      </c>
      <c r="K1001" t="str">
        <f>IF(L1001&gt;0,L1001*0.0625,)</f>
        <v>#REF!</v>
      </c>
      <c r="L1001" t="str">
        <f>IF(K1001&gt;0,K1001*16,)</f>
        <v>#REF!</v>
      </c>
      <c r="M1001" t="str">
        <f>IF(K1001&gt;0,K1001*0.453592,IF(L1001&gt;0,L1001*0.02835,))</f>
        <v>#REF!</v>
      </c>
      <c r="P1001">
        <f>J1001+O1001+N1001</f>
        <v>0</v>
      </c>
      <c r="Q1001">
        <f>P1001*C$3</f>
        <v>0</v>
      </c>
      <c r="R1001">
        <v>0</v>
      </c>
      <c r="S1001">
        <f>ROUND(SUM(Q1001:R1001), -2)</f>
        <v>0</v>
      </c>
      <c r="T1001" t="str">
        <f>ROUNDUP(HLOOKUP(ROUNDUP(K1001,0),'배송비 조회'!A$10:AE$22,7,0)*C$3,-2)</f>
        <v>#REF!</v>
      </c>
      <c r="U1001">
        <v>0</v>
      </c>
      <c r="V1001" t="str">
        <f>ROUND(IF(R997&gt;0,0,(S1001+T1001)*0.3),-2)</f>
        <v>#REF!</v>
      </c>
      <c r="W1001" t="str">
        <f>ROUND(IF(R997&gt;0,0,(S1001+T1001)*0.5),-2)</f>
        <v>#REF!</v>
      </c>
      <c r="X1001" t="str">
        <f>SUM(S1001:V1001)</f>
        <v>#REF!</v>
      </c>
      <c r="Y1001" t="str">
        <f>SUM(S1001:U1001)+W1001</f>
        <v>#REF!</v>
      </c>
      <c r="Z1001">
        <v>0</v>
      </c>
      <c r="AA1001" t="str">
        <f>X1001*0.038</f>
        <v>#REF!</v>
      </c>
      <c r="AB1001" t="str">
        <f>X1001*0.02</f>
        <v>#REF!</v>
      </c>
      <c r="AC1001" t="str">
        <f>Y1001*0.1</f>
        <v>#REF!</v>
      </c>
      <c r="AD1001" t="str">
        <f>X1001-AA1001-AB1001</f>
        <v>#REF!</v>
      </c>
      <c r="AE1001" t="str">
        <f>Y1001-AC1001</f>
        <v>#REF!</v>
      </c>
      <c r="AF1001" t="str">
        <f>AD1001*0.01</f>
        <v>#REF!</v>
      </c>
      <c r="AG1001" t="str">
        <f>AD1001-Q1001-AF1001-T1001</f>
        <v>#REF!</v>
      </c>
      <c r="AH1001" t="str">
        <f>AE1001-Q1001-AF1001-T1001</f>
        <v>#REF!</v>
      </c>
      <c r="AI1001" t="str">
        <f>AG1001/X1001</f>
        <v>#REF!</v>
      </c>
      <c r="AJ1001" t="str">
        <f>AH1001/Y1001</f>
        <v>#REF!</v>
      </c>
    </row>
    <row r="1002">
      <c r="G1002" t="str">
        <v>A</v>
      </c>
      <c r="K1002" t="str">
        <f>IF(L1002&gt;0,L1002*0.0625,)</f>
        <v>#REF!</v>
      </c>
      <c r="L1002" t="str">
        <f>IF(K1002&gt;0,K1002*16,)</f>
        <v>#REF!</v>
      </c>
      <c r="M1002" t="str">
        <f>IF(K1002&gt;0,K1002*0.453592,IF(L1002&gt;0,L1002*0.02835,))</f>
        <v>#REF!</v>
      </c>
      <c r="P1002">
        <f>J1002+O1002+N1002</f>
        <v>0</v>
      </c>
      <c r="Q1002">
        <f>P1002*C$3</f>
        <v>0</v>
      </c>
      <c r="R1002">
        <v>0</v>
      </c>
      <c r="S1002">
        <f>ROUND(SUM(Q1002:R1002), -2)</f>
        <v>0</v>
      </c>
      <c r="T1002" t="str">
        <f>ROUNDUP(HLOOKUP(ROUNDUP(K1002,0),'배송비 조회'!A$10:AE$22,7,0)*C$3,-2)</f>
        <v>#REF!</v>
      </c>
      <c r="U1002">
        <v>0</v>
      </c>
      <c r="V1002" t="str">
        <f>ROUND(IF(R998&gt;0,0,(S1002+T1002)*0.3),-2)</f>
        <v>#REF!</v>
      </c>
      <c r="W1002" t="str">
        <f>ROUND(IF(R998&gt;0,0,(S1002+T1002)*0.5),-2)</f>
        <v>#REF!</v>
      </c>
      <c r="X1002" t="str">
        <f>SUM(S1002:V1002)</f>
        <v>#REF!</v>
      </c>
      <c r="Y1002" t="str">
        <f>SUM(S1002:U1002)+W1002</f>
        <v>#REF!</v>
      </c>
      <c r="Z1002">
        <v>0</v>
      </c>
      <c r="AA1002" t="str">
        <f>X1002*0.038</f>
        <v>#REF!</v>
      </c>
      <c r="AB1002" t="str">
        <f>X1002*0.02</f>
        <v>#REF!</v>
      </c>
      <c r="AC1002" t="str">
        <f>Y1002*0.1</f>
        <v>#REF!</v>
      </c>
      <c r="AD1002" t="str">
        <f>X1002-AA1002-AB1002</f>
        <v>#REF!</v>
      </c>
      <c r="AE1002" t="str">
        <f>Y1002-AC1002</f>
        <v>#REF!</v>
      </c>
      <c r="AF1002" t="str">
        <f>AD1002*0.01</f>
        <v>#REF!</v>
      </c>
      <c r="AG1002" t="str">
        <f>AD1002-Q1002-AF1002-T1002</f>
        <v>#REF!</v>
      </c>
      <c r="AH1002" t="str">
        <f>AE1002-Q1002-AF1002-T1002</f>
        <v>#REF!</v>
      </c>
      <c r="AI1002" t="str">
        <f>AG1002/X1002</f>
        <v>#REF!</v>
      </c>
      <c r="AJ1002" t="str">
        <f>AH1002/Y1002</f>
        <v>#REF!</v>
      </c>
    </row>
    <row r="1003">
      <c r="G1003" t="str">
        <v>A</v>
      </c>
      <c r="K1003" t="str">
        <f>IF(L1003&gt;0,L1003*0.0625,)</f>
        <v>#REF!</v>
      </c>
      <c r="L1003" t="str">
        <f>IF(K1003&gt;0,K1003*16,)</f>
        <v>#REF!</v>
      </c>
      <c r="M1003" t="str">
        <f>IF(K1003&gt;0,K1003*0.453592,IF(L1003&gt;0,L1003*0.02835,))</f>
        <v>#REF!</v>
      </c>
      <c r="P1003">
        <f>J1003+O1003+N1003</f>
        <v>0</v>
      </c>
      <c r="Q1003">
        <f>P1003*C$3</f>
        <v>0</v>
      </c>
      <c r="R1003">
        <v>0</v>
      </c>
      <c r="S1003">
        <f>ROUND(SUM(Q1003:R1003), -2)</f>
        <v>0</v>
      </c>
      <c r="T1003" t="str">
        <f>ROUNDUP(HLOOKUP(ROUNDUP(K1003,0),'배송비 조회'!A$10:AE$22,7,0)*C$3,-2)</f>
        <v>#REF!</v>
      </c>
      <c r="U1003">
        <v>0</v>
      </c>
      <c r="V1003" t="str">
        <f>ROUND(IF(R999&gt;0,0,(S1003+T1003)*0.3),-2)</f>
        <v>#REF!</v>
      </c>
      <c r="W1003" t="str">
        <f>ROUND(IF(R999&gt;0,0,(S1003+T1003)*0.5),-2)</f>
        <v>#REF!</v>
      </c>
      <c r="X1003" t="str">
        <f>SUM(S1003:V1003)</f>
        <v>#REF!</v>
      </c>
      <c r="Y1003" t="str">
        <f>SUM(S1003:U1003)+W1003</f>
        <v>#REF!</v>
      </c>
      <c r="Z1003">
        <v>0</v>
      </c>
      <c r="AA1003" t="str">
        <f>X1003*0.038</f>
        <v>#REF!</v>
      </c>
      <c r="AB1003" t="str">
        <f>X1003*0.02</f>
        <v>#REF!</v>
      </c>
      <c r="AC1003" t="str">
        <f>Y1003*0.1</f>
        <v>#REF!</v>
      </c>
      <c r="AD1003" t="str">
        <f>X1003-AA1003-AB1003</f>
        <v>#REF!</v>
      </c>
      <c r="AE1003" t="str">
        <f>Y1003-AC1003</f>
        <v>#REF!</v>
      </c>
      <c r="AF1003" t="str">
        <f>AD1003*0.01</f>
        <v>#REF!</v>
      </c>
      <c r="AG1003" t="str">
        <f>AD1003-Q1003-AF1003-T1003</f>
        <v>#REF!</v>
      </c>
      <c r="AH1003" t="str">
        <f>AE1003-Q1003-AF1003-T1003</f>
        <v>#REF!</v>
      </c>
      <c r="AI1003" t="str">
        <f>AG1003/X1003</f>
        <v>#REF!</v>
      </c>
      <c r="AJ1003" t="str">
        <f>AH1003/Y1003</f>
        <v>#REF!</v>
      </c>
    </row>
    <row r="1004">
      <c r="G1004" t="str">
        <v>A</v>
      </c>
      <c r="K1004" t="str">
        <f>IF(L1004&gt;0,L1004*0.0625,)</f>
        <v>#REF!</v>
      </c>
      <c r="L1004" t="str">
        <f>IF(K1004&gt;0,K1004*16,)</f>
        <v>#REF!</v>
      </c>
      <c r="M1004" t="str">
        <f>IF(K1004&gt;0,K1004*0.453592,IF(L1004&gt;0,L1004*0.02835,))</f>
        <v>#REF!</v>
      </c>
      <c r="P1004">
        <f>J1004+O1004+N1004</f>
        <v>0</v>
      </c>
      <c r="Q1004">
        <f>P1004*C$3</f>
        <v>0</v>
      </c>
      <c r="R1004">
        <v>0</v>
      </c>
      <c r="S1004">
        <f>ROUND(SUM(Q1004:R1004), -2)</f>
        <v>0</v>
      </c>
      <c r="T1004" t="str">
        <f>ROUNDUP(HLOOKUP(ROUNDUP(K1004,0),'배송비 조회'!A$10:AE$22,7,0)*C$3,-2)</f>
        <v>#REF!</v>
      </c>
      <c r="U1004">
        <v>0</v>
      </c>
      <c r="V1004" t="str">
        <f>ROUND(IF(R1000&gt;0,0,(S1004+T1004)*0.3),-2)</f>
        <v>#REF!</v>
      </c>
      <c r="W1004" t="str">
        <f>ROUND(IF(R1000&gt;0,0,(S1004+T1004)*0.5),-2)</f>
        <v>#REF!</v>
      </c>
      <c r="X1004" t="str">
        <f>SUM(S1004:V1004)</f>
        <v>#REF!</v>
      </c>
      <c r="Y1004" t="str">
        <f>SUM(S1004:U1004)+W1004</f>
        <v>#REF!</v>
      </c>
      <c r="Z1004">
        <v>0</v>
      </c>
      <c r="AA1004" t="str">
        <f>X1004*0.038</f>
        <v>#REF!</v>
      </c>
      <c r="AB1004" t="str">
        <f>X1004*0.02</f>
        <v>#REF!</v>
      </c>
      <c r="AC1004" t="str">
        <f>Y1004*0.1</f>
        <v>#REF!</v>
      </c>
      <c r="AD1004" t="str">
        <f>X1004-AA1004-AB1004</f>
        <v>#REF!</v>
      </c>
      <c r="AE1004" t="str">
        <f>Y1004-AC1004</f>
        <v>#REF!</v>
      </c>
      <c r="AF1004" t="str">
        <f>AD1004*0.01</f>
        <v>#REF!</v>
      </c>
      <c r="AG1004" t="str">
        <f>AD1004-Q1004-AF1004-T1004</f>
        <v>#REF!</v>
      </c>
      <c r="AH1004" t="str">
        <f>AE1004-Q1004-AF1004-T1004</f>
        <v>#REF!</v>
      </c>
      <c r="AI1004" t="str">
        <f>AG1004/X1004</f>
        <v>#REF!</v>
      </c>
      <c r="AJ1004" t="str">
        <f>AH1004/Y1004</f>
        <v>#REF!</v>
      </c>
    </row>
    <row r="1005">
      <c r="G1005" t="str">
        <v>A</v>
      </c>
      <c r="K1005" t="str">
        <f>IF(L1005&gt;0,L1005*0.0625,)</f>
        <v>#REF!</v>
      </c>
      <c r="L1005" t="str">
        <f>IF(K1005&gt;0,K1005*16,)</f>
        <v>#REF!</v>
      </c>
      <c r="M1005" t="str">
        <f>IF(K1005&gt;0,K1005*0.453592,IF(L1005&gt;0,L1005*0.02835,))</f>
        <v>#REF!</v>
      </c>
      <c r="P1005">
        <f>J1005+O1005+N1005</f>
        <v>0</v>
      </c>
      <c r="Q1005">
        <f>P1005*C$3</f>
        <v>0</v>
      </c>
      <c r="R1005">
        <v>0</v>
      </c>
      <c r="S1005">
        <f>ROUND(SUM(Q1005:R1005), -2)</f>
        <v>0</v>
      </c>
      <c r="T1005" t="str">
        <f>ROUNDUP(HLOOKUP(ROUNDUP(K1005,0),'배송비 조회'!A$10:AE$22,7,0)*C$3,-2)</f>
        <v>#REF!</v>
      </c>
      <c r="U1005">
        <v>0</v>
      </c>
      <c r="V1005" t="str">
        <f>ROUND(IF(R1001&gt;0,0,(S1005+T1005)*0.3),-2)</f>
        <v>#REF!</v>
      </c>
      <c r="W1005" t="str">
        <f>ROUND(IF(R1001&gt;0,0,(S1005+T1005)*0.5),-2)</f>
        <v>#REF!</v>
      </c>
      <c r="X1005" t="str">
        <f>SUM(S1005:V1005)</f>
        <v>#REF!</v>
      </c>
      <c r="Y1005" t="str">
        <f>SUM(S1005:U1005)+W1005</f>
        <v>#REF!</v>
      </c>
      <c r="Z1005">
        <v>0</v>
      </c>
      <c r="AA1005" t="str">
        <f>X1005*0.038</f>
        <v>#REF!</v>
      </c>
      <c r="AB1005" t="str">
        <f>X1005*0.02</f>
        <v>#REF!</v>
      </c>
      <c r="AC1005" t="str">
        <f>Y1005*0.1</f>
        <v>#REF!</v>
      </c>
      <c r="AD1005" t="str">
        <f>X1005-AA1005-AB1005</f>
        <v>#REF!</v>
      </c>
      <c r="AE1005" t="str">
        <f>Y1005-AC1005</f>
        <v>#REF!</v>
      </c>
      <c r="AF1005" t="str">
        <f>AD1005*0.01</f>
        <v>#REF!</v>
      </c>
      <c r="AG1005" t="str">
        <f>AD1005-Q1005-AF1005-T1005</f>
        <v>#REF!</v>
      </c>
      <c r="AH1005" t="str">
        <f>AE1005-Q1005-AF1005-T1005</f>
        <v>#REF!</v>
      </c>
      <c r="AI1005" t="str">
        <f>AG1005/X1005</f>
        <v>#REF!</v>
      </c>
      <c r="AJ1005" t="str">
        <f>AH1005/Y1005</f>
        <v>#REF!</v>
      </c>
    </row>
    <row r="1006">
      <c r="G1006" t="str">
        <v>A</v>
      </c>
      <c r="K1006" t="str">
        <f>IF(L1006&gt;0,L1006*0.0625,)</f>
        <v>#REF!</v>
      </c>
      <c r="L1006" t="str">
        <f>IF(K1006&gt;0,K1006*16,)</f>
        <v>#REF!</v>
      </c>
      <c r="M1006" t="str">
        <f>IF(K1006&gt;0,K1006*0.453592,IF(L1006&gt;0,L1006*0.02835,))</f>
        <v>#REF!</v>
      </c>
      <c r="P1006">
        <f>J1006+O1006+N1006</f>
        <v>0</v>
      </c>
      <c r="Q1006">
        <f>P1006*C$3</f>
        <v>0</v>
      </c>
      <c r="R1006">
        <v>0</v>
      </c>
      <c r="S1006">
        <f>ROUND(SUM(Q1006:R1006), -2)</f>
        <v>0</v>
      </c>
      <c r="T1006" t="str">
        <f>ROUNDUP(HLOOKUP(ROUNDUP(K1006,0),'배송비 조회'!A$10:AE$22,7,0)*C$3,-2)</f>
        <v>#REF!</v>
      </c>
      <c r="U1006">
        <v>0</v>
      </c>
      <c r="V1006" t="str">
        <f>ROUND(IF(R1002&gt;0,0,(S1006+T1006)*0.3),-2)</f>
        <v>#REF!</v>
      </c>
      <c r="W1006" t="str">
        <f>ROUND(IF(R1002&gt;0,0,(S1006+T1006)*0.5),-2)</f>
        <v>#REF!</v>
      </c>
      <c r="X1006" t="str">
        <f>SUM(S1006:V1006)</f>
        <v>#REF!</v>
      </c>
      <c r="Y1006" t="str">
        <f>SUM(S1006:U1006)+W1006</f>
        <v>#REF!</v>
      </c>
      <c r="Z1006">
        <v>0</v>
      </c>
      <c r="AA1006" t="str">
        <f>X1006*0.038</f>
        <v>#REF!</v>
      </c>
      <c r="AB1006" t="str">
        <f>X1006*0.02</f>
        <v>#REF!</v>
      </c>
      <c r="AC1006" t="str">
        <f>Y1006*0.1</f>
        <v>#REF!</v>
      </c>
      <c r="AD1006" t="str">
        <f>X1006-AA1006-AB1006</f>
        <v>#REF!</v>
      </c>
      <c r="AE1006" t="str">
        <f>Y1006-AC1006</f>
        <v>#REF!</v>
      </c>
      <c r="AF1006" t="str">
        <f>AD1006*0.01</f>
        <v>#REF!</v>
      </c>
      <c r="AG1006" t="str">
        <f>AD1006-Q1006-AF1006-T1006</f>
        <v>#REF!</v>
      </c>
      <c r="AH1006" t="str">
        <f>AE1006-Q1006-AF1006-T1006</f>
        <v>#REF!</v>
      </c>
      <c r="AI1006" t="str">
        <f>AG1006/X1006</f>
        <v>#REF!</v>
      </c>
      <c r="AJ1006" t="str">
        <f>AH1006/Y1006</f>
        <v>#REF!</v>
      </c>
    </row>
    <row r="1007">
      <c r="G1007" t="str">
        <v>A</v>
      </c>
      <c r="K1007" t="str">
        <f>IF(L1007&gt;0,L1007*0.0625,)</f>
        <v>#REF!</v>
      </c>
      <c r="L1007" t="str">
        <f>IF(K1007&gt;0,K1007*16,)</f>
        <v>#REF!</v>
      </c>
      <c r="M1007" t="str">
        <f>IF(K1007&gt;0,K1007*0.453592,IF(L1007&gt;0,L1007*0.02835,))</f>
        <v>#REF!</v>
      </c>
      <c r="P1007">
        <f>J1007+O1007+N1007</f>
        <v>0</v>
      </c>
      <c r="Q1007">
        <f>P1007*C$3</f>
        <v>0</v>
      </c>
      <c r="R1007">
        <v>0</v>
      </c>
      <c r="S1007">
        <f>ROUND(SUM(Q1007:R1007), -2)</f>
        <v>0</v>
      </c>
      <c r="T1007" t="str">
        <f>ROUNDUP(HLOOKUP(ROUNDUP(K1007,0),'배송비 조회'!A$10:AE$22,7,0)*C$3,-2)</f>
        <v>#REF!</v>
      </c>
      <c r="U1007">
        <v>0</v>
      </c>
      <c r="V1007" t="str">
        <f>ROUND(IF(R1003&gt;0,0,(S1007+T1007)*0.3),-2)</f>
        <v>#REF!</v>
      </c>
      <c r="W1007" t="str">
        <f>ROUND(IF(R1003&gt;0,0,(S1007+T1007)*0.5),-2)</f>
        <v>#REF!</v>
      </c>
      <c r="X1007" t="str">
        <f>SUM(S1007:V1007)</f>
        <v>#REF!</v>
      </c>
      <c r="Y1007" t="str">
        <f>SUM(S1007:U1007)+W1007</f>
        <v>#REF!</v>
      </c>
      <c r="Z1007">
        <v>0</v>
      </c>
      <c r="AA1007" t="str">
        <f>X1007*0.038</f>
        <v>#REF!</v>
      </c>
      <c r="AB1007" t="str">
        <f>X1007*0.02</f>
        <v>#REF!</v>
      </c>
      <c r="AC1007" t="str">
        <f>Y1007*0.1</f>
        <v>#REF!</v>
      </c>
      <c r="AD1007" t="str">
        <f>X1007-AA1007-AB1007</f>
        <v>#REF!</v>
      </c>
      <c r="AE1007" t="str">
        <f>Y1007-AC1007</f>
        <v>#REF!</v>
      </c>
      <c r="AF1007" t="str">
        <f>AD1007*0.01</f>
        <v>#REF!</v>
      </c>
      <c r="AG1007" t="str">
        <f>AD1007-Q1007-AF1007-T1007</f>
        <v>#REF!</v>
      </c>
      <c r="AH1007" t="str">
        <f>AE1007-Q1007-AF1007-T1007</f>
        <v>#REF!</v>
      </c>
      <c r="AI1007" t="str">
        <f>AG1007/X1007</f>
        <v>#REF!</v>
      </c>
      <c r="AJ1007" t="str">
        <f>AH1007/Y1007</f>
        <v>#REF!</v>
      </c>
    </row>
    <row r="1008">
      <c r="G1008" t="str">
        <v>A</v>
      </c>
      <c r="K1008" t="str">
        <f>IF(L1008&gt;0,L1008*0.0625,)</f>
        <v>#REF!</v>
      </c>
      <c r="L1008" t="str">
        <f>IF(K1008&gt;0,K1008*16,)</f>
        <v>#REF!</v>
      </c>
      <c r="M1008" t="str">
        <f>IF(K1008&gt;0,K1008*0.453592,IF(L1008&gt;0,L1008*0.02835,))</f>
        <v>#REF!</v>
      </c>
      <c r="P1008">
        <f>J1008+O1008+N1008</f>
        <v>0</v>
      </c>
      <c r="Q1008">
        <f>P1008*C$3</f>
        <v>0</v>
      </c>
      <c r="R1008">
        <v>0</v>
      </c>
      <c r="S1008">
        <f>ROUND(SUM(Q1008:R1008), -2)</f>
        <v>0</v>
      </c>
      <c r="T1008" t="str">
        <f>ROUNDUP(HLOOKUP(ROUNDUP(K1008,0),'배송비 조회'!A$10:AE$22,7,0)*C$3,-2)</f>
        <v>#REF!</v>
      </c>
      <c r="U1008">
        <v>0</v>
      </c>
      <c r="V1008" t="str">
        <f>ROUND(IF(R1004&gt;0,0,(S1008+T1008)*0.3),-2)</f>
        <v>#REF!</v>
      </c>
      <c r="W1008" t="str">
        <f>ROUND(IF(R1004&gt;0,0,(S1008+T1008)*0.5),-2)</f>
        <v>#REF!</v>
      </c>
      <c r="X1008" t="str">
        <f>SUM(S1008:V1008)</f>
        <v>#REF!</v>
      </c>
      <c r="Y1008" t="str">
        <f>SUM(S1008:U1008)+W1008</f>
        <v>#REF!</v>
      </c>
      <c r="Z1008">
        <v>0</v>
      </c>
      <c r="AA1008" t="str">
        <f>X1008*0.038</f>
        <v>#REF!</v>
      </c>
      <c r="AB1008" t="str">
        <f>X1008*0.02</f>
        <v>#REF!</v>
      </c>
      <c r="AC1008" t="str">
        <f>Y1008*0.1</f>
        <v>#REF!</v>
      </c>
      <c r="AD1008" t="str">
        <f>X1008-AA1008-AB1008</f>
        <v>#REF!</v>
      </c>
      <c r="AE1008" t="str">
        <f>Y1008-AC1008</f>
        <v>#REF!</v>
      </c>
      <c r="AF1008" t="str">
        <f>AD1008*0.01</f>
        <v>#REF!</v>
      </c>
      <c r="AG1008" t="str">
        <f>AD1008-Q1008-AF1008-T1008</f>
        <v>#REF!</v>
      </c>
      <c r="AH1008" t="str">
        <f>AE1008-Q1008-AF1008-T1008</f>
        <v>#REF!</v>
      </c>
      <c r="AI1008" t="str">
        <f>AG1008/X1008</f>
        <v>#REF!</v>
      </c>
      <c r="AJ1008" t="str">
        <f>AH1008/Y1008</f>
        <v>#REF!</v>
      </c>
    </row>
    <row r="1009">
      <c r="G1009" t="str">
        <v>A</v>
      </c>
      <c r="K1009" t="str">
        <f>IF(L1009&gt;0,L1009*0.0625,)</f>
        <v>#REF!</v>
      </c>
      <c r="L1009" t="str">
        <f>IF(K1009&gt;0,K1009*16,)</f>
        <v>#REF!</v>
      </c>
      <c r="M1009" t="str">
        <f>IF(K1009&gt;0,K1009*0.453592,IF(L1009&gt;0,L1009*0.02835,))</f>
        <v>#REF!</v>
      </c>
      <c r="P1009">
        <f>J1009+O1009+N1009</f>
        <v>0</v>
      </c>
      <c r="Q1009">
        <f>P1009*C$3</f>
        <v>0</v>
      </c>
      <c r="R1009">
        <v>0</v>
      </c>
      <c r="S1009">
        <f>ROUND(SUM(Q1009:R1009), -2)</f>
        <v>0</v>
      </c>
      <c r="T1009" t="str">
        <f>ROUNDUP(HLOOKUP(ROUNDUP(K1009,0),'배송비 조회'!A$10:AE$22,7,0)*C$3,-2)</f>
        <v>#REF!</v>
      </c>
      <c r="U1009">
        <v>0</v>
      </c>
      <c r="V1009" t="str">
        <f>ROUND(IF(R1005&gt;0,0,(S1009+T1009)*0.3),-2)</f>
        <v>#REF!</v>
      </c>
      <c r="W1009" t="str">
        <f>ROUND(IF(R1005&gt;0,0,(S1009+T1009)*0.5),-2)</f>
        <v>#REF!</v>
      </c>
      <c r="X1009" t="str">
        <f>SUM(S1009:V1009)</f>
        <v>#REF!</v>
      </c>
      <c r="Y1009" t="str">
        <f>SUM(S1009:U1009)+W1009</f>
        <v>#REF!</v>
      </c>
      <c r="Z1009">
        <v>0</v>
      </c>
      <c r="AA1009" t="str">
        <f>X1009*0.038</f>
        <v>#REF!</v>
      </c>
      <c r="AB1009" t="str">
        <f>X1009*0.02</f>
        <v>#REF!</v>
      </c>
      <c r="AC1009" t="str">
        <f>Y1009*0.1</f>
        <v>#REF!</v>
      </c>
      <c r="AD1009" t="str">
        <f>X1009-AA1009-AB1009</f>
        <v>#REF!</v>
      </c>
      <c r="AE1009" t="str">
        <f>Y1009-AC1009</f>
        <v>#REF!</v>
      </c>
      <c r="AF1009" t="str">
        <f>AD1009*0.01</f>
        <v>#REF!</v>
      </c>
      <c r="AG1009" t="str">
        <f>AD1009-Q1009-AF1009-T1009</f>
        <v>#REF!</v>
      </c>
      <c r="AH1009" t="str">
        <f>AE1009-Q1009-AF1009-T1009</f>
        <v>#REF!</v>
      </c>
      <c r="AI1009" t="str">
        <f>AG1009/X1009</f>
        <v>#REF!</v>
      </c>
      <c r="AJ1009" t="str">
        <f>AH1009/Y1009</f>
        <v>#REF!</v>
      </c>
    </row>
    <row r="1010">
      <c r="G1010" t="str">
        <v>A</v>
      </c>
      <c r="K1010" t="str">
        <f>IF(L1010&gt;0,L1010*0.0625,)</f>
        <v>#REF!</v>
      </c>
      <c r="L1010" t="str">
        <f>IF(K1010&gt;0,K1010*16,)</f>
        <v>#REF!</v>
      </c>
      <c r="M1010" t="str">
        <f>IF(K1010&gt;0,K1010*0.453592,IF(L1010&gt;0,L1010*0.02835,))</f>
        <v>#REF!</v>
      </c>
      <c r="P1010">
        <f>J1010+O1010+N1010</f>
        <v>0</v>
      </c>
      <c r="Q1010">
        <f>P1010*C$3</f>
        <v>0</v>
      </c>
      <c r="R1010">
        <v>0</v>
      </c>
      <c r="S1010">
        <f>ROUND(SUM(Q1010:R1010), -2)</f>
        <v>0</v>
      </c>
      <c r="T1010" t="str">
        <f>ROUNDUP(HLOOKUP(ROUNDUP(K1010,0),'배송비 조회'!A$10:AE$22,7,0)*C$3,-2)</f>
        <v>#REF!</v>
      </c>
      <c r="U1010">
        <v>0</v>
      </c>
      <c r="V1010" t="str">
        <f>ROUND(IF(R1006&gt;0,0,(S1010+T1010)*0.3),-2)</f>
        <v>#REF!</v>
      </c>
      <c r="W1010" t="str">
        <f>ROUND(IF(R1006&gt;0,0,(S1010+T1010)*0.5),-2)</f>
        <v>#REF!</v>
      </c>
      <c r="X1010" t="str">
        <f>SUM(S1010:V1010)</f>
        <v>#REF!</v>
      </c>
      <c r="Y1010" t="str">
        <f>SUM(S1010:U1010)+W1010</f>
        <v>#REF!</v>
      </c>
      <c r="Z1010">
        <v>0</v>
      </c>
      <c r="AA1010" t="str">
        <f>X1010*0.038</f>
        <v>#REF!</v>
      </c>
      <c r="AB1010" t="str">
        <f>X1010*0.02</f>
        <v>#REF!</v>
      </c>
      <c r="AC1010" t="str">
        <f>Y1010*0.1</f>
        <v>#REF!</v>
      </c>
      <c r="AD1010" t="str">
        <f>X1010-AA1010-AB1010</f>
        <v>#REF!</v>
      </c>
      <c r="AE1010" t="str">
        <f>Y1010-AC1010</f>
        <v>#REF!</v>
      </c>
      <c r="AF1010" t="str">
        <f>AD1010*0.01</f>
        <v>#REF!</v>
      </c>
      <c r="AG1010" t="str">
        <f>AD1010-Q1010-AF1010-T1010</f>
        <v>#REF!</v>
      </c>
      <c r="AH1010" t="str">
        <f>AE1010-Q1010-AF1010-T1010</f>
        <v>#REF!</v>
      </c>
      <c r="AI1010" t="str">
        <f>AG1010/X1010</f>
        <v>#REF!</v>
      </c>
      <c r="AJ1010" t="str">
        <f>AH1010/Y1010</f>
        <v>#REF!</v>
      </c>
    </row>
    <row r="1011">
      <c r="G1011" t="str">
        <v>A</v>
      </c>
      <c r="K1011" t="str">
        <f>IF(L1011&gt;0,L1011*0.0625,)</f>
        <v>#REF!</v>
      </c>
      <c r="L1011" t="str">
        <f>IF(K1011&gt;0,K1011*16,)</f>
        <v>#REF!</v>
      </c>
      <c r="M1011" t="str">
        <f>IF(K1011&gt;0,K1011*0.453592,IF(L1011&gt;0,L1011*0.02835,))</f>
        <v>#REF!</v>
      </c>
      <c r="P1011">
        <f>J1011+O1011+N1011</f>
        <v>0</v>
      </c>
      <c r="Q1011">
        <f>P1011*C$3</f>
        <v>0</v>
      </c>
      <c r="R1011">
        <v>0</v>
      </c>
      <c r="S1011">
        <f>ROUND(SUM(Q1011:R1011), -2)</f>
        <v>0</v>
      </c>
      <c r="T1011" t="str">
        <f>ROUNDUP(HLOOKUP(ROUNDUP(K1011,0),'배송비 조회'!A$10:AE$22,7,0)*C$3,-2)</f>
        <v>#REF!</v>
      </c>
      <c r="U1011">
        <v>0</v>
      </c>
      <c r="V1011" t="str">
        <f>ROUND(IF(R1007&gt;0,0,(S1011+T1011)*0.3),-2)</f>
        <v>#REF!</v>
      </c>
      <c r="W1011" t="str">
        <f>ROUND(IF(R1007&gt;0,0,(S1011+T1011)*0.5),-2)</f>
        <v>#REF!</v>
      </c>
      <c r="X1011" t="str">
        <f>SUM(S1011:V1011)</f>
        <v>#REF!</v>
      </c>
      <c r="Y1011" t="str">
        <f>SUM(S1011:U1011)+W1011</f>
        <v>#REF!</v>
      </c>
      <c r="Z1011">
        <v>0</v>
      </c>
      <c r="AA1011" t="str">
        <f>X1011*0.038</f>
        <v>#REF!</v>
      </c>
      <c r="AB1011" t="str">
        <f>X1011*0.02</f>
        <v>#REF!</v>
      </c>
      <c r="AC1011" t="str">
        <f>Y1011*0.1</f>
        <v>#REF!</v>
      </c>
      <c r="AD1011" t="str">
        <f>X1011-AA1011-AB1011</f>
        <v>#REF!</v>
      </c>
      <c r="AE1011" t="str">
        <f>Y1011-AC1011</f>
        <v>#REF!</v>
      </c>
      <c r="AF1011" t="str">
        <f>AD1011*0.01</f>
        <v>#REF!</v>
      </c>
      <c r="AG1011" t="str">
        <f>AD1011-Q1011-AF1011-T1011</f>
        <v>#REF!</v>
      </c>
      <c r="AH1011" t="str">
        <f>AE1011-Q1011-AF1011-T1011</f>
        <v>#REF!</v>
      </c>
      <c r="AI1011" t="str">
        <f>AG1011/X1011</f>
        <v>#REF!</v>
      </c>
      <c r="AJ1011" t="str">
        <f>AH1011/Y1011</f>
        <v>#REF!</v>
      </c>
    </row>
    <row r="1012">
      <c r="G1012" t="str">
        <v>A</v>
      </c>
      <c r="K1012" t="str">
        <f>IF(L1012&gt;0,L1012*0.0625,)</f>
        <v>#REF!</v>
      </c>
      <c r="L1012" t="str">
        <f>IF(K1012&gt;0,K1012*16,)</f>
        <v>#REF!</v>
      </c>
      <c r="M1012" t="str">
        <f>IF(K1012&gt;0,K1012*0.453592,IF(L1012&gt;0,L1012*0.02835,))</f>
        <v>#REF!</v>
      </c>
      <c r="P1012">
        <f>J1012+O1012+N1012</f>
        <v>0</v>
      </c>
      <c r="Q1012">
        <f>P1012*C$3</f>
        <v>0</v>
      </c>
      <c r="R1012">
        <v>0</v>
      </c>
      <c r="S1012">
        <f>ROUND(SUM(Q1012:R1012), -2)</f>
        <v>0</v>
      </c>
      <c r="T1012" t="str">
        <f>ROUNDUP(HLOOKUP(ROUNDUP(K1012,0),'배송비 조회'!A$10:AE$22,7,0)*C$3,-2)</f>
        <v>#REF!</v>
      </c>
      <c r="U1012">
        <v>0</v>
      </c>
      <c r="V1012" t="str">
        <f>ROUND(IF(R1008&gt;0,0,(S1012+T1012)*0.3),-2)</f>
        <v>#REF!</v>
      </c>
      <c r="W1012" t="str">
        <f>ROUND(IF(R1008&gt;0,0,(S1012+T1012)*0.5),-2)</f>
        <v>#REF!</v>
      </c>
      <c r="X1012" t="str">
        <f>SUM(S1012:V1012)</f>
        <v>#REF!</v>
      </c>
      <c r="Y1012" t="str">
        <f>SUM(S1012:U1012)+W1012</f>
        <v>#REF!</v>
      </c>
      <c r="Z1012">
        <v>0</v>
      </c>
      <c r="AA1012" t="str">
        <f>X1012*0.038</f>
        <v>#REF!</v>
      </c>
      <c r="AB1012" t="str">
        <f>X1012*0.02</f>
        <v>#REF!</v>
      </c>
      <c r="AC1012" t="str">
        <f>Y1012*0.1</f>
        <v>#REF!</v>
      </c>
      <c r="AD1012" t="str">
        <f>X1012-AA1012-AB1012</f>
        <v>#REF!</v>
      </c>
      <c r="AE1012" t="str">
        <f>Y1012-AC1012</f>
        <v>#REF!</v>
      </c>
      <c r="AF1012" t="str">
        <f>AD1012*0.01</f>
        <v>#REF!</v>
      </c>
      <c r="AG1012" t="str">
        <f>AD1012-Q1012-AF1012-T1012</f>
        <v>#REF!</v>
      </c>
      <c r="AH1012" t="str">
        <f>AE1012-Q1012-AF1012-T1012</f>
        <v>#REF!</v>
      </c>
      <c r="AI1012" t="str">
        <f>AG1012/X1012</f>
        <v>#REF!</v>
      </c>
      <c r="AJ1012" t="str">
        <f>AH1012/Y1012</f>
        <v>#REF!</v>
      </c>
    </row>
    <row r="1013">
      <c r="G1013" t="str">
        <v>A</v>
      </c>
      <c r="K1013" t="str">
        <f>IF(L1013&gt;0,L1013*0.0625,)</f>
        <v>#REF!</v>
      </c>
      <c r="L1013" t="str">
        <f>IF(K1013&gt;0,K1013*16,)</f>
        <v>#REF!</v>
      </c>
      <c r="M1013" t="str">
        <f>IF(K1013&gt;0,K1013*0.453592,IF(L1013&gt;0,L1013*0.02835,))</f>
        <v>#REF!</v>
      </c>
      <c r="P1013">
        <f>J1013+O1013+N1013</f>
        <v>0</v>
      </c>
      <c r="Q1013">
        <f>P1013*C$3</f>
        <v>0</v>
      </c>
      <c r="R1013">
        <v>0</v>
      </c>
      <c r="S1013">
        <f>ROUND(SUM(Q1013:R1013), -2)</f>
        <v>0</v>
      </c>
      <c r="T1013" t="str">
        <f>ROUNDUP(HLOOKUP(ROUNDUP(K1013,0),'배송비 조회'!A$10:AE$22,7,0)*C$3,-2)</f>
        <v>#REF!</v>
      </c>
      <c r="U1013">
        <v>0</v>
      </c>
      <c r="V1013" t="str">
        <f>ROUND(IF(R1009&gt;0,0,(S1013+T1013)*0.3),-2)</f>
        <v>#REF!</v>
      </c>
      <c r="W1013" t="str">
        <f>ROUND(IF(R1009&gt;0,0,(S1013+T1013)*0.5),-2)</f>
        <v>#REF!</v>
      </c>
      <c r="X1013" t="str">
        <f>SUM(S1013:V1013)</f>
        <v>#REF!</v>
      </c>
      <c r="Y1013" t="str">
        <f>SUM(S1013:U1013)+W1013</f>
        <v>#REF!</v>
      </c>
      <c r="Z1013">
        <v>0</v>
      </c>
      <c r="AA1013" t="str">
        <f>X1013*0.038</f>
        <v>#REF!</v>
      </c>
      <c r="AB1013" t="str">
        <f>X1013*0.02</f>
        <v>#REF!</v>
      </c>
      <c r="AC1013" t="str">
        <f>Y1013*0.1</f>
        <v>#REF!</v>
      </c>
      <c r="AD1013" t="str">
        <f>X1013-AA1013-AB1013</f>
        <v>#REF!</v>
      </c>
      <c r="AE1013" t="str">
        <f>Y1013-AC1013</f>
        <v>#REF!</v>
      </c>
      <c r="AF1013" t="str">
        <f>AD1013*0.01</f>
        <v>#REF!</v>
      </c>
      <c r="AG1013" t="str">
        <f>AD1013-Q1013-AF1013-T1013</f>
        <v>#REF!</v>
      </c>
      <c r="AH1013" t="str">
        <f>AE1013-Q1013-AF1013-T1013</f>
        <v>#REF!</v>
      </c>
      <c r="AI1013" t="str">
        <f>AG1013/X1013</f>
        <v>#REF!</v>
      </c>
      <c r="AJ1013" t="str">
        <f>AH1013/Y1013</f>
        <v>#REF!</v>
      </c>
    </row>
    <row r="1014">
      <c r="G1014" t="str">
        <v>A</v>
      </c>
      <c r="K1014" t="str">
        <f>IF(L1014&gt;0,L1014*0.0625,)</f>
        <v>#REF!</v>
      </c>
      <c r="L1014" t="str">
        <f>IF(K1014&gt;0,K1014*16,)</f>
        <v>#REF!</v>
      </c>
      <c r="M1014" t="str">
        <f>IF(K1014&gt;0,K1014*0.453592,IF(L1014&gt;0,L1014*0.02835,))</f>
        <v>#REF!</v>
      </c>
      <c r="P1014">
        <f>J1014+O1014+N1014</f>
        <v>0</v>
      </c>
      <c r="Q1014">
        <f>P1014*C$3</f>
        <v>0</v>
      </c>
      <c r="R1014">
        <v>0</v>
      </c>
      <c r="S1014">
        <f>ROUND(SUM(Q1014:R1014), -2)</f>
        <v>0</v>
      </c>
      <c r="T1014" t="str">
        <f>ROUNDUP(HLOOKUP(ROUNDUP(K1014,0),'배송비 조회'!A$10:AE$22,7,0)*C$3,-2)</f>
        <v>#REF!</v>
      </c>
      <c r="U1014">
        <v>0</v>
      </c>
      <c r="V1014" t="str">
        <f>ROUND(IF(R1010&gt;0,0,(S1014+T1014)*0.3),-2)</f>
        <v>#REF!</v>
      </c>
      <c r="W1014" t="str">
        <f>ROUND(IF(R1010&gt;0,0,(S1014+T1014)*0.5),-2)</f>
        <v>#REF!</v>
      </c>
      <c r="X1014" t="str">
        <f>SUM(S1014:V1014)</f>
        <v>#REF!</v>
      </c>
      <c r="Y1014" t="str">
        <f>SUM(S1014:U1014)+W1014</f>
        <v>#REF!</v>
      </c>
      <c r="Z1014">
        <v>0</v>
      </c>
      <c r="AA1014" t="str">
        <f>X1014*0.038</f>
        <v>#REF!</v>
      </c>
      <c r="AB1014" t="str">
        <f>X1014*0.02</f>
        <v>#REF!</v>
      </c>
      <c r="AC1014" t="str">
        <f>Y1014*0.1</f>
        <v>#REF!</v>
      </c>
      <c r="AD1014" t="str">
        <f>X1014-AA1014-AB1014</f>
        <v>#REF!</v>
      </c>
      <c r="AE1014" t="str">
        <f>Y1014-AC1014</f>
        <v>#REF!</v>
      </c>
      <c r="AF1014" t="str">
        <f>AD1014*0.01</f>
        <v>#REF!</v>
      </c>
      <c r="AG1014" t="str">
        <f>AD1014-Q1014-AF1014-T1014</f>
        <v>#REF!</v>
      </c>
      <c r="AH1014" t="str">
        <f>AE1014-Q1014-AF1014-T1014</f>
        <v>#REF!</v>
      </c>
      <c r="AI1014" t="str">
        <f>AG1014/X1014</f>
        <v>#REF!</v>
      </c>
      <c r="AJ1014" t="str">
        <f>AH1014/Y1014</f>
        <v>#REF!</v>
      </c>
    </row>
    <row r="1015">
      <c r="G1015" t="str">
        <v>A</v>
      </c>
      <c r="K1015" t="str">
        <f>IF(L1015&gt;0,L1015*0.0625,)</f>
        <v>#REF!</v>
      </c>
      <c r="L1015" t="str">
        <f>IF(K1015&gt;0,K1015*16,)</f>
        <v>#REF!</v>
      </c>
      <c r="M1015" t="str">
        <f>IF(K1015&gt;0,K1015*0.453592,IF(L1015&gt;0,L1015*0.02835,))</f>
        <v>#REF!</v>
      </c>
      <c r="P1015">
        <f>J1015+O1015+N1015</f>
        <v>0</v>
      </c>
      <c r="Q1015">
        <f>P1015*C$3</f>
        <v>0</v>
      </c>
      <c r="S1015">
        <f>ROUND(SUM(Q1015:R1015), -2)</f>
        <v>0</v>
      </c>
      <c r="T1015" t="str">
        <f>ROUNDUP(HLOOKUP(ROUNDUP(K1015,0),'배송비 조회'!A$10:AE$22,7,0)*C$3,-2)</f>
        <v>#REF!</v>
      </c>
      <c r="U1015">
        <v>0</v>
      </c>
      <c r="V1015" t="str">
        <f>ROUND(IF(R1011&gt;0,0,(S1015+T1015)*0.3),-2)</f>
        <v>#REF!</v>
      </c>
      <c r="W1015" t="str">
        <f>ROUND(IF(R1011&gt;0,0,(S1015+T1015)*0.5),-2)</f>
        <v>#REF!</v>
      </c>
      <c r="X1015" t="str">
        <f>SUM(S1015:V1015)</f>
        <v>#REF!</v>
      </c>
      <c r="Y1015" t="str">
        <f>SUM(S1015:U1015)+W1015</f>
        <v>#REF!</v>
      </c>
      <c r="Z1015">
        <v>0</v>
      </c>
      <c r="AA1015" t="str">
        <f>X1015*0.038</f>
        <v>#REF!</v>
      </c>
      <c r="AB1015" t="str">
        <f>X1015*0.02</f>
        <v>#REF!</v>
      </c>
      <c r="AC1015" t="str">
        <f>Y1015*0.1</f>
        <v>#REF!</v>
      </c>
      <c r="AD1015" t="str">
        <f>X1015-AA1015-AB1015</f>
        <v>#REF!</v>
      </c>
      <c r="AE1015" t="str">
        <f>Y1015-AC1015</f>
        <v>#REF!</v>
      </c>
      <c r="AF1015" t="str">
        <f>AD1015*0.01</f>
        <v>#REF!</v>
      </c>
      <c r="AG1015" t="str">
        <f>AD1015-Q1015-AF1015-T1015</f>
        <v>#REF!</v>
      </c>
      <c r="AH1015" t="str">
        <f>AE1015-Q1015-AF1015-T1015</f>
        <v>#REF!</v>
      </c>
      <c r="AI1015" t="str">
        <f>AG1015/X1015</f>
        <v>#REF!</v>
      </c>
      <c r="AJ1015" t="str">
        <f>AH1015/Y1015</f>
        <v>#REF!</v>
      </c>
    </row>
    <row r="1016">
      <c r="G1016" t="str">
        <v>A</v>
      </c>
      <c r="K1016" t="str">
        <f>IF(L1016&gt;0,L1016*0.0625,)</f>
        <v>#REF!</v>
      </c>
      <c r="L1016" t="str">
        <f>IF(K1016&gt;0,K1016*16,)</f>
        <v>#REF!</v>
      </c>
      <c r="M1016" t="str">
        <f>IF(K1016&gt;0,K1016*0.453592,IF(L1016&gt;0,L1016*0.02835,))</f>
        <v>#REF!</v>
      </c>
      <c r="P1016">
        <f>J1016+O1016+N1016</f>
        <v>0</v>
      </c>
      <c r="Q1016">
        <f>P1016*C$3</f>
        <v>0</v>
      </c>
      <c r="S1016">
        <f>ROUND(SUM(Q1016:R1016), -2)</f>
        <v>0</v>
      </c>
      <c r="T1016" t="str">
        <f>ROUNDUP(HLOOKUP(ROUNDUP(K1016,0),'배송비 조회'!A$10:AE$22,7,0)*C$3,-2)</f>
        <v>#REF!</v>
      </c>
      <c r="U1016">
        <v>0</v>
      </c>
      <c r="V1016" t="str">
        <f>ROUND(IF(R1012&gt;0,0,(S1016+T1016)*0.3),-2)</f>
        <v>#REF!</v>
      </c>
      <c r="W1016" t="str">
        <f>ROUND(IF(R1012&gt;0,0,(S1016+T1016)*0.5),-2)</f>
        <v>#REF!</v>
      </c>
      <c r="X1016" t="str">
        <f>SUM(S1016:V1016)</f>
        <v>#REF!</v>
      </c>
      <c r="Y1016" t="str">
        <f>SUM(S1016:U1016)+W1016</f>
        <v>#REF!</v>
      </c>
      <c r="Z1016">
        <v>0</v>
      </c>
      <c r="AA1016" t="str">
        <f>X1016*0.038</f>
        <v>#REF!</v>
      </c>
      <c r="AB1016" t="str">
        <f>X1016*0.02</f>
        <v>#REF!</v>
      </c>
      <c r="AC1016" t="str">
        <f>Y1016*0.1</f>
        <v>#REF!</v>
      </c>
      <c r="AD1016" t="str">
        <f>X1016-AA1016-AB1016</f>
        <v>#REF!</v>
      </c>
      <c r="AE1016" t="str">
        <f>Y1016-AC1016</f>
        <v>#REF!</v>
      </c>
      <c r="AF1016" t="str">
        <f>AD1016*0.01</f>
        <v>#REF!</v>
      </c>
      <c r="AG1016" t="str">
        <f>AD1016-Q1016-AF1016-T1016</f>
        <v>#REF!</v>
      </c>
      <c r="AH1016" t="str">
        <f>AE1016-Q1016-AF1016-T1016</f>
        <v>#REF!</v>
      </c>
      <c r="AI1016" t="str">
        <f>AG1016/X1016</f>
        <v>#REF!</v>
      </c>
      <c r="AJ1016" t="str">
        <f>AH1016/Y1016</f>
        <v>#REF!</v>
      </c>
    </row>
    <row r="1017">
      <c r="G1017" t="str">
        <v>A</v>
      </c>
      <c r="K1017" t="str">
        <f>IF(L1017&gt;0,L1017*0.0625,)</f>
        <v>#REF!</v>
      </c>
      <c r="L1017" t="str">
        <f>IF(K1017&gt;0,K1017*16,)</f>
        <v>#REF!</v>
      </c>
      <c r="M1017" t="str">
        <f>IF(K1017&gt;0,K1017*0.453592,IF(L1017&gt;0,L1017*0.02835,))</f>
        <v>#REF!</v>
      </c>
      <c r="P1017">
        <f>J1017+O1017+N1017</f>
        <v>0</v>
      </c>
      <c r="Q1017">
        <f>P1017*C$3</f>
        <v>0</v>
      </c>
      <c r="S1017">
        <f>ROUND(SUM(Q1017:R1017), -2)</f>
        <v>0</v>
      </c>
      <c r="T1017" t="str">
        <f>ROUNDUP(HLOOKUP(ROUNDUP(K1017,0),'배송비 조회'!A$10:AE$22,7,0)*C$3,-2)</f>
        <v>#REF!</v>
      </c>
      <c r="U1017">
        <v>0</v>
      </c>
      <c r="V1017" t="str">
        <f>ROUND(IF(R1013&gt;0,0,(S1017+T1017)*0.3),-2)</f>
        <v>#REF!</v>
      </c>
      <c r="W1017" t="str">
        <f>ROUND(IF(R1013&gt;0,0,(S1017+T1017)*0.5),-2)</f>
        <v>#REF!</v>
      </c>
      <c r="X1017" t="str">
        <f>SUM(S1017:V1017)</f>
        <v>#REF!</v>
      </c>
      <c r="Y1017" t="str">
        <f>SUM(S1017:U1017)+W1017</f>
        <v>#REF!</v>
      </c>
      <c r="Z1017">
        <v>0</v>
      </c>
      <c r="AA1017" t="str">
        <f>X1017*0.038</f>
        <v>#REF!</v>
      </c>
      <c r="AB1017" t="str">
        <f>X1017*0.02</f>
        <v>#REF!</v>
      </c>
      <c r="AC1017" t="str">
        <f>Y1017*0.1</f>
        <v>#REF!</v>
      </c>
      <c r="AD1017" t="str">
        <f>X1017-AA1017-AB1017</f>
        <v>#REF!</v>
      </c>
      <c r="AE1017" t="str">
        <f>Y1017-AC1017</f>
        <v>#REF!</v>
      </c>
      <c r="AF1017" t="str">
        <f>AD1017*0.01</f>
        <v>#REF!</v>
      </c>
      <c r="AG1017" t="str">
        <f>AD1017-Q1017-AF1017-T1017</f>
        <v>#REF!</v>
      </c>
      <c r="AH1017" t="str">
        <f>AE1017-Q1017-AF1017-T1017</f>
        <v>#REF!</v>
      </c>
      <c r="AI1017" t="str">
        <f>AG1017/X1017</f>
        <v>#REF!</v>
      </c>
      <c r="AJ1017" t="str">
        <f>AH1017/Y1017</f>
        <v>#REF!</v>
      </c>
    </row>
    <row r="1018">
      <c r="G1018" t="str">
        <v>A</v>
      </c>
      <c r="K1018" t="str">
        <f>IF(L1018&gt;0,L1018*0.0625,)</f>
        <v>#REF!</v>
      </c>
      <c r="L1018" t="str">
        <f>IF(K1018&gt;0,K1018*16,)</f>
        <v>#REF!</v>
      </c>
      <c r="M1018" t="str">
        <f>IF(K1018&gt;0,K1018*0.453592,IF(L1018&gt;0,L1018*0.02835,))</f>
        <v>#REF!</v>
      </c>
      <c r="P1018">
        <f>J1018+O1018+N1018</f>
        <v>0</v>
      </c>
      <c r="Q1018">
        <f>P1018*C$3</f>
        <v>0</v>
      </c>
      <c r="S1018">
        <f>ROUND(SUM(Q1018:R1018), -2)</f>
        <v>0</v>
      </c>
      <c r="T1018" t="str">
        <f>ROUNDUP(HLOOKUP(ROUNDUP(K1018,0),'배송비 조회'!A$10:AE$22,7,0)*C$3,-2)</f>
        <v>#REF!</v>
      </c>
      <c r="U1018">
        <v>0</v>
      </c>
      <c r="V1018" t="str">
        <f>ROUND(IF(R1014&gt;0,0,(S1018+T1018)*0.3),-2)</f>
        <v>#REF!</v>
      </c>
      <c r="W1018" t="str">
        <f>ROUND(IF(R1014&gt;0,0,(S1018+T1018)*0.5),-2)</f>
        <v>#REF!</v>
      </c>
      <c r="X1018" t="str">
        <f>SUM(S1018:V1018)</f>
        <v>#REF!</v>
      </c>
      <c r="Y1018" t="str">
        <f>SUM(S1018:U1018)+W1018</f>
        <v>#REF!</v>
      </c>
      <c r="Z1018">
        <v>0</v>
      </c>
      <c r="AA1018" t="str">
        <f>X1018*0.038</f>
        <v>#REF!</v>
      </c>
      <c r="AB1018" t="str">
        <f>X1018*0.02</f>
        <v>#REF!</v>
      </c>
      <c r="AC1018" t="str">
        <f>Y1018*0.1</f>
        <v>#REF!</v>
      </c>
      <c r="AD1018" t="str">
        <f>X1018-AA1018-AB1018</f>
        <v>#REF!</v>
      </c>
      <c r="AE1018" t="str">
        <f>Y1018-AC1018</f>
        <v>#REF!</v>
      </c>
      <c r="AF1018" t="str">
        <f>AD1018*0.01</f>
        <v>#REF!</v>
      </c>
      <c r="AG1018" t="str">
        <f>AD1018-Q1018-AF1018-T1018</f>
        <v>#REF!</v>
      </c>
      <c r="AH1018" t="str">
        <f>AE1018-Q1018-AF1018-T1018</f>
        <v>#REF!</v>
      </c>
      <c r="AI1018" t="str">
        <f>AG1018/X1018</f>
        <v>#REF!</v>
      </c>
      <c r="AJ1018" t="str">
        <f>AH1018/Y1018</f>
        <v>#REF!</v>
      </c>
    </row>
  </sheetData>
  <autoFilter ref="A2:AW1018"/>
  <mergeCells count="583">
    <mergeCell ref="H459:H460"/>
    <mergeCell ref="E480:E481"/>
    <mergeCell ref="E485:E487"/>
    <mergeCell ref="E488:E489"/>
    <mergeCell ref="E491:E493"/>
    <mergeCell ref="E494:E495"/>
    <mergeCell ref="E501:E503"/>
    <mergeCell ref="E507:E509"/>
    <mergeCell ref="E510:E515"/>
    <mergeCell ref="E517:E523"/>
    <mergeCell ref="E524:E527"/>
    <mergeCell ref="E528:E530"/>
    <mergeCell ref="E532:E534"/>
    <mergeCell ref="E535:E543"/>
    <mergeCell ref="E554:E555"/>
    <mergeCell ref="E254:E256"/>
    <mergeCell ref="E257:E260"/>
    <mergeCell ref="E261:E262"/>
    <mergeCell ref="E264:E265"/>
    <mergeCell ref="E269:E270"/>
    <mergeCell ref="E280:E285"/>
    <mergeCell ref="E287:E288"/>
    <mergeCell ref="E290:E291"/>
    <mergeCell ref="E292:E293"/>
    <mergeCell ref="E330:E339"/>
    <mergeCell ref="E340:E348"/>
    <mergeCell ref="E349:E358"/>
    <mergeCell ref="E359:E361"/>
    <mergeCell ref="E368:E369"/>
    <mergeCell ref="E370:E371"/>
    <mergeCell ref="E373:E378"/>
    <mergeCell ref="E383:E385"/>
    <mergeCell ref="E386:E393"/>
    <mergeCell ref="E394:E395"/>
    <mergeCell ref="E396:E398"/>
    <mergeCell ref="E399:E400"/>
    <mergeCell ref="E401:E402"/>
    <mergeCell ref="E404:E405"/>
    <mergeCell ref="E406:E410"/>
    <mergeCell ref="E412:E413"/>
    <mergeCell ref="E414:E416"/>
    <mergeCell ref="E419:E420"/>
    <mergeCell ref="E421:E423"/>
    <mergeCell ref="E425:E426"/>
    <mergeCell ref="E427:E428"/>
    <mergeCell ref="E429:E432"/>
    <mergeCell ref="E434:E436"/>
    <mergeCell ref="E438:E440"/>
    <mergeCell ref="E441:E443"/>
    <mergeCell ref="E444:E446"/>
    <mergeCell ref="E452:E453"/>
    <mergeCell ref="E457:E458"/>
    <mergeCell ref="E459:E460"/>
    <mergeCell ref="E462:E463"/>
    <mergeCell ref="E464:E465"/>
    <mergeCell ref="E468:E469"/>
    <mergeCell ref="E471:E474"/>
    <mergeCell ref="E559:E561"/>
    <mergeCell ref="E563:E566"/>
    <mergeCell ref="A156:A159"/>
    <mergeCell ref="B156:B159"/>
    <mergeCell ref="C156:C159"/>
    <mergeCell ref="D156:D159"/>
    <mergeCell ref="E156:E159"/>
    <mergeCell ref="A162:A164"/>
    <mergeCell ref="B162:B164"/>
    <mergeCell ref="E162:E164"/>
    <mergeCell ref="C162:C164"/>
    <mergeCell ref="D162:D164"/>
    <mergeCell ref="A169:A174"/>
    <mergeCell ref="C169:C174"/>
    <mergeCell ref="E169:E174"/>
    <mergeCell ref="C180:C182"/>
    <mergeCell ref="E180:E182"/>
    <mergeCell ref="C229:C230"/>
    <mergeCell ref="E229:E230"/>
    <mergeCell ref="A217:A218"/>
    <mergeCell ref="C217:C218"/>
    <mergeCell ref="E217:E218"/>
    <mergeCell ref="A219:A223"/>
    <mergeCell ref="C219:C223"/>
    <mergeCell ref="E219:E223"/>
    <mergeCell ref="A229:A230"/>
    <mergeCell ref="A232:A233"/>
    <mergeCell ref="C232:C233"/>
    <mergeCell ref="A234:A235"/>
    <mergeCell ref="C234:C235"/>
    <mergeCell ref="E234:E235"/>
    <mergeCell ref="C239:C240"/>
    <mergeCell ref="E239:E240"/>
    <mergeCell ref="A239:A240"/>
    <mergeCell ref="A241:A244"/>
    <mergeCell ref="C241:C244"/>
    <mergeCell ref="E241:E244"/>
    <mergeCell ref="A248:A251"/>
    <mergeCell ref="E248:E251"/>
    <mergeCell ref="E252:E253"/>
    <mergeCell ref="A275:A276"/>
    <mergeCell ref="B275:B276"/>
    <mergeCell ref="C275:C276"/>
    <mergeCell ref="D275:D276"/>
    <mergeCell ref="E275:E276"/>
    <mergeCell ref="C248:C251"/>
    <mergeCell ref="C252:C253"/>
    <mergeCell ref="C254:C256"/>
    <mergeCell ref="C257:C260"/>
    <mergeCell ref="C261:C262"/>
    <mergeCell ref="C264:C265"/>
    <mergeCell ref="C269:C270"/>
    <mergeCell ref="A252:A253"/>
    <mergeCell ref="A254:A256"/>
    <mergeCell ref="A257:A260"/>
    <mergeCell ref="A261:A262"/>
    <mergeCell ref="A264:A265"/>
    <mergeCell ref="A269:A270"/>
    <mergeCell ref="A271:A272"/>
    <mergeCell ref="E298:E301"/>
    <mergeCell ref="E303:E310"/>
    <mergeCell ref="E312:E313"/>
    <mergeCell ref="E316:E317"/>
    <mergeCell ref="E318:E321"/>
    <mergeCell ref="E326:E328"/>
    <mergeCell ref="A468:A469"/>
    <mergeCell ref="A471:A474"/>
    <mergeCell ref="A475:A476"/>
    <mergeCell ref="A318:A321"/>
    <mergeCell ref="A326:A328"/>
    <mergeCell ref="A330:A339"/>
    <mergeCell ref="A340:A348"/>
    <mergeCell ref="A349:A358"/>
    <mergeCell ref="A359:A361"/>
    <mergeCell ref="A368:A369"/>
    <mergeCell ref="A370:A372"/>
    <mergeCell ref="A373:A378"/>
    <mergeCell ref="A383:A385"/>
    <mergeCell ref="A386:A393"/>
    <mergeCell ref="A394:A395"/>
    <mergeCell ref="A396:A398"/>
    <mergeCell ref="A399:A400"/>
    <mergeCell ref="A401:A402"/>
    <mergeCell ref="A480:A481"/>
    <mergeCell ref="A485:A487"/>
    <mergeCell ref="A488:A489"/>
    <mergeCell ref="A491:A493"/>
    <mergeCell ref="A494:A495"/>
    <mergeCell ref="A501:A503"/>
    <mergeCell ref="A507:A509"/>
    <mergeCell ref="A510:A515"/>
    <mergeCell ref="A517:A523"/>
    <mergeCell ref="A524:A527"/>
    <mergeCell ref="A528:A530"/>
    <mergeCell ref="A532:A534"/>
    <mergeCell ref="A535:A543"/>
    <mergeCell ref="A554:A555"/>
    <mergeCell ref="A559:A561"/>
    <mergeCell ref="A563:A566"/>
    <mergeCell ref="A567:A568"/>
    <mergeCell ref="A569:A572"/>
    <mergeCell ref="A575:A577"/>
    <mergeCell ref="A580:A587"/>
    <mergeCell ref="A589:A593"/>
    <mergeCell ref="A594:A597"/>
    <mergeCell ref="A608:A609"/>
    <mergeCell ref="B608:B609"/>
    <mergeCell ref="B610:B612"/>
    <mergeCell ref="A629:A630"/>
    <mergeCell ref="B629:B630"/>
    <mergeCell ref="A632:A636"/>
    <mergeCell ref="B632:B636"/>
    <mergeCell ref="A644:A645"/>
    <mergeCell ref="A651:B651"/>
    <mergeCell ref="A656:A658"/>
    <mergeCell ref="A610:A612"/>
    <mergeCell ref="A613:A619"/>
    <mergeCell ref="B613:B619"/>
    <mergeCell ref="A623:A624"/>
    <mergeCell ref="B623:B624"/>
    <mergeCell ref="A627:A628"/>
    <mergeCell ref="B627:B628"/>
    <mergeCell ref="A278:A279"/>
    <mergeCell ref="A280:A285"/>
    <mergeCell ref="A287:A288"/>
    <mergeCell ref="A290:A291"/>
    <mergeCell ref="A292:A293"/>
    <mergeCell ref="A298:A301"/>
    <mergeCell ref="A303:A310"/>
    <mergeCell ref="A312:A313"/>
    <mergeCell ref="A316:A317"/>
    <mergeCell ref="A404:A405"/>
    <mergeCell ref="A406:A410"/>
    <mergeCell ref="A412:A413"/>
    <mergeCell ref="A414:A416"/>
    <mergeCell ref="A419:A420"/>
    <mergeCell ref="A421:A423"/>
    <mergeCell ref="A425:A426"/>
    <mergeCell ref="A427:A428"/>
    <mergeCell ref="A429:A432"/>
    <mergeCell ref="A434:A436"/>
    <mergeCell ref="A438:A440"/>
    <mergeCell ref="A441:A443"/>
    <mergeCell ref="A444:A446"/>
    <mergeCell ref="A452:A453"/>
    <mergeCell ref="A457:A458"/>
    <mergeCell ref="A459:A460"/>
    <mergeCell ref="A462:A463"/>
    <mergeCell ref="A464:A465"/>
    <mergeCell ref="C485:C487"/>
    <mergeCell ref="C488:C489"/>
    <mergeCell ref="C491:C493"/>
    <mergeCell ref="C494:C495"/>
    <mergeCell ref="C501:C503"/>
    <mergeCell ref="C507:C509"/>
    <mergeCell ref="C510:C515"/>
    <mergeCell ref="C517:C523"/>
    <mergeCell ref="C524:C527"/>
    <mergeCell ref="C528:C530"/>
    <mergeCell ref="C532:C534"/>
    <mergeCell ref="C535:C543"/>
    <mergeCell ref="C554:C555"/>
    <mergeCell ref="C559:C561"/>
    <mergeCell ref="C563:C566"/>
    <mergeCell ref="C567:C568"/>
    <mergeCell ref="E567:E568"/>
    <mergeCell ref="E569:E572"/>
    <mergeCell ref="E575:E577"/>
    <mergeCell ref="E580:E587"/>
    <mergeCell ref="E589:E593"/>
    <mergeCell ref="C613:C619"/>
    <mergeCell ref="C623:C624"/>
    <mergeCell ref="C627:C628"/>
    <mergeCell ref="C629:C630"/>
    <mergeCell ref="C632:C636"/>
    <mergeCell ref="C644:C645"/>
    <mergeCell ref="D632:D636"/>
    <mergeCell ref="C656:C658"/>
    <mergeCell ref="C569:C572"/>
    <mergeCell ref="C575:C577"/>
    <mergeCell ref="C580:C587"/>
    <mergeCell ref="C589:C593"/>
    <mergeCell ref="C594:C597"/>
    <mergeCell ref="C608:C609"/>
    <mergeCell ref="C610:C612"/>
    <mergeCell ref="E594:E597"/>
    <mergeCell ref="D608:D609"/>
    <mergeCell ref="E608:E609"/>
    <mergeCell ref="D610:D612"/>
    <mergeCell ref="E610:E612"/>
    <mergeCell ref="D613:D619"/>
    <mergeCell ref="E613:E619"/>
    <mergeCell ref="E632:E636"/>
    <mergeCell ref="E644:E645"/>
    <mergeCell ref="E656:E658"/>
    <mergeCell ref="D623:D624"/>
    <mergeCell ref="E623:E624"/>
    <mergeCell ref="D627:D628"/>
    <mergeCell ref="E627:E628"/>
    <mergeCell ref="D629:D630"/>
    <mergeCell ref="E629:E630"/>
    <mergeCell ref="C278:C279"/>
    <mergeCell ref="C280:C285"/>
    <mergeCell ref="C287:C288"/>
    <mergeCell ref="C290:C291"/>
    <mergeCell ref="C292:C293"/>
    <mergeCell ref="C298:C301"/>
    <mergeCell ref="C303:C310"/>
    <mergeCell ref="C312:C313"/>
    <mergeCell ref="C316:C317"/>
    <mergeCell ref="C318:C321"/>
    <mergeCell ref="C326:C328"/>
    <mergeCell ref="C330:C339"/>
    <mergeCell ref="C340:C348"/>
    <mergeCell ref="C349:C358"/>
    <mergeCell ref="C359:C361"/>
    <mergeCell ref="C368:C369"/>
    <mergeCell ref="C370:C371"/>
    <mergeCell ref="C373:C378"/>
    <mergeCell ref="C383:C385"/>
    <mergeCell ref="C386:C393"/>
    <mergeCell ref="C394:C395"/>
    <mergeCell ref="C396:C398"/>
    <mergeCell ref="C399:C400"/>
    <mergeCell ref="C401:C402"/>
    <mergeCell ref="C404:C405"/>
    <mergeCell ref="C406:C410"/>
    <mergeCell ref="C412:C413"/>
    <mergeCell ref="C414:C416"/>
    <mergeCell ref="C419:C420"/>
    <mergeCell ref="C421:C423"/>
    <mergeCell ref="C425:C426"/>
    <mergeCell ref="C427:C428"/>
    <mergeCell ref="B429:B432"/>
    <mergeCell ref="C429:C432"/>
    <mergeCell ref="D429:D432"/>
    <mergeCell ref="C434:C436"/>
    <mergeCell ref="C438:C440"/>
    <mergeCell ref="C441:C443"/>
    <mergeCell ref="C444:C446"/>
    <mergeCell ref="B452:B453"/>
    <mergeCell ref="C452:C453"/>
    <mergeCell ref="D452:D453"/>
    <mergeCell ref="C457:C458"/>
    <mergeCell ref="C459:C460"/>
    <mergeCell ref="C462:C463"/>
    <mergeCell ref="C464:C465"/>
    <mergeCell ref="C468:C469"/>
    <mergeCell ref="C471:C474"/>
    <mergeCell ref="C480:C481"/>
    <mergeCell ref="C105:C106"/>
    <mergeCell ref="C108:C109"/>
    <mergeCell ref="A114:A115"/>
    <mergeCell ref="C114:C115"/>
    <mergeCell ref="E114:E115"/>
    <mergeCell ref="C116:C117"/>
    <mergeCell ref="E116:E117"/>
    <mergeCell ref="A120:A122"/>
    <mergeCell ref="A127:A128"/>
    <mergeCell ref="B127:B128"/>
    <mergeCell ref="C127:C128"/>
    <mergeCell ref="D127:D128"/>
    <mergeCell ref="E127:E128"/>
    <mergeCell ref="A116:A117"/>
    <mergeCell ref="C120:C122"/>
    <mergeCell ref="E120:E122"/>
    <mergeCell ref="A135:A136"/>
    <mergeCell ref="C135:C136"/>
    <mergeCell ref="E135:E136"/>
    <mergeCell ref="E124:E125"/>
    <mergeCell ref="C92:C93"/>
    <mergeCell ref="C94:C95"/>
    <mergeCell ref="A84:A87"/>
    <mergeCell ref="A90:A91"/>
    <mergeCell ref="B90:B91"/>
    <mergeCell ref="C90:C91"/>
    <mergeCell ref="D90:D91"/>
    <mergeCell ref="A92:A93"/>
    <mergeCell ref="A94:A95"/>
    <mergeCell ref="E100:E104"/>
    <mergeCell ref="E105:E106"/>
    <mergeCell ref="G105:G106"/>
    <mergeCell ref="A97:A99"/>
    <mergeCell ref="C97:C99"/>
    <mergeCell ref="E97:E99"/>
    <mergeCell ref="A100:A104"/>
    <mergeCell ref="C100:C104"/>
    <mergeCell ref="A105:A106"/>
    <mergeCell ref="A108:A109"/>
    <mergeCell ref="E108:E109"/>
    <mergeCell ref="A197:A198"/>
    <mergeCell ref="A200:A203"/>
    <mergeCell ref="C200:C203"/>
    <mergeCell ref="E200:E203"/>
    <mergeCell ref="A204:A205"/>
    <mergeCell ref="C204:C205"/>
    <mergeCell ref="E204:E205"/>
    <mergeCell ref="A124:A125"/>
    <mergeCell ref="B124:B125"/>
    <mergeCell ref="C124:C125"/>
    <mergeCell ref="D124:D125"/>
    <mergeCell ref="A193:A195"/>
    <mergeCell ref="E193:E195"/>
    <mergeCell ref="E197:E198"/>
    <mergeCell ref="AW567:AW568"/>
    <mergeCell ref="AW569:AW572"/>
    <mergeCell ref="AW575:AW577"/>
    <mergeCell ref="AW580:AW587"/>
    <mergeCell ref="AW589:AW593"/>
    <mergeCell ref="AW594:AW597"/>
    <mergeCell ref="AW524:AW527"/>
    <mergeCell ref="AW528:AW530"/>
    <mergeCell ref="AW532:AW534"/>
    <mergeCell ref="AW535:AW543"/>
    <mergeCell ref="AW554:AW555"/>
    <mergeCell ref="AW559:AW561"/>
    <mergeCell ref="AW563:AW566"/>
    <mergeCell ref="AW298:AW301"/>
    <mergeCell ref="AW303:AW310"/>
    <mergeCell ref="AW312:AW313"/>
    <mergeCell ref="AW316:AW317"/>
    <mergeCell ref="AW318:AW321"/>
    <mergeCell ref="AW326:AW328"/>
    <mergeCell ref="AW330:AW339"/>
    <mergeCell ref="AW340:AW348"/>
    <mergeCell ref="AW349:AW358"/>
    <mergeCell ref="AW359:AW361"/>
    <mergeCell ref="AW368:AW369"/>
    <mergeCell ref="AW370:AW372"/>
    <mergeCell ref="AW373:AW378"/>
    <mergeCell ref="AW383:AW385"/>
    <mergeCell ref="AW386:AW393"/>
    <mergeCell ref="AW394:AW395"/>
    <mergeCell ref="AW396:AW398"/>
    <mergeCell ref="AW399:AW400"/>
    <mergeCell ref="AW401:AW402"/>
    <mergeCell ref="AW404:AW405"/>
    <mergeCell ref="AW406:AW410"/>
    <mergeCell ref="AW412:AW413"/>
    <mergeCell ref="AW414:AW416"/>
    <mergeCell ref="AW419:AW420"/>
    <mergeCell ref="AW421:AW423"/>
    <mergeCell ref="AW425:AW426"/>
    <mergeCell ref="AW427:AW428"/>
    <mergeCell ref="AW429:AW432"/>
    <mergeCell ref="AW434:AW436"/>
    <mergeCell ref="AW438:AW440"/>
    <mergeCell ref="AW441:AW443"/>
    <mergeCell ref="AW444:AW446"/>
    <mergeCell ref="AW452:AW453"/>
    <mergeCell ref="AW457:AW458"/>
    <mergeCell ref="AW459:AW460"/>
    <mergeCell ref="AW462:AW463"/>
    <mergeCell ref="AW464:AW465"/>
    <mergeCell ref="AW468:AW469"/>
    <mergeCell ref="AW471:AW474"/>
    <mergeCell ref="AW475:AW476"/>
    <mergeCell ref="AW480:AW481"/>
    <mergeCell ref="AW485:AW487"/>
    <mergeCell ref="AW488:AW489"/>
    <mergeCell ref="AW491:AW493"/>
    <mergeCell ref="AW494:AW495"/>
    <mergeCell ref="AW501:AW503"/>
    <mergeCell ref="AW507:AW509"/>
    <mergeCell ref="AW510:AW515"/>
    <mergeCell ref="AW517:AW523"/>
    <mergeCell ref="C82:C83"/>
    <mergeCell ref="C84:C87"/>
    <mergeCell ref="A68:A69"/>
    <mergeCell ref="C68:C69"/>
    <mergeCell ref="E68:E69"/>
    <mergeCell ref="A80:A81"/>
    <mergeCell ref="C80:C81"/>
    <mergeCell ref="A82:A83"/>
    <mergeCell ref="E84:E87"/>
    <mergeCell ref="E80:E81"/>
    <mergeCell ref="E82:E83"/>
    <mergeCell ref="E90:E91"/>
    <mergeCell ref="E92:E93"/>
    <mergeCell ref="E94:E95"/>
    <mergeCell ref="C193:C195"/>
    <mergeCell ref="C197:C198"/>
    <mergeCell ref="A180:A182"/>
    <mergeCell ref="A183:A192"/>
    <mergeCell ref="C183:C192"/>
    <mergeCell ref="E183:E192"/>
    <mergeCell ref="A18:A19"/>
    <mergeCell ref="B18:B19"/>
    <mergeCell ref="C18:C19"/>
    <mergeCell ref="D18:D19"/>
    <mergeCell ref="E18:E19"/>
    <mergeCell ref="C29:C33"/>
    <mergeCell ref="E29:E33"/>
    <mergeCell ref="E46:E48"/>
    <mergeCell ref="E49:E50"/>
    <mergeCell ref="E61:E62"/>
    <mergeCell ref="C51:C53"/>
    <mergeCell ref="E51:E53"/>
    <mergeCell ref="A29:A33"/>
    <mergeCell ref="A42:A43"/>
    <mergeCell ref="C42:C43"/>
    <mergeCell ref="E42:E43"/>
    <mergeCell ref="A44:A45"/>
    <mergeCell ref="E44:E45"/>
    <mergeCell ref="C49:C50"/>
    <mergeCell ref="A46:A48"/>
    <mergeCell ref="A49:A50"/>
    <mergeCell ref="A51:A53"/>
    <mergeCell ref="A61:A62"/>
    <mergeCell ref="B61:B62"/>
    <mergeCell ref="C61:C62"/>
    <mergeCell ref="D61:D62"/>
    <mergeCell ref="U1:U2"/>
    <mergeCell ref="V1:W1"/>
    <mergeCell ref="X1:Y1"/>
    <mergeCell ref="Z1:AC1"/>
    <mergeCell ref="AD1:AE1"/>
    <mergeCell ref="AG1:AH1"/>
    <mergeCell ref="AI1:AJ1"/>
    <mergeCell ref="N1:N2"/>
    <mergeCell ref="O1:O2"/>
    <mergeCell ref="P1:P2"/>
    <mergeCell ref="Q1:Q2"/>
    <mergeCell ref="R1:R2"/>
    <mergeCell ref="S1:S2"/>
    <mergeCell ref="T1:T2"/>
    <mergeCell ref="A1:B1"/>
    <mergeCell ref="C1:D1"/>
    <mergeCell ref="E1:E2"/>
    <mergeCell ref="F1:F2"/>
    <mergeCell ref="G1:H2"/>
    <mergeCell ref="J1:J2"/>
    <mergeCell ref="K1:M1"/>
    <mergeCell ref="A9:A10"/>
    <mergeCell ref="R9:R10"/>
    <mergeCell ref="I1:I2"/>
    <mergeCell ref="AI9:AI10"/>
    <mergeCell ref="AJ9:AJ10"/>
    <mergeCell ref="AW29:AW33"/>
    <mergeCell ref="C44:C45"/>
    <mergeCell ref="C46:C48"/>
    <mergeCell ref="AW42:AW43"/>
    <mergeCell ref="AW44:AW45"/>
    <mergeCell ref="AW46:AW48"/>
    <mergeCell ref="AW49:AW50"/>
    <mergeCell ref="S9:S10"/>
    <mergeCell ref="T9:T10"/>
    <mergeCell ref="U9:U10"/>
    <mergeCell ref="V9:V10"/>
    <mergeCell ref="W9:W10"/>
    <mergeCell ref="X9:X10"/>
    <mergeCell ref="Y9:Y10"/>
    <mergeCell ref="AG9:AG10"/>
    <mergeCell ref="AH9:AH10"/>
    <mergeCell ref="AW51:AW53"/>
    <mergeCell ref="AW61:AW62"/>
    <mergeCell ref="AW68:AW69"/>
    <mergeCell ref="C153:C154"/>
    <mergeCell ref="E153:E154"/>
    <mergeCell ref="A142:A144"/>
    <mergeCell ref="C142:C144"/>
    <mergeCell ref="E142:E144"/>
    <mergeCell ref="A149:A150"/>
    <mergeCell ref="C149:C150"/>
    <mergeCell ref="E149:E150"/>
    <mergeCell ref="A153:A154"/>
    <mergeCell ref="AW75:AW79"/>
    <mergeCell ref="AW80:AW81"/>
    <mergeCell ref="AW82:AW83"/>
    <mergeCell ref="AW84:AW87"/>
    <mergeCell ref="AW92:AW93"/>
    <mergeCell ref="AW94:AW95"/>
    <mergeCell ref="AW97:AW99"/>
    <mergeCell ref="AW100:AW104"/>
    <mergeCell ref="AW105:AW106"/>
    <mergeCell ref="AW108:AW109"/>
    <mergeCell ref="AW114:AW115"/>
    <mergeCell ref="AW116:AW117"/>
    <mergeCell ref="A211:A214"/>
    <mergeCell ref="A215:A216"/>
    <mergeCell ref="E211:E214"/>
    <mergeCell ref="E215:E216"/>
    <mergeCell ref="A207:A208"/>
    <mergeCell ref="B207:B208"/>
    <mergeCell ref="C207:C208"/>
    <mergeCell ref="D207:D208"/>
    <mergeCell ref="E207:E208"/>
    <mergeCell ref="C211:C214"/>
    <mergeCell ref="C215:C216"/>
    <mergeCell ref="AW120:AW122"/>
    <mergeCell ref="AW135:AW136"/>
    <mergeCell ref="AW142:AW144"/>
    <mergeCell ref="AW149:AW150"/>
    <mergeCell ref="AW153:AW154"/>
    <mergeCell ref="AW156:AW159"/>
    <mergeCell ref="AW162:AW164"/>
    <mergeCell ref="AW169:AW174"/>
    <mergeCell ref="AW180:AW182"/>
    <mergeCell ref="AW183:AW192"/>
    <mergeCell ref="AW193:AW195"/>
    <mergeCell ref="AW197:AW198"/>
    <mergeCell ref="AW200:AW203"/>
    <mergeCell ref="AW204:AW205"/>
    <mergeCell ref="AW211:AW214"/>
    <mergeCell ref="AW215:AW216"/>
    <mergeCell ref="AW217:AW218"/>
    <mergeCell ref="AW219:AW223"/>
    <mergeCell ref="AW229:AW230"/>
    <mergeCell ref="AW232:AW233"/>
    <mergeCell ref="AW234:AW235"/>
    <mergeCell ref="AW239:AW240"/>
    <mergeCell ref="AW241:AW244"/>
    <mergeCell ref="AW248:AW251"/>
    <mergeCell ref="AW252:AW253"/>
    <mergeCell ref="AW254:AW256"/>
    <mergeCell ref="AW257:AW260"/>
    <mergeCell ref="AW292:AW293"/>
    <mergeCell ref="AW261:AW262"/>
    <mergeCell ref="AW264:AW265"/>
    <mergeCell ref="AW269:AW270"/>
    <mergeCell ref="AW271:AW273"/>
    <mergeCell ref="AW275:AW276"/>
    <mergeCell ref="AW278:AW279"/>
    <mergeCell ref="AW280:AW285"/>
    <mergeCell ref="AW287:AW288"/>
    <mergeCell ref="AW290:AW291"/>
  </mergeCells>
  <hyperlinks>
    <hyperlink ref="G54" r:id="rId1"/>
    <hyperlink ref="G56" r:id="rId2"/>
    <hyperlink ref="G75" r:id="rId3"/>
    <hyperlink ref="G94" r:id="rId4"/>
    <hyperlink ref="G95" r:id="rId5"/>
    <hyperlink ref="E108" r:id="rId6"/>
    <hyperlink ref="G114" r:id="rId7"/>
    <hyperlink ref="G115" r:id="rId8"/>
    <hyperlink ref="G127" r:id="rId9"/>
    <hyperlink ref="G128" r:id="rId10"/>
    <hyperlink ref="G168" r:id="rId11"/>
    <hyperlink ref="G199" r:id="rId12"/>
    <hyperlink ref="G207" r:id="rId13"/>
    <hyperlink ref="G210" r:id="rId14"/>
    <hyperlink ref="G211" r:id="rId15"/>
    <hyperlink ref="G212" r:id="rId16"/>
    <hyperlink ref="G213" r:id="rId17"/>
    <hyperlink ref="G214" r:id="rId18"/>
    <hyperlink ref="G215" r:id="rId19"/>
    <hyperlink ref="G216" r:id="rId20"/>
    <hyperlink ref="G241" r:id="rId21"/>
    <hyperlink ref="G242" r:id="rId22"/>
    <hyperlink ref="G243" r:id="rId23"/>
    <hyperlink ref="G244" r:id="rId24"/>
    <hyperlink ref="G245" r:id="rId25"/>
    <hyperlink ref="G246" r:id="rId26"/>
    <hyperlink ref="G269" r:id="rId27"/>
    <hyperlink ref="G272" r:id="rId28"/>
    <hyperlink ref="G286" r:id="rId29" location="customerReviews"/>
    <hyperlink ref="G315" r:id="rId30"/>
    <hyperlink ref="G318" r:id="rId31"/>
    <hyperlink ref="G319" r:id="rId32"/>
    <hyperlink ref="G320" r:id="rId33"/>
    <hyperlink ref="G321" r:id="rId34"/>
    <hyperlink ref="G373" r:id="rId35"/>
    <hyperlink ref="G374" r:id="rId36"/>
    <hyperlink ref="G375" r:id="rId37"/>
    <hyperlink ref="G376" r:id="rId38"/>
    <hyperlink ref="G377" r:id="rId39"/>
    <hyperlink ref="G378" r:id="rId40"/>
    <hyperlink ref="G382" r:id="rId41"/>
    <hyperlink ref="G383" r:id="rId42"/>
    <hyperlink ref="G384" r:id="rId43"/>
    <hyperlink ref="G385" r:id="rId44"/>
    <hyperlink ref="G386" r:id="rId45"/>
    <hyperlink ref="G387" r:id="rId46"/>
    <hyperlink ref="G388" r:id="rId47"/>
    <hyperlink ref="G389" r:id="rId48"/>
    <hyperlink ref="G390" r:id="rId49"/>
    <hyperlink ref="G391" r:id="rId50"/>
    <hyperlink ref="G392" r:id="rId51"/>
    <hyperlink ref="G393" r:id="rId52"/>
    <hyperlink ref="G421" r:id="rId53"/>
    <hyperlink ref="G422" r:id="rId54"/>
    <hyperlink ref="G423" r:id="rId55"/>
    <hyperlink ref="G429" r:id="rId56"/>
    <hyperlink ref="G430" r:id="rId57"/>
    <hyperlink ref="G431" r:id="rId58"/>
    <hyperlink ref="G432" r:id="rId59"/>
    <hyperlink ref="G433" r:id="rId60"/>
    <hyperlink ref="G453" r:id="rId61"/>
    <hyperlink ref="G455" r:id="rId62"/>
    <hyperlink ref="G457" r:id="rId63"/>
    <hyperlink ref="G458" r:id="rId64"/>
    <hyperlink ref="G466" r:id="rId65"/>
    <hyperlink ref="G471" r:id="rId66"/>
    <hyperlink ref="G472" r:id="rId67"/>
    <hyperlink ref="G473" r:id="rId68"/>
    <hyperlink ref="G474" r:id="rId69"/>
    <hyperlink ref="G490" r:id="rId70"/>
    <hyperlink ref="G497" r:id="rId71"/>
    <hyperlink ref="G498" r:id="rId72"/>
    <hyperlink ref="G510" r:id="rId73" location="customerReviews"/>
    <hyperlink ref="G511" r:id="rId74"/>
    <hyperlink ref="G512" r:id="rId75"/>
    <hyperlink ref="G513" r:id="rId76"/>
    <hyperlink ref="G514" r:id="rId77"/>
    <hyperlink ref="G515" r:id="rId78"/>
    <hyperlink ref="G544" r:id="rId79"/>
    <hyperlink ref="G552" r:id="rId80"/>
    <hyperlink ref="G562" r:id="rId81"/>
    <hyperlink ref="G563" r:id="rId82"/>
    <hyperlink ref="G564" r:id="rId83"/>
    <hyperlink ref="G565" r:id="rId84"/>
    <hyperlink ref="G566" r:id="rId85"/>
    <hyperlink ref="G578" r:id="rId86"/>
    <hyperlink ref="G579" r:id="rId87"/>
    <hyperlink ref="G610" r:id="rId88"/>
    <hyperlink ref="G611" r:id="rId89"/>
    <hyperlink ref="G612" r:id="rId90"/>
    <hyperlink ref="G646" r:id="rId91"/>
    <hyperlink ref="G653" r:id="rId92"/>
    <hyperlink ref="G654" r:id="rId93"/>
    <hyperlink ref="G656" r:id="rId94"/>
    <hyperlink ref="G657" r:id="rId95"/>
    <hyperlink ref="G658" r:id="rId96"/>
  </hyperlinks>
  <pageMargins left="0.7" right="0.7" top="0.75" bottom="0.75" header="0.3" footer="0.3"/>
  <ignoredErrors>
    <ignoredError numberStoredAsText="1" sqref="A1:AW1018"/>
  </ignoredErrors>
  <legacyDrawing r:id="rId97"/>
</worksheet>
</file>

<file path=xl/worksheets/sheet2.xml><?xml version="1.0" encoding="utf-8"?>
<worksheet xmlns="http://schemas.openxmlformats.org/spreadsheetml/2006/main" xmlns:r="http://schemas.openxmlformats.org/officeDocument/2006/relationships">
  <dimension ref="A1:AU1009"/>
  <sheetViews>
    <sheetView workbookViewId="0" rightToLeft="0"/>
  </sheetViews>
  <sheetData>
    <row r="1" xml:space="preserve">
      <c r="A1" t="str">
        <v>등록번호</v>
      </c>
      <c r="C1" t="str">
        <v>상품명 국문</v>
      </c>
      <c r="E1" t="str">
        <v>상품명 중문</v>
      </c>
      <c r="F1" t="str">
        <v>옵션 구성</v>
      </c>
      <c r="G1" t="str">
        <v>판매처 URL</v>
      </c>
      <c r="I1" t="str">
        <v>매입단가</v>
      </c>
      <c r="M1" t="str">
        <v>세금</v>
      </c>
      <c r="N1" t="str">
        <v>배송비</v>
      </c>
      <c r="O1" t="str">
        <v>합계</v>
      </c>
      <c r="P1" t="str" xml:space="preserve">
        <v xml:space="preserve">매입단가_x000d_
(원화)</v>
      </c>
      <c r="Q1" t="str">
        <v>배송비</v>
      </c>
      <c r="R1" t="str">
        <v>관부가세</v>
      </c>
      <c r="S1" t="str">
        <v>마진</v>
      </c>
      <c r="U1" t="str">
        <v>배송비 포함 판매가</v>
      </c>
      <c r="W1" t="str">
        <v>세금&amp;수수료</v>
      </c>
      <c r="AA1" t="str">
        <v>정산금액</v>
      </c>
      <c r="AC1" t="str">
        <v>카드수수료 1%</v>
      </c>
      <c r="AD1" t="str">
        <v>실제예상마진</v>
      </c>
      <c r="AF1" t="str">
        <v>실제마진율</v>
      </c>
    </row>
    <row r="2">
      <c r="A2" t="str">
        <v>스마트스토어</v>
      </c>
      <c r="B2" t="str">
        <v>쿠팡</v>
      </c>
      <c r="C2" t="str">
        <v>스마트스토어</v>
      </c>
      <c r="D2" t="str">
        <v>쿠팡</v>
      </c>
      <c r="J2" t="str">
        <v>상품무게(lb)</v>
      </c>
      <c r="K2" t="str">
        <v>상품무게(oz)</v>
      </c>
      <c r="L2" t="str">
        <v>상품무게(kg)</v>
      </c>
      <c r="S2" t="str">
        <v>스스</v>
      </c>
      <c r="T2" t="str">
        <v>쿠팡</v>
      </c>
      <c r="U2" t="str">
        <v>스스</v>
      </c>
      <c r="V2" t="str">
        <v>쿠팡</v>
      </c>
      <c r="W2" t="str">
        <v>실제 관/부가세</v>
      </c>
      <c r="X2" t="str">
        <v>결제수수료 3.8%</v>
      </c>
      <c r="Y2" t="str">
        <v>스스수수료 2%</v>
      </c>
      <c r="Z2" t="str">
        <v>쿠팡수수료10%</v>
      </c>
      <c r="AA2" t="str">
        <v>스스</v>
      </c>
      <c r="AB2" t="str">
        <v>쿠팡</v>
      </c>
      <c r="AD2" t="str">
        <v>스스</v>
      </c>
      <c r="AE2" t="str">
        <v>쿠팡</v>
      </c>
      <c r="AF2" t="str">
        <v>스스</v>
      </c>
      <c r="AG2" t="str">
        <v>쿠팡</v>
      </c>
      <c r="AH2" t="str">
        <v>유료배송 측정 가격</v>
      </c>
      <c r="AI2" t="str">
        <v>유료배송비 뺀 상품비</v>
      </c>
    </row>
    <row r="3">
      <c r="A3" t="str">
        <v>환율(위안화)</v>
      </c>
      <c r="C3">
        <v>190</v>
      </c>
      <c r="L3">
        <f>ROUND(L5,1)</f>
        <v>2</v>
      </c>
    </row>
    <row r="4">
      <c r="A4" t="str">
        <v>환율(달러)</v>
      </c>
      <c r="C4">
        <v>1250</v>
      </c>
    </row>
    <row r="5">
      <c r="A5" t="str">
        <f>HYPERLINK("https://smartstore.naver.com/brickstore2019/products/4404573419","4404573419")</f>
        <v>4404573419</v>
      </c>
      <c r="C5" t="str">
        <v>네이처하이크 바퀴 달린 대용량 여행 캠핑 가방 캐리어형 가방(무료배송)</v>
      </c>
      <c r="E5" t="str">
        <v>NH折叠行李箱包带轮子大容量旅行包行李包收纳包户外装备收纳袋</v>
      </c>
      <c r="F5" t="str">
        <v>L 블랙</v>
      </c>
      <c r="G5" t="str">
        <f>HYPERLINK("https://detail.tmall.com/item.htm?id=581572257662&amp;skuId=4057208162574","T")</f>
        <v>T</v>
      </c>
      <c r="I5">
        <v>138</v>
      </c>
      <c r="J5">
        <f>IF(K5&gt;0,K5*0.0625,)</f>
        <v>0.25</v>
      </c>
      <c r="K5">
        <v>4</v>
      </c>
      <c r="L5">
        <v>2</v>
      </c>
      <c r="M5">
        <v>0</v>
      </c>
      <c r="N5">
        <v>0</v>
      </c>
      <c r="O5">
        <f>I5+N5+M5</f>
        <v>138</v>
      </c>
      <c r="P5">
        <f>O5*C$3</f>
        <v>26220</v>
      </c>
      <c r="Q5">
        <f>ROUNDUP(HLOOKUP(IF(CEILING(L5,0.5)&lt;1,1,CEILING(L5,0.5)),'배송비 조회'!A$32:AY$36,2,0),-2)</f>
        <v>9600</v>
      </c>
      <c r="R5">
        <v>0</v>
      </c>
      <c r="S5">
        <f>ROUND((P5+Q5)*0.6,-2)</f>
        <v>21500</v>
      </c>
      <c r="T5">
        <f>ROUND((P5+Q5)*0.7,-2)</f>
        <v>25100</v>
      </c>
      <c r="U5">
        <f>ROUND(SUM(P5+Q5+R5+S5), -2)</f>
        <v>57300</v>
      </c>
      <c r="V5">
        <f>ROUND(P5+Q5+R5+T5, -2)</f>
        <v>60900</v>
      </c>
      <c r="W5">
        <v>0</v>
      </c>
      <c r="X5">
        <f>U5*0.038</f>
        <v>2177.4</v>
      </c>
      <c r="Y5">
        <f>U5*0.02</f>
        <v>1146</v>
      </c>
      <c r="Z5">
        <f>V5*0.1</f>
        <v>6090</v>
      </c>
      <c r="AA5">
        <f>U5-X5-Y5</f>
        <v>53976.6</v>
      </c>
      <c r="AB5">
        <f>V5-Z5</f>
        <v>54810</v>
      </c>
      <c r="AC5">
        <f>AA5*0.01</f>
        <v>539.766</v>
      </c>
      <c r="AD5">
        <f>AA5-P5-AC5-Q5</f>
        <v>17616.834</v>
      </c>
      <c r="AE5">
        <f>AB5-P5-Q5-AC5</f>
        <v>18450.234</v>
      </c>
      <c r="AF5">
        <f>AD5/U5</f>
        <v>0.30744910994764396</v>
      </c>
      <c r="AG5">
        <f>AE5/V5</f>
        <v>0.30295950738916255</v>
      </c>
    </row>
    <row r="6">
      <c r="F6" t="str">
        <v>L 그레이</v>
      </c>
      <c r="G6" t="str">
        <f>HYPERLINK("https://detail.tmall.com/item.htm?id=581572257662&amp;skuId=4057208162574","T")</f>
        <v>T</v>
      </c>
      <c r="I6">
        <v>138</v>
      </c>
      <c r="J6">
        <f>IF(K6&gt;0,K6*0.0625,)</f>
        <v>0.25</v>
      </c>
      <c r="K6">
        <v>4</v>
      </c>
      <c r="L6">
        <v>2</v>
      </c>
      <c r="M6">
        <v>0</v>
      </c>
      <c r="N6">
        <v>0</v>
      </c>
      <c r="O6">
        <f>I6+N6+M6</f>
        <v>138</v>
      </c>
      <c r="P6">
        <f>O6*C$3</f>
        <v>26220</v>
      </c>
      <c r="Q6">
        <f>ROUNDUP(HLOOKUP(IF(CEILING(L6,0.5)&lt;1,1,CEILING(L6,0.5)),'배송비 조회'!A$32:AY$36,2,0),-2)</f>
        <v>9600</v>
      </c>
      <c r="R6">
        <v>0</v>
      </c>
      <c r="S6">
        <f>ROUND((P6+Q6)*0.6,-2)</f>
        <v>21500</v>
      </c>
      <c r="T6">
        <f>ROUND((P6+Q6)*0.7,-2)</f>
        <v>25100</v>
      </c>
      <c r="U6">
        <f>ROUND(SUM(P6+Q6+R6+S6), -2)</f>
        <v>57300</v>
      </c>
      <c r="V6">
        <f>ROUND(P6+Q6+R6+T6, -2)</f>
        <v>60900</v>
      </c>
      <c r="W6">
        <v>0</v>
      </c>
      <c r="X6">
        <f>U6*0.038</f>
        <v>2177.4</v>
      </c>
      <c r="Y6">
        <f>U6*0.02</f>
        <v>1146</v>
      </c>
      <c r="Z6">
        <f>V6*0.1</f>
        <v>6090</v>
      </c>
      <c r="AA6">
        <f>U6-X6-Y6</f>
        <v>53976.6</v>
      </c>
      <c r="AB6">
        <f>V6-Z6</f>
        <v>54810</v>
      </c>
      <c r="AC6">
        <f>AA6*0.01</f>
        <v>539.766</v>
      </c>
      <c r="AD6">
        <f>AA6-P6-AC6-Q6</f>
        <v>17616.834</v>
      </c>
      <c r="AE6">
        <f>AB6-P6-Q6-AC6</f>
        <v>18450.234</v>
      </c>
      <c r="AF6">
        <f>AD6/U6</f>
        <v>0.30744910994764396</v>
      </c>
      <c r="AG6">
        <f>AE6/V6</f>
        <v>0.30295950738916255</v>
      </c>
    </row>
    <row r="7">
      <c r="F7" t="str">
        <v>M 블랙</v>
      </c>
      <c r="G7" t="str">
        <f>HYPERLINK("https://detail.tmall.com/item.htm?id=581572257662&amp;skuId=4057208162574","T")</f>
        <v>T</v>
      </c>
      <c r="I7">
        <v>128</v>
      </c>
      <c r="J7">
        <f>IF(K7&gt;0,K7*0.0625,)</f>
        <v>0.25</v>
      </c>
      <c r="K7">
        <v>4</v>
      </c>
      <c r="L7">
        <v>2</v>
      </c>
      <c r="M7">
        <v>0</v>
      </c>
      <c r="N7">
        <v>0</v>
      </c>
      <c r="O7">
        <f>I7+N7+M7</f>
        <v>128</v>
      </c>
      <c r="P7">
        <f>O7*C$3</f>
        <v>24320</v>
      </c>
      <c r="Q7">
        <f>ROUNDUP(HLOOKUP(IF(CEILING(L7,0.5)&lt;1,1,CEILING(L7,0.5)),'배송비 조회'!A$32:AY$36,2,0),-2)</f>
        <v>9600</v>
      </c>
      <c r="R7">
        <v>0</v>
      </c>
      <c r="S7">
        <f>ROUND((P7+Q7)*0.6,-2)</f>
        <v>20400</v>
      </c>
      <c r="T7">
        <f>ROUND((P7+Q7)*0.7,-2)</f>
        <v>23700</v>
      </c>
      <c r="U7">
        <f>ROUND(SUM(P7+Q7+R7+S7), -2)</f>
        <v>54300</v>
      </c>
      <c r="V7">
        <f>ROUND(P7+Q7+R7+T7, -2)</f>
        <v>57600</v>
      </c>
      <c r="W7">
        <v>0</v>
      </c>
      <c r="X7">
        <f>U7*0.038</f>
        <v>2063.4</v>
      </c>
      <c r="Y7">
        <f>U7*0.02</f>
        <v>1086</v>
      </c>
      <c r="Z7">
        <f>V7*0.1</f>
        <v>5760</v>
      </c>
      <c r="AA7">
        <f>U7-X7-Y7</f>
        <v>51150.6</v>
      </c>
      <c r="AB7">
        <f>V7-Z7</f>
        <v>51840</v>
      </c>
      <c r="AC7">
        <f>AA7*0.01</f>
        <v>511.506</v>
      </c>
      <c r="AD7">
        <f>AA7-P7-AC7-Q7</f>
        <v>16719.093999999997</v>
      </c>
      <c r="AE7">
        <f>AB7-P7-Q7-AC7</f>
        <v>17408.494</v>
      </c>
      <c r="AF7">
        <f>AD7/U7</f>
        <v>0.3079022836095764</v>
      </c>
      <c r="AG7">
        <f>AE7/V7</f>
        <v>0.3022307986111111</v>
      </c>
    </row>
    <row r="8">
      <c r="F8" t="str">
        <v>M 그레이</v>
      </c>
      <c r="G8" t="str">
        <f>HYPERLINK("https://detail.tmall.com/item.htm?id=581572257662&amp;skuId=4057208162574","T")</f>
        <v>T</v>
      </c>
      <c r="I8">
        <v>128</v>
      </c>
      <c r="J8">
        <f>IF(K8&gt;0,K8*0.0625,)</f>
        <v>0.25</v>
      </c>
      <c r="K8">
        <v>4</v>
      </c>
      <c r="L8">
        <v>2</v>
      </c>
      <c r="M8">
        <v>0</v>
      </c>
      <c r="N8">
        <v>0</v>
      </c>
      <c r="O8">
        <f>I8+N8+M8</f>
        <v>128</v>
      </c>
      <c r="P8">
        <f>O8*C$3</f>
        <v>24320</v>
      </c>
      <c r="Q8">
        <f>ROUNDUP(HLOOKUP(IF(CEILING(L8,0.5)&lt;1,1,CEILING(L8,0.5)),'배송비 조회'!A$32:AY$36,2,0),-2)</f>
        <v>9600</v>
      </c>
      <c r="R8">
        <v>0</v>
      </c>
      <c r="S8">
        <f>ROUND((P8+Q8)*0.6,-2)</f>
        <v>20400</v>
      </c>
      <c r="T8">
        <f>ROUND((P8+Q8)*0.7,-2)</f>
        <v>23700</v>
      </c>
      <c r="U8">
        <f>ROUND(SUM(P8+Q8+R8+S8), -2)</f>
        <v>54300</v>
      </c>
      <c r="V8">
        <f>ROUND(P8+Q8+R8+T8, -2)</f>
        <v>57600</v>
      </c>
      <c r="W8">
        <v>0</v>
      </c>
      <c r="X8">
        <f>U8*0.038</f>
        <v>2063.4</v>
      </c>
      <c r="Y8">
        <f>U8*0.02</f>
        <v>1086</v>
      </c>
      <c r="Z8">
        <f>V8*0.1</f>
        <v>5760</v>
      </c>
      <c r="AA8">
        <f>U8-X8-Y8</f>
        <v>51150.6</v>
      </c>
      <c r="AB8">
        <f>V8-Z8</f>
        <v>51840</v>
      </c>
      <c r="AC8">
        <f>AA8*0.01</f>
        <v>511.506</v>
      </c>
      <c r="AD8">
        <f>AA8-P8-AC8-Q8</f>
        <v>16719.093999999997</v>
      </c>
      <c r="AE8">
        <f>AB8-P8-Q8-AC8</f>
        <v>17408.494</v>
      </c>
      <c r="AF8">
        <f>AD8/U8</f>
        <v>0.3079022836095764</v>
      </c>
      <c r="AG8">
        <f>AE8/V8</f>
        <v>0.3022307986111111</v>
      </c>
    </row>
    <row r="9" xml:space="preserve">
      <c r="A9" t="str">
        <f>HYPERLINK("https://smartstore.naver.com/brickstore2019/products/4712388670","4712388670")</f>
        <v>4712388670</v>
      </c>
      <c r="C9" t="str">
        <v>제이린드버그파우치 골프클러치백 Jlindeberg(무료배송)</v>
      </c>
      <c r="E9" t="str" xml:space="preserve">
        <v xml:space="preserve">jlindeberg高尔夫手抓包收纳包多功能工具包防水手提包小球袋_x000d_
</v>
      </c>
      <c r="F9" t="str">
        <v>그레이</v>
      </c>
      <c r="G9" t="str">
        <f>HYPERLINK("https://item.taobao.com/item.htm?id=589837040192","A")</f>
        <v>A</v>
      </c>
      <c r="I9">
        <v>69</v>
      </c>
      <c r="J9">
        <f>IF(K9&gt;0,K9*0.0625,)</f>
        <v>0.5</v>
      </c>
      <c r="K9">
        <v>8</v>
      </c>
      <c r="L9">
        <f>IF(J9&gt;0,J9*0.453592,IF(K9&gt;0,K9*0.02835,))</f>
        <v>0.226796</v>
      </c>
      <c r="M9">
        <v>0</v>
      </c>
      <c r="N9">
        <v>0</v>
      </c>
      <c r="O9">
        <f>I9+N9+M9</f>
        <v>69</v>
      </c>
      <c r="P9">
        <f>O9*C$3</f>
        <v>13110</v>
      </c>
      <c r="Q9">
        <f>ROUNDUP(HLOOKUP(IF(CEILING(L9,0.5)&lt;1,1,CEILING(L9,0.5)),'배송비 조회'!A$32:AY$36,2,0),-2)</f>
        <v>8000</v>
      </c>
      <c r="R9">
        <v>0</v>
      </c>
      <c r="S9">
        <f>ROUND((P9+Q9)*0.6,-2)</f>
        <v>12700</v>
      </c>
      <c r="T9">
        <f>ROUND((P9+Q9)*0.7,-2)</f>
        <v>14800</v>
      </c>
      <c r="U9">
        <f>ROUND(SUM(P9+Q9+R9+S9), -2)</f>
        <v>33800</v>
      </c>
      <c r="V9">
        <f>ROUND(P9+Q9+R9+T9, -2)</f>
        <v>35900</v>
      </c>
      <c r="W9">
        <v>0</v>
      </c>
      <c r="X9">
        <f>U9*0.038</f>
        <v>1284.3999999999999</v>
      </c>
      <c r="Y9">
        <f>U9*0.02</f>
        <v>676</v>
      </c>
      <c r="Z9">
        <f>V9*0.1</f>
        <v>3590</v>
      </c>
      <c r="AA9">
        <f>U9-X9-Y9</f>
        <v>31839.6</v>
      </c>
      <c r="AB9">
        <f>V9-Z9</f>
        <v>32310</v>
      </c>
      <c r="AC9">
        <f>AA9*0.01</f>
        <v>318.396</v>
      </c>
      <c r="AD9">
        <f>AA9-P9-AC9-Q9</f>
        <v>10411.203999999998</v>
      </c>
      <c r="AE9">
        <f>AB9-P9-Q9-AC9</f>
        <v>10881.604</v>
      </c>
      <c r="AF9">
        <f>AD9/U9</f>
        <v>0.30802378698224847</v>
      </c>
      <c r="AG9">
        <f>AE9/V9</f>
        <v>0.3031087465181058</v>
      </c>
    </row>
    <row r="10">
      <c r="F10" t="str">
        <v>로얄블루</v>
      </c>
      <c r="G10" t="str">
        <f>HYPERLINK("https://item.taobao.com/item.htm?id=589837040192","A")</f>
        <v>A</v>
      </c>
      <c r="I10">
        <v>69</v>
      </c>
      <c r="J10">
        <f>IF(K10&gt;0,K10*0.0625,)</f>
        <v>0.5</v>
      </c>
      <c r="K10">
        <v>8</v>
      </c>
      <c r="L10">
        <f>IF(J10&gt;0,J10*0.453592,IF(K10&gt;0,K10*0.02835,))</f>
        <v>0.226796</v>
      </c>
      <c r="M10">
        <v>0</v>
      </c>
      <c r="N10">
        <v>0</v>
      </c>
      <c r="O10">
        <f>I10+N10+M10</f>
        <v>69</v>
      </c>
      <c r="P10">
        <f>O10*C$3</f>
        <v>13110</v>
      </c>
      <c r="Q10">
        <f>ROUNDUP(HLOOKUP(IF(CEILING(L10,0.5)&lt;1,1,CEILING(L10,0.5)),'배송비 조회'!A$32:AY$36,2,0),-2)</f>
        <v>8000</v>
      </c>
      <c r="R10">
        <v>0</v>
      </c>
      <c r="S10">
        <f>ROUND((P10+Q10)*0.6,-2)</f>
        <v>12700</v>
      </c>
      <c r="T10">
        <f>ROUND((P10+Q10)*0.7,-2)</f>
        <v>14800</v>
      </c>
      <c r="U10">
        <f>ROUND(SUM(P10+Q10+R10+S10), -2)</f>
        <v>33800</v>
      </c>
      <c r="V10">
        <f>ROUND(P10+Q10+R10+T10, -2)</f>
        <v>35900</v>
      </c>
      <c r="W10">
        <v>0</v>
      </c>
      <c r="X10">
        <f>U10*0.038</f>
        <v>1284.3999999999999</v>
      </c>
      <c r="Y10">
        <f>U10*0.02</f>
        <v>676</v>
      </c>
      <c r="Z10">
        <f>V10*0.1</f>
        <v>3590</v>
      </c>
      <c r="AA10">
        <f>U10-X10-Y10</f>
        <v>31839.6</v>
      </c>
      <c r="AB10">
        <f>V10-Z10</f>
        <v>32310</v>
      </c>
      <c r="AC10">
        <f>AA10*0.01</f>
        <v>318.396</v>
      </c>
      <c r="AD10">
        <f>AA10-P10-AC10-Q10</f>
        <v>10411.203999999998</v>
      </c>
      <c r="AE10">
        <f>AB10-P10-Q10-AC10</f>
        <v>10881.604</v>
      </c>
      <c r="AF10">
        <f>AD10/U10</f>
        <v>0.30802378698224847</v>
      </c>
      <c r="AG10">
        <f>AE10/V10</f>
        <v>0.3031087465181058</v>
      </c>
    </row>
    <row r="11">
      <c r="F11" t="str">
        <v>화이트</v>
      </c>
      <c r="G11" t="str">
        <f>HYPERLINK("https://item.taobao.com/item.htm?id=589837040192","A")</f>
        <v>A</v>
      </c>
      <c r="I11">
        <v>69</v>
      </c>
      <c r="J11">
        <f>IF(K11&gt;0,K11*0.0625,)</f>
        <v>0.5</v>
      </c>
      <c r="K11">
        <v>8</v>
      </c>
      <c r="L11">
        <f>IF(J11&gt;0,J11*0.453592,IF(K11&gt;0,K11*0.02835,))</f>
        <v>0.226796</v>
      </c>
      <c r="M11">
        <v>0</v>
      </c>
      <c r="N11">
        <v>0</v>
      </c>
      <c r="O11">
        <f>I11+N11+M11</f>
        <v>69</v>
      </c>
      <c r="P11">
        <f>O11*C$3</f>
        <v>13110</v>
      </c>
      <c r="Q11">
        <f>ROUNDUP(HLOOKUP(IF(CEILING(L11,0.5)&lt;1,1,CEILING(L11,0.5)),'배송비 조회'!A$32:AY$36,2,0),-2)</f>
        <v>8000</v>
      </c>
      <c r="R11">
        <v>0</v>
      </c>
      <c r="S11">
        <f>ROUND((P11+Q11)*0.6,-2)</f>
        <v>12700</v>
      </c>
      <c r="T11">
        <f>ROUND((P11+Q11)*0.7,-2)</f>
        <v>14800</v>
      </c>
      <c r="U11">
        <f>ROUND(SUM(P11+Q11+R11+S11), -2)</f>
        <v>33800</v>
      </c>
      <c r="V11">
        <f>ROUND(P11+Q11+R11+T11, -2)</f>
        <v>35900</v>
      </c>
      <c r="W11">
        <v>0</v>
      </c>
      <c r="X11">
        <f>U11*0.038</f>
        <v>1284.3999999999999</v>
      </c>
      <c r="Y11">
        <f>U11*0.02</f>
        <v>676</v>
      </c>
      <c r="Z11">
        <f>V11*0.1</f>
        <v>3590</v>
      </c>
      <c r="AA11">
        <f>U11-X11-Y11</f>
        <v>31839.6</v>
      </c>
      <c r="AB11">
        <f>V11-Z11</f>
        <v>32310</v>
      </c>
      <c r="AC11">
        <f>AA11*0.01</f>
        <v>318.396</v>
      </c>
      <c r="AD11">
        <f>AA11-P11-AC11-Q11</f>
        <v>10411.203999999998</v>
      </c>
      <c r="AE11">
        <f>AB11-P11-Q11-AC11</f>
        <v>10881.604</v>
      </c>
      <c r="AF11">
        <f>AD11/U11</f>
        <v>0.30802378698224847</v>
      </c>
      <c r="AG11">
        <f>AE11/V11</f>
        <v>0.3031087465181058</v>
      </c>
    </row>
    <row r="12" xml:space="preserve">
      <c r="A12" t="str">
        <f>HYPERLINK("https://smartstore.naver.com/brickstore2019/products/4712419771","4712419771")</f>
        <v>4712419771</v>
      </c>
      <c r="C12" t="str">
        <v>타이틀리스트파우치 방수 골프클러치백 골프공가방 TA6SDPCH(무료배송)</v>
      </c>
      <c r="E12" t="str" xml:space="preserve">
        <v xml:space="preserve">高尔夫小球袋Titleist TA6SDPCH 防水附件包 手提包 手抓包_x000d_
</v>
      </c>
      <c r="F12" t="str">
        <v>블렉/레드</v>
      </c>
      <c r="G12" t="str">
        <f>HYPERLINK("https://detail.tmall.com/item.htm?id=537788310214&amp;skuId=3211551042490","A")</f>
        <v>A</v>
      </c>
      <c r="I12">
        <v>182</v>
      </c>
      <c r="J12">
        <f>IF(K12&gt;0,K12*0.0625,)</f>
        <v>0.625</v>
      </c>
      <c r="K12">
        <v>10</v>
      </c>
      <c r="L12">
        <f>IF(J12&gt;0,J12*0.453592,IF(K12&gt;0,K12*0.02835,))</f>
        <v>0.283495</v>
      </c>
      <c r="M12">
        <v>0</v>
      </c>
      <c r="N12">
        <v>0</v>
      </c>
      <c r="O12">
        <f>I12+N12+M12</f>
        <v>182</v>
      </c>
      <c r="P12">
        <f>O12*C$3</f>
        <v>34580</v>
      </c>
      <c r="Q12">
        <f>ROUNDUP(HLOOKUP(IF(CEILING(L12,0.5)&lt;1,1,CEILING(L12,0.5)),'배송비 조회'!A$32:AY$36,2,0),-2)</f>
        <v>8000</v>
      </c>
      <c r="R12">
        <v>0</v>
      </c>
      <c r="S12">
        <f>ROUND((P12+Q12)*0.6,-2)</f>
        <v>25500</v>
      </c>
      <c r="T12">
        <f>ROUND((P12+Q12)*0.7,-2)</f>
        <v>29800</v>
      </c>
      <c r="U12">
        <f>ROUND(SUM(P12+Q12+R12+S12), -2)</f>
        <v>68100</v>
      </c>
      <c r="V12">
        <f>ROUND(P12+Q12+R12+T12, -2)</f>
        <v>72400</v>
      </c>
      <c r="W12">
        <v>0</v>
      </c>
      <c r="X12">
        <f>U12*0.038</f>
        <v>2587.7999999999997</v>
      </c>
      <c r="Y12">
        <f>U12*0.02</f>
        <v>1362</v>
      </c>
      <c r="Z12">
        <f>V12*0.1</f>
        <v>7240</v>
      </c>
      <c r="AA12">
        <f>U12-X12-Y12</f>
        <v>64150.2</v>
      </c>
      <c r="AB12">
        <f>V12-Z12</f>
        <v>65160</v>
      </c>
      <c r="AC12">
        <f>AA12*0.01</f>
        <v>641.502</v>
      </c>
      <c r="AD12">
        <f>AA12-P12-AC12-Q12</f>
        <v>20928.697999999997</v>
      </c>
      <c r="AE12">
        <f>AB12-P12-Q12-AC12</f>
        <v>21938.498</v>
      </c>
      <c r="AF12">
        <f>AD12/U12</f>
        <v>0.3073230249632892</v>
      </c>
      <c r="AG12">
        <f>AE12/V12</f>
        <v>0.30301792817679557</v>
      </c>
    </row>
    <row r="13">
      <c r="F13" t="str">
        <v>블루/화이트</v>
      </c>
      <c r="G13" t="str">
        <f>HYPERLINK("https://detail.tmall.com/item.htm?id=537788310214&amp;skuId=3453072827393","A")</f>
        <v>A</v>
      </c>
      <c r="I13">
        <v>182</v>
      </c>
      <c r="J13">
        <f>IF(K13&gt;0,K13*0.0625,)</f>
        <v>0.625</v>
      </c>
      <c r="K13">
        <v>10</v>
      </c>
      <c r="L13">
        <f>IF(J13&gt;0,J13*0.453592,IF(K13&gt;0,K13*0.02835,))</f>
        <v>0.283495</v>
      </c>
      <c r="M13">
        <v>0</v>
      </c>
      <c r="N13">
        <v>0</v>
      </c>
      <c r="O13">
        <f>I13+N13+M13</f>
        <v>182</v>
      </c>
      <c r="P13">
        <f>O13*C$3</f>
        <v>34580</v>
      </c>
      <c r="Q13">
        <f>ROUNDUP(HLOOKUP(IF(CEILING(L13,0.5)&lt;1,1,CEILING(L13,0.5)),'배송비 조회'!A$32:AY$36,2,0),-2)</f>
        <v>8000</v>
      </c>
      <c r="R13">
        <v>0</v>
      </c>
      <c r="S13">
        <f>ROUND((P13+Q13)*0.6,-2)</f>
        <v>25500</v>
      </c>
      <c r="T13">
        <f>ROUND((P13+Q13)*0.7,-2)</f>
        <v>29800</v>
      </c>
      <c r="U13">
        <f>ROUND(SUM(P13+Q13+R13+S13), -2)</f>
        <v>68100</v>
      </c>
      <c r="V13">
        <f>ROUND(P13+Q13+R13+T13, -2)</f>
        <v>72400</v>
      </c>
      <c r="W13">
        <v>0</v>
      </c>
      <c r="X13">
        <f>U13*0.038</f>
        <v>2587.7999999999997</v>
      </c>
      <c r="Y13">
        <f>U13*0.02</f>
        <v>1362</v>
      </c>
      <c r="Z13">
        <f>V13*0.1</f>
        <v>7240</v>
      </c>
      <c r="AA13">
        <f>U13-X13-Y13</f>
        <v>64150.2</v>
      </c>
      <c r="AB13">
        <f>V13-Z13</f>
        <v>65160</v>
      </c>
      <c r="AC13">
        <f>AA13*0.01</f>
        <v>641.502</v>
      </c>
      <c r="AD13">
        <f>AA13-P13-AC13-Q13</f>
        <v>20928.697999999997</v>
      </c>
      <c r="AE13">
        <f>AB13-P13-Q13-AC13</f>
        <v>21938.498</v>
      </c>
      <c r="AF13">
        <f>AD13/U13</f>
        <v>0.3073230249632892</v>
      </c>
      <c r="AG13">
        <f>AE13/V13</f>
        <v>0.30301792817679557</v>
      </c>
    </row>
    <row r="14" xml:space="preserve">
      <c r="A14" t="str">
        <f>HYPERLINK("https://smartstore.naver.com/brickstore2019/products/4712436630","4712436630")</f>
        <v>4712436630</v>
      </c>
      <c r="C14" t="str" xml:space="preserve">
        <v xml:space="preserve">타이틀리스트파우치 남성골프파우치 TA8CLLDK-0 (무료배송)_x000d_
</v>
      </c>
      <c r="E14" t="str">
        <v>Titleist高尔夫包 随身包 收纳包 旅行收纳golf小包 手包功能包</v>
      </c>
      <c r="F14" t="str">
        <v>사이즈:소</v>
      </c>
      <c r="G14" t="str">
        <f>HYPERLINK("https://detail.tmall.com/item.htm?id=565331207708&amp;skuId=3743026958191","A")</f>
        <v>A</v>
      </c>
      <c r="I14">
        <v>264</v>
      </c>
      <c r="J14">
        <f>IF(K14&gt;0,K14*0.0625,)</f>
        <v>0.625</v>
      </c>
      <c r="K14">
        <v>10</v>
      </c>
      <c r="L14">
        <f>IF(J14&gt;0,J14*0.453592,IF(K14&gt;0,K14*0.02835,))</f>
        <v>0.283495</v>
      </c>
      <c r="M14">
        <v>0</v>
      </c>
      <c r="N14">
        <v>0</v>
      </c>
      <c r="O14">
        <f>I14+N14+M14</f>
        <v>264</v>
      </c>
      <c r="P14">
        <f>O14*C$3</f>
        <v>50160</v>
      </c>
      <c r="Q14">
        <f>ROUNDUP(HLOOKUP(IF(CEILING(L14,0.5)&lt;1,1,CEILING(L14,0.5)),'배송비 조회'!A$32:AY$36,2,0),-2)</f>
        <v>8000</v>
      </c>
      <c r="R14">
        <v>0</v>
      </c>
      <c r="S14">
        <f>ROUND((P14+Q14)*0.6,-2)</f>
        <v>34900</v>
      </c>
      <c r="T14">
        <f>ROUND((P14+Q14)*0.7,-2)</f>
        <v>40700</v>
      </c>
      <c r="U14">
        <f>ROUND(SUM(P14+Q14+R14+S14), -2)</f>
        <v>93100</v>
      </c>
      <c r="V14">
        <f>ROUND(P14+Q14+R14+T14, -2)</f>
        <v>98900</v>
      </c>
      <c r="W14">
        <v>0</v>
      </c>
      <c r="X14">
        <f>U14*0.038</f>
        <v>3537.7999999999997</v>
      </c>
      <c r="Y14">
        <f>U14*0.02</f>
        <v>1862</v>
      </c>
      <c r="Z14">
        <f>V14*0.1</f>
        <v>9890</v>
      </c>
      <c r="AA14">
        <f>U14-X14-Y14</f>
        <v>87700.2</v>
      </c>
      <c r="AB14">
        <f>V14-Z14</f>
        <v>89010</v>
      </c>
      <c r="AC14">
        <f>AA14*0.01</f>
        <v>877.002</v>
      </c>
      <c r="AD14">
        <f>AA14-P14-AC14-Q14</f>
        <v>28663.197999999997</v>
      </c>
      <c r="AE14">
        <f>AB14-P14-Q14-AC14</f>
        <v>29972.998</v>
      </c>
      <c r="AF14">
        <f>AD14/U14</f>
        <v>0.30787538131041886</v>
      </c>
      <c r="AG14">
        <f>AE14/V14</f>
        <v>0.3030636804853387</v>
      </c>
    </row>
    <row r="15">
      <c r="F15" t="str">
        <v>사이즈:대</v>
      </c>
      <c r="G15" t="str">
        <f>HYPERLINK("https://detail.tmall.com/item.htm?id=565331207708&amp;skuId=3743026958190","A")</f>
        <v>A</v>
      </c>
      <c r="I15">
        <v>306</v>
      </c>
      <c r="J15">
        <f>IF(K15&gt;0,K15*0.0625,)</f>
        <v>0.625</v>
      </c>
      <c r="K15">
        <v>10</v>
      </c>
      <c r="L15">
        <f>IF(J15&gt;0,J15*0.453592,IF(K15&gt;0,K15*0.02835,))</f>
        <v>0.283495</v>
      </c>
      <c r="M15">
        <v>0</v>
      </c>
      <c r="N15">
        <v>0</v>
      </c>
      <c r="O15">
        <f>I15+N15+M15</f>
        <v>306</v>
      </c>
      <c r="P15">
        <f>O15*C$3</f>
        <v>58140</v>
      </c>
      <c r="Q15">
        <f>ROUNDUP(HLOOKUP(IF(CEILING(L15,0.5)&lt;1,1,CEILING(L15,0.5)),'배송비 조회'!A$32:AY$36,2,0),-2)</f>
        <v>8000</v>
      </c>
      <c r="R15">
        <v>0</v>
      </c>
      <c r="S15">
        <f>ROUND((P15+Q15)*0.6,-2)</f>
        <v>39700</v>
      </c>
      <c r="T15">
        <f>ROUND((P15+Q15)*0.7,-2)</f>
        <v>46300</v>
      </c>
      <c r="U15">
        <f>ROUND(SUM(P15+Q15+R15+S15), -2)</f>
        <v>105800</v>
      </c>
      <c r="V15">
        <f>ROUND(P15+Q15+R15+T15, -2)</f>
        <v>112400</v>
      </c>
      <c r="W15">
        <v>0</v>
      </c>
      <c r="X15">
        <f>U15*0.038</f>
        <v>4020.4</v>
      </c>
      <c r="Y15">
        <f>U15*0.02</f>
        <v>2116</v>
      </c>
      <c r="Z15">
        <f>V15*0.1</f>
        <v>11240</v>
      </c>
      <c r="AA15">
        <f>U15-X15-Y15</f>
        <v>99663.6</v>
      </c>
      <c r="AB15">
        <f>V15-Z15</f>
        <v>101160</v>
      </c>
      <c r="AC15">
        <f>AA15*0.01</f>
        <v>996.6360000000001</v>
      </c>
      <c r="AD15">
        <f>AA15-P15-AC15-Q15</f>
        <v>32526.964000000007</v>
      </c>
      <c r="AE15">
        <f>AB15-P15-Q15-AC15</f>
        <v>34023.364</v>
      </c>
      <c r="AF15">
        <f>AD15/U15</f>
        <v>0.30743822306238194</v>
      </c>
      <c r="AG15">
        <f>AE15/V15</f>
        <v>0.3026989679715303</v>
      </c>
      <c r="AH15">
        <f>V15-V14</f>
        <v>13500</v>
      </c>
    </row>
    <row r="16" xml:space="preserve">
      <c r="A16" t="str">
        <f>HYPERLINK("https://smartstore.naver.com/brickstore2019/products/4713627867","4713627867")</f>
        <v>4713627867</v>
      </c>
      <c r="C16" t="str">
        <v>그림그리는 태블릿 그림용 태블릿 12인치 8.5인치 컬러풀 (무료배송)</v>
      </c>
      <c r="E16" t="str" xml:space="preserve">
        <v xml:space="preserve">小米小寻液晶手写板儿童涂鸦画板家用写字板智能电子小黑板手绘板_x000d_
</v>
      </c>
      <c r="F16" t="str">
        <v>12인치 블루</v>
      </c>
      <c r="G16" t="str">
        <f>HYPERLINK("https://detail.tmall.com/item.htm?id=586144682529&amp;skuId=4143899078066","A")</f>
        <v>A</v>
      </c>
      <c r="I16">
        <v>99</v>
      </c>
      <c r="J16">
        <f>IF(K16&gt;0,K16*0.0625,)</f>
        <v>0.9375</v>
      </c>
      <c r="K16">
        <v>15</v>
      </c>
      <c r="L16">
        <f>IF(J16&gt;0,J16*0.453592,IF(K16&gt;0,K16*0.02835,))</f>
        <v>0.42524249999999997</v>
      </c>
      <c r="M16">
        <v>0</v>
      </c>
      <c r="N16">
        <v>0</v>
      </c>
      <c r="O16">
        <f>I16+N16+M16</f>
        <v>99</v>
      </c>
      <c r="P16">
        <f>O16*C$3</f>
        <v>18810</v>
      </c>
      <c r="Q16">
        <f>ROUNDUP(HLOOKUP(IF(CEILING(L16,0.5)&lt;1,1,CEILING(L16,0.5)),'배송비 조회'!A$32:AY$36,2,0),-2)</f>
        <v>8000</v>
      </c>
      <c r="R16">
        <v>0</v>
      </c>
      <c r="S16">
        <f>ROUND((P16+Q16)*0.6,-2)</f>
        <v>16100</v>
      </c>
      <c r="T16">
        <f>ROUND((P16+Q16)*0.7,-2)</f>
        <v>18800</v>
      </c>
      <c r="U16">
        <f>ROUND(SUM(P16+Q16+R16+S16), -2)</f>
        <v>42900</v>
      </c>
      <c r="V16">
        <f>ROUND(P16+Q16+R16+T16, -2)</f>
        <v>45600</v>
      </c>
      <c r="W16">
        <v>0</v>
      </c>
      <c r="X16">
        <f>U16*0.038</f>
        <v>1630.2</v>
      </c>
      <c r="Y16">
        <f>U16*0.02</f>
        <v>858</v>
      </c>
      <c r="Z16">
        <f>V16*0.1</f>
        <v>4560</v>
      </c>
      <c r="AA16">
        <f>U16-X16-Y16</f>
        <v>40411.8</v>
      </c>
      <c r="AB16">
        <f>V16-Z16</f>
        <v>41040</v>
      </c>
      <c r="AC16">
        <f>AA16*0.01</f>
        <v>404.11800000000005</v>
      </c>
      <c r="AD16">
        <f>AA16-P16-AC16-Q16</f>
        <v>13197.682000000004</v>
      </c>
      <c r="AE16">
        <f>AB16-P16-Q16-AC16</f>
        <v>13825.882</v>
      </c>
      <c r="AF16">
        <f>AD16/U16</f>
        <v>0.3076382750582752</v>
      </c>
      <c r="AG16">
        <f>AE16/V16</f>
        <v>0.30319916666666663</v>
      </c>
      <c r="AH16">
        <f>V16-V20</f>
        <v>13000</v>
      </c>
    </row>
    <row r="17">
      <c r="F17" t="str">
        <v>12인치 핑크</v>
      </c>
      <c r="G17" t="str">
        <f>HYPERLINK("https://detail.tmall.com/item.htm?id=586144682529&amp;skuId=4143899078067","A")</f>
        <v>A</v>
      </c>
      <c r="I17">
        <v>99</v>
      </c>
      <c r="J17">
        <f>IF(K17&gt;0,K17*0.0625,)</f>
        <v>0.9375</v>
      </c>
      <c r="K17">
        <v>15</v>
      </c>
      <c r="L17">
        <f>IF(J17&gt;0,J17*0.453592,IF(K17&gt;0,K17*0.02835,))</f>
        <v>0.42524249999999997</v>
      </c>
      <c r="M17">
        <v>0</v>
      </c>
      <c r="N17">
        <v>0</v>
      </c>
      <c r="O17">
        <f>I17+N17+M17</f>
        <v>99</v>
      </c>
      <c r="P17">
        <f>O17*C$3</f>
        <v>18810</v>
      </c>
      <c r="Q17">
        <f>ROUNDUP(HLOOKUP(IF(CEILING(L17,0.5)&lt;1,1,CEILING(L17,0.5)),'배송비 조회'!A$32:AY$36,2,0),-2)</f>
        <v>8000</v>
      </c>
      <c r="R17">
        <v>0</v>
      </c>
      <c r="S17">
        <f>ROUND((P17+Q17)*0.6,-2)</f>
        <v>16100</v>
      </c>
      <c r="T17">
        <f>ROUND((P17+Q17)*0.7,-2)</f>
        <v>18800</v>
      </c>
      <c r="U17">
        <f>ROUND(SUM(P17+Q17+R17+S17), -2)</f>
        <v>42900</v>
      </c>
      <c r="V17">
        <f>ROUND(P17+Q17+R17+T17, -2)</f>
        <v>45600</v>
      </c>
      <c r="W17">
        <v>0</v>
      </c>
      <c r="X17">
        <f>U17*0.038</f>
        <v>1630.2</v>
      </c>
      <c r="Y17">
        <f>U17*0.02</f>
        <v>858</v>
      </c>
      <c r="Z17">
        <f>V17*0.1</f>
        <v>4560</v>
      </c>
      <c r="AA17">
        <f>U17-X17-Y17</f>
        <v>40411.8</v>
      </c>
      <c r="AB17">
        <f>V17-Z17</f>
        <v>41040</v>
      </c>
      <c r="AC17">
        <f>AA17*0.01</f>
        <v>404.11800000000005</v>
      </c>
      <c r="AD17">
        <f>AA17-P17-AC17-Q17</f>
        <v>13197.682000000004</v>
      </c>
      <c r="AE17">
        <f>AB17-P17-Q17-AC17</f>
        <v>13825.882</v>
      </c>
      <c r="AF17">
        <f>AD17/U17</f>
        <v>0.3076382750582752</v>
      </c>
      <c r="AG17">
        <f>AE17/V17</f>
        <v>0.30319916666666663</v>
      </c>
    </row>
    <row r="18">
      <c r="F18" t="str">
        <v>12인치 블루 컬러버전</v>
      </c>
      <c r="G18" t="str">
        <f>HYPERLINK("https://detail.tmall.com/item.htm?id=586144682529&amp;skuId=4324921419501","A")</f>
        <v>A</v>
      </c>
      <c r="I18">
        <v>149</v>
      </c>
      <c r="J18">
        <f>IF(K18&gt;0,K18*0.0625,)</f>
        <v>0.9375</v>
      </c>
      <c r="K18">
        <v>15</v>
      </c>
      <c r="L18">
        <f>IF(J18&gt;0,J18*0.453592,IF(K18&gt;0,K18*0.02835,))</f>
        <v>0.42524249999999997</v>
      </c>
      <c r="M18">
        <v>0</v>
      </c>
      <c r="N18">
        <v>0</v>
      </c>
      <c r="O18">
        <f>I18+N18+M18</f>
        <v>149</v>
      </c>
      <c r="P18">
        <f>O18*C$3</f>
        <v>28310</v>
      </c>
      <c r="Q18">
        <f>ROUNDUP(HLOOKUP(IF(CEILING(L18,0.5)&lt;1,1,CEILING(L18,0.5)),'배송비 조회'!A$32:AY$36,2,0),-2)</f>
        <v>8000</v>
      </c>
      <c r="R18">
        <v>0</v>
      </c>
      <c r="S18">
        <f>ROUND((P18+Q18)*0.6,-2)</f>
        <v>21800</v>
      </c>
      <c r="T18">
        <f>ROUND((P18+Q18)*0.7,-2)</f>
        <v>25400</v>
      </c>
      <c r="U18">
        <f>ROUND(SUM(P18+Q18+R18+S18), -2)</f>
        <v>58100</v>
      </c>
      <c r="V18">
        <f>ROUND(P18+Q18+R18+T18, -2)</f>
        <v>61700</v>
      </c>
      <c r="W18">
        <v>0</v>
      </c>
      <c r="X18">
        <f>U18*0.038</f>
        <v>2207.7999999999997</v>
      </c>
      <c r="Y18">
        <f>U18*0.02</f>
        <v>1162</v>
      </c>
      <c r="Z18">
        <f>V18*0.1</f>
        <v>6170</v>
      </c>
      <c r="AA18">
        <f>U18-X18-Y18</f>
        <v>54730.2</v>
      </c>
      <c r="AB18">
        <f>V18-Z18</f>
        <v>55530</v>
      </c>
      <c r="AC18">
        <f>AA18*0.01</f>
        <v>547.302</v>
      </c>
      <c r="AD18">
        <f>AA18-P18-AC18-Q18</f>
        <v>17872.897999999997</v>
      </c>
      <c r="AE18">
        <f>AB18-P18-Q18-AC18</f>
        <v>18672.698</v>
      </c>
      <c r="AF18">
        <f>AD18/U18</f>
        <v>0.3076230292598967</v>
      </c>
      <c r="AG18">
        <f>AE18/V18</f>
        <v>0.3026369205834684</v>
      </c>
      <c r="AH18">
        <f>V18-V17</f>
        <v>16100</v>
      </c>
    </row>
    <row r="19">
      <c r="F19" t="str">
        <v>12인치 핑크 컬러버전</v>
      </c>
      <c r="G19" t="str">
        <f>HYPERLINK("https://detail.tmall.com/item.htm?id=586144682529&amp;skuId=4324921419500","A")</f>
        <v>A</v>
      </c>
      <c r="I19">
        <v>149</v>
      </c>
      <c r="J19">
        <f>IF(K19&gt;0,K19*0.0625,)</f>
        <v>0.9375</v>
      </c>
      <c r="K19">
        <v>15</v>
      </c>
      <c r="L19">
        <f>IF(J19&gt;0,J19*0.453592,IF(K19&gt;0,K19*0.02835,))</f>
        <v>0.42524249999999997</v>
      </c>
      <c r="M19">
        <v>0</v>
      </c>
      <c r="N19">
        <v>0</v>
      </c>
      <c r="O19">
        <f>I19+N19+M19</f>
        <v>149</v>
      </c>
      <c r="P19">
        <f>O19*C$3</f>
        <v>28310</v>
      </c>
      <c r="Q19">
        <f>ROUNDUP(HLOOKUP(IF(CEILING(L19,0.5)&lt;1,1,CEILING(L19,0.5)),'배송비 조회'!A$32:AY$36,2,0),-2)</f>
        <v>8000</v>
      </c>
      <c r="R19">
        <v>0</v>
      </c>
      <c r="S19">
        <f>ROUND((P19+Q19)*0.6,-2)</f>
        <v>21800</v>
      </c>
      <c r="T19">
        <f>ROUND((P19+Q19)*0.7,-2)</f>
        <v>25400</v>
      </c>
      <c r="U19">
        <f>ROUND(SUM(P19+Q19+R19+S19), -2)</f>
        <v>58100</v>
      </c>
      <c r="V19">
        <f>ROUND(P19+Q19+R19+T19, -2)</f>
        <v>61700</v>
      </c>
      <c r="W19">
        <v>0</v>
      </c>
      <c r="X19">
        <f>U19*0.038</f>
        <v>2207.7999999999997</v>
      </c>
      <c r="Y19">
        <f>U19*0.02</f>
        <v>1162</v>
      </c>
      <c r="Z19">
        <f>V19*0.1</f>
        <v>6170</v>
      </c>
      <c r="AA19">
        <f>U19-X19-Y19</f>
        <v>54730.2</v>
      </c>
      <c r="AB19">
        <f>V19-Z19</f>
        <v>55530</v>
      </c>
      <c r="AC19">
        <f>AA19*0.01</f>
        <v>547.302</v>
      </c>
      <c r="AD19">
        <f>AA19-P19-AC19-Q19</f>
        <v>17872.897999999997</v>
      </c>
      <c r="AE19">
        <f>AB19-P19-Q19-AC19</f>
        <v>18672.698</v>
      </c>
      <c r="AF19">
        <f>AD19/U19</f>
        <v>0.3076230292598967</v>
      </c>
      <c r="AG19">
        <f>AE19/V19</f>
        <v>0.3026369205834684</v>
      </c>
    </row>
    <row r="20">
      <c r="F20" t="str">
        <v>8.5인치 블루</v>
      </c>
      <c r="G20" t="str">
        <f>HYPERLINK("https://detail.tmall.com/item.htm?id=586144682529&amp;skuId=4194559228194","A")</f>
        <v>A</v>
      </c>
      <c r="I20">
        <v>59</v>
      </c>
      <c r="J20">
        <f>IF(K20&gt;0,K20*0.0625,)</f>
        <v>0.9375</v>
      </c>
      <c r="K20">
        <v>15</v>
      </c>
      <c r="L20">
        <f>IF(J20&gt;0,J20*0.453592,IF(K20&gt;0,K20*0.02835,))</f>
        <v>0.42524249999999997</v>
      </c>
      <c r="M20">
        <v>0</v>
      </c>
      <c r="N20">
        <v>0</v>
      </c>
      <c r="O20">
        <f>I20+N20+M20</f>
        <v>59</v>
      </c>
      <c r="P20">
        <f>O20*C$3</f>
        <v>11210</v>
      </c>
      <c r="Q20">
        <f>ROUNDUP(HLOOKUP(IF(CEILING(L20,0.5)&lt;1,1,CEILING(L20,0.5)),'배송비 조회'!A$32:AY$36,2,0),-2)</f>
        <v>8000</v>
      </c>
      <c r="R20">
        <v>0</v>
      </c>
      <c r="S20">
        <f>ROUND((P20+Q20)*0.6,-2)</f>
        <v>11500</v>
      </c>
      <c r="T20">
        <f>ROUND((P20+Q20)*0.7,-2)</f>
        <v>13400</v>
      </c>
      <c r="U20">
        <f>ROUND(SUM(P20+Q20+R20+S20), -2)</f>
        <v>30700</v>
      </c>
      <c r="V20">
        <f>ROUND(P20+Q20+R20+T20, -2)</f>
        <v>32600</v>
      </c>
      <c r="W20">
        <v>0</v>
      </c>
      <c r="X20">
        <f>U20*0.038</f>
        <v>1166.6</v>
      </c>
      <c r="Y20">
        <f>U20*0.02</f>
        <v>614</v>
      </c>
      <c r="Z20">
        <f>V20*0.1</f>
        <v>3260</v>
      </c>
      <c r="AA20">
        <f>U20-X20-Y20</f>
        <v>28919.4</v>
      </c>
      <c r="AB20">
        <f>V20-Z20</f>
        <v>29340</v>
      </c>
      <c r="AC20">
        <f>AA20*0.01</f>
        <v>289.194</v>
      </c>
      <c r="AD20">
        <f>AA20-P20-AC20-Q20</f>
        <v>9420.206000000002</v>
      </c>
      <c r="AE20">
        <f>AB20-P20-Q20-AC20</f>
        <v>9840.806</v>
      </c>
      <c r="AF20">
        <f>AD20/U20</f>
        <v>0.30684710097719875</v>
      </c>
      <c r="AG20">
        <f>AE20/V20</f>
        <v>0.3018652147239264</v>
      </c>
      <c r="AH20">
        <f>V17-V20</f>
        <v>13000</v>
      </c>
    </row>
    <row r="21">
      <c r="F21" t="str">
        <v>8.5인치 핑크</v>
      </c>
      <c r="G21" t="str">
        <f>HYPERLINK("https://detail.tmall.com/item.htm?id=586144682529&amp;skuId=4194559228193","A")</f>
        <v>A</v>
      </c>
      <c r="I21">
        <v>59</v>
      </c>
      <c r="J21">
        <f>IF(K21&gt;0,K21*0.0625,)</f>
        <v>0.9375</v>
      </c>
      <c r="K21">
        <v>15</v>
      </c>
      <c r="L21">
        <f>IF(J21&gt;0,J21*0.453592,IF(K21&gt;0,K21*0.02835,))</f>
        <v>0.42524249999999997</v>
      </c>
      <c r="M21">
        <v>0</v>
      </c>
      <c r="N21">
        <v>0</v>
      </c>
      <c r="O21">
        <f>I21+N21+M21</f>
        <v>59</v>
      </c>
      <c r="P21">
        <f>O21*C$3</f>
        <v>11210</v>
      </c>
      <c r="Q21">
        <f>ROUNDUP(HLOOKUP(IF(CEILING(L21,0.5)&lt;1,1,CEILING(L21,0.5)),'배송비 조회'!A$32:AY$36,2,0),-2)</f>
        <v>8000</v>
      </c>
      <c r="R21">
        <v>0</v>
      </c>
      <c r="S21">
        <f>ROUND((P21+Q21)*0.6,-2)</f>
        <v>11500</v>
      </c>
      <c r="T21">
        <f>ROUND((P21+Q21)*0.7,-2)</f>
        <v>13400</v>
      </c>
      <c r="U21">
        <f>ROUND(SUM(P21+Q21+R21+S21), -2)</f>
        <v>30700</v>
      </c>
      <c r="V21">
        <f>ROUND(P21+Q21+R21+T21, -2)</f>
        <v>32600</v>
      </c>
      <c r="W21">
        <v>0</v>
      </c>
      <c r="X21">
        <f>U21*0.038</f>
        <v>1166.6</v>
      </c>
      <c r="Y21">
        <f>U21*0.02</f>
        <v>614</v>
      </c>
      <c r="Z21">
        <f>V21*0.1</f>
        <v>3260</v>
      </c>
      <c r="AA21">
        <f>U21-X21-Y21</f>
        <v>28919.4</v>
      </c>
      <c r="AB21">
        <f>V21-Z21</f>
        <v>29340</v>
      </c>
      <c r="AC21">
        <f>AA21*0.01</f>
        <v>289.194</v>
      </c>
      <c r="AD21">
        <f>AA21-P21-AC21-Q21</f>
        <v>9420.206000000002</v>
      </c>
      <c r="AE21">
        <f>AB21-P21-Q21-AC21</f>
        <v>9840.806</v>
      </c>
      <c r="AF21">
        <f>AD21/U21</f>
        <v>0.30684710097719875</v>
      </c>
      <c r="AG21">
        <f>AE21/V21</f>
        <v>0.3018652147239264</v>
      </c>
    </row>
    <row r="22" xml:space="preserve">
      <c r="A22" t="str">
        <f>HYPERLINK("https://smartstore.naver.com/brickstore2019/products/4713673721","4713673721")</f>
        <v>4713673721</v>
      </c>
      <c r="C22" t="str">
        <v>그림그리는 태블릿 샤오미 그림용 태블릿 10인치 13.5인치 (무료배송)</v>
      </c>
      <c r="E22" t="str" xml:space="preserve">
        <v xml:space="preserve">小米米家液晶黑板电子画板儿童宝宝手绘手写绘画写字家用彩色涂鸦_x000d_
</v>
      </c>
      <c r="F22" t="str">
        <v>10인치</v>
      </c>
      <c r="G22" t="str">
        <f>HYPERLINK("https://detail.tmall.com/item.htm?id=604600172910&amp;skuId=4239825045151","A")</f>
        <v>A</v>
      </c>
      <c r="I22">
        <v>65</v>
      </c>
      <c r="J22">
        <f>IF(K22&gt;0,K22*0.0625,)</f>
        <v>0.9375</v>
      </c>
      <c r="K22">
        <v>15</v>
      </c>
      <c r="L22">
        <f>IF(J22&gt;0,J22*0.453592,IF(K22&gt;0,K22*0.02835,))</f>
        <v>0.42524249999999997</v>
      </c>
      <c r="M22">
        <v>0</v>
      </c>
      <c r="N22">
        <v>0</v>
      </c>
      <c r="O22">
        <f>I22+N22+M22</f>
        <v>65</v>
      </c>
      <c r="P22">
        <f>O22*C$3</f>
        <v>12350</v>
      </c>
      <c r="Q22">
        <f>ROUNDUP(HLOOKUP(IF(CEILING(L22,0.5)&lt;1,1,CEILING(L22,0.5)),'배송비 조회'!A$32:AY$36,2,0),-2)</f>
        <v>8000</v>
      </c>
      <c r="R22">
        <v>0</v>
      </c>
      <c r="S22">
        <f>ROUND((P22+Q22)*0.6,-2)</f>
        <v>12200</v>
      </c>
      <c r="T22">
        <f>ROUND((P22+Q22)*0.7,-2)</f>
        <v>14200</v>
      </c>
      <c r="U22">
        <f>ROUND(SUM(P22+Q22+R22+S22), -2)</f>
        <v>32600</v>
      </c>
      <c r="V22">
        <f>ROUND(P22+Q22+R22+T22, -2)</f>
        <v>34600</v>
      </c>
      <c r="W22">
        <v>0</v>
      </c>
      <c r="X22">
        <f>U22*0.038</f>
        <v>1238.8</v>
      </c>
      <c r="Y22">
        <f>U22*0.02</f>
        <v>652</v>
      </c>
      <c r="Z22">
        <f>V22*0.1</f>
        <v>3460</v>
      </c>
      <c r="AA22">
        <f>U22-X22-Y22</f>
        <v>30709.2</v>
      </c>
      <c r="AB22">
        <f>V22-Z22</f>
        <v>31140</v>
      </c>
      <c r="AC22">
        <f>AA22*0.01</f>
        <v>307.09200000000004</v>
      </c>
      <c r="AD22">
        <f>AA22-P22-AC22-Q22</f>
        <v>10052.108</v>
      </c>
      <c r="AE22">
        <f>AB22-P22-Q22-AC22</f>
        <v>10482.908</v>
      </c>
      <c r="AF22">
        <f>AD22/U22</f>
        <v>0.3083468711656442</v>
      </c>
      <c r="AG22">
        <f>AE22/V22</f>
        <v>0.30297421965317917</v>
      </c>
    </row>
    <row r="23">
      <c r="F23" t="str">
        <v>13.5인치</v>
      </c>
      <c r="G23" t="str">
        <f>HYPERLINK("https://detail.tmall.com/item.htm?id=604600172910&amp;skuId=4239825045152","A")</f>
        <v>A</v>
      </c>
      <c r="I23">
        <v>128</v>
      </c>
      <c r="J23">
        <f>IF(K23&gt;0,K23*0.0625,)</f>
        <v>0.9375</v>
      </c>
      <c r="K23">
        <v>15</v>
      </c>
      <c r="L23">
        <f>IF(J23&gt;0,J23*0.453592,IF(K23&gt;0,K23*0.02835,))</f>
        <v>0.42524249999999997</v>
      </c>
      <c r="M23">
        <v>0</v>
      </c>
      <c r="N23">
        <v>0</v>
      </c>
      <c r="O23">
        <f>I23+N23+M23</f>
        <v>128</v>
      </c>
      <c r="P23">
        <f>O23*C$3</f>
        <v>24320</v>
      </c>
      <c r="Q23">
        <f>ROUNDUP(HLOOKUP(IF(CEILING(L23,0.5)&lt;1,1,CEILING(L23,0.5)),'배송비 조회'!A$32:AY$36,2,0),-2)</f>
        <v>8000</v>
      </c>
      <c r="R23">
        <v>0</v>
      </c>
      <c r="S23">
        <f>ROUND((P23+Q23)*0.6,-2)</f>
        <v>19400</v>
      </c>
      <c r="T23">
        <f>ROUND((P23+Q23)*0.7,-2)</f>
        <v>22600</v>
      </c>
      <c r="U23">
        <f>ROUND(SUM(P23+Q23+R23+S23), -2)</f>
        <v>51700</v>
      </c>
      <c r="V23">
        <f>ROUND(P23+Q23+R23+T23, -2)</f>
        <v>54900</v>
      </c>
      <c r="W23">
        <v>0</v>
      </c>
      <c r="X23">
        <f>U23*0.038</f>
        <v>1964.6</v>
      </c>
      <c r="Y23">
        <f>U23*0.02</f>
        <v>1034</v>
      </c>
      <c r="Z23">
        <f>V23*0.1</f>
        <v>5490</v>
      </c>
      <c r="AA23">
        <f>U23-X23-Y23</f>
        <v>48701.4</v>
      </c>
      <c r="AB23">
        <f>V23-Z23</f>
        <v>49410</v>
      </c>
      <c r="AC23">
        <f>AA23*0.01</f>
        <v>487.014</v>
      </c>
      <c r="AD23">
        <f>AA23-P23-AC23-Q23</f>
        <v>15894.386000000002</v>
      </c>
      <c r="AE23">
        <f>AB23-P23-Q23-AC23</f>
        <v>16602.986</v>
      </c>
      <c r="AF23">
        <f>AD23/U23</f>
        <v>0.30743493230174085</v>
      </c>
      <c r="AG23">
        <f>AE23/V23</f>
        <v>0.3024223315118397</v>
      </c>
      <c r="AH23">
        <f>V23-V22</f>
        <v>20300</v>
      </c>
    </row>
    <row r="24" xml:space="preserve">
      <c r="A24" t="str">
        <f>HYPERLINK("https://smartstore.naver.com/brickstore2019/products/4714963164","4714963164")</f>
        <v>4714963164</v>
      </c>
      <c r="C24" t="str">
        <v>휴대용 돋보기 안경 할머니 안경 (무료배송)</v>
      </c>
      <c r="E24" t="str" xml:space="preserve">
        <v xml:space="preserve">冠豪复古老花镜 男女超轻圆框老花眼镜 舒适清晰老视镜包邮_x000d_
</v>
      </c>
      <c r="F24" t="str">
        <v>모든 옵션</v>
      </c>
      <c r="G24" t="str">
        <v>A</v>
      </c>
      <c r="I24">
        <v>40</v>
      </c>
      <c r="J24">
        <f>IF(K24&gt;0,K24*0.0625,)</f>
        <v>0.0625</v>
      </c>
      <c r="K24">
        <v>1</v>
      </c>
      <c r="L24">
        <f>IF(J24&gt;0,J24*0.453592,IF(K24&gt;0,K24*0.02835,))</f>
        <v>0.0283495</v>
      </c>
      <c r="M24">
        <v>0</v>
      </c>
      <c r="N24">
        <v>0</v>
      </c>
      <c r="O24">
        <f>I24+N24+M24</f>
        <v>40</v>
      </c>
      <c r="P24">
        <f>O24*C$3</f>
        <v>7600</v>
      </c>
      <c r="Q24">
        <f>ROUNDUP(HLOOKUP(IF(CEILING(L24,0.5)&lt;1,1,CEILING(L24,0.5)),'배송비 조회'!A$32:AY$36,2,0),-2)</f>
        <v>8000</v>
      </c>
      <c r="R24">
        <v>0</v>
      </c>
      <c r="S24">
        <f>ROUND((P24+Q24)*0.6,-2)</f>
        <v>9400</v>
      </c>
      <c r="T24">
        <f>ROUND((P24+Q24)*0.7,-2)</f>
        <v>10900</v>
      </c>
      <c r="U24">
        <f>ROUND(SUM(P24+Q24+R24+S24), -2)</f>
        <v>25000</v>
      </c>
      <c r="V24">
        <f>ROUND(P24+Q24+R24+T24, -2)</f>
        <v>26500</v>
      </c>
      <c r="W24">
        <v>0</v>
      </c>
      <c r="X24">
        <f>U24*0.038</f>
        <v>950</v>
      </c>
      <c r="Y24">
        <f>U24*0.02</f>
        <v>500</v>
      </c>
      <c r="Z24">
        <f>V24*0.1</f>
        <v>2650</v>
      </c>
      <c r="AA24">
        <f>U24-X24-Y24</f>
        <v>23550</v>
      </c>
      <c r="AB24">
        <f>V24-Z24</f>
        <v>23850</v>
      </c>
      <c r="AC24">
        <f>AA24*0.01</f>
        <v>235.5</v>
      </c>
      <c r="AD24">
        <f>AA24-P24-AC24-Q24</f>
        <v>7714.5</v>
      </c>
      <c r="AE24">
        <f>AB24-P24-Q24-AC24</f>
        <v>8014.5</v>
      </c>
      <c r="AF24">
        <f>AD24/U24</f>
        <v>0.30858</v>
      </c>
      <c r="AG24">
        <f>AE24/V24</f>
        <v>0.3024339622641509</v>
      </c>
    </row>
    <row r="25" xml:space="preserve">
      <c r="A25" t="str">
        <f>HYPERLINK("https://smartstore.naver.com/brickstore2019/products/4714999969","4714999969")</f>
        <v>4714999969</v>
      </c>
      <c r="C25" t="str">
        <v>무선 키보드 마우스 세트 휴대용 제품 inphic V780 (무료배송)</v>
      </c>
      <c r="E25" t="str" xml:space="preserve">
        <v xml:space="preserve">英菲克V780可充电无线键盘鼠标套装台式办公家用笔记本平板电脑USB外设男女生小超薄便携静音无声游戏键鼠_x000d_
</v>
      </c>
      <c r="F25" t="str">
        <v>실버</v>
      </c>
      <c r="G25" t="str">
        <f>HYPERLINK("https://detail.tmall.com/item.htm?spm=a220o.1000855.0.da321h.12cb5ae8Jwt8gW&amp;id=564887410872&amp;skuId=3572166204670","A")</f>
        <v>A</v>
      </c>
      <c r="I25">
        <v>100</v>
      </c>
      <c r="J25">
        <f>IF(K25&gt;0,K25*0.0625,)</f>
        <v>0.9375</v>
      </c>
      <c r="K25">
        <v>15</v>
      </c>
      <c r="L25">
        <f>IF(J25&gt;0,J25*0.453592,IF(K25&gt;0,K25*0.02835,))</f>
        <v>0.42524249999999997</v>
      </c>
      <c r="M25">
        <v>0</v>
      </c>
      <c r="N25">
        <v>0</v>
      </c>
      <c r="O25">
        <f>I25+N25+M25</f>
        <v>100</v>
      </c>
      <c r="P25">
        <f>O25*C$3</f>
        <v>19000</v>
      </c>
      <c r="Q25">
        <f>ROUNDUP(HLOOKUP(IF(CEILING(L25,0.5)&lt;1,1,CEILING(L25,0.5)),'배송비 조회'!A$32:AY$36,2,0),-2)</f>
        <v>8000</v>
      </c>
      <c r="R25">
        <v>0</v>
      </c>
      <c r="S25">
        <f>ROUND((P25+Q25)*0.6,-2)</f>
        <v>16200</v>
      </c>
      <c r="T25">
        <f>ROUND((P25+Q25)*0.7,-2)</f>
        <v>18900</v>
      </c>
      <c r="U25">
        <f>ROUND(SUM(P25+Q25+R25+S25), -2)</f>
        <v>43200</v>
      </c>
      <c r="V25">
        <f>ROUND(P25+Q25+R25+T25, -2)</f>
        <v>45900</v>
      </c>
      <c r="W25">
        <v>0</v>
      </c>
      <c r="X25">
        <f>U25*0.038</f>
        <v>1641.6</v>
      </c>
      <c r="Y25">
        <f>U25*0.02</f>
        <v>864</v>
      </c>
      <c r="Z25">
        <f>V25*0.1</f>
        <v>4590</v>
      </c>
      <c r="AA25">
        <f>U25-X25-Y25</f>
        <v>40694.4</v>
      </c>
      <c r="AB25">
        <f>V25-Z25</f>
        <v>41310</v>
      </c>
      <c r="AC25">
        <f>AA25*0.01</f>
        <v>406.944</v>
      </c>
      <c r="AD25">
        <f>AA25-P25-AC25-Q25</f>
        <v>13287.456000000002</v>
      </c>
      <c r="AE25">
        <f>AB25-P25-Q25-AC25</f>
        <v>13903.056</v>
      </c>
      <c r="AF25">
        <f>AD25/U25</f>
        <v>0.30758</v>
      </c>
      <c r="AG25">
        <f>AE25/V25</f>
        <v>0.3028988235294118</v>
      </c>
    </row>
    <row r="26">
      <c r="F26" t="str">
        <v>메탈 그레이</v>
      </c>
      <c r="G26" t="str">
        <f>HYPERLINK("https://detail.tmall.com/item.htm?spm=a220o.1000855.0.da321h.12cb5ae8Jwt8gW&amp;id=564887410872&amp;skuId=3572166204672","A")</f>
        <v>A</v>
      </c>
      <c r="I26">
        <v>100</v>
      </c>
      <c r="J26">
        <f>IF(K26&gt;0,K26*0.0625,)</f>
        <v>0.9375</v>
      </c>
      <c r="K26">
        <v>15</v>
      </c>
      <c r="L26">
        <f>IF(J26&gt;0,J26*0.453592,IF(K26&gt;0,K26*0.02835,))</f>
        <v>0.42524249999999997</v>
      </c>
      <c r="M26">
        <v>0</v>
      </c>
      <c r="N26">
        <v>0</v>
      </c>
      <c r="O26">
        <f>I26+N26+M26</f>
        <v>100</v>
      </c>
      <c r="P26">
        <f>O26*C$3</f>
        <v>19000</v>
      </c>
      <c r="Q26">
        <f>ROUNDUP(HLOOKUP(IF(CEILING(L26,0.5)&lt;1,1,CEILING(L26,0.5)),'배송비 조회'!A$32:AY$36,2,0),-2)</f>
        <v>8000</v>
      </c>
      <c r="R26">
        <v>0</v>
      </c>
      <c r="S26">
        <f>ROUND((P26+Q26)*0.6,-2)</f>
        <v>16200</v>
      </c>
      <c r="T26">
        <f>ROUND((P26+Q26)*0.7,-2)</f>
        <v>18900</v>
      </c>
      <c r="U26">
        <f>ROUND(SUM(P26+Q26+R26+S26), -2)</f>
        <v>43200</v>
      </c>
      <c r="V26">
        <f>ROUND(P26+Q26+R26+T26, -2)</f>
        <v>45900</v>
      </c>
      <c r="W26">
        <v>0</v>
      </c>
      <c r="X26">
        <f>U26*0.038</f>
        <v>1641.6</v>
      </c>
      <c r="Y26">
        <f>U26*0.02</f>
        <v>864</v>
      </c>
      <c r="Z26">
        <f>V26*0.1</f>
        <v>4590</v>
      </c>
      <c r="AA26">
        <f>U26-X26-Y26</f>
        <v>40694.4</v>
      </c>
      <c r="AB26">
        <f>V26-Z26</f>
        <v>41310</v>
      </c>
      <c r="AC26">
        <f>AA26*0.01</f>
        <v>406.944</v>
      </c>
      <c r="AD26">
        <f>AA26-P26-AC26-Q26</f>
        <v>13287.456000000002</v>
      </c>
      <c r="AE26">
        <f>AB26-P26-Q26-AC26</f>
        <v>13903.056</v>
      </c>
      <c r="AF26">
        <f>AD26/U26</f>
        <v>0.30758</v>
      </c>
      <c r="AG26">
        <f>AE26/V26</f>
        <v>0.3028988235294118</v>
      </c>
    </row>
    <row r="27" xml:space="preserve">
      <c r="A27" t="str">
        <f>HYPERLINK("https://smartstore.naver.com/brickstore2019/products/4720223586","4720223586")</f>
        <v>4720223586</v>
      </c>
      <c r="C27" t="str">
        <v>골프 팔 고정 골프 자세 교정 연습 도구(무료배송)</v>
      </c>
      <c r="E27" t="str" xml:space="preserve">
        <v xml:space="preserve">伴米高尔夫智慧球充气球挥杆练习推杆固定手臂纠正辅助矫正训练器_x000d_
</v>
      </c>
      <c r="F27" t="str">
        <v>그레이</v>
      </c>
      <c r="G27" t="str">
        <f>HYPERLINK("https://detail.tmall.com/item.htm?id=587306434683&amp;skuId=4324721123134","A")</f>
        <v>A</v>
      </c>
      <c r="I27">
        <v>48</v>
      </c>
      <c r="J27">
        <f>IF(K27&gt;0,K27*0.0625,)</f>
        <v>0.3125</v>
      </c>
      <c r="K27">
        <v>5</v>
      </c>
      <c r="L27">
        <f>IF(J27&gt;0,J27*0.453592,IF(K27&gt;0,K27*0.02835,))</f>
        <v>0.1417475</v>
      </c>
      <c r="M27">
        <v>0</v>
      </c>
      <c r="N27">
        <v>0</v>
      </c>
      <c r="O27">
        <f>I27+N27+M27</f>
        <v>48</v>
      </c>
      <c r="P27">
        <f>O27*C$3</f>
        <v>9120</v>
      </c>
      <c r="Q27">
        <f>ROUNDUP(HLOOKUP(IF(CEILING(L27,0.5)&lt;1,1,CEILING(L27,0.5)),'배송비 조회'!A$32:AY$36,2,0),-2)</f>
        <v>8000</v>
      </c>
      <c r="R27">
        <v>0</v>
      </c>
      <c r="S27">
        <f>ROUND((P27+Q27)*0.6,-2)</f>
        <v>10300</v>
      </c>
      <c r="T27">
        <f>ROUND((P27+Q27)*0.7,-2)</f>
        <v>12000</v>
      </c>
      <c r="U27">
        <f>ROUND(SUM(P27+Q27+R27+S27), -2)</f>
        <v>27400</v>
      </c>
      <c r="V27">
        <f>ROUND(P27+Q27+R27+T27, -2)</f>
        <v>29100</v>
      </c>
      <c r="W27">
        <v>0</v>
      </c>
      <c r="X27">
        <f>U27*0.038</f>
        <v>1041.2</v>
      </c>
      <c r="Y27">
        <f>U27*0.02</f>
        <v>548</v>
      </c>
      <c r="Z27">
        <f>V27*0.1</f>
        <v>2910</v>
      </c>
      <c r="AA27">
        <f>U27-X27-Y27</f>
        <v>25810.8</v>
      </c>
      <c r="AB27">
        <f>V27-Z27</f>
        <v>26190</v>
      </c>
      <c r="AC27">
        <f>AA27*0.01</f>
        <v>258.108</v>
      </c>
      <c r="AD27">
        <f>AA27-P27-AC27-Q27</f>
        <v>8432.692</v>
      </c>
      <c r="AE27">
        <f>AB27-P27-Q27-AC27</f>
        <v>8811.892</v>
      </c>
      <c r="AF27">
        <f>AD27/U27</f>
        <v>0.3077624817518248</v>
      </c>
      <c r="AG27">
        <f>AE27/V27</f>
        <v>0.30281415807560136</v>
      </c>
    </row>
    <row r="28">
      <c r="F28" t="str">
        <v>블랙</v>
      </c>
      <c r="G28" t="str">
        <f>HYPERLINK("https://detail.tmall.com/item.htm?id=587306434683&amp;skuId=4324721123135","A")</f>
        <v>A</v>
      </c>
      <c r="I28">
        <v>48</v>
      </c>
      <c r="J28">
        <f>IF(K28&gt;0,K28*0.0625,)</f>
        <v>0.3125</v>
      </c>
      <c r="K28">
        <v>5</v>
      </c>
      <c r="L28">
        <f>IF(J28&gt;0,J28*0.453592,IF(K28&gt;0,K28*0.02835,))</f>
        <v>0.1417475</v>
      </c>
      <c r="M28">
        <v>0</v>
      </c>
      <c r="N28">
        <v>0</v>
      </c>
      <c r="O28">
        <f>I28+N28+M28</f>
        <v>48</v>
      </c>
      <c r="P28">
        <f>O28*C$3</f>
        <v>9120</v>
      </c>
      <c r="Q28">
        <f>ROUNDUP(HLOOKUP(IF(CEILING(L28,0.5)&lt;1,1,CEILING(L28,0.5)),'배송비 조회'!A$32:AY$36,2,0),-2)</f>
        <v>8000</v>
      </c>
      <c r="R28">
        <v>0</v>
      </c>
      <c r="S28">
        <f>ROUND((P28+Q28)*0.6,-2)</f>
        <v>10300</v>
      </c>
      <c r="T28">
        <f>ROUND((P28+Q28)*0.7,-2)</f>
        <v>12000</v>
      </c>
      <c r="U28">
        <f>ROUND(SUM(P28+Q28+R28+S28), -2)</f>
        <v>27400</v>
      </c>
      <c r="V28">
        <f>ROUND(P28+Q28+R28+T28, -2)</f>
        <v>29100</v>
      </c>
      <c r="W28">
        <v>0</v>
      </c>
      <c r="X28">
        <f>U28*0.038</f>
        <v>1041.2</v>
      </c>
      <c r="Y28">
        <f>U28*0.02</f>
        <v>548</v>
      </c>
      <c r="Z28">
        <f>V28*0.1</f>
        <v>2910</v>
      </c>
      <c r="AA28">
        <f>U28-X28-Y28</f>
        <v>25810.8</v>
      </c>
      <c r="AB28">
        <f>V28-Z28</f>
        <v>26190</v>
      </c>
      <c r="AC28">
        <f>AA28*0.01</f>
        <v>258.108</v>
      </c>
      <c r="AD28">
        <f>AA28-P28-AC28-Q28</f>
        <v>8432.692</v>
      </c>
      <c r="AE28">
        <f>AB28-P28-Q28-AC28</f>
        <v>8811.892</v>
      </c>
      <c r="AF28">
        <f>AD28/U28</f>
        <v>0.3077624817518248</v>
      </c>
      <c r="AG28">
        <f>AE28/V28</f>
        <v>0.30281415807560136</v>
      </c>
    </row>
    <row r="29" xml:space="preserve">
      <c r="A29" t="str">
        <f>HYPERLINK("https://smartstore.naver.com/brickstore2019/products/4720275994","4720275994")</f>
        <v>4720275994</v>
      </c>
      <c r="C29" t="str">
        <v>골프 스윙밴드 골프 자세 교정 밴드(무료배송)</v>
      </c>
      <c r="E29" t="str" xml:space="preserve">
        <v xml:space="preserve">高尔夫挥杆训练器健身拉力带挥杆练球器材教学体能练习器阻力带_x000d_
</v>
      </c>
      <c r="G29" t="str">
        <f>HYPERLINK("https://detail.tmall.com/item.htm?id=586992337448&amp;areaId=370200&amp;user_id=2200659979547&amp;cat_id=2&amp;is_b=1&amp;rn=8111995cd0632ce16a66715a2aed9005","A")</f>
        <v>A</v>
      </c>
      <c r="I29">
        <v>70</v>
      </c>
      <c r="J29">
        <f>IF(K29&gt;0,K29*0.0625,)</f>
        <v>0.625</v>
      </c>
      <c r="K29">
        <v>10</v>
      </c>
      <c r="L29">
        <f>IF(J29&gt;0,J29*0.453592,IF(K29&gt;0,K29*0.02835,))</f>
        <v>0.283495</v>
      </c>
      <c r="M29">
        <v>0</v>
      </c>
      <c r="N29">
        <v>0</v>
      </c>
      <c r="O29">
        <f>I29+N29+M29</f>
        <v>70</v>
      </c>
      <c r="P29">
        <f>O29*C$3</f>
        <v>13300</v>
      </c>
      <c r="Q29">
        <f>ROUNDUP(HLOOKUP(IF(CEILING(L29,0.5)&lt;1,1,CEILING(L29,0.5)),'배송비 조회'!A$32:AY$36,2,0),-2)</f>
        <v>8000</v>
      </c>
      <c r="R29">
        <v>0</v>
      </c>
      <c r="S29">
        <f>ROUND((P29+Q29)*0.6,-2)</f>
        <v>12800</v>
      </c>
      <c r="T29">
        <f>ROUND((P29+Q29)*0.7,-2)</f>
        <v>14900</v>
      </c>
      <c r="U29">
        <f>ROUND(SUM(P29+Q29+R29+S29), -2)</f>
        <v>34100</v>
      </c>
      <c r="V29">
        <f>ROUND(P29+Q29+R29+T29, -2)</f>
        <v>36200</v>
      </c>
      <c r="W29">
        <v>0</v>
      </c>
      <c r="X29">
        <f>U29*0.038</f>
        <v>1295.8</v>
      </c>
      <c r="Y29">
        <f>U29*0.02</f>
        <v>682</v>
      </c>
      <c r="Z29">
        <f>V29*0.1</f>
        <v>3620</v>
      </c>
      <c r="AA29">
        <f>U29-X29-Y29</f>
        <v>32122.199999999997</v>
      </c>
      <c r="AB29">
        <f>V29-Z29</f>
        <v>32580</v>
      </c>
      <c r="AC29">
        <f>AA29*0.01</f>
        <v>321.222</v>
      </c>
      <c r="AD29">
        <f>AA29-P29-AC29-Q29</f>
        <v>10500.977999999996</v>
      </c>
      <c r="AE29">
        <f>AB29-P29-Q29-AC29</f>
        <v>10958.778</v>
      </c>
      <c r="AF29">
        <f>AD29/U29</f>
        <v>0.30794656891495586</v>
      </c>
      <c r="AG29">
        <f>AE29/V29</f>
        <v>0.3027286740331492</v>
      </c>
    </row>
    <row r="30" xml:space="preserve">
      <c r="A30" t="str">
        <f>HYPERLINK("https://smartstore.naver.com/brickstore2019/products/4721754307","4721754307")</f>
        <v>4721754307</v>
      </c>
      <c r="C30" t="str">
        <v>까눌레동틀 까눌레틀 12구 홈베이킹(무료배송)</v>
      </c>
      <c r="E30" t="str" xml:space="preserve">
        <v xml:space="preserve">学厨 金色12连杯可露丽不粘蛋糕模具可丽露烤箱家用烘焙 天使之铃_x000d_
</v>
      </c>
      <c r="G30" t="str">
        <f>HYPERLINK("https://detail.tmall.com/item.htm?id=580392053103&amp;skuId=4036831923383","A")</f>
        <v>A</v>
      </c>
      <c r="I30">
        <v>50</v>
      </c>
      <c r="J30">
        <f>IF(K30&gt;0,K30*0.0625,)</f>
        <v>2.1875</v>
      </c>
      <c r="K30">
        <v>35</v>
      </c>
      <c r="L30">
        <f>IF(J30&gt;0,J30*0.453592,IF(K30&gt;0,K30*0.02835,))</f>
        <v>0.9922325</v>
      </c>
      <c r="M30">
        <v>0</v>
      </c>
      <c r="N30">
        <v>0</v>
      </c>
      <c r="O30">
        <f>I30+N30+M30</f>
        <v>50</v>
      </c>
      <c r="P30">
        <f>O30*C$3</f>
        <v>9500</v>
      </c>
      <c r="Q30">
        <f>ROUNDUP(HLOOKUP(IF(CEILING(L30,0.5)&lt;1,1,CEILING(L30,0.5)),'배송비 조회'!A$32:AY$36,2,0),-2)</f>
        <v>8000</v>
      </c>
      <c r="R30">
        <v>0</v>
      </c>
      <c r="S30">
        <f>ROUND((P30+Q30)*0.5,-2)</f>
        <v>8800</v>
      </c>
      <c r="T30">
        <f>ROUND((P30+Q30)*0.7,-2)</f>
        <v>12300</v>
      </c>
      <c r="U30">
        <f>ROUND(SUM(P30+Q30+R30+S30), -2)</f>
        <v>26300</v>
      </c>
      <c r="V30">
        <f>ROUND(P30+Q30+R30+T30, -2)</f>
        <v>29800</v>
      </c>
      <c r="W30">
        <v>0</v>
      </c>
      <c r="X30">
        <f>U30*0.038</f>
        <v>999.4</v>
      </c>
      <c r="Y30">
        <f>U30*0.02</f>
        <v>526</v>
      </c>
      <c r="Z30">
        <f>V30*0.1</f>
        <v>2980</v>
      </c>
      <c r="AA30">
        <f>U30-X30-Y30</f>
        <v>24774.6</v>
      </c>
      <c r="AB30">
        <f>V30-Z30</f>
        <v>26820</v>
      </c>
      <c r="AC30">
        <f>AA30*0.01</f>
        <v>247.74599999999998</v>
      </c>
      <c r="AD30">
        <f>AA30-P30-AC30-Q30</f>
        <v>7026.853999999999</v>
      </c>
      <c r="AE30">
        <f>AB30-P30-Q30-AC30</f>
        <v>9072.254</v>
      </c>
      <c r="AF30">
        <f>AD30/U30</f>
        <v>0.26718076045627376</v>
      </c>
      <c r="AG30">
        <f>AE30/V30</f>
        <v>0.3044380536912752</v>
      </c>
    </row>
    <row r="31" xml:space="preserve">
      <c r="A31" t="str">
        <f>HYPERLINK("https://smartstore.naver.com/brickstore2019/products/4721784251","4721784251")</f>
        <v>4721784251</v>
      </c>
      <c r="C31" t="str">
        <v>베큐빈 남은 와인 보관 와인 세이버 진공펌프1개, 와인 스토퍼 4개(무료배송)</v>
      </c>
      <c r="E31" t="str" xml:space="preserve">
        <v xml:space="preserve">荷兰Vacu Vin红酒塞 葡萄酒真空瓶塞香槟塞家用保鲜塞 啤酒瓶塞子_x000d_
</v>
      </c>
      <c r="G31" t="str">
        <f>HYPERLINK("https://detail.tmall.com/item.htm?id=37332330339&amp;skuId=3105458738980","A")</f>
        <v>A</v>
      </c>
      <c r="I31">
        <v>118</v>
      </c>
      <c r="J31">
        <f>IF(K31&gt;0,K31*0.0625,)</f>
        <v>2.1875</v>
      </c>
      <c r="K31">
        <v>35</v>
      </c>
      <c r="L31">
        <f>IF(J31&gt;0,J31*0.453592,IF(K31&gt;0,K31*0.02835,))</f>
        <v>0.9922325</v>
      </c>
      <c r="M31">
        <v>0</v>
      </c>
      <c r="N31">
        <v>0</v>
      </c>
      <c r="O31">
        <f>I31+N31+M31</f>
        <v>118</v>
      </c>
      <c r="P31">
        <f>O31*C$3</f>
        <v>22420</v>
      </c>
      <c r="Q31">
        <f>ROUNDUP(HLOOKUP(IF(CEILING(L31,0.5)&lt;1,1,CEILING(L31,0.5)),'배송비 조회'!A$32:AY$36,2,0),-2)</f>
        <v>8000</v>
      </c>
      <c r="R31">
        <v>0</v>
      </c>
      <c r="S31">
        <f>ROUND((P31+Q31)*0.3,-2)</f>
        <v>9100</v>
      </c>
      <c r="T31">
        <f>ROUND((P31+Q31)*0.5,-2)</f>
        <v>15200</v>
      </c>
      <c r="U31">
        <f>ROUND(SUM(P31+Q31+R31+S31), -2)</f>
        <v>39500</v>
      </c>
      <c r="V31">
        <f>ROUND(P31+Q31+R31+T31, -2)</f>
        <v>45600</v>
      </c>
      <c r="W31">
        <v>0</v>
      </c>
      <c r="X31">
        <f>U31*0.038</f>
        <v>1501</v>
      </c>
      <c r="Y31">
        <f>U31*0.02</f>
        <v>790</v>
      </c>
      <c r="Z31">
        <f>V31*0.1</f>
        <v>4560</v>
      </c>
      <c r="AA31">
        <f>U31-X31-Y31</f>
        <v>37209</v>
      </c>
      <c r="AB31">
        <f>V31-Z31</f>
        <v>41040</v>
      </c>
      <c r="AC31">
        <f>AA31*0.01</f>
        <v>372.09000000000003</v>
      </c>
      <c r="AD31">
        <f>AA31-P31-AC31-Q31</f>
        <v>6416.91</v>
      </c>
      <c r="AE31">
        <f>AB31-P31-Q31-AC31</f>
        <v>10247.91</v>
      </c>
      <c r="AF31">
        <f>AD31/U31</f>
        <v>0.16245341772151897</v>
      </c>
      <c r="AG31">
        <f>AE31/V31</f>
        <v>0.22473486842105264</v>
      </c>
    </row>
    <row r="32" xml:space="preserve">
      <c r="A32" t="str">
        <f>HYPERLINK("https://smartstore.naver.com/brickstore2019/products/4724167330","4724167330")</f>
        <v>4724167330</v>
      </c>
      <c r="C32" t="str">
        <v>빔프로젝터 선반 거치대 브라켓 스피커 선반 35x25 cm (무료배송)</v>
      </c>
      <c r="E32" t="str" xml:space="preserve">
        <v xml:space="preserve">投影机壁架挂架投影仪吊架音箱墙面托架通用型大托盘床头支架钢板_x000d_
</v>
      </c>
      <c r="F32" t="str">
        <v>35 * 25 cm</v>
      </c>
      <c r="G32" t="str">
        <f>HYPERLINK("https://item.taobao.com/item.htm?id=521642894966","A")</f>
        <v>A</v>
      </c>
      <c r="I32">
        <v>40</v>
      </c>
      <c r="J32">
        <f>IF(K32&gt;0,K32*0.0625,)</f>
        <v>6.25</v>
      </c>
      <c r="K32">
        <v>100</v>
      </c>
      <c r="L32">
        <f>IF(J32&gt;0,J32*0.453592,IF(K32&gt;0,K32*0.02835,))</f>
        <v>2.83495</v>
      </c>
      <c r="M32">
        <v>0</v>
      </c>
      <c r="N32">
        <v>0</v>
      </c>
      <c r="O32">
        <f>I32+N32+M32</f>
        <v>40</v>
      </c>
      <c r="P32">
        <f>O32*C$3</f>
        <v>7600</v>
      </c>
      <c r="Q32">
        <f>ROUNDUP(HLOOKUP(IF(CEILING(L32,0.5)&lt;1,1,CEILING(L32,0.5)),'배송비 조회'!A$32:AY$36,2,0),-2)</f>
        <v>11200</v>
      </c>
      <c r="R32">
        <v>0</v>
      </c>
      <c r="S32">
        <f>ROUND((P32+Q32)*0.5,-2)</f>
        <v>9400</v>
      </c>
      <c r="T32">
        <f>ROUND((P32+Q32)*0.7,-2)</f>
        <v>13200</v>
      </c>
      <c r="U32">
        <f>ROUND(SUM(P32+Q32+R32+S32), -2)</f>
        <v>28200</v>
      </c>
      <c r="V32">
        <f>ROUND(P32+Q32+R32+T32, -2)</f>
        <v>32000</v>
      </c>
      <c r="W32">
        <v>0</v>
      </c>
      <c r="X32">
        <f>U32*0.038</f>
        <v>1071.6</v>
      </c>
      <c r="Y32">
        <f>U32*0.02</f>
        <v>564</v>
      </c>
      <c r="Z32">
        <f>V32*0.1</f>
        <v>3200</v>
      </c>
      <c r="AA32">
        <f>U32-X32-Y32</f>
        <v>26564.4</v>
      </c>
      <c r="AB32">
        <f>V32-Z32</f>
        <v>28800</v>
      </c>
      <c r="AC32">
        <f>AA32*0.01</f>
        <v>265.644</v>
      </c>
      <c r="AD32">
        <f>AA32-P32-AC32-Q32</f>
        <v>7498.756000000001</v>
      </c>
      <c r="AE32">
        <f>AB32-P32-Q32-AC32</f>
        <v>9734.356</v>
      </c>
      <c r="AF32">
        <f>AD32/U32</f>
        <v>0.2659133333333334</v>
      </c>
      <c r="AG32">
        <f>AE32/V32</f>
        <v>0.304198625</v>
      </c>
    </row>
    <row r="33" xml:space="preserve">
      <c r="A33" t="str">
        <f>HYPERLINK("https://smartstore.naver.com/brickstore2019/products/4724197443","4724197443")</f>
        <v>4724197443</v>
      </c>
      <c r="C33" t="str" xml:space="preserve">
        <v xml:space="preserve">조개접시 조개트레이 수제그릇(무료배송)_x000d_
</v>
      </c>
      <c r="E33" t="str">
        <v>日式创意陶瓷餐具贝壳碟装菜盘商用摆盘水果沙拉盘子小吃蛋糕碟子</v>
      </c>
      <c r="F33" t="str">
        <v>스타일1</v>
      </c>
      <c r="G33" t="str">
        <f>HYPERLINK("https://detail.tmall.com/item.htm?id=579642651530&amp;skuId=3851312148366","A")</f>
        <v>A</v>
      </c>
      <c r="I33">
        <v>20</v>
      </c>
      <c r="J33">
        <f>IF(K33&gt;0,K33*0.0625,)</f>
        <v>2.1875</v>
      </c>
      <c r="K33">
        <v>35</v>
      </c>
      <c r="L33">
        <f>IF(J33&gt;0,J33*0.453592,IF(K33&gt;0,K33*0.02835,))</f>
        <v>0.9922325</v>
      </c>
      <c r="M33">
        <v>0</v>
      </c>
      <c r="N33">
        <v>0</v>
      </c>
      <c r="O33">
        <f>I33+N33+M33</f>
        <v>20</v>
      </c>
      <c r="P33">
        <f>O33*C$3</f>
        <v>3800</v>
      </c>
      <c r="Q33">
        <f>ROUNDUP(HLOOKUP(IF(CEILING(L33,0.5)&lt;1,1,CEILING(L33,0.5)),'배송비 조회'!A$32:AY$36,2,0),-2)</f>
        <v>8000</v>
      </c>
      <c r="R33">
        <v>0</v>
      </c>
      <c r="S33">
        <f>ROUND((P33+Q33)*0.6,-2)</f>
        <v>7100</v>
      </c>
      <c r="T33">
        <f>ROUND((P33+Q33)*0.7,-2)</f>
        <v>8300</v>
      </c>
      <c r="U33">
        <f>ROUND(SUM(P33+Q33+R33+S33), -2)</f>
        <v>18900</v>
      </c>
      <c r="V33">
        <f>ROUND(P33+Q33+R33+T33, -2)</f>
        <v>20100</v>
      </c>
      <c r="W33">
        <v>0</v>
      </c>
      <c r="X33">
        <f>U33*0.038</f>
        <v>718.1999999999999</v>
      </c>
      <c r="Y33">
        <f>U33*0.02</f>
        <v>378</v>
      </c>
      <c r="Z33">
        <f>V33*0.1</f>
        <v>2010</v>
      </c>
      <c r="AA33">
        <f>U33-X33-Y33</f>
        <v>17803.8</v>
      </c>
      <c r="AB33">
        <f>V33-Z33</f>
        <v>18090</v>
      </c>
      <c r="AC33">
        <f>AA33*0.01</f>
        <v>178.03799999999998</v>
      </c>
      <c r="AD33">
        <f>AA33-P33-AC33-Q33</f>
        <v>5825.761999999999</v>
      </c>
      <c r="AE33">
        <f>AB33-P33-Q33-AC33</f>
        <v>6111.962</v>
      </c>
      <c r="AF33">
        <f>AD33/U33</f>
        <v>0.3082413756613756</v>
      </c>
      <c r="AG33">
        <f>AE33/V33</f>
        <v>0.3040777114427861</v>
      </c>
    </row>
    <row r="34">
      <c r="F34" t="str">
        <v>스타일2</v>
      </c>
      <c r="G34" t="str">
        <f>HYPERLINK("https://detail.tmall.com/item.htm?id=579642651530&amp;skuId=3851312148367","A")</f>
        <v>A</v>
      </c>
      <c r="I34">
        <v>20</v>
      </c>
      <c r="J34">
        <f>IF(K34&gt;0,K34*0.0625,)</f>
        <v>2.1875</v>
      </c>
      <c r="K34">
        <v>35</v>
      </c>
      <c r="L34">
        <f>IF(J34&gt;0,J34*0.453592,IF(K34&gt;0,K34*0.02835,))</f>
        <v>0.9922325</v>
      </c>
      <c r="M34">
        <v>0</v>
      </c>
      <c r="N34">
        <v>0</v>
      </c>
      <c r="O34">
        <f>I34+N34+M34</f>
        <v>20</v>
      </c>
      <c r="P34">
        <f>O34*C$3</f>
        <v>3800</v>
      </c>
      <c r="Q34">
        <f>ROUNDUP(HLOOKUP(IF(CEILING(L34,0.5)&lt;1,1,CEILING(L34,0.5)),'배송비 조회'!A$32:AY$36,2,0),-2)</f>
        <v>8000</v>
      </c>
      <c r="R34">
        <v>0</v>
      </c>
      <c r="S34">
        <f>ROUND((P34+Q34)*0.6,-2)</f>
        <v>7100</v>
      </c>
      <c r="T34">
        <f>ROUND((P34+Q34)*0.7,-2)</f>
        <v>8300</v>
      </c>
      <c r="U34">
        <f>ROUND(SUM(P34+Q34+R34+S34), -2)</f>
        <v>18900</v>
      </c>
      <c r="V34">
        <f>ROUND(P34+Q34+R34+T34, -2)</f>
        <v>20100</v>
      </c>
      <c r="W34">
        <v>0</v>
      </c>
      <c r="X34">
        <f>U34*0.038</f>
        <v>718.1999999999999</v>
      </c>
      <c r="Y34">
        <f>U34*0.02</f>
        <v>378</v>
      </c>
      <c r="Z34">
        <f>V34*0.1</f>
        <v>2010</v>
      </c>
      <c r="AA34">
        <f>U34-X34-Y34</f>
        <v>17803.8</v>
      </c>
      <c r="AB34">
        <f>V34-Z34</f>
        <v>18090</v>
      </c>
      <c r="AC34">
        <f>AA34*0.01</f>
        <v>178.03799999999998</v>
      </c>
      <c r="AD34">
        <f>AA34-P34-AC34-Q34</f>
        <v>5825.761999999999</v>
      </c>
      <c r="AE34">
        <f>AB34-P34-Q34-AC34</f>
        <v>6111.962</v>
      </c>
      <c r="AF34">
        <f>AD34/U34</f>
        <v>0.3082413756613756</v>
      </c>
      <c r="AG34">
        <f>AE34/V34</f>
        <v>0.3040777114427861</v>
      </c>
    </row>
    <row r="35">
      <c r="A35" t="str">
        <f>HYPERLINK("https://smartstore.naver.com/brickstore2019/products/4727854343","4727854343")</f>
        <v>4727854343</v>
      </c>
      <c r="C35" t="str">
        <v>윌튼 팁 세트 24팁 꽃잎 윌튼 깍지</v>
      </c>
      <c r="G35" t="str">
        <f>HYPERLINK("https://detail.tmall.com/item.htm?spm=a230r.1.999.98.53f7523cqfh1mp&amp;id=595039233214&amp;ns=1&amp;skuId=4200113004935","A")</f>
        <v>A</v>
      </c>
      <c r="I35">
        <v>25</v>
      </c>
      <c r="J35">
        <f>IF(K35&gt;0,K35*0.0625,)</f>
        <v>2.1875</v>
      </c>
      <c r="K35">
        <v>35</v>
      </c>
      <c r="L35">
        <f>IF(J35&gt;0,J35*0.453592,IF(K35&gt;0,K35*0.02835,))</f>
        <v>0.9922325</v>
      </c>
      <c r="M35">
        <v>0</v>
      </c>
      <c r="N35">
        <v>0</v>
      </c>
      <c r="O35">
        <f>I35+N35+M35</f>
        <v>25</v>
      </c>
      <c r="P35">
        <f>O35*C$3</f>
        <v>4750</v>
      </c>
      <c r="Q35">
        <f>ROUNDUP(HLOOKUP(IF(CEILING(L35,0.5)&lt;1,1,CEILING(L35,0.5)),'배송비 조회'!A$32:AY$36,2,0),-2)</f>
        <v>8000</v>
      </c>
      <c r="R35">
        <v>0</v>
      </c>
      <c r="S35">
        <f>ROUND((P35+Q35)*0.5,-2)</f>
        <v>6400</v>
      </c>
      <c r="T35">
        <f>ROUND((P35+Q35)*0.7,-2)</f>
        <v>8900</v>
      </c>
      <c r="U35">
        <f>ROUND(SUM(P35+Q35+R35+S35), -2)</f>
        <v>19200</v>
      </c>
      <c r="V35">
        <f>ROUND(P35+Q35+R35+T35, -2)</f>
        <v>21700</v>
      </c>
      <c r="W35">
        <v>0</v>
      </c>
      <c r="X35">
        <f>U35*0.038</f>
        <v>729.6</v>
      </c>
      <c r="Y35">
        <f>U35*0.02</f>
        <v>384</v>
      </c>
      <c r="Z35">
        <f>V35*0.1</f>
        <v>2170</v>
      </c>
      <c r="AA35">
        <f>U35-X35-Y35</f>
        <v>18086.4</v>
      </c>
      <c r="AB35">
        <f>V35-Z35</f>
        <v>19530</v>
      </c>
      <c r="AC35">
        <f>AA35*0.01</f>
        <v>180.864</v>
      </c>
      <c r="AD35">
        <f>AA35-P35-AC35-Q35</f>
        <v>5155.536000000002</v>
      </c>
      <c r="AE35">
        <f>AB35-P35-Q35-AC35</f>
        <v>6599.136</v>
      </c>
      <c r="AF35">
        <f>AD35/U35</f>
        <v>0.2685175000000001</v>
      </c>
      <c r="AG35">
        <f>AE35/V35</f>
        <v>0.30410764976958526</v>
      </c>
    </row>
    <row r="36" xml:space="preserve">
      <c r="A36" t="str">
        <f>HYPERLINK("https://smartstore.naver.com/brickstore2019/products/4728982336","4728982336")</f>
        <v>4728982336</v>
      </c>
      <c r="B36" t="str">
        <f>HYPERLINK("https://www.coupang.com/vp/products/335296526?vendorItemId=5558360855","335296526")</f>
        <v>335296526</v>
      </c>
      <c r="C36" t="str">
        <v>베이킹용 저울 계량컵형 저울 베이킹 용품</v>
      </c>
      <c r="D36" t="str">
        <v xml:space="preserve">베이킹용 저울 계량컵형 저울 베이킹 용품	</v>
      </c>
      <c r="E36" t="str" xml:space="preserve">
        <v xml:space="preserve">厨房秤家用食物烘焙秤蛋糕电子称小台秤天平称精准称重带量杯_x000d_
</v>
      </c>
      <c r="F36" t="str">
        <v>레드</v>
      </c>
      <c r="G36" t="str">
        <f>HYPERLINK("https://item.taobao.com/item.htm?spm=a230r.1.999.1.45ab523cCgKlug&amp;id=550682123913&amp;ns=1#detail","A")</f>
        <v>A</v>
      </c>
      <c r="I36">
        <v>60</v>
      </c>
      <c r="J36">
        <f>IF(K36&gt;0,K36*0.0625,)</f>
        <v>2.1875</v>
      </c>
      <c r="K36">
        <v>35</v>
      </c>
      <c r="L36">
        <f>IF(J36&gt;0,J36*0.453592,IF(K36&gt;0,K36*0.02835,))</f>
        <v>0.9922325</v>
      </c>
      <c r="M36">
        <v>0</v>
      </c>
      <c r="N36">
        <v>0</v>
      </c>
      <c r="O36">
        <f>I36+N36+M36</f>
        <v>60</v>
      </c>
      <c r="P36">
        <f>O36*C$3</f>
        <v>11400</v>
      </c>
      <c r="Q36">
        <f>ROUNDUP(HLOOKUP(IF(CEILING(L36,0.5)&lt;1,1,CEILING(L36,0.5)),'배송비 조회'!A$32:AY$36,2,0),-2)</f>
        <v>8000</v>
      </c>
      <c r="R36">
        <v>0</v>
      </c>
      <c r="S36">
        <f>ROUND((P36+Q36)*0.4,-2)</f>
        <v>7800</v>
      </c>
      <c r="T36">
        <f>ROUND((P36+Q36)*0.5,-2)</f>
        <v>9700</v>
      </c>
      <c r="U36">
        <f>ROUND(SUM(P36+Q36+R36+S36), -2)</f>
        <v>27200</v>
      </c>
      <c r="V36">
        <f>ROUND(P36+Q36+R36+T36, -2)</f>
        <v>29100</v>
      </c>
      <c r="W36">
        <v>0</v>
      </c>
      <c r="X36">
        <f>U36*0.038</f>
        <v>1033.6</v>
      </c>
      <c r="Y36">
        <f>U36*0.02</f>
        <v>544</v>
      </c>
      <c r="Z36">
        <f>V36*0.1</f>
        <v>2910</v>
      </c>
      <c r="AA36">
        <f>U36-X36-Y36</f>
        <v>25622.4</v>
      </c>
      <c r="AB36">
        <f>V36-Z36</f>
        <v>26190</v>
      </c>
      <c r="AC36">
        <f>AA36*0.01</f>
        <v>256.22400000000005</v>
      </c>
      <c r="AD36">
        <f>AA36-P36-AC36-Q36</f>
        <v>5966.176000000001</v>
      </c>
      <c r="AE36">
        <f>AB36-P36-Q36-AC36</f>
        <v>6533.776</v>
      </c>
      <c r="AF36">
        <f>AD36/U36</f>
        <v>0.219344705882353</v>
      </c>
      <c r="AG36">
        <f>AE36/V36</f>
        <v>0.22452838487972507</v>
      </c>
    </row>
    <row r="37">
      <c r="F37" t="str">
        <v>그린</v>
      </c>
      <c r="G37" t="str">
        <f>HYPERLINK("https://item.taobao.com/item.htm?spm=a230r.1.999.1.45ab523cCgKlug&amp;id=550682123913&amp;ns=1#detail","A")</f>
        <v>A</v>
      </c>
      <c r="I37">
        <v>60</v>
      </c>
      <c r="J37">
        <f>IF(K37&gt;0,K37*0.0625,)</f>
        <v>2.1875</v>
      </c>
      <c r="K37">
        <v>35</v>
      </c>
      <c r="L37">
        <f>IF(J37&gt;0,J37*0.453592,IF(K37&gt;0,K37*0.02835,))</f>
        <v>0.9922325</v>
      </c>
      <c r="M37">
        <v>0</v>
      </c>
      <c r="N37">
        <v>0</v>
      </c>
      <c r="O37">
        <f>I37+N37+M37</f>
        <v>60</v>
      </c>
      <c r="P37">
        <f>O37*C$3</f>
        <v>11400</v>
      </c>
      <c r="Q37">
        <f>ROUNDUP(HLOOKUP(IF(CEILING(L37,0.5)&lt;1,1,CEILING(L37,0.5)),'배송비 조회'!A$32:AY$36,2,0),-2)</f>
        <v>8000</v>
      </c>
      <c r="R37">
        <v>0</v>
      </c>
      <c r="S37">
        <f>ROUND((P37+Q37)*0.4,-2)</f>
        <v>7800</v>
      </c>
      <c r="T37">
        <f>ROUND((P37+Q37)*0.5,-2)</f>
        <v>9700</v>
      </c>
      <c r="U37">
        <f>ROUND(SUM(P37+Q37+R37+S37), -2)</f>
        <v>27200</v>
      </c>
      <c r="V37">
        <f>ROUND(P37+Q37+R37+T37, -2)</f>
        <v>29100</v>
      </c>
      <c r="W37">
        <v>0</v>
      </c>
      <c r="X37">
        <f>U37*0.038</f>
        <v>1033.6</v>
      </c>
      <c r="Y37">
        <f>U37*0.02</f>
        <v>544</v>
      </c>
      <c r="Z37">
        <f>V37*0.1</f>
        <v>2910</v>
      </c>
      <c r="AA37">
        <f>U37-X37-Y37</f>
        <v>25622.4</v>
      </c>
      <c r="AB37">
        <f>V37-Z37</f>
        <v>26190</v>
      </c>
      <c r="AC37">
        <f>AA37*0.01</f>
        <v>256.22400000000005</v>
      </c>
      <c r="AD37">
        <f>AA37-P37-AC37-Q37</f>
        <v>5966.176000000001</v>
      </c>
      <c r="AE37">
        <f>AB37-P37-Q37-AC37</f>
        <v>6533.776</v>
      </c>
      <c r="AF37">
        <f>AD37/U37</f>
        <v>0.219344705882353</v>
      </c>
      <c r="AG37">
        <f>AE37/V37</f>
        <v>0.22452838487972507</v>
      </c>
    </row>
    <row r="38">
      <c r="F38" t="str">
        <v>블랙</v>
      </c>
      <c r="G38" t="str">
        <f>HYPERLINK("https://item.taobao.com/item.htm?spm=a230r.1.999.1.45ab523cCgKlug&amp;id=550682123913&amp;ns=1#detail","A")</f>
        <v>A</v>
      </c>
      <c r="I38">
        <v>60</v>
      </c>
      <c r="J38">
        <f>IF(K38&gt;0,K38*0.0625,)</f>
        <v>2.1875</v>
      </c>
      <c r="K38">
        <v>35</v>
      </c>
      <c r="L38">
        <f>IF(J38&gt;0,J38*0.453592,IF(K38&gt;0,K38*0.02835,))</f>
        <v>0.9922325</v>
      </c>
      <c r="M38">
        <v>0</v>
      </c>
      <c r="N38">
        <v>0</v>
      </c>
      <c r="O38">
        <f>I38+N38+M38</f>
        <v>60</v>
      </c>
      <c r="P38">
        <f>O38*C$3</f>
        <v>11400</v>
      </c>
      <c r="Q38">
        <f>ROUNDUP(HLOOKUP(IF(CEILING(L38,0.5)&lt;1,1,CEILING(L38,0.5)),'배송비 조회'!A$32:AY$36,2,0),-2)</f>
        <v>8000</v>
      </c>
      <c r="R38">
        <v>0</v>
      </c>
      <c r="S38">
        <f>ROUND((P38+Q38)*0.4,-2)</f>
        <v>7800</v>
      </c>
      <c r="T38">
        <f>ROUND((P38+Q38)*0.5,-2)</f>
        <v>9700</v>
      </c>
      <c r="U38">
        <f>ROUND(SUM(P38+Q38+R38+S38), -2)</f>
        <v>27200</v>
      </c>
      <c r="V38">
        <f>ROUND(P38+Q38+R38+T38, -2)</f>
        <v>29100</v>
      </c>
      <c r="W38">
        <v>0</v>
      </c>
      <c r="X38">
        <f>U38*0.038</f>
        <v>1033.6</v>
      </c>
      <c r="Y38">
        <f>U38*0.02</f>
        <v>544</v>
      </c>
      <c r="Z38">
        <f>V38*0.1</f>
        <v>2910</v>
      </c>
      <c r="AA38">
        <f>U38-X38-Y38</f>
        <v>25622.4</v>
      </c>
      <c r="AB38">
        <f>V38-Z38</f>
        <v>26190</v>
      </c>
      <c r="AC38">
        <f>AA38*0.01</f>
        <v>256.22400000000005</v>
      </c>
      <c r="AD38">
        <f>AA38-P38-AC38-Q38</f>
        <v>5966.176000000001</v>
      </c>
      <c r="AE38">
        <f>AB38-P38-Q38-AC38</f>
        <v>6533.776</v>
      </c>
      <c r="AF38">
        <f>AD38/U38</f>
        <v>0.219344705882353</v>
      </c>
      <c r="AG38">
        <f>AE38/V38</f>
        <v>0.22452838487972507</v>
      </c>
    </row>
    <row r="39">
      <c r="A39" t="str">
        <f>HYPERLINK("https://smartstore.naver.com/brickstore2019/products/4729017628","4729017628")</f>
        <v>4729017628</v>
      </c>
      <c r="B39" t="str">
        <f>HYPERLINK("https://www.coupang.com/vp/products/335304310?vendorItemId=5558393491","335304310")</f>
        <v>335304310</v>
      </c>
      <c r="C39" t="str">
        <v>베이킹믹싱볼 핸드믹서 덮개믹싱볼 (무료배송)</v>
      </c>
      <c r="E39" t="str">
        <v>不锈钢打蛋盆加深家用和面揉面盆带盖水果沙拉洗菜盆烘焙厨房工具</v>
      </c>
      <c r="F39" t="str">
        <v>18CM</v>
      </c>
      <c r="G39" t="str">
        <f>HYPERLINK("https://item.taobao.com/item.htm?spm=a230r.1.999.1.6534523cEmgf96&amp;id=577932314106&amp;ns=1#detail","A")</f>
        <v>A</v>
      </c>
      <c r="I39">
        <v>27</v>
      </c>
      <c r="J39">
        <f>IF(K39&gt;0,K39*0.0625,)</f>
        <v>2.1875</v>
      </c>
      <c r="K39">
        <v>35</v>
      </c>
      <c r="L39">
        <f>IF(J39&gt;0,J39*0.453592,IF(K39&gt;0,K39*0.02835,))</f>
        <v>0.9922325</v>
      </c>
      <c r="M39">
        <v>0</v>
      </c>
      <c r="N39">
        <v>0</v>
      </c>
      <c r="O39">
        <f>I39+N39+M39</f>
        <v>27</v>
      </c>
      <c r="P39">
        <f>O39*C$3</f>
        <v>5130</v>
      </c>
      <c r="Q39">
        <f>ROUNDUP(HLOOKUP(IF(CEILING(L39,0.5)&lt;1,1,CEILING(L39,0.5)),'배송비 조회'!A$32:AY$36,2,0),-2)</f>
        <v>8000</v>
      </c>
      <c r="R39">
        <v>0</v>
      </c>
      <c r="S39">
        <f>ROUND((P39+Q39)*0.5,-2)</f>
        <v>6600</v>
      </c>
      <c r="T39">
        <f>ROUND((P39+Q39)*0.6,-2)</f>
        <v>7900</v>
      </c>
      <c r="U39">
        <f>ROUND(SUM(P39+Q39+R39+S39), -2)</f>
        <v>19700</v>
      </c>
      <c r="V39">
        <f>ROUND(P39+Q39+R39+T39, -2)</f>
        <v>21000</v>
      </c>
      <c r="W39">
        <v>0</v>
      </c>
      <c r="X39">
        <f>U39*0.038</f>
        <v>748.6</v>
      </c>
      <c r="Y39">
        <f>U39*0.02</f>
        <v>394</v>
      </c>
      <c r="Z39">
        <f>V39*0.1</f>
        <v>2100</v>
      </c>
      <c r="AA39">
        <f>U39-X39-Y39</f>
        <v>18557.4</v>
      </c>
      <c r="AB39">
        <f>V39-Z39</f>
        <v>18900</v>
      </c>
      <c r="AC39">
        <f>AA39*0.01</f>
        <v>185.574</v>
      </c>
      <c r="AD39">
        <f>AA39-P39-AC39-Q39</f>
        <v>5241.826000000001</v>
      </c>
      <c r="AE39">
        <f>AB39-P39-Q39-AC39</f>
        <v>5584.426</v>
      </c>
      <c r="AF39">
        <f>AD39/U39</f>
        <v>0.266082538071066</v>
      </c>
      <c r="AG39">
        <f>AE39/V39</f>
        <v>0.2659250476190476</v>
      </c>
    </row>
    <row r="40">
      <c r="F40" t="str">
        <v>24CM</v>
      </c>
      <c r="G40" t="str">
        <f>HYPERLINK("https://item.taobao.com/item.htm?spm=a230r.1.999.1.6534523cEmgf96&amp;id=577932314106&amp;ns=1#detail","A")</f>
        <v>A</v>
      </c>
      <c r="I40">
        <v>39</v>
      </c>
      <c r="J40">
        <f>IF(K40&gt;0,K40*0.0625,)</f>
        <v>2.1875</v>
      </c>
      <c r="K40">
        <v>35</v>
      </c>
      <c r="L40">
        <f>IF(J40&gt;0,J40*0.453592,IF(K40&gt;0,K40*0.02835,))</f>
        <v>0.9922325</v>
      </c>
      <c r="M40">
        <v>0</v>
      </c>
      <c r="N40">
        <v>0</v>
      </c>
      <c r="O40">
        <f>I40+N40+M40</f>
        <v>39</v>
      </c>
      <c r="P40">
        <f>O40*C$3</f>
        <v>7410</v>
      </c>
      <c r="Q40">
        <f>ROUNDUP(HLOOKUP(IF(CEILING(L40,0.5)&lt;1,1,CEILING(L40,0.5)),'배송비 조회'!A$32:AY$36,2,0),-2)</f>
        <v>8000</v>
      </c>
      <c r="R40">
        <v>0</v>
      </c>
      <c r="S40">
        <f>ROUND((P40+Q40)*0.5,-2)</f>
        <v>7700</v>
      </c>
      <c r="T40">
        <f>ROUND((P40+Q40)*0.6,-2)</f>
        <v>9200</v>
      </c>
      <c r="U40">
        <f>ROUND(SUM(P40+Q40+R40+S40), -2)</f>
        <v>23100</v>
      </c>
      <c r="V40">
        <f>ROUND(P40+Q40+R40+T40, -2)</f>
        <v>24600</v>
      </c>
      <c r="W40">
        <v>0</v>
      </c>
      <c r="X40">
        <f>U40*0.038</f>
        <v>877.8</v>
      </c>
      <c r="Y40">
        <f>U40*0.02</f>
        <v>462</v>
      </c>
      <c r="Z40">
        <f>V40*0.1</f>
        <v>2460</v>
      </c>
      <c r="AA40">
        <f>U40-X40-Y40</f>
        <v>21760.2</v>
      </c>
      <c r="AB40">
        <f>V40-Z40</f>
        <v>22140</v>
      </c>
      <c r="AC40">
        <f>AA40*0.01</f>
        <v>217.602</v>
      </c>
      <c r="AD40">
        <f>AA40-P40-AC40-Q40</f>
        <v>6132.598</v>
      </c>
      <c r="AE40">
        <f>AB40-P40-Q40-AC40</f>
        <v>6512.398</v>
      </c>
      <c r="AF40">
        <f>AD40/U40</f>
        <v>0.2654804329004329</v>
      </c>
      <c r="AG40">
        <f>AE40/V40</f>
        <v>0.26473162601626016</v>
      </c>
      <c r="AH40">
        <f>U40-U39</f>
        <v>3400</v>
      </c>
    </row>
    <row r="41" xml:space="preserve">
      <c r="A41" t="str">
        <f>HYPERLINK("https://smartstore.naver.com/brickstore2019/products/4730103849","4730103849")</f>
        <v>4730103849</v>
      </c>
      <c r="C41" t="str">
        <v>휘핑크림기계 카페휘핑크림 500ml (무료배송)</v>
      </c>
      <c r="E41" t="str" xml:space="preserve">
        <v xml:space="preserve">冰激凌奶油枪发泡器 咖啡奶油裱花枪奶油瓶250ml 500ml 多色可选_x000d_
</v>
      </c>
      <c r="F41" t="str">
        <v>화이트</v>
      </c>
      <c r="G41" t="str">
        <f>HYPERLINK("https://item.taobao.com/item.htm?spm=a230r.1.999.1.21de523crdKwg5&amp;id=584417801631&amp;ns=1#detail","A")</f>
        <v>A</v>
      </c>
      <c r="I41">
        <v>69</v>
      </c>
      <c r="J41">
        <f>IF(K41&gt;0,K41*0.0625,)</f>
        <v>2.1875</v>
      </c>
      <c r="K41">
        <v>35</v>
      </c>
      <c r="L41">
        <f>IF(J41&gt;0,J41*0.453592,IF(K41&gt;0,K41*0.02835,))</f>
        <v>0.9922325</v>
      </c>
      <c r="M41">
        <v>0</v>
      </c>
      <c r="N41">
        <v>0</v>
      </c>
      <c r="O41">
        <f>I41+N41+M41</f>
        <v>69</v>
      </c>
      <c r="P41">
        <f>O41*C$3</f>
        <v>13110</v>
      </c>
      <c r="Q41">
        <f>ROUNDUP(HLOOKUP(IF(CEILING(L41,0.5)&lt;1,1,CEILING(L41,0.5)),'배송비 조회'!A$32:AY$36,2,0),-2)</f>
        <v>8000</v>
      </c>
      <c r="R41">
        <v>0</v>
      </c>
      <c r="S41">
        <f>ROUND((P41+Q41)*0.6,-2)</f>
        <v>12700</v>
      </c>
      <c r="T41">
        <f>ROUND((P41+Q41)*0.7,-2)</f>
        <v>14800</v>
      </c>
      <c r="U41">
        <f>ROUND(SUM(P41+Q41+R41+S41), -2)</f>
        <v>33800</v>
      </c>
      <c r="V41">
        <f>ROUND(P41+Q41+R41+T41, -2)</f>
        <v>35900</v>
      </c>
      <c r="W41">
        <v>0</v>
      </c>
      <c r="X41">
        <f>U41*0.038</f>
        <v>1284.3999999999999</v>
      </c>
      <c r="Y41">
        <f>U41*0.02</f>
        <v>676</v>
      </c>
      <c r="Z41">
        <f>V41*0.1</f>
        <v>3590</v>
      </c>
      <c r="AA41">
        <f>U41-X41-Y41</f>
        <v>31839.6</v>
      </c>
      <c r="AB41">
        <f>V41-Z41</f>
        <v>32310</v>
      </c>
      <c r="AC41">
        <f>AA41*0.01</f>
        <v>318.396</v>
      </c>
      <c r="AD41">
        <f>AA41-P41-AC41-Q41</f>
        <v>10411.203999999998</v>
      </c>
      <c r="AE41">
        <f>AB41-P41-Q41-AC41</f>
        <v>10881.604</v>
      </c>
      <c r="AF41">
        <f>AD41/U41</f>
        <v>0.30802378698224847</v>
      </c>
      <c r="AG41">
        <f>AE41/V41</f>
        <v>0.3031087465181058</v>
      </c>
    </row>
    <row r="42">
      <c r="F42" t="str">
        <v>실버</v>
      </c>
      <c r="G42" t="str">
        <f>HYPERLINK("https://item.taobao.com/item.htm?spm=a230r.1.999.1.21de523crdKwg5&amp;id=584417801631&amp;ns=1#detail","A")</f>
        <v>A</v>
      </c>
      <c r="I42">
        <v>69</v>
      </c>
      <c r="J42">
        <f>IF(K42&gt;0,K42*0.0625,)</f>
        <v>2.1875</v>
      </c>
      <c r="K42">
        <v>35</v>
      </c>
      <c r="L42">
        <f>IF(J42&gt;0,J42*0.453592,IF(K42&gt;0,K42*0.02835,))</f>
        <v>0.9922325</v>
      </c>
      <c r="M42">
        <v>0</v>
      </c>
      <c r="N42">
        <v>0</v>
      </c>
      <c r="O42">
        <f>I42+N42+M42</f>
        <v>69</v>
      </c>
      <c r="P42">
        <f>O42*C$3</f>
        <v>13110</v>
      </c>
      <c r="Q42">
        <f>ROUNDUP(HLOOKUP(IF(CEILING(L42,0.5)&lt;1,1,CEILING(L42,0.5)),'배송비 조회'!A$32:AY$36,2,0),-2)</f>
        <v>8000</v>
      </c>
      <c r="R42">
        <v>0</v>
      </c>
      <c r="S42">
        <f>ROUND((P42+Q42)*0.6,-2)</f>
        <v>12700</v>
      </c>
      <c r="T42">
        <f>ROUND((P42+Q42)*0.7,-2)</f>
        <v>14800</v>
      </c>
      <c r="U42">
        <f>ROUND(SUM(P42+Q42+R42+S42), -2)</f>
        <v>33800</v>
      </c>
      <c r="V42">
        <f>ROUND(P42+Q42+R42+T42, -2)</f>
        <v>35900</v>
      </c>
      <c r="W42">
        <v>0</v>
      </c>
      <c r="X42">
        <f>U42*0.038</f>
        <v>1284.3999999999999</v>
      </c>
      <c r="Y42">
        <f>U42*0.02</f>
        <v>676</v>
      </c>
      <c r="Z42">
        <f>V42*0.1</f>
        <v>3590</v>
      </c>
      <c r="AA42">
        <f>U42-X42-Y42</f>
        <v>31839.6</v>
      </c>
      <c r="AB42">
        <f>V42-Z42</f>
        <v>32310</v>
      </c>
      <c r="AC42">
        <f>AA42*0.01</f>
        <v>318.396</v>
      </c>
      <c r="AD42">
        <f>AA42-P42-AC42-Q42</f>
        <v>10411.203999999998</v>
      </c>
      <c r="AE42">
        <f>AB42-P42-Q42-AC42</f>
        <v>10881.604</v>
      </c>
      <c r="AF42">
        <f>AD42/U42</f>
        <v>0.30802378698224847</v>
      </c>
      <c r="AG42">
        <f>AE42/V42</f>
        <v>0.3031087465181058</v>
      </c>
    </row>
    <row r="43">
      <c r="F43" t="str">
        <v>블랙</v>
      </c>
      <c r="G43" t="str">
        <f>HYPERLINK("https://item.taobao.com/item.htm?spm=a230r.1.999.1.21de523crdKwg5&amp;id=584417801631&amp;ns=1#detail","A")</f>
        <v>A</v>
      </c>
      <c r="I43">
        <v>69</v>
      </c>
      <c r="J43">
        <f>IF(K43&gt;0,K43*0.0625,)</f>
        <v>2.1875</v>
      </c>
      <c r="K43">
        <v>35</v>
      </c>
      <c r="L43">
        <f>IF(J43&gt;0,J43*0.453592,IF(K43&gt;0,K43*0.02835,))</f>
        <v>0.9922325</v>
      </c>
      <c r="M43">
        <v>0</v>
      </c>
      <c r="N43">
        <v>0</v>
      </c>
      <c r="O43">
        <f>I43+N43+M43</f>
        <v>69</v>
      </c>
      <c r="P43">
        <f>O43*C$3</f>
        <v>13110</v>
      </c>
      <c r="Q43">
        <f>ROUNDUP(HLOOKUP(IF(CEILING(L43,0.5)&lt;1,1,CEILING(L43,0.5)),'배송비 조회'!A$32:AY$36,2,0),-2)</f>
        <v>8000</v>
      </c>
      <c r="R43">
        <v>0</v>
      </c>
      <c r="S43">
        <f>ROUND((P43+Q43)*0.6,-2)</f>
        <v>12700</v>
      </c>
      <c r="T43">
        <f>ROUND((P43+Q43)*0.7,-2)</f>
        <v>14800</v>
      </c>
      <c r="U43">
        <f>ROUND(SUM(P43+Q43+R43+S43), -2)</f>
        <v>33800</v>
      </c>
      <c r="V43">
        <f>ROUND(P43+Q43+R43+T43, -2)</f>
        <v>35900</v>
      </c>
      <c r="W43">
        <v>0</v>
      </c>
      <c r="X43">
        <f>U43*0.038</f>
        <v>1284.3999999999999</v>
      </c>
      <c r="Y43">
        <f>U43*0.02</f>
        <v>676</v>
      </c>
      <c r="Z43">
        <f>V43*0.1</f>
        <v>3590</v>
      </c>
      <c r="AA43">
        <f>U43-X43-Y43</f>
        <v>31839.6</v>
      </c>
      <c r="AB43">
        <f>V43-Z43</f>
        <v>32310</v>
      </c>
      <c r="AC43">
        <f>AA43*0.01</f>
        <v>318.396</v>
      </c>
      <c r="AD43">
        <f>AA43-P43-AC43-Q43</f>
        <v>10411.203999999998</v>
      </c>
      <c r="AE43">
        <f>AB43-P43-Q43-AC43</f>
        <v>10881.604</v>
      </c>
      <c r="AF43">
        <f>AD43/U43</f>
        <v>0.30802378698224847</v>
      </c>
      <c r="AG43">
        <f>AE43/V43</f>
        <v>0.3031087465181058</v>
      </c>
    </row>
    <row r="44">
      <c r="F44" t="str">
        <v>레드</v>
      </c>
      <c r="G44" t="str">
        <f>HYPERLINK("https://item.taobao.com/item.htm?spm=a230r.1.999.1.21de523crdKwg5&amp;id=584417801631&amp;ns=1#detail","A")</f>
        <v>A</v>
      </c>
      <c r="I44">
        <v>69</v>
      </c>
      <c r="J44">
        <f>IF(K44&gt;0,K44*0.0625,)</f>
        <v>2.1875</v>
      </c>
      <c r="K44">
        <v>35</v>
      </c>
      <c r="L44">
        <f>IF(J44&gt;0,J44*0.453592,IF(K44&gt;0,K44*0.02835,))</f>
        <v>0.9922325</v>
      </c>
      <c r="M44">
        <v>0</v>
      </c>
      <c r="N44">
        <v>0</v>
      </c>
      <c r="O44">
        <f>I44+N44+M44</f>
        <v>69</v>
      </c>
      <c r="P44">
        <f>O44*C$3</f>
        <v>13110</v>
      </c>
      <c r="Q44">
        <f>ROUNDUP(HLOOKUP(IF(CEILING(L44,0.5)&lt;1,1,CEILING(L44,0.5)),'배송비 조회'!A$32:AY$36,2,0),-2)</f>
        <v>8000</v>
      </c>
      <c r="R44">
        <v>0</v>
      </c>
      <c r="S44">
        <f>ROUND((P44+Q44)*0.6,-2)</f>
        <v>12700</v>
      </c>
      <c r="T44">
        <f>ROUND((P44+Q44)*0.7,-2)</f>
        <v>14800</v>
      </c>
      <c r="U44">
        <f>ROUND(SUM(P44+Q44+R44+S44), -2)</f>
        <v>33800</v>
      </c>
      <c r="V44">
        <f>ROUND(P44+Q44+R44+T44, -2)</f>
        <v>35900</v>
      </c>
      <c r="W44">
        <v>0</v>
      </c>
      <c r="X44">
        <f>U44*0.038</f>
        <v>1284.3999999999999</v>
      </c>
      <c r="Y44">
        <f>U44*0.02</f>
        <v>676</v>
      </c>
      <c r="Z44">
        <f>V44*0.1</f>
        <v>3590</v>
      </c>
      <c r="AA44">
        <f>U44-X44-Y44</f>
        <v>31839.6</v>
      </c>
      <c r="AB44">
        <f>V44-Z44</f>
        <v>32310</v>
      </c>
      <c r="AC44">
        <f>AA44*0.01</f>
        <v>318.396</v>
      </c>
      <c r="AD44">
        <f>AA44-P44-AC44-Q44</f>
        <v>10411.203999999998</v>
      </c>
      <c r="AE44">
        <f>AB44-P44-Q44-AC44</f>
        <v>10881.604</v>
      </c>
      <c r="AF44">
        <f>AD44/U44</f>
        <v>0.30802378698224847</v>
      </c>
      <c r="AG44">
        <f>AE44/V44</f>
        <v>0.3031087465181058</v>
      </c>
    </row>
    <row r="45">
      <c r="F45" t="str">
        <v>퍼플</v>
      </c>
      <c r="G45" t="str">
        <f>HYPERLINK("https://item.taobao.com/item.htm?spm=a230r.1.999.1.21de523crdKwg5&amp;id=584417801631&amp;ns=1#detail","A")</f>
        <v>A</v>
      </c>
      <c r="I45">
        <v>69</v>
      </c>
      <c r="J45">
        <f>IF(K45&gt;0,K45*0.0625,)</f>
        <v>2.1875</v>
      </c>
      <c r="K45">
        <v>35</v>
      </c>
      <c r="L45">
        <f>IF(J45&gt;0,J45*0.453592,IF(K45&gt;0,K45*0.02835,))</f>
        <v>0.9922325</v>
      </c>
      <c r="M45">
        <v>0</v>
      </c>
      <c r="N45">
        <v>0</v>
      </c>
      <c r="O45">
        <f>I45+N45+M45</f>
        <v>69</v>
      </c>
      <c r="P45">
        <f>O45*C$3</f>
        <v>13110</v>
      </c>
      <c r="Q45">
        <f>ROUNDUP(HLOOKUP(IF(CEILING(L45,0.5)&lt;1,1,CEILING(L45,0.5)),'배송비 조회'!A$32:AY$36,2,0),-2)</f>
        <v>8000</v>
      </c>
      <c r="R45">
        <v>0</v>
      </c>
      <c r="S45">
        <f>ROUND((P45+Q45)*0.6,-2)</f>
        <v>12700</v>
      </c>
      <c r="T45">
        <f>ROUND((P45+Q45)*0.7,-2)</f>
        <v>14800</v>
      </c>
      <c r="U45">
        <f>ROUND(SUM(P45+Q45+R45+S45), -2)</f>
        <v>33800</v>
      </c>
      <c r="V45">
        <f>ROUND(P45+Q45+R45+T45, -2)</f>
        <v>35900</v>
      </c>
      <c r="W45">
        <v>0</v>
      </c>
      <c r="X45">
        <f>U45*0.038</f>
        <v>1284.3999999999999</v>
      </c>
      <c r="Y45">
        <f>U45*0.02</f>
        <v>676</v>
      </c>
      <c r="Z45">
        <f>V45*0.1</f>
        <v>3590</v>
      </c>
      <c r="AA45">
        <f>U45-X45-Y45</f>
        <v>31839.6</v>
      </c>
      <c r="AB45">
        <f>V45-Z45</f>
        <v>32310</v>
      </c>
      <c r="AC45">
        <f>AA45*0.01</f>
        <v>318.396</v>
      </c>
      <c r="AD45">
        <f>AA45-P45-AC45-Q45</f>
        <v>10411.203999999998</v>
      </c>
      <c r="AE45">
        <f>AB45-P45-Q45-AC45</f>
        <v>10881.604</v>
      </c>
      <c r="AF45">
        <f>AD45/U45</f>
        <v>0.30802378698224847</v>
      </c>
      <c r="AG45">
        <f>AE45/V45</f>
        <v>0.3031087465181058</v>
      </c>
    </row>
    <row r="46">
      <c r="F46" t="str">
        <v>옐로우</v>
      </c>
      <c r="G46" t="str">
        <f>HYPERLINK("https://item.taobao.com/item.htm?spm=a230r.1.999.1.21de523crdKwg5&amp;id=584417801631&amp;ns=1#detail","A")</f>
        <v>A</v>
      </c>
      <c r="I46">
        <v>69</v>
      </c>
      <c r="J46">
        <f>IF(K46&gt;0,K46*0.0625,)</f>
        <v>2.1875</v>
      </c>
      <c r="K46">
        <v>35</v>
      </c>
      <c r="L46">
        <f>IF(J46&gt;0,J46*0.453592,IF(K46&gt;0,K46*0.02835,))</f>
        <v>0.9922325</v>
      </c>
      <c r="M46">
        <v>0</v>
      </c>
      <c r="N46">
        <v>0</v>
      </c>
      <c r="O46">
        <f>I46+N46+M46</f>
        <v>69</v>
      </c>
      <c r="P46">
        <f>O46*C$3</f>
        <v>13110</v>
      </c>
      <c r="Q46">
        <f>ROUNDUP(HLOOKUP(IF(CEILING(L46,0.5)&lt;1,1,CEILING(L46,0.5)),'배송비 조회'!A$32:AY$36,2,0),-2)</f>
        <v>8000</v>
      </c>
      <c r="R46">
        <v>0</v>
      </c>
      <c r="S46">
        <f>ROUND((P46+Q46)*0.6,-2)</f>
        <v>12700</v>
      </c>
      <c r="T46">
        <f>ROUND((P46+Q46)*0.7,-2)</f>
        <v>14800</v>
      </c>
      <c r="U46">
        <f>ROUND(SUM(P46+Q46+R46+S46), -2)</f>
        <v>33800</v>
      </c>
      <c r="V46">
        <f>ROUND(P46+Q46+R46+T46, -2)</f>
        <v>35900</v>
      </c>
      <c r="W46">
        <v>0</v>
      </c>
      <c r="X46">
        <f>U46*0.038</f>
        <v>1284.3999999999999</v>
      </c>
      <c r="Y46">
        <f>U46*0.02</f>
        <v>676</v>
      </c>
      <c r="Z46">
        <f>V46*0.1</f>
        <v>3590</v>
      </c>
      <c r="AA46">
        <f>U46-X46-Y46</f>
        <v>31839.6</v>
      </c>
      <c r="AB46">
        <f>V46-Z46</f>
        <v>32310</v>
      </c>
      <c r="AC46">
        <f>AA46*0.01</f>
        <v>318.396</v>
      </c>
      <c r="AD46">
        <f>AA46-P46-AC46-Q46</f>
        <v>10411.203999999998</v>
      </c>
      <c r="AE46">
        <f>AB46-P46-Q46-AC46</f>
        <v>10881.604</v>
      </c>
      <c r="AF46">
        <f>AD46/U46</f>
        <v>0.30802378698224847</v>
      </c>
      <c r="AG46">
        <f>AE46/V46</f>
        <v>0.3031087465181058</v>
      </c>
    </row>
    <row r="47">
      <c r="A47" t="str">
        <f>HYPERLINK("https://smartstore.naver.com/brickstore2019/products/4730120153","4730120153")</f>
        <v>4730120153</v>
      </c>
      <c r="C47" t="str">
        <v>사이드라인스크래퍼 케이크스크래퍼 5개 세트</v>
      </c>
      <c r="E47" t="str">
        <v>【展艺蛋糕软刮板5件套】奶油抹面锯齿刮片塑料家用厨房烘焙工具</v>
      </c>
      <c r="G47" t="str">
        <f>HYPERLINK("https://item.taobao.com/item.htm?spm=a230r.1.999.1.5725523cyif3jj&amp;id=581549195418&amp;ns=1#detail","A")</f>
        <v>A</v>
      </c>
      <c r="I47">
        <v>10</v>
      </c>
      <c r="J47">
        <f>IF(K47&gt;0,K47*0.0625,)</f>
        <v>0.625</v>
      </c>
      <c r="K47">
        <v>10</v>
      </c>
      <c r="L47">
        <f>IF(J47&gt;0,J47*0.453592,IF(K47&gt;0,K47*0.02835,))</f>
        <v>0.283495</v>
      </c>
      <c r="M47">
        <v>0</v>
      </c>
      <c r="N47">
        <v>0</v>
      </c>
      <c r="O47">
        <f>I47+N47+M47</f>
        <v>10</v>
      </c>
      <c r="P47">
        <f>O47*C$3</f>
        <v>1900</v>
      </c>
      <c r="Q47">
        <f>ROUNDUP(HLOOKUP(IF(CEILING(L47,0.5)&lt;1,1,CEILING(L47,0.5)),'배송비 조회'!A$32:AY$36,2,0),-2)</f>
        <v>8000</v>
      </c>
      <c r="R47">
        <v>0</v>
      </c>
      <c r="S47">
        <f>ROUND((P47+Q47)*0.3,-2)</f>
        <v>3000</v>
      </c>
      <c r="T47">
        <f>ROUND((P47+Q47)*0.7,-2)</f>
        <v>6900</v>
      </c>
      <c r="U47">
        <f>ROUND(SUM(P47+Q47+R47+S47), -2)</f>
        <v>12900</v>
      </c>
      <c r="V47">
        <f>ROUND(P47+Q47+R47+T47, -2)</f>
        <v>16800</v>
      </c>
      <c r="W47">
        <v>0</v>
      </c>
      <c r="X47">
        <f>U47*0.038</f>
        <v>490.2</v>
      </c>
      <c r="Y47">
        <f>U47*0.02</f>
        <v>258</v>
      </c>
      <c r="Z47">
        <f>V47*0.1</f>
        <v>1680</v>
      </c>
      <c r="AA47">
        <f>U47-X47-Y47</f>
        <v>12151.8</v>
      </c>
      <c r="AB47">
        <f>V47-Z47</f>
        <v>15120</v>
      </c>
      <c r="AC47">
        <f>AA47*0.01</f>
        <v>121.518</v>
      </c>
      <c r="AD47">
        <f>AA47-P47-AC47-Q47</f>
        <v>2130.2819999999992</v>
      </c>
      <c r="AE47">
        <f>AB47-P47-Q47-AC47</f>
        <v>5098.482</v>
      </c>
      <c r="AF47">
        <f>AD47/U47</f>
        <v>0.16513813953488365</v>
      </c>
      <c r="AG47">
        <f>AE47/V47</f>
        <v>0.30348107142857145</v>
      </c>
      <c r="AH47">
        <f>U47-8000</f>
        <v>4900</v>
      </c>
      <c r="AI47" t="str">
        <v>유료배송비 측정</v>
      </c>
    </row>
    <row r="48" xml:space="preserve">
      <c r="A48" t="str">
        <f>HYPERLINK("https://smartstore.naver.com/brickstore2019/products/4732241814","4732241814")</f>
        <v>4732241814</v>
      </c>
      <c r="C48" t="str">
        <v>커피잔 세트 북유럽 스타일 마카롱 컬러 (무료배송)</v>
      </c>
      <c r="E48" t="str" xml:space="preserve">
        <v xml:space="preserve">马卡龙色陶瓷咖啡杯欧式咖啡杯碟套装家用简约下午茶花茶茶杯带勺_x000d_
</v>
      </c>
      <c r="G48" t="str">
        <f>HYPERLINK("https://detail.tmall.com/item.htm?id=581725264948&amp;ali_refid=a3_430009_1006:1173110056:N:TB5F/iydVvKlrBgtp3KBo5E1Q2ltCGHc:e11c115c34d3e54df1db6ede23d64dbf&amp;ali_trackid=1_e11c115c34d3e54df1db6ede23d64dbf&amp;spm=a230r.1.0.0&amp;skuId=3897437385757","A")</f>
        <v>A</v>
      </c>
      <c r="I48">
        <v>50</v>
      </c>
      <c r="J48">
        <f>IF(K48&gt;0,K48*0.0625,)</f>
        <v>3.125</v>
      </c>
      <c r="K48">
        <v>50</v>
      </c>
      <c r="L48">
        <f>IF(J48&gt;0,J48*0.453592,IF(K48&gt;0,K48*0.02835,))</f>
        <v>1.417475</v>
      </c>
      <c r="M48">
        <v>0</v>
      </c>
      <c r="N48">
        <v>0</v>
      </c>
      <c r="O48">
        <f>I48+N48+M48</f>
        <v>50</v>
      </c>
      <c r="P48">
        <f>O48*C$3</f>
        <v>9500</v>
      </c>
      <c r="Q48">
        <f>ROUNDUP(HLOOKUP(IF(CEILING(L48,0.5)&lt;1,1,CEILING(L48,0.5)),'배송비 조회'!A$32:AY$36,2,0),-2)</f>
        <v>8800</v>
      </c>
      <c r="R48">
        <v>0</v>
      </c>
      <c r="S48">
        <f>ROUND((P48+Q48)*0.5,-2)</f>
        <v>9200</v>
      </c>
      <c r="T48">
        <f>ROUND((P48+Q48)*0.7,-2)</f>
        <v>12800</v>
      </c>
      <c r="U48">
        <f>ROUND(SUM(P48+Q48+R48+S48), -2)</f>
        <v>27500</v>
      </c>
      <c r="V48">
        <f>ROUND(P48+Q48+R48+T48, -2)</f>
        <v>31100</v>
      </c>
      <c r="W48">
        <v>0</v>
      </c>
      <c r="X48">
        <f>U48*0.038</f>
        <v>1045</v>
      </c>
      <c r="Y48">
        <f>U48*0.02</f>
        <v>550</v>
      </c>
      <c r="Z48">
        <f>V48*0.1</f>
        <v>3110</v>
      </c>
      <c r="AA48">
        <f>U48-X48-Y48</f>
        <v>25905</v>
      </c>
      <c r="AB48">
        <f>V48-Z48</f>
        <v>27990</v>
      </c>
      <c r="AC48">
        <f>AA48*0.01</f>
        <v>259.05</v>
      </c>
      <c r="AD48">
        <f>AA48-P48-AC48-Q48</f>
        <v>7345.950000000001</v>
      </c>
      <c r="AE48">
        <f>AB48-P48-Q48-AC48</f>
        <v>9430.95</v>
      </c>
      <c r="AF48">
        <f>AD48/U48</f>
        <v>0.26712545454545455</v>
      </c>
      <c r="AG48">
        <f>AE48/V48</f>
        <v>0.3032459807073955</v>
      </c>
    </row>
    <row r="49">
      <c r="A49" t="str">
        <f>HYPERLINK("https://smartstore.naver.com/brickstore2019/products/4734421038","4734421038")</f>
        <v>4734421038</v>
      </c>
      <c r="C49" t="str">
        <v>붕어빵마들렌틀 붕들렌 미니붕어빵 미니돼지 고양이발바닥</v>
      </c>
      <c r="F49" t="str">
        <v>붕어빵틀</v>
      </c>
      <c r="G49" t="str">
        <f>HYPERLINK("https://detail.tmall.com/item.htm?spm=a230r.1.999.8.345a523cFMXJQr&amp;id=42101494257&amp;ns=1&amp;skuId=3941368635912","A")</f>
        <v>A</v>
      </c>
      <c r="I49">
        <v>30</v>
      </c>
      <c r="J49">
        <f>IF(K49&gt;0,K49*0.0625,)</f>
        <v>2.1875</v>
      </c>
      <c r="K49">
        <v>35</v>
      </c>
      <c r="L49">
        <f>IF(J49&gt;0,J49*0.453592,IF(K49&gt;0,K49*0.02835,))</f>
        <v>0.9922325</v>
      </c>
      <c r="M49">
        <v>0</v>
      </c>
      <c r="N49">
        <v>0</v>
      </c>
      <c r="O49">
        <f>I49+N49+M49</f>
        <v>30</v>
      </c>
      <c r="P49">
        <f>O49*C$3</f>
        <v>5700</v>
      </c>
      <c r="Q49">
        <f>ROUNDUP(HLOOKUP(IF(CEILING(L49,0.5)&lt;1,1,CEILING(L49,0.5)),'배송비 조회'!A$32:AY$36,2,0),-2)</f>
        <v>8000</v>
      </c>
      <c r="R49">
        <v>0</v>
      </c>
      <c r="S49">
        <f>ROUND((P49+Q49)*0.5,-2)</f>
        <v>6900</v>
      </c>
      <c r="T49">
        <f>ROUND((P49+Q49)*0.7,-2)</f>
        <v>9600</v>
      </c>
      <c r="U49">
        <f>ROUND(SUM(P49+Q49+R49+S49), -2)</f>
        <v>20600</v>
      </c>
      <c r="V49">
        <f>ROUND(P49+Q49+R49+T49, -2)</f>
        <v>23300</v>
      </c>
      <c r="W49">
        <v>0</v>
      </c>
      <c r="X49">
        <f>U49*0.038</f>
        <v>782.8</v>
      </c>
      <c r="Y49">
        <f>U49*0.02</f>
        <v>412</v>
      </c>
      <c r="Z49">
        <f>V49*0.1</f>
        <v>2330</v>
      </c>
      <c r="AA49">
        <f>U49-X49-Y49</f>
        <v>19405.2</v>
      </c>
      <c r="AB49">
        <f>V49-Z49</f>
        <v>20970</v>
      </c>
      <c r="AC49">
        <f>AA49*0.01</f>
        <v>194.05200000000002</v>
      </c>
      <c r="AD49">
        <f>AA49-P49-AC49-Q49</f>
        <v>5511.148000000001</v>
      </c>
      <c r="AE49">
        <f>AB49-P49-Q49-AC49</f>
        <v>7075.948</v>
      </c>
      <c r="AF49">
        <f>AD49/U49</f>
        <v>0.26753145631067965</v>
      </c>
      <c r="AG49">
        <f>AE49/V49</f>
        <v>0.3036887553648069</v>
      </c>
    </row>
    <row r="50">
      <c r="F50" t="str">
        <v>고양이발바닥틀</v>
      </c>
      <c r="G50" t="str">
        <f>HYPERLINK("https://detail.tmall.com/item.htm?spm=a230r.1.999.8.345a523cFMXJQr&amp;id=42101494257&amp;ns=1&amp;skuId=3941368635904","A")</f>
        <v>A</v>
      </c>
      <c r="I50">
        <v>30</v>
      </c>
      <c r="J50">
        <f>IF(K50&gt;0,K50*0.0625,)</f>
        <v>2.1875</v>
      </c>
      <c r="K50">
        <v>35</v>
      </c>
      <c r="L50">
        <f>IF(J50&gt;0,J50*0.453592,IF(K50&gt;0,K50*0.02835,))</f>
        <v>0.9922325</v>
      </c>
      <c r="M50">
        <v>0</v>
      </c>
      <c r="N50">
        <v>0</v>
      </c>
      <c r="O50">
        <f>I50+N50+M50</f>
        <v>30</v>
      </c>
      <c r="P50">
        <f>O50*C$3</f>
        <v>5700</v>
      </c>
      <c r="Q50">
        <f>ROUNDUP(HLOOKUP(IF(CEILING(L50,0.5)&lt;1,1,CEILING(L50,0.5)),'배송비 조회'!A$32:AY$36,2,0),-2)</f>
        <v>8000</v>
      </c>
      <c r="R50">
        <v>0</v>
      </c>
      <c r="S50">
        <f>ROUND((P50+Q50)*0.5,-2)</f>
        <v>6900</v>
      </c>
      <c r="T50">
        <f>ROUND((P50+Q50)*0.7,-2)</f>
        <v>9600</v>
      </c>
      <c r="U50">
        <f>ROUND(SUM(P50+Q50+R50+S50), -2)</f>
        <v>20600</v>
      </c>
      <c r="V50">
        <f>ROUND(P50+Q50+R50+T50, -2)</f>
        <v>23300</v>
      </c>
      <c r="W50">
        <v>0</v>
      </c>
      <c r="X50">
        <f>U50*0.038</f>
        <v>782.8</v>
      </c>
      <c r="Y50">
        <f>U50*0.02</f>
        <v>412</v>
      </c>
      <c r="Z50">
        <f>V50*0.1</f>
        <v>2330</v>
      </c>
      <c r="AA50">
        <f>U50-X50-Y50</f>
        <v>19405.2</v>
      </c>
      <c r="AB50">
        <f>V50-Z50</f>
        <v>20970</v>
      </c>
      <c r="AC50">
        <f>AA50*0.01</f>
        <v>194.05200000000002</v>
      </c>
      <c r="AD50">
        <f>AA50-P50-AC50-Q50</f>
        <v>5511.148000000001</v>
      </c>
      <c r="AE50">
        <f>AB50-P50-Q50-AC50</f>
        <v>7075.948</v>
      </c>
      <c r="AF50">
        <f>AD50/U50</f>
        <v>0.26753145631067965</v>
      </c>
      <c r="AG50">
        <f>AE50/V50</f>
        <v>0.3036887553648069</v>
      </c>
    </row>
    <row r="51">
      <c r="F51" t="str">
        <v>미니돼지틀</v>
      </c>
      <c r="G51" t="str">
        <f>HYPERLINK("https://detail.tmall.com/item.htm?spm=a230r.1.999.8.345a523cFMXJQr&amp;id=42101494257&amp;ns=1&amp;skuId=3941368635911","A")</f>
        <v>A</v>
      </c>
      <c r="I51">
        <v>30</v>
      </c>
      <c r="J51">
        <f>IF(K51&gt;0,K51*0.0625,)</f>
        <v>2.1875</v>
      </c>
      <c r="K51">
        <v>35</v>
      </c>
      <c r="L51">
        <f>IF(J51&gt;0,J51*0.453592,IF(K51&gt;0,K51*0.02835,))</f>
        <v>0.9922325</v>
      </c>
      <c r="M51">
        <v>0</v>
      </c>
      <c r="N51">
        <v>0</v>
      </c>
      <c r="O51">
        <f>I51+N51+M51</f>
        <v>30</v>
      </c>
      <c r="P51">
        <f>O51*C$3</f>
        <v>5700</v>
      </c>
      <c r="Q51">
        <f>ROUNDUP(HLOOKUP(IF(CEILING(L51,0.5)&lt;1,1,CEILING(L51,0.5)),'배송비 조회'!A$32:AY$36,2,0),-2)</f>
        <v>8000</v>
      </c>
      <c r="R51">
        <v>0</v>
      </c>
      <c r="S51">
        <f>ROUND((P51+Q51)*0.5,-2)</f>
        <v>6900</v>
      </c>
      <c r="T51">
        <f>ROUND((P51+Q51)*0.7,-2)</f>
        <v>9600</v>
      </c>
      <c r="U51">
        <f>ROUND(SUM(P51+Q51+R51+S51), -2)</f>
        <v>20600</v>
      </c>
      <c r="V51">
        <f>ROUND(P51+Q51+R51+T51, -2)</f>
        <v>23300</v>
      </c>
      <c r="W51">
        <v>0</v>
      </c>
      <c r="X51">
        <f>U51*0.038</f>
        <v>782.8</v>
      </c>
      <c r="Y51">
        <f>U51*0.02</f>
        <v>412</v>
      </c>
      <c r="Z51">
        <f>V51*0.1</f>
        <v>2330</v>
      </c>
      <c r="AA51">
        <f>U51-X51-Y51</f>
        <v>19405.2</v>
      </c>
      <c r="AB51">
        <f>V51-Z51</f>
        <v>20970</v>
      </c>
      <c r="AC51">
        <f>AA51*0.01</f>
        <v>194.05200000000002</v>
      </c>
      <c r="AD51">
        <f>AA51-P51-AC51-Q51</f>
        <v>5511.148000000001</v>
      </c>
      <c r="AE51">
        <f>AB51-P51-Q51-AC51</f>
        <v>7075.948</v>
      </c>
      <c r="AF51">
        <f>AD51/U51</f>
        <v>0.26753145631067965</v>
      </c>
      <c r="AG51">
        <f>AE51/V51</f>
        <v>0.3036887553648069</v>
      </c>
    </row>
    <row r="52">
      <c r="A52" t="str">
        <f>HYPERLINK("https://smartstore.naver.com/brickstore2019/products/4734477328","4734477328")</f>
        <v>4734477328</v>
      </c>
      <c r="C52" t="str">
        <v>아인슈페너잔 카페 유리잔 플랫화이트잔(무료배송)</v>
      </c>
      <c r="F52" t="str">
        <v>175ml</v>
      </c>
      <c r="G52" t="str">
        <f>HYPERLINK("https://item.taobao.com/item.htm?spm=a230r.1.999.191.1584523cFrYtn0&amp;id=600657646615&amp;ns=1#detail","A")</f>
        <v>A</v>
      </c>
      <c r="I52">
        <v>10</v>
      </c>
      <c r="J52">
        <f>IF(K52&gt;0,K52*0.0625,)</f>
        <v>2.1875</v>
      </c>
      <c r="K52">
        <v>35</v>
      </c>
      <c r="L52">
        <f>IF(J52&gt;0,J52*0.453592,IF(K52&gt;0,K52*0.02835,))</f>
        <v>0.9922325</v>
      </c>
      <c r="M52">
        <v>0</v>
      </c>
      <c r="N52">
        <v>0</v>
      </c>
      <c r="O52">
        <f>I52+N52+M52</f>
        <v>10</v>
      </c>
      <c r="P52">
        <f>O52*C$3</f>
        <v>1900</v>
      </c>
      <c r="Q52">
        <f>ROUNDUP(HLOOKUP(IF(CEILING(L52,0.5)&lt;1,1,CEILING(L52,0.5)),'배송비 조회'!A$32:AY$36,2,0),-2)</f>
        <v>8000</v>
      </c>
      <c r="R52">
        <v>0</v>
      </c>
      <c r="S52">
        <f>ROUND((P52+Q52)*0.6,-2)</f>
        <v>5900</v>
      </c>
      <c r="T52">
        <f>ROUND((P52+Q52)*0.7,-2)</f>
        <v>6900</v>
      </c>
      <c r="U52">
        <f>ROUND(SUM(P52+Q52+R52+S52), -2)</f>
        <v>15800</v>
      </c>
      <c r="V52">
        <f>ROUND(P52+Q52+R52+T52, -2)</f>
        <v>16800</v>
      </c>
      <c r="W52">
        <v>0</v>
      </c>
      <c r="X52">
        <f>U52*0.038</f>
        <v>600.4</v>
      </c>
      <c r="Y52">
        <f>U52*0.02</f>
        <v>316</v>
      </c>
      <c r="Z52">
        <f>V52*0.1</f>
        <v>1680</v>
      </c>
      <c r="AA52">
        <f>U52-X52-Y52</f>
        <v>14883.6</v>
      </c>
      <c r="AB52">
        <f>V52-Z52</f>
        <v>15120</v>
      </c>
      <c r="AC52">
        <f>AA52*0.01</f>
        <v>148.836</v>
      </c>
      <c r="AD52">
        <f>AA52-P52-AC52-Q52</f>
        <v>4834.764000000001</v>
      </c>
      <c r="AE52">
        <f>AB52-P52-Q52-AC52</f>
        <v>5071.164</v>
      </c>
      <c r="AF52">
        <f>AD52/U52</f>
        <v>0.3059977215189874</v>
      </c>
      <c r="AG52">
        <f>AE52/V52</f>
        <v>0.301855</v>
      </c>
    </row>
    <row r="53">
      <c r="F53" t="str">
        <v>275ml</v>
      </c>
      <c r="G53" t="str">
        <f>HYPERLINK("https://item.taobao.com/item.htm?spm=a230r.1.999.191.1584523cFrYtn0&amp;id=600657646615&amp;ns=1#detail","A")</f>
        <v>A</v>
      </c>
      <c r="I53">
        <v>13</v>
      </c>
      <c r="J53">
        <f>IF(K53&gt;0,K53*0.0625,)</f>
        <v>2.1875</v>
      </c>
      <c r="K53">
        <v>35</v>
      </c>
      <c r="L53">
        <f>IF(J53&gt;0,J53*0.453592,IF(K53&gt;0,K53*0.02835,))</f>
        <v>0.9922325</v>
      </c>
      <c r="M53">
        <v>0</v>
      </c>
      <c r="N53">
        <v>0</v>
      </c>
      <c r="O53">
        <f>I53+N53+M53</f>
        <v>13</v>
      </c>
      <c r="P53">
        <f>O53*C$3</f>
        <v>2470</v>
      </c>
      <c r="Q53">
        <f>ROUNDUP(HLOOKUP(IF(CEILING(L53,0.5)&lt;1,1,CEILING(L53,0.5)),'배송비 조회'!A$32:AY$36,2,0),-2)</f>
        <v>8000</v>
      </c>
      <c r="R53">
        <v>0</v>
      </c>
      <c r="S53">
        <f>ROUND((P53+Q53)*0.6,-2)</f>
        <v>6300</v>
      </c>
      <c r="T53">
        <f>ROUND((P53+Q53)*0.7,-2)</f>
        <v>7300</v>
      </c>
      <c r="U53">
        <f>ROUND(SUM(P53+Q53+R53+S53), -2)</f>
        <v>16800</v>
      </c>
      <c r="V53">
        <f>ROUND(P53+Q53+R53+T53, -2)</f>
        <v>17800</v>
      </c>
      <c r="W53">
        <v>0</v>
      </c>
      <c r="X53">
        <f>U53*0.038</f>
        <v>638.4</v>
      </c>
      <c r="Y53">
        <f>U53*0.02</f>
        <v>336</v>
      </c>
      <c r="Z53">
        <f>V53*0.1</f>
        <v>1780</v>
      </c>
      <c r="AA53">
        <f>U53-X53-Y53</f>
        <v>15825.6</v>
      </c>
      <c r="AB53">
        <f>V53-Z53</f>
        <v>16020</v>
      </c>
      <c r="AC53">
        <f>AA53*0.01</f>
        <v>158.256</v>
      </c>
      <c r="AD53">
        <f>AA53-P53-AC53-Q53</f>
        <v>5197.344000000001</v>
      </c>
      <c r="AE53">
        <f>AB53-P53-Q53-AC53</f>
        <v>5391.744</v>
      </c>
      <c r="AF53">
        <f>AD53/U53</f>
        <v>0.30936571428571435</v>
      </c>
      <c r="AG53">
        <f>AE53/V53</f>
        <v>0.3029069662921348</v>
      </c>
    </row>
    <row r="54">
      <c r="F54" t="str">
        <v>335ml</v>
      </c>
      <c r="G54" t="str">
        <f>HYPERLINK("https://item.taobao.com/item.htm?spm=a230r.1.999.191.1584523cFrYtn0&amp;id=600657646615&amp;ns=1#detail","A")</f>
        <v>A</v>
      </c>
      <c r="I54">
        <v>14</v>
      </c>
      <c r="J54">
        <f>IF(K54&gt;0,K54*0.0625,)</f>
        <v>2.1875</v>
      </c>
      <c r="K54">
        <v>35</v>
      </c>
      <c r="L54">
        <f>IF(J54&gt;0,J54*0.453592,IF(K54&gt;0,K54*0.02835,))</f>
        <v>0.9922325</v>
      </c>
      <c r="M54">
        <v>0</v>
      </c>
      <c r="N54">
        <v>0</v>
      </c>
      <c r="O54">
        <f>I54+N54+M54</f>
        <v>14</v>
      </c>
      <c r="P54">
        <f>O54*C$3</f>
        <v>2660</v>
      </c>
      <c r="Q54">
        <f>ROUNDUP(HLOOKUP(IF(CEILING(L54,0.5)&lt;1,1,CEILING(L54,0.5)),'배송비 조회'!A$32:AY$36,2,0),-2)</f>
        <v>8000</v>
      </c>
      <c r="R54">
        <v>0</v>
      </c>
      <c r="S54">
        <f>ROUND((P54+Q54)*0.6,-2)</f>
        <v>6400</v>
      </c>
      <c r="T54">
        <f>ROUND((P54+Q54)*0.7,-2)</f>
        <v>7500</v>
      </c>
      <c r="U54">
        <f>ROUND(SUM(P54+Q54+R54+S54), -2)</f>
        <v>17100</v>
      </c>
      <c r="V54">
        <f>ROUND(P54+Q54+R54+T54, -2)</f>
        <v>18200</v>
      </c>
      <c r="W54">
        <v>0</v>
      </c>
      <c r="X54">
        <f>U54*0.038</f>
        <v>649.8</v>
      </c>
      <c r="Y54">
        <f>U54*0.02</f>
        <v>342</v>
      </c>
      <c r="Z54">
        <f>V54*0.1</f>
        <v>1820</v>
      </c>
      <c r="AA54">
        <f>U54-X54-Y54</f>
        <v>16108.2</v>
      </c>
      <c r="AB54">
        <f>V54-Z54</f>
        <v>16380</v>
      </c>
      <c r="AC54">
        <f>AA54*0.01</f>
        <v>161.08200000000002</v>
      </c>
      <c r="AD54">
        <f>AA54-P54-AC54-Q54</f>
        <v>5287.118</v>
      </c>
      <c r="AE54">
        <f>AB54-P54-Q54-AC54</f>
        <v>5558.918</v>
      </c>
      <c r="AF54">
        <f>AD54/U54</f>
        <v>0.30918818713450297</v>
      </c>
      <c r="AG54">
        <f>AE54/V54</f>
        <v>0.3054350549450549</v>
      </c>
    </row>
    <row r="55" xml:space="preserve">
      <c r="A55" t="str">
        <f>HYPERLINK("https://smartstore.naver.com/brickstore2019/products/4735575364","4735575364")</f>
        <v>4735575364</v>
      </c>
      <c r="C55" t="str">
        <v>베트남 손잡이 원형 트레이 커피 트레이(무료배송)</v>
      </c>
      <c r="E55" t="str" xml:space="preserve">
        <v xml:space="preserve">假日午后 | 越南手工藤编面包篮果篮收纳筐烘焙面包筐点心篮茶盘_x000d_
</v>
      </c>
      <c r="G55" t="str">
        <f>HYPERLINK("https://item.taobao.com/item.htm?id=569463002873&amp;spm=2013.1.20141002.4.6c5e1259TNQg05&amp;main_itemid=600657646615&amp;go_item_id=569463002873&amp;scm=1007.10009.99063.&amp;pvid=c9303b97-d743-4a40-8be4-db2454811f45","A")</f>
        <v>A</v>
      </c>
      <c r="I55">
        <v>58</v>
      </c>
      <c r="J55">
        <f>IF(K55&gt;0,K55*0.0625,)</f>
        <v>2.1875</v>
      </c>
      <c r="K55">
        <v>35</v>
      </c>
      <c r="L55">
        <f>IF(J55&gt;0,J55*0.453592,IF(K55&gt;0,K55*0.02835,))</f>
        <v>0.9922325</v>
      </c>
      <c r="M55">
        <v>0</v>
      </c>
      <c r="N55">
        <v>0</v>
      </c>
      <c r="O55">
        <f>I55+N55+M55</f>
        <v>58</v>
      </c>
      <c r="P55">
        <f>O55*C$3</f>
        <v>11020</v>
      </c>
      <c r="Q55">
        <f>ROUNDUP(HLOOKUP(IF(CEILING(L55,0.5)&lt;1,1,CEILING(L55,0.5)),'배송비 조회'!A$32:AY$36,2,0),-2)</f>
        <v>8000</v>
      </c>
      <c r="R55">
        <v>0</v>
      </c>
      <c r="S55">
        <f>ROUND((P55+Q55)*0.4,-2)</f>
        <v>7600</v>
      </c>
      <c r="T55">
        <f>ROUND((P55+Q55)*0.7,-2)</f>
        <v>13300</v>
      </c>
      <c r="U55">
        <f>ROUND(SUM(P55+Q55+R55+S55), -2)</f>
        <v>26600</v>
      </c>
      <c r="V55">
        <f>ROUND(P55+Q55+R55+T55, -2)</f>
        <v>32300</v>
      </c>
      <c r="W55">
        <v>0</v>
      </c>
      <c r="X55">
        <f>U55*0.038</f>
        <v>1010.8</v>
      </c>
      <c r="Y55">
        <f>U55*0.02</f>
        <v>532</v>
      </c>
      <c r="Z55">
        <f>V55*0.1</f>
        <v>3230</v>
      </c>
      <c r="AA55">
        <f>U55-X55-Y55</f>
        <v>25057.2</v>
      </c>
      <c r="AB55">
        <f>V55-Z55</f>
        <v>29070</v>
      </c>
      <c r="AC55">
        <f>AA55*0.01</f>
        <v>250.572</v>
      </c>
      <c r="AD55">
        <f>AA55-P55-AC55-Q55</f>
        <v>5786.628000000001</v>
      </c>
      <c r="AE55">
        <f>AB55-P55-Q55-AC55</f>
        <v>9799.428</v>
      </c>
      <c r="AF55">
        <f>AD55/U55</f>
        <v>0.2175424060150376</v>
      </c>
      <c r="AG55">
        <f>AE55/V55</f>
        <v>0.30338786377708976</v>
      </c>
    </row>
    <row r="56">
      <c r="A56" t="str">
        <f>HYPERLINK("https://smartstore.naver.com/brickstore2019/products/4735601219","4735601219")</f>
        <v>4735601219</v>
      </c>
      <c r="C56" t="str">
        <v>홈카페 과일 빵 바구니 커피 디저트 트레이(무료배송)</v>
      </c>
      <c r="E56" t="str">
        <v>早上好 | 森林的风 | 手作日式藤编篮面包篮 水果篮点心篮收纳篮</v>
      </c>
      <c r="G56" t="str">
        <v>A</v>
      </c>
      <c r="I56">
        <v>48</v>
      </c>
      <c r="J56">
        <f>IF(K56&gt;0,K56*0.0625,)</f>
        <v>2.1875</v>
      </c>
      <c r="K56">
        <v>35</v>
      </c>
      <c r="L56">
        <f>IF(J56&gt;0,J56*0.453592,IF(K56&gt;0,K56*0.02835,))</f>
        <v>0.9922325</v>
      </c>
      <c r="M56">
        <v>0</v>
      </c>
      <c r="N56">
        <v>0</v>
      </c>
      <c r="O56">
        <f>I56+N56+M56</f>
        <v>48</v>
      </c>
      <c r="P56">
        <f>O56*C$3</f>
        <v>9120</v>
      </c>
      <c r="Q56">
        <f>ROUNDUP(HLOOKUP(IF(CEILING(L56,0.5)&lt;1,1,CEILING(L56,0.5)),'배송비 조회'!A$32:AY$36,2,0),-2)</f>
        <v>8000</v>
      </c>
      <c r="R56">
        <v>0</v>
      </c>
      <c r="S56">
        <f>ROUND((P56+Q56)*0.4,-2)</f>
        <v>6800</v>
      </c>
      <c r="T56">
        <f>ROUND((P56+Q56)*0.7,-2)</f>
        <v>12000</v>
      </c>
      <c r="U56">
        <f>ROUND(SUM(P56+Q56+R56+S56), -2)</f>
        <v>23900</v>
      </c>
      <c r="V56">
        <f>ROUND(P56+Q56+R56+T56, -2)</f>
        <v>29100</v>
      </c>
      <c r="W56">
        <v>0</v>
      </c>
      <c r="X56">
        <f>U56*0.038</f>
        <v>908.1999999999999</v>
      </c>
      <c r="Y56">
        <f>U56*0.02</f>
        <v>478</v>
      </c>
      <c r="Z56">
        <f>V56*0.1</f>
        <v>2910</v>
      </c>
      <c r="AA56">
        <f>U56-X56-Y56</f>
        <v>22513.8</v>
      </c>
      <c r="AB56">
        <f>V56-Z56</f>
        <v>26190</v>
      </c>
      <c r="AC56">
        <f>AA56*0.01</f>
        <v>225.138</v>
      </c>
      <c r="AD56">
        <f>AA56-P56-AC56-Q56</f>
        <v>5168.661999999998</v>
      </c>
      <c r="AE56">
        <f>AB56-P56-Q56-AC56</f>
        <v>8844.862</v>
      </c>
      <c r="AF56">
        <f>AD56/U56</f>
        <v>0.21626200836820078</v>
      </c>
      <c r="AG56">
        <f>AE56/V56</f>
        <v>0.303947147766323</v>
      </c>
    </row>
    <row r="57">
      <c r="A57" t="str">
        <f>HYPERLINK("https://smartstore.naver.com/brickstore2019/products/4736466264","4736466264")</f>
        <v>4736466264</v>
      </c>
      <c r="C57" t="str">
        <v>티라미수 용기 포크 50개입(무료배송)</v>
      </c>
      <c r="F57" t="str">
        <v>직사각형 340ml</v>
      </c>
      <c r="G57" t="str">
        <f>HYPERLINK("https://item.taobao.com/item.htm?spm=a230r.1.999.64.4f6d523chC0SQs&amp;id=580005667701&amp;ns=1#detail","A")</f>
        <v>A</v>
      </c>
      <c r="I57">
        <v>32</v>
      </c>
      <c r="J57">
        <f>IF(K57&gt;0,K57*0.0625,)</f>
        <v>2.1875</v>
      </c>
      <c r="K57">
        <v>35</v>
      </c>
      <c r="L57">
        <f>IF(J57&gt;0,J57*0.453592,IF(K57&gt;0,K57*0.02835,))</f>
        <v>0.9922325</v>
      </c>
      <c r="M57">
        <v>0</v>
      </c>
      <c r="N57">
        <v>0</v>
      </c>
      <c r="O57">
        <f>I57+N57+M57</f>
        <v>32</v>
      </c>
      <c r="P57">
        <f>O57*C$3</f>
        <v>6080</v>
      </c>
      <c r="Q57">
        <f>ROUNDUP(HLOOKUP(IF(CEILING(L57,0.5)&lt;1,1,CEILING(L57,0.5)),'배송비 조회'!A$32:AY$36,2,0),-2)</f>
        <v>8000</v>
      </c>
      <c r="R57">
        <v>0</v>
      </c>
      <c r="S57">
        <f>ROUND((P57+Q57)*0.6,-2)</f>
        <v>8400</v>
      </c>
      <c r="T57">
        <f>ROUND((P57+Q57)*0.7,-2)</f>
        <v>9900</v>
      </c>
      <c r="U57">
        <f>ROUND(SUM(P57+Q57+R57+S57), -2)</f>
        <v>22500</v>
      </c>
      <c r="V57">
        <f>ROUND(P57+Q57+R57+T57, -2)</f>
        <v>24000</v>
      </c>
      <c r="W57">
        <v>0</v>
      </c>
      <c r="X57">
        <f>U57*0.038</f>
        <v>855</v>
      </c>
      <c r="Y57">
        <f>U57*0.02</f>
        <v>450</v>
      </c>
      <c r="Z57">
        <f>V57*0.1</f>
        <v>2400</v>
      </c>
      <c r="AA57">
        <f>U57-X57-Y57</f>
        <v>21195</v>
      </c>
      <c r="AB57">
        <f>V57-Z57</f>
        <v>21600</v>
      </c>
      <c r="AC57">
        <f>AA57*0.01</f>
        <v>211.95000000000002</v>
      </c>
      <c r="AD57">
        <f>AA57-P57-AC57-Q57</f>
        <v>6903.049999999999</v>
      </c>
      <c r="AE57">
        <f>AB57-P57-Q57-AC57</f>
        <v>7308.05</v>
      </c>
      <c r="AF57">
        <f>AD57/U57</f>
        <v>0.3068022222222222</v>
      </c>
      <c r="AG57">
        <f>AE57/V57</f>
        <v>0.30450208333333334</v>
      </c>
    </row>
    <row r="58">
      <c r="F58" t="str">
        <v>직사각형 340ml + 포크</v>
      </c>
      <c r="G58" t="str">
        <f>HYPERLINK("https://item.taobao.com/item.htm?spm=a230r.1.999.64.4f6d523chC0SQs&amp;id=580005667701&amp;ns=1#detail","A")</f>
        <v>A</v>
      </c>
      <c r="I58">
        <v>37</v>
      </c>
      <c r="J58">
        <f>IF(K58&gt;0,K58*0.0625,)</f>
        <v>2.1875</v>
      </c>
      <c r="K58">
        <v>35</v>
      </c>
      <c r="L58">
        <f>IF(J58&gt;0,J58*0.453592,IF(K58&gt;0,K58*0.02835,))</f>
        <v>0.9922325</v>
      </c>
      <c r="M58">
        <v>0</v>
      </c>
      <c r="N58">
        <v>0</v>
      </c>
      <c r="O58">
        <f>I58+N58+M58</f>
        <v>37</v>
      </c>
      <c r="P58">
        <f>O58*C$3</f>
        <v>7030</v>
      </c>
      <c r="Q58">
        <f>ROUNDUP(HLOOKUP(IF(CEILING(L58,0.5)&lt;1,1,CEILING(L58,0.5)),'배송비 조회'!A$32:AY$36,2,0),-2)</f>
        <v>8000</v>
      </c>
      <c r="R58">
        <v>0</v>
      </c>
      <c r="S58">
        <f>ROUND((P58+Q58)*0.6,-2)</f>
        <v>9000</v>
      </c>
      <c r="T58">
        <f>ROUND((P58+Q58)*0.7,-2)</f>
        <v>10500</v>
      </c>
      <c r="U58">
        <f>ROUND(SUM(P58+Q58+R58+S58), -2)</f>
        <v>24000</v>
      </c>
      <c r="V58">
        <f>ROUND(P58+Q58+R58+T58, -2)</f>
        <v>25500</v>
      </c>
      <c r="W58">
        <v>0</v>
      </c>
      <c r="X58">
        <f>U58*0.038</f>
        <v>912</v>
      </c>
      <c r="Y58">
        <f>U58*0.02</f>
        <v>480</v>
      </c>
      <c r="Z58">
        <f>V58*0.1</f>
        <v>2550</v>
      </c>
      <c r="AA58">
        <f>U58-X58-Y58</f>
        <v>22608</v>
      </c>
      <c r="AB58">
        <f>V58-Z58</f>
        <v>22950</v>
      </c>
      <c r="AC58">
        <f>AA58*0.01</f>
        <v>226.08</v>
      </c>
      <c r="AD58">
        <f>AA58-P58-AC58-Q58</f>
        <v>7351.92</v>
      </c>
      <c r="AE58">
        <f>AB58-P58-Q58-AC58</f>
        <v>7693.92</v>
      </c>
      <c r="AF58">
        <f>AD58/U58</f>
        <v>0.30633</v>
      </c>
      <c r="AG58">
        <f>AE58/V58</f>
        <v>0.3017223529411765</v>
      </c>
    </row>
    <row r="59">
      <c r="A59" t="str">
        <f>HYPERLINK("https://smartstore.naver.com/brickstore2019/products/4737390723","4737390723")</f>
        <v>4737390723</v>
      </c>
      <c r="C59" t="str">
        <v>코도리 노즈워머 코가리개 5개 세트</v>
      </c>
      <c r="F59" t="str">
        <v>그레이</v>
      </c>
      <c r="G59" t="str">
        <f>HYPERLINK("https://item.taobao.com/item.htm?id=584799541276&amp;spm=2013.1.20141003.6.43f85cfafg7rfg&amp;main_itemid=603950580402&amp;go_item_id=584799541276&amp;scm=1007.10011.99062.&amp;pvid=86d74d5f-ab73-4076-8dd0-5e7fbc6482ba","A")</f>
        <v>A</v>
      </c>
      <c r="H59" t="str">
        <f>HYPERLINK("https://detail.tmall.com/item.htm?spm=a230r.1.14.344.350e3325cqCADN&amp;id=606066911390&amp;ns=1&amp;abbucket=7&amp;skuId=4413011534020","A")</f>
        <v>A</v>
      </c>
      <c r="I59">
        <v>100</v>
      </c>
      <c r="J59">
        <f>IF(K59&gt;0,K59*0.0625,)</f>
        <v>2.1875</v>
      </c>
      <c r="K59">
        <v>35</v>
      </c>
      <c r="L59">
        <f>IF(J59&gt;0,J59*0.453592,IF(K59&gt;0,K59*0.02835,))</f>
        <v>0.9922325</v>
      </c>
      <c r="M59">
        <v>0</v>
      </c>
      <c r="N59">
        <v>0</v>
      </c>
      <c r="O59">
        <f>I59+N59+M59</f>
        <v>100</v>
      </c>
      <c r="P59">
        <f>O59*C$3</f>
        <v>19000</v>
      </c>
      <c r="Q59">
        <f>ROUNDUP(HLOOKUP(IF(CEILING(L59,0.5)&lt;1,1,CEILING(L59,0.5)),'배송비 조회'!A$32:AY$36,2,0),-2)</f>
        <v>8000</v>
      </c>
      <c r="R59">
        <v>0</v>
      </c>
      <c r="S59">
        <f>ROUND((P59+Q59)*0.4,-2)</f>
        <v>10800</v>
      </c>
      <c r="T59">
        <f>ROUND((P59+Q59)*0.7,-2)</f>
        <v>18900</v>
      </c>
      <c r="U59">
        <f>ROUND(SUM(P59+Q59+R59+S59), -2)</f>
        <v>37800</v>
      </c>
      <c r="V59">
        <f>ROUND(P59+Q59+R59+T59, -2)</f>
        <v>45900</v>
      </c>
      <c r="W59">
        <v>0</v>
      </c>
      <c r="X59">
        <f>U59*0.038</f>
        <v>1436.3999999999999</v>
      </c>
      <c r="Y59">
        <f>U59*0.02</f>
        <v>756</v>
      </c>
      <c r="Z59">
        <f>V59*0.1</f>
        <v>4590</v>
      </c>
      <c r="AA59">
        <f>U59-X59-Y59</f>
        <v>35607.6</v>
      </c>
      <c r="AB59">
        <f>V59-Z59</f>
        <v>41310</v>
      </c>
      <c r="AC59">
        <f>AA59*0.01</f>
        <v>356.07599999999996</v>
      </c>
      <c r="AD59">
        <f>AA59-P59-AC59-Q59</f>
        <v>8251.524</v>
      </c>
      <c r="AE59">
        <f>AB59-P59-Q59-AC59</f>
        <v>13953.924</v>
      </c>
      <c r="AF59">
        <f>AD59/U59</f>
        <v>0.2182942857142857</v>
      </c>
      <c r="AG59">
        <f>AE59/V59</f>
        <v>0.3040070588235294</v>
      </c>
      <c r="AH59">
        <f>U59-8000</f>
        <v>29800</v>
      </c>
    </row>
    <row r="60">
      <c r="F60" t="str">
        <v>핑크</v>
      </c>
      <c r="G60" t="str">
        <f>HYPERLINK("https://item.taobao.com/item.htm?id=584799541276&amp;spm=2013.1.20141003.6.43f85cfafg7rfg&amp;main_itemid=603950580402&amp;go_item_id=584799541276&amp;scm=1007.10011.99062.&amp;pvid=86d74d5f-ab73-4076-8dd0-5e7fbc6482ba","A")</f>
        <v>A</v>
      </c>
      <c r="H60" t="str">
        <f>HYPERLINK("https://detail.tmall.com/item.htm?spm=a230r.1.14.344.350e3325cqCADN&amp;id=606066911390&amp;ns=1&amp;abbucket=7&amp;skuId=4413011534021","A")</f>
        <v>A</v>
      </c>
      <c r="I60">
        <v>100</v>
      </c>
      <c r="J60">
        <f>IF(K60&gt;0,K60*0.0625,)</f>
        <v>2.1875</v>
      </c>
      <c r="K60">
        <v>35</v>
      </c>
      <c r="L60">
        <f>IF(J60&gt;0,J60*0.453592,IF(K60&gt;0,K60*0.02835,))</f>
        <v>0.9922325</v>
      </c>
      <c r="M60">
        <v>0</v>
      </c>
      <c r="N60">
        <v>0</v>
      </c>
      <c r="O60">
        <f>I60+N60+M60</f>
        <v>100</v>
      </c>
      <c r="P60">
        <f>O60*C$3</f>
        <v>19000</v>
      </c>
      <c r="Q60">
        <f>ROUNDUP(HLOOKUP(IF(CEILING(L60,0.5)&lt;1,1,CEILING(L60,0.5)),'배송비 조회'!A$32:AY$36,2,0),-2)</f>
        <v>8000</v>
      </c>
      <c r="R60">
        <v>0</v>
      </c>
      <c r="S60">
        <f>ROUND((P60+Q60)*0.4,-2)</f>
        <v>10800</v>
      </c>
      <c r="T60">
        <f>ROUND((P60+Q60)*0.7,-2)</f>
        <v>18900</v>
      </c>
      <c r="U60">
        <f>ROUND(SUM(P60+Q60+R60+S60), -2)</f>
        <v>37800</v>
      </c>
      <c r="V60">
        <f>ROUND(P60+Q60+R60+T60, -2)</f>
        <v>45900</v>
      </c>
      <c r="W60">
        <v>0</v>
      </c>
      <c r="X60">
        <f>U60*0.038</f>
        <v>1436.3999999999999</v>
      </c>
      <c r="Y60">
        <f>U60*0.02</f>
        <v>756</v>
      </c>
      <c r="Z60">
        <f>V60*0.1</f>
        <v>4590</v>
      </c>
      <c r="AA60">
        <f>U60-X60-Y60</f>
        <v>35607.6</v>
      </c>
      <c r="AB60">
        <f>V60-Z60</f>
        <v>41310</v>
      </c>
      <c r="AC60">
        <f>AA60*0.01</f>
        <v>356.07599999999996</v>
      </c>
      <c r="AD60">
        <f>AA60-P60-AC60-Q60</f>
        <v>8251.524</v>
      </c>
      <c r="AE60">
        <f>AB60-P60-Q60-AC60</f>
        <v>13953.924</v>
      </c>
      <c r="AF60">
        <f>AD60/U60</f>
        <v>0.2182942857142857</v>
      </c>
      <c r="AG60">
        <f>AE60/V60</f>
        <v>0.3040070588235294</v>
      </c>
    </row>
    <row r="61">
      <c r="A61" t="str">
        <f>HYPERLINK("https://smartstore.naver.com/brickstore2019/products/4737415766","4737415766")</f>
        <v>4737415766</v>
      </c>
      <c r="C61" t="str">
        <v>코도리 노즈워머 코가리개 빨간코 5개 세트</v>
      </c>
      <c r="F61" t="str">
        <v>오렌지</v>
      </c>
      <c r="G61" t="str">
        <f>HYPERLINK("https://item.taobao.com/item.htm?id=584625928827&amp;spm=2013.1.20141002.6.43f85cfafg7rfg&amp;main_itemid=603950580402&amp;go_item_id=584625928827&amp;scm=1007.10009.99063.&amp;pvid=3c8efdc9-7f61-492e-8a04-01534c342931","A")</f>
        <v>A</v>
      </c>
      <c r="I61">
        <v>100</v>
      </c>
      <c r="J61">
        <f>IF(K61&gt;0,K61*0.0625,)</f>
        <v>2.1875</v>
      </c>
      <c r="K61">
        <v>35</v>
      </c>
      <c r="L61">
        <f>IF(J61&gt;0,J61*0.453592,IF(K61&gt;0,K61*0.02835,))</f>
        <v>0.9922325</v>
      </c>
      <c r="M61">
        <v>0</v>
      </c>
      <c r="N61">
        <v>0</v>
      </c>
      <c r="O61">
        <f>I61+N61+M61</f>
        <v>100</v>
      </c>
      <c r="P61">
        <f>O61*C$3</f>
        <v>19000</v>
      </c>
      <c r="Q61">
        <f>ROUNDUP(HLOOKUP(IF(CEILING(L61,0.5)&lt;1,1,CEILING(L61,0.5)),'배송비 조회'!A$32:AY$36,2,0),-2)</f>
        <v>8000</v>
      </c>
      <c r="R61">
        <v>0</v>
      </c>
      <c r="S61">
        <f>ROUND((P61+Q61)*0.4,-2)</f>
        <v>10800</v>
      </c>
      <c r="T61">
        <f>ROUND((P61+Q61)*0.7,-2)</f>
        <v>18900</v>
      </c>
      <c r="U61">
        <f>ROUND(SUM(P61+Q61+R61+S61), -2)</f>
        <v>37800</v>
      </c>
      <c r="V61">
        <f>ROUND(P61+Q61+R61+T61, -2)</f>
        <v>45900</v>
      </c>
      <c r="W61">
        <v>0</v>
      </c>
      <c r="X61">
        <f>U61*0.038</f>
        <v>1436.3999999999999</v>
      </c>
      <c r="Y61">
        <f>U61*0.02</f>
        <v>756</v>
      </c>
      <c r="Z61">
        <f>V61*0.1</f>
        <v>4590</v>
      </c>
      <c r="AA61">
        <f>U61-X61-Y61</f>
        <v>35607.6</v>
      </c>
      <c r="AB61">
        <f>V61-Z61</f>
        <v>41310</v>
      </c>
      <c r="AC61">
        <f>AA61*0.01</f>
        <v>356.07599999999996</v>
      </c>
      <c r="AD61">
        <f>AA61-P61-AC61-Q61</f>
        <v>8251.524</v>
      </c>
      <c r="AE61">
        <f>AB61-P61-Q61-AC61</f>
        <v>13953.924</v>
      </c>
      <c r="AF61">
        <f>AD61/U61</f>
        <v>0.2182942857142857</v>
      </c>
      <c r="AG61">
        <f>AE61/V61</f>
        <v>0.3040070588235294</v>
      </c>
      <c r="AH61">
        <f>U61-8000</f>
        <v>29800</v>
      </c>
    </row>
    <row r="62">
      <c r="F62" t="str">
        <v>레드</v>
      </c>
      <c r="G62" t="str">
        <f>HYPERLINK("https://item.taobao.com/item.htm?id=584625928827&amp;spm=2013.1.20141002.6.43f85cfafg7rfg&amp;main_itemid=603950580402&amp;go_item_id=584625928827&amp;scm=1007.10009.99063.&amp;pvid=3c8efdc9-7f61-492e-8a04-01534c342931","A")</f>
        <v>A</v>
      </c>
      <c r="I62">
        <v>100</v>
      </c>
      <c r="J62">
        <f>IF(K62&gt;0,K62*0.0625,)</f>
        <v>2.1875</v>
      </c>
      <c r="K62">
        <v>35</v>
      </c>
      <c r="L62">
        <f>IF(J62&gt;0,J62*0.453592,IF(K62&gt;0,K62*0.02835,))</f>
        <v>0.9922325</v>
      </c>
      <c r="M62">
        <v>0</v>
      </c>
      <c r="N62">
        <v>0</v>
      </c>
      <c r="O62">
        <f>I62+N62+M62</f>
        <v>100</v>
      </c>
      <c r="P62">
        <f>O62*C$3</f>
        <v>19000</v>
      </c>
      <c r="Q62">
        <f>ROUNDUP(HLOOKUP(IF(CEILING(L62,0.5)&lt;1,1,CEILING(L62,0.5)),'배송비 조회'!A$32:AY$36,2,0),-2)</f>
        <v>8000</v>
      </c>
      <c r="R62">
        <v>0</v>
      </c>
      <c r="S62">
        <f>ROUND((P62+Q62)*0.4,-2)</f>
        <v>10800</v>
      </c>
      <c r="T62">
        <f>ROUND((P62+Q62)*0.7,-2)</f>
        <v>18900</v>
      </c>
      <c r="U62">
        <f>ROUND(SUM(P62+Q62+R62+S62), -2)</f>
        <v>37800</v>
      </c>
      <c r="V62">
        <f>ROUND(P62+Q62+R62+T62, -2)</f>
        <v>45900</v>
      </c>
      <c r="W62">
        <v>0</v>
      </c>
      <c r="X62">
        <f>U62*0.038</f>
        <v>1436.3999999999999</v>
      </c>
      <c r="Y62">
        <f>U62*0.02</f>
        <v>756</v>
      </c>
      <c r="Z62">
        <f>V62*0.1</f>
        <v>4590</v>
      </c>
      <c r="AA62">
        <f>U62-X62-Y62</f>
        <v>35607.6</v>
      </c>
      <c r="AB62">
        <f>V62-Z62</f>
        <v>41310</v>
      </c>
      <c r="AC62">
        <f>AA62*0.01</f>
        <v>356.07599999999996</v>
      </c>
      <c r="AD62">
        <f>AA62-P62-AC62-Q62</f>
        <v>8251.524</v>
      </c>
      <c r="AE62">
        <f>AB62-P62-Q62-AC62</f>
        <v>13953.924</v>
      </c>
      <c r="AF62">
        <f>AD62/U62</f>
        <v>0.2182942857142857</v>
      </c>
      <c r="AG62">
        <f>AE62/V62</f>
        <v>0.3040070588235294</v>
      </c>
    </row>
    <row r="63">
      <c r="A63" t="str">
        <f>HYPERLINK("https://smartstore.naver.com/brickstore2019/products/4747829269","4747829269")</f>
        <v>4747829269</v>
      </c>
      <c r="C63" t="str">
        <v>에그타르트틀 알루미늄 계란타르트틀 10개 세트</v>
      </c>
      <c r="G63" t="str">
        <f>HYPERLINK("https://detail.tmall.com/item.htm?spm=a230r.1.999.7.1942523cw4bJAw&amp;id=587924915555&amp;ns=1","A")</f>
        <v>A</v>
      </c>
      <c r="I63">
        <v>10</v>
      </c>
      <c r="J63">
        <f>IF(K63&gt;0,K63*0.0625,)</f>
        <v>2.1875</v>
      </c>
      <c r="K63">
        <v>35</v>
      </c>
      <c r="L63">
        <f>IF(J63&gt;0,J63*0.453592,IF(K63&gt;0,K63*0.02835,))</f>
        <v>0.9922325</v>
      </c>
      <c r="M63">
        <v>0</v>
      </c>
      <c r="N63">
        <v>0</v>
      </c>
      <c r="O63">
        <f>I63+N63+M63</f>
        <v>10</v>
      </c>
      <c r="P63">
        <f>O63*C$3</f>
        <v>1900</v>
      </c>
      <c r="Q63">
        <f>ROUNDUP(HLOOKUP(IF(CEILING(L63,0.5)&lt;1,1,CEILING(L63,0.5)),'배송비 조회'!A$32:AY$36,2,0),-2)</f>
        <v>8000</v>
      </c>
      <c r="R63">
        <v>0</v>
      </c>
      <c r="S63">
        <f>ROUND((P63+Q63)*0.7,-2)</f>
        <v>6900</v>
      </c>
      <c r="T63">
        <f>ROUND((P63+Q63)*0.7,-2)</f>
        <v>6900</v>
      </c>
      <c r="U63">
        <f>ROUND(SUM(P63+Q63+R63+S63), -2)</f>
        <v>16800</v>
      </c>
      <c r="V63">
        <f>ROUND(P63+Q63+R63+T63, -2)</f>
        <v>16800</v>
      </c>
      <c r="W63">
        <v>0</v>
      </c>
      <c r="X63">
        <f>U63*0.038</f>
        <v>638.4</v>
      </c>
      <c r="Y63">
        <f>U63*0.02</f>
        <v>336</v>
      </c>
      <c r="Z63">
        <f>V63*0.1</f>
        <v>1680</v>
      </c>
      <c r="AA63">
        <f>U63-X63-Y63</f>
        <v>15825.6</v>
      </c>
      <c r="AB63">
        <f>V63-Z63</f>
        <v>15120</v>
      </c>
      <c r="AC63">
        <f>AA63*0.01</f>
        <v>158.256</v>
      </c>
      <c r="AD63">
        <f>AA63-P63-AC63-Q63</f>
        <v>5767.344000000001</v>
      </c>
      <c r="AE63">
        <f>AB63-P63-Q63-AC63</f>
        <v>5061.744</v>
      </c>
      <c r="AF63">
        <f>AD63/U63</f>
        <v>0.3432942857142858</v>
      </c>
      <c r="AG63">
        <f>AE63/V63</f>
        <v>0.3012942857142857</v>
      </c>
    </row>
    <row r="64">
      <c r="C64" t="str">
        <v>앤프로2 60% 키보드 체리 게이트론 카일 블루투스 기계식 키보드 Anne Pro2 bluetooth keyboard (무료배송)</v>
      </c>
      <c r="F64" t="str">
        <v>화이트 X 게이트론 청축</v>
      </c>
      <c r="G64" t="str">
        <f>HYPERLINK("https://item.taobao.com/item.htm?spm=a230r.1.14.6.5de04ec9hfcUuI&amp;id=575366647404&amp;ns=1&amp;abbucket=12#detail","T")</f>
        <v>T</v>
      </c>
      <c r="I64">
        <v>369</v>
      </c>
      <c r="J64">
        <v>2</v>
      </c>
      <c r="K64">
        <v>35</v>
      </c>
      <c r="L64">
        <f>IF(J64&gt;0,J64*0.453592,IF(K64&gt;0,K64*0.02835,))</f>
        <v>0.907184</v>
      </c>
      <c r="M64">
        <v>0</v>
      </c>
      <c r="N64">
        <v>0</v>
      </c>
      <c r="O64">
        <f>I64+N64+M64</f>
        <v>369</v>
      </c>
      <c r="P64">
        <f>O64*C$3</f>
        <v>70110</v>
      </c>
      <c r="Q64">
        <f>ROUNDUP(HLOOKUP(IF(CEILING(L64,0.5)&lt;1,1,CEILING(L64,0.5)),'배송비 조회'!A$32:AY$36,2,0),-2)</f>
        <v>8000</v>
      </c>
      <c r="R64">
        <v>0</v>
      </c>
      <c r="S64">
        <f>ROUND((P64+Q64)*0.2,-2)</f>
        <v>15600</v>
      </c>
      <c r="T64">
        <f>ROUND((P64+Q64)*0.4,-2)</f>
        <v>31200</v>
      </c>
      <c r="U64">
        <f>ROUND(SUM(P64+Q64+R64+S64), -2)</f>
        <v>93700</v>
      </c>
      <c r="V64">
        <f>ROUND(P64+Q64+R64+T64, -2)</f>
        <v>109300</v>
      </c>
      <c r="W64">
        <v>0</v>
      </c>
      <c r="X64">
        <f>U64*0.038</f>
        <v>3560.6</v>
      </c>
      <c r="Y64">
        <f>U64*0.02</f>
        <v>1874</v>
      </c>
      <c r="Z64">
        <f>V64*0.1</f>
        <v>10930</v>
      </c>
      <c r="AA64">
        <f>U64-X64-Y64</f>
        <v>88265.4</v>
      </c>
      <c r="AB64">
        <f>V64-Z64</f>
        <v>98370</v>
      </c>
      <c r="AC64">
        <f>AA64*0.01</f>
        <v>882.654</v>
      </c>
      <c r="AD64">
        <f>AA64-P64-AC64-Q64</f>
        <v>9272.745999999996</v>
      </c>
      <c r="AE64">
        <f>AB64-P64-Q64-AC64</f>
        <v>19377.346</v>
      </c>
      <c r="AF64">
        <f>AD64/U64</f>
        <v>0.09896207043756665</v>
      </c>
      <c r="AG64">
        <f>AE64/V64</f>
        <v>0.17728587374199453</v>
      </c>
      <c r="AH64">
        <f>U64-15000</f>
        <v>78700</v>
      </c>
      <c r="AI64" t="str">
        <v>유료배송 15,000원</v>
      </c>
    </row>
    <row r="65">
      <c r="F65" t="str">
        <v>블랙 X 게이트론 청축</v>
      </c>
      <c r="G65" t="str">
        <f>HYPERLINK("https://item.taobao.com/item.htm?spm=a230r.1.14.6.5de04ec9hfcUuI&amp;id=575366647404&amp;ns=1&amp;abbucket=12#detail","T")</f>
        <v>T</v>
      </c>
      <c r="I65">
        <v>369</v>
      </c>
      <c r="J65">
        <v>2</v>
      </c>
      <c r="K65">
        <f>IF(J65&gt;0,J65*16,)</f>
        <v>32</v>
      </c>
      <c r="L65">
        <f>IF(J65&gt;0,J65*0.453592,IF(K65&gt;0,K65*0.02835,))</f>
        <v>0.907184</v>
      </c>
      <c r="M65">
        <v>0</v>
      </c>
      <c r="N65">
        <v>0</v>
      </c>
      <c r="O65">
        <f>I65+N65+M65</f>
        <v>369</v>
      </c>
      <c r="P65">
        <f>O65*C$3</f>
        <v>70110</v>
      </c>
      <c r="Q65">
        <f>ROUNDUP(HLOOKUP(IF(CEILING(L65,0.5)&lt;1,1,CEILING(L65,0.5)),'배송비 조회'!A$32:AY$36,2,0),-2)</f>
        <v>8000</v>
      </c>
      <c r="R65">
        <v>0</v>
      </c>
      <c r="S65">
        <f>ROUND((P65+Q65)*0.2,-2)</f>
        <v>15600</v>
      </c>
      <c r="T65">
        <f>ROUND((P65+Q65)*0.4,-2)</f>
        <v>31200</v>
      </c>
      <c r="U65">
        <f>ROUND(SUM(P65+Q65+R65+S65), -2)</f>
        <v>93700</v>
      </c>
      <c r="V65">
        <f>ROUND(P65+Q65+R65+T65, -2)</f>
        <v>109300</v>
      </c>
      <c r="W65">
        <v>0</v>
      </c>
      <c r="X65">
        <f>U65*0.038</f>
        <v>3560.6</v>
      </c>
      <c r="Y65">
        <f>U65*0.02</f>
        <v>1874</v>
      </c>
      <c r="Z65">
        <f>V65*0.1</f>
        <v>10930</v>
      </c>
      <c r="AA65">
        <f>U65-X65-Y65</f>
        <v>88265.4</v>
      </c>
      <c r="AB65">
        <f>V65-Z65</f>
        <v>98370</v>
      </c>
      <c r="AC65">
        <f>AA65*0.01</f>
        <v>882.654</v>
      </c>
      <c r="AD65">
        <f>AA65-P65-AC65-Q65</f>
        <v>9272.745999999996</v>
      </c>
      <c r="AE65">
        <f>AB65-P65-Q65-AC65</f>
        <v>19377.346</v>
      </c>
      <c r="AF65">
        <f>AD65/U65</f>
        <v>0.09896207043756665</v>
      </c>
      <c r="AG65">
        <f>AE65/V65</f>
        <v>0.17728587374199453</v>
      </c>
      <c r="AH65">
        <f>U65-15000</f>
        <v>78700</v>
      </c>
    </row>
    <row r="66">
      <c r="F66" t="str">
        <v>화이트 X 게이트론 적축</v>
      </c>
      <c r="G66" t="str">
        <f>HYPERLINK("https://item.taobao.com/item.htm?spm=a230r.1.14.6.5de04ec9hfcUuI&amp;id=575366647404&amp;ns=1&amp;abbucket=12#detail","T")</f>
        <v>T</v>
      </c>
      <c r="I66">
        <v>369</v>
      </c>
      <c r="J66">
        <v>2</v>
      </c>
      <c r="K66">
        <f>IF(J66&gt;0,J66*16,)</f>
        <v>32</v>
      </c>
      <c r="L66">
        <f>IF(J66&gt;0,J66*0.453592,IF(K66&gt;0,K66*0.02835,))</f>
        <v>0.907184</v>
      </c>
      <c r="M66">
        <v>0</v>
      </c>
      <c r="N66">
        <v>0</v>
      </c>
      <c r="O66">
        <f>I66+N66+M66</f>
        <v>369</v>
      </c>
      <c r="P66">
        <f>O66*C$3</f>
        <v>70110</v>
      </c>
      <c r="Q66">
        <f>ROUNDUP(HLOOKUP(IF(CEILING(L66,0.5)&lt;1,1,CEILING(L66,0.5)),'배송비 조회'!A$32:AY$36,2,0),-2)</f>
        <v>8000</v>
      </c>
      <c r="R66">
        <v>0</v>
      </c>
      <c r="S66">
        <f>ROUND((P66+Q66)*0.2,-2)</f>
        <v>15600</v>
      </c>
      <c r="T66">
        <f>ROUND((P66+Q66)*0.4,-2)</f>
        <v>31200</v>
      </c>
      <c r="U66">
        <f>ROUND(SUM(P66+Q66+R66+S66), -2)</f>
        <v>93700</v>
      </c>
      <c r="V66">
        <f>ROUND(P66+Q66+R66+T66, -2)</f>
        <v>109300</v>
      </c>
      <c r="W66">
        <v>0</v>
      </c>
      <c r="X66">
        <f>U66*0.038</f>
        <v>3560.6</v>
      </c>
      <c r="Y66">
        <f>U66*0.02</f>
        <v>1874</v>
      </c>
      <c r="Z66">
        <f>V66*0.1</f>
        <v>10930</v>
      </c>
      <c r="AA66">
        <f>U66-X66-Y66</f>
        <v>88265.4</v>
      </c>
      <c r="AB66">
        <f>V66-Z66</f>
        <v>98370</v>
      </c>
      <c r="AC66">
        <f>AA66*0.01</f>
        <v>882.654</v>
      </c>
      <c r="AD66">
        <f>AA66-P66-AC66-Q66</f>
        <v>9272.745999999996</v>
      </c>
      <c r="AE66">
        <f>AB66-P66-Q66-AC66</f>
        <v>19377.346</v>
      </c>
      <c r="AF66">
        <f>AD66/U66</f>
        <v>0.09896207043756665</v>
      </c>
      <c r="AG66">
        <f>AE66/V66</f>
        <v>0.17728587374199453</v>
      </c>
      <c r="AH66">
        <f>U66-15000</f>
        <v>78700</v>
      </c>
    </row>
    <row r="67">
      <c r="F67" t="str">
        <v>블랙 X 게이트론 적축</v>
      </c>
      <c r="G67" t="str">
        <f>HYPERLINK("https://item.taobao.com/item.htm?spm=a230r.1.14.6.5de04ec9hfcUuI&amp;id=575366647404&amp;ns=1&amp;abbucket=12#detail","T")</f>
        <v>T</v>
      </c>
      <c r="I67">
        <v>369</v>
      </c>
      <c r="J67">
        <v>2</v>
      </c>
      <c r="K67">
        <f>IF(J67&gt;0,J67*16,)</f>
        <v>32</v>
      </c>
      <c r="L67">
        <f>IF(J67&gt;0,J67*0.453592,IF(K67&gt;0,K67*0.02835,))</f>
        <v>0.907184</v>
      </c>
      <c r="M67">
        <v>0</v>
      </c>
      <c r="N67">
        <v>0</v>
      </c>
      <c r="O67">
        <f>I67+N67+M67</f>
        <v>369</v>
      </c>
      <c r="P67">
        <f>O67*C$3</f>
        <v>70110</v>
      </c>
      <c r="Q67">
        <f>ROUNDUP(HLOOKUP(IF(CEILING(L67,0.5)&lt;1,1,CEILING(L67,0.5)),'배송비 조회'!A$32:AY$36,2,0),-2)</f>
        <v>8000</v>
      </c>
      <c r="R67">
        <v>0</v>
      </c>
      <c r="S67">
        <f>ROUND((P67+Q67)*0.2,-2)</f>
        <v>15600</v>
      </c>
      <c r="T67">
        <f>ROUND((P67+Q67)*0.4,-2)</f>
        <v>31200</v>
      </c>
      <c r="U67">
        <f>ROUND(SUM(P67+Q67+R67+S67), -2)</f>
        <v>93700</v>
      </c>
      <c r="V67">
        <f>ROUND(P67+Q67+R67+T67, -2)</f>
        <v>109300</v>
      </c>
      <c r="W67">
        <v>0</v>
      </c>
      <c r="X67">
        <f>U67*0.038</f>
        <v>3560.6</v>
      </c>
      <c r="Y67">
        <f>U67*0.02</f>
        <v>1874</v>
      </c>
      <c r="Z67">
        <f>V67*0.1</f>
        <v>10930</v>
      </c>
      <c r="AA67">
        <f>U67-X67-Y67</f>
        <v>88265.4</v>
      </c>
      <c r="AB67">
        <f>V67-Z67</f>
        <v>98370</v>
      </c>
      <c r="AC67">
        <f>AA67*0.01</f>
        <v>882.654</v>
      </c>
      <c r="AD67">
        <f>AA67-P67-AC67-Q67</f>
        <v>9272.745999999996</v>
      </c>
      <c r="AE67">
        <f>AB67-P67-Q67-AC67</f>
        <v>19377.346</v>
      </c>
      <c r="AF67">
        <f>AD67/U67</f>
        <v>0.09896207043756665</v>
      </c>
      <c r="AG67">
        <f>AE67/V67</f>
        <v>0.17728587374199453</v>
      </c>
      <c r="AH67">
        <f>U67-15000</f>
        <v>78700</v>
      </c>
    </row>
    <row r="68">
      <c r="F68" t="str">
        <v>화이트 X 게이트론 갈축</v>
      </c>
      <c r="G68" t="str">
        <f>HYPERLINK("https://item.taobao.com/item.htm?spm=a230r.1.14.6.5de04ec9hfcUuI&amp;id=575366647404&amp;ns=1&amp;abbucket=12#detail","T")</f>
        <v>T</v>
      </c>
      <c r="I68">
        <v>369</v>
      </c>
      <c r="J68">
        <v>2</v>
      </c>
      <c r="K68">
        <f>IF(J68&gt;0,J68*16,)</f>
        <v>32</v>
      </c>
      <c r="L68">
        <f>IF(J68&gt;0,J68*0.453592,IF(K68&gt;0,K68*0.02835,))</f>
        <v>0.907184</v>
      </c>
      <c r="M68">
        <v>0</v>
      </c>
      <c r="N68">
        <v>0</v>
      </c>
      <c r="O68">
        <f>I68+N68+M68</f>
        <v>369</v>
      </c>
      <c r="P68">
        <f>O68*C$3</f>
        <v>70110</v>
      </c>
      <c r="Q68">
        <f>ROUNDUP(HLOOKUP(IF(CEILING(L68,0.5)&lt;1,1,CEILING(L68,0.5)),'배송비 조회'!A$32:AY$36,2,0),-2)</f>
        <v>8000</v>
      </c>
      <c r="R68">
        <v>0</v>
      </c>
      <c r="S68">
        <f>ROUND((P68+Q68)*0.2,-2)</f>
        <v>15600</v>
      </c>
      <c r="T68">
        <f>ROUND((P68+Q68)*0.4,-2)</f>
        <v>31200</v>
      </c>
      <c r="U68">
        <f>ROUND(SUM(P68+Q68+R68+S68), -2)</f>
        <v>93700</v>
      </c>
      <c r="V68">
        <f>ROUND(P68+Q68+R68+T68, -2)</f>
        <v>109300</v>
      </c>
      <c r="W68">
        <v>0</v>
      </c>
      <c r="X68">
        <f>U68*0.038</f>
        <v>3560.6</v>
      </c>
      <c r="Y68">
        <f>U68*0.02</f>
        <v>1874</v>
      </c>
      <c r="Z68">
        <f>V68*0.1</f>
        <v>10930</v>
      </c>
      <c r="AA68">
        <f>U68-X68-Y68</f>
        <v>88265.4</v>
      </c>
      <c r="AB68">
        <f>V68-Z68</f>
        <v>98370</v>
      </c>
      <c r="AC68">
        <f>AA68*0.01</f>
        <v>882.654</v>
      </c>
      <c r="AD68">
        <f>AA68-P68-AC68-Q68</f>
        <v>9272.745999999996</v>
      </c>
      <c r="AE68">
        <f>AB68-P68-Q68-AC68</f>
        <v>19377.346</v>
      </c>
      <c r="AF68">
        <f>AD68/U68</f>
        <v>0.09896207043756665</v>
      </c>
      <c r="AG68">
        <f>AE68/V68</f>
        <v>0.17728587374199453</v>
      </c>
      <c r="AH68">
        <f>U68-15000</f>
        <v>78700</v>
      </c>
    </row>
    <row r="69">
      <c r="F69" t="str">
        <v>블랙 X 게이트론 갈축</v>
      </c>
      <c r="G69" t="str">
        <f>HYPERLINK("https://item.taobao.com/item.htm?spm=a230r.1.14.6.5de04ec9hfcUuI&amp;id=575366647404&amp;ns=1&amp;abbucket=12#detail","T")</f>
        <v>T</v>
      </c>
      <c r="I69">
        <v>369</v>
      </c>
      <c r="J69">
        <v>2</v>
      </c>
      <c r="K69">
        <f>IF(J69&gt;0,J69*16,)</f>
        <v>32</v>
      </c>
      <c r="L69">
        <f>IF(J69&gt;0,J69*0.453592,IF(K69&gt;0,K69*0.02835,))</f>
        <v>0.907184</v>
      </c>
      <c r="M69">
        <v>0</v>
      </c>
      <c r="N69">
        <v>0</v>
      </c>
      <c r="O69">
        <f>I69+N69+M69</f>
        <v>369</v>
      </c>
      <c r="P69">
        <f>O69*C$3</f>
        <v>70110</v>
      </c>
      <c r="Q69">
        <f>ROUNDUP(HLOOKUP(IF(CEILING(L69,0.5)&lt;1,1,CEILING(L69,0.5)),'배송비 조회'!A$32:AY$36,2,0),-2)</f>
        <v>8000</v>
      </c>
      <c r="R69">
        <v>0</v>
      </c>
      <c r="S69">
        <f>ROUND((P69+Q69)*0.2,-2)</f>
        <v>15600</v>
      </c>
      <c r="T69">
        <f>ROUND((P69+Q69)*0.4,-2)</f>
        <v>31200</v>
      </c>
      <c r="U69">
        <f>ROUND(SUM(P69+Q69+R69+S69), -2)</f>
        <v>93700</v>
      </c>
      <c r="V69">
        <f>ROUND(P69+Q69+R69+T69, -2)</f>
        <v>109300</v>
      </c>
      <c r="W69">
        <v>0</v>
      </c>
      <c r="X69">
        <f>U69*0.038</f>
        <v>3560.6</v>
      </c>
      <c r="Y69">
        <f>U69*0.02</f>
        <v>1874</v>
      </c>
      <c r="Z69">
        <f>V69*0.1</f>
        <v>10930</v>
      </c>
      <c r="AA69">
        <f>U69-X69-Y69</f>
        <v>88265.4</v>
      </c>
      <c r="AB69">
        <f>V69-Z69</f>
        <v>98370</v>
      </c>
      <c r="AC69">
        <f>AA69*0.01</f>
        <v>882.654</v>
      </c>
      <c r="AD69">
        <f>AA69-P69-AC69-Q69</f>
        <v>9272.745999999996</v>
      </c>
      <c r="AE69">
        <f>AB69-P69-Q69-AC69</f>
        <v>19377.346</v>
      </c>
      <c r="AF69">
        <f>AD69/U69</f>
        <v>0.09896207043756665</v>
      </c>
      <c r="AG69">
        <f>AE69/V69</f>
        <v>0.17728587374199453</v>
      </c>
      <c r="AH69">
        <f>U69-15000</f>
        <v>78700</v>
      </c>
    </row>
    <row r="70">
      <c r="F70" t="str">
        <v>화이트 X 카일 백축</v>
      </c>
      <c r="G70" t="str">
        <f>HYPERLINK("https://item.taobao.com/item.htm?spm=a230r.1.14.6.5de04ec9hfcUuI&amp;id=575366647404&amp;ns=1&amp;abbucket=12#detail","T")</f>
        <v>T</v>
      </c>
      <c r="I70">
        <v>399</v>
      </c>
      <c r="J70">
        <v>2</v>
      </c>
      <c r="K70">
        <f>IF(J70&gt;0,J70*16,)</f>
        <v>32</v>
      </c>
      <c r="L70">
        <f>IF(J70&gt;0,J70*0.453592,IF(K70&gt;0,K70*0.02835,))</f>
        <v>0.907184</v>
      </c>
      <c r="M70">
        <v>0</v>
      </c>
      <c r="N70">
        <v>0</v>
      </c>
      <c r="O70">
        <f>I70+N70+M70</f>
        <v>399</v>
      </c>
      <c r="P70">
        <f>O70*C$3</f>
        <v>75810</v>
      </c>
      <c r="Q70">
        <f>ROUNDUP(HLOOKUP(IF(CEILING(L70,0.5)&lt;1,1,CEILING(L70,0.5)),'배송비 조회'!A$32:AY$36,2,0),-2)</f>
        <v>8000</v>
      </c>
      <c r="R70">
        <v>0</v>
      </c>
      <c r="S70">
        <f>ROUND((P70+Q70)*0.2,-2)</f>
        <v>16800</v>
      </c>
      <c r="T70">
        <f>ROUND((P70+Q70)*0.4,-2)</f>
        <v>33500</v>
      </c>
      <c r="U70">
        <f>ROUND(SUM(P70+Q70+R70+S70), -2)</f>
        <v>100600</v>
      </c>
      <c r="V70">
        <f>ROUND(P70+Q70+R70+T70, -2)</f>
        <v>117300</v>
      </c>
      <c r="W70">
        <v>0</v>
      </c>
      <c r="X70">
        <f>U70*0.038</f>
        <v>3822.7999999999997</v>
      </c>
      <c r="Y70">
        <f>U70*0.02</f>
        <v>2012</v>
      </c>
      <c r="Z70">
        <f>V70*0.1</f>
        <v>11730</v>
      </c>
      <c r="AA70">
        <f>U70-X70-Y70</f>
        <v>94765.2</v>
      </c>
      <c r="AB70">
        <f>V70-Z70</f>
        <v>105570</v>
      </c>
      <c r="AC70">
        <f>AA70*0.01</f>
        <v>947.652</v>
      </c>
      <c r="AD70">
        <f>AA70-P70-AC70-Q70</f>
        <v>10007.547999999995</v>
      </c>
      <c r="AE70">
        <f>AB70-P70-Q70-AC70</f>
        <v>20812.347999999998</v>
      </c>
      <c r="AF70">
        <f>AD70/U70</f>
        <v>0.09947860834990055</v>
      </c>
      <c r="AG70">
        <f>AE70/V70</f>
        <v>0.17742837169650466</v>
      </c>
      <c r="AH70">
        <f>U70-15000</f>
        <v>85600</v>
      </c>
    </row>
    <row r="71">
      <c r="F71" t="str">
        <v>블랙 X 카일 백축</v>
      </c>
      <c r="G71" t="str">
        <f>HYPERLINK("https://item.taobao.com/item.htm?spm=a230r.1.14.6.5de04ec9hfcUuI&amp;id=575366647404&amp;ns=1&amp;abbucket=12#detail","T")</f>
        <v>T</v>
      </c>
      <c r="I71">
        <v>399</v>
      </c>
      <c r="J71">
        <v>2</v>
      </c>
      <c r="K71">
        <f>IF(J71&gt;0,J71*16,)</f>
        <v>32</v>
      </c>
      <c r="L71">
        <f>IF(J71&gt;0,J71*0.453592,IF(K71&gt;0,K71*0.02835,))</f>
        <v>0.907184</v>
      </c>
      <c r="M71">
        <v>0</v>
      </c>
      <c r="N71">
        <v>0</v>
      </c>
      <c r="O71">
        <f>I71+N71+M71</f>
        <v>399</v>
      </c>
      <c r="P71">
        <f>O71*C$3</f>
        <v>75810</v>
      </c>
      <c r="Q71">
        <f>ROUNDUP(HLOOKUP(IF(CEILING(L71,0.5)&lt;1,1,CEILING(L71,0.5)),'배송비 조회'!A$32:AY$36,2,0),-2)</f>
        <v>8000</v>
      </c>
      <c r="R71">
        <v>0</v>
      </c>
      <c r="S71">
        <f>ROUND((P71+Q71)*0.2,-2)</f>
        <v>16800</v>
      </c>
      <c r="T71">
        <f>ROUND((P71+Q71)*0.4,-2)</f>
        <v>33500</v>
      </c>
      <c r="U71">
        <f>ROUND(SUM(P71+Q71+R71+S71), -2)</f>
        <v>100600</v>
      </c>
      <c r="V71">
        <f>ROUND(P71+Q71+R71+T71, -2)</f>
        <v>117300</v>
      </c>
      <c r="W71">
        <v>0</v>
      </c>
      <c r="X71">
        <f>U71*0.038</f>
        <v>3822.7999999999997</v>
      </c>
      <c r="Y71">
        <f>U71*0.02</f>
        <v>2012</v>
      </c>
      <c r="Z71">
        <f>V71*0.1</f>
        <v>11730</v>
      </c>
      <c r="AA71">
        <f>U71-X71-Y71</f>
        <v>94765.2</v>
      </c>
      <c r="AB71">
        <f>V71-Z71</f>
        <v>105570</v>
      </c>
      <c r="AC71">
        <f>AA71*0.01</f>
        <v>947.652</v>
      </c>
      <c r="AD71">
        <f>AA71-P71-AC71-Q71</f>
        <v>10007.547999999995</v>
      </c>
      <c r="AE71">
        <f>AB71-P71-Q71-AC71</f>
        <v>20812.347999999998</v>
      </c>
      <c r="AF71">
        <f>AD71/U71</f>
        <v>0.09947860834990055</v>
      </c>
      <c r="AG71">
        <f>AE71/V71</f>
        <v>0.17742837169650466</v>
      </c>
      <c r="AH71">
        <f>U71-15000</f>
        <v>85600</v>
      </c>
    </row>
    <row r="72">
      <c r="F72" t="str">
        <v>화이트 X 카일 적축</v>
      </c>
      <c r="G72" t="str">
        <f>HYPERLINK("https://item.taobao.com/item.htm?spm=a230r.1.14.6.5de04ec9hfcUuI&amp;id=575366647404&amp;ns=1&amp;abbucket=12#detail","T")</f>
        <v>T</v>
      </c>
      <c r="I72">
        <v>399</v>
      </c>
      <c r="J72">
        <v>2</v>
      </c>
      <c r="K72">
        <f>IF(J72&gt;0,J72*16,)</f>
        <v>32</v>
      </c>
      <c r="L72">
        <f>IF(J72&gt;0,J72*0.453592,IF(K72&gt;0,K72*0.02835,))</f>
        <v>0.907184</v>
      </c>
      <c r="M72">
        <v>0</v>
      </c>
      <c r="N72">
        <v>0</v>
      </c>
      <c r="O72">
        <f>I72+N72+M72</f>
        <v>399</v>
      </c>
      <c r="P72">
        <f>O72*C$3</f>
        <v>75810</v>
      </c>
      <c r="Q72">
        <f>ROUNDUP(HLOOKUP(IF(CEILING(L72,0.5)&lt;1,1,CEILING(L72,0.5)),'배송비 조회'!A$32:AY$36,2,0),-2)</f>
        <v>8000</v>
      </c>
      <c r="R72">
        <v>0</v>
      </c>
      <c r="S72">
        <f>ROUND((P72+Q72)*0.2,-2)</f>
        <v>16800</v>
      </c>
      <c r="T72">
        <f>ROUND((P72+Q72)*0.4,-2)</f>
        <v>33500</v>
      </c>
      <c r="U72">
        <f>ROUND(SUM(P72+Q72+R72+S72), -2)</f>
        <v>100600</v>
      </c>
      <c r="V72">
        <f>ROUND(P72+Q72+R72+T72, -2)</f>
        <v>117300</v>
      </c>
      <c r="W72">
        <v>0</v>
      </c>
      <c r="X72">
        <f>U72*0.038</f>
        <v>3822.7999999999997</v>
      </c>
      <c r="Y72">
        <f>U72*0.02</f>
        <v>2012</v>
      </c>
      <c r="Z72">
        <f>V72*0.1</f>
        <v>11730</v>
      </c>
      <c r="AA72">
        <f>U72-X72-Y72</f>
        <v>94765.2</v>
      </c>
      <c r="AB72">
        <f>V72-Z72</f>
        <v>105570</v>
      </c>
      <c r="AC72">
        <f>AA72*0.01</f>
        <v>947.652</v>
      </c>
      <c r="AD72">
        <f>AA72-P72-AC72-Q72</f>
        <v>10007.547999999995</v>
      </c>
      <c r="AE72">
        <f>AB72-P72-Q72-AC72</f>
        <v>20812.347999999998</v>
      </c>
      <c r="AF72">
        <f>AD72/U72</f>
        <v>0.09947860834990055</v>
      </c>
      <c r="AG72">
        <f>AE72/V72</f>
        <v>0.17742837169650466</v>
      </c>
      <c r="AH72">
        <f>U72-15000</f>
        <v>85600</v>
      </c>
    </row>
    <row r="73">
      <c r="F73" t="str">
        <v>블랙 X 카일 적축</v>
      </c>
      <c r="G73" t="str">
        <f>HYPERLINK("https://item.taobao.com/item.htm?spm=a230r.1.14.6.5de04ec9hfcUuI&amp;id=575366647404&amp;ns=1&amp;abbucket=12#detail","T")</f>
        <v>T</v>
      </c>
      <c r="I73">
        <v>399</v>
      </c>
      <c r="J73">
        <v>2</v>
      </c>
      <c r="K73">
        <f>IF(J73&gt;0,J73*16,)</f>
        <v>32</v>
      </c>
      <c r="L73">
        <f>IF(J73&gt;0,J73*0.453592,IF(K73&gt;0,K73*0.02835,))</f>
        <v>0.907184</v>
      </c>
      <c r="M73">
        <v>0</v>
      </c>
      <c r="N73">
        <v>0</v>
      </c>
      <c r="O73">
        <f>I73+N73+M73</f>
        <v>399</v>
      </c>
      <c r="P73">
        <f>O73*C$3</f>
        <v>75810</v>
      </c>
      <c r="Q73">
        <f>ROUNDUP(HLOOKUP(IF(CEILING(L73,0.5)&lt;1,1,CEILING(L73,0.5)),'배송비 조회'!A$32:AY$36,2,0),-2)</f>
        <v>8000</v>
      </c>
      <c r="R73">
        <v>0</v>
      </c>
      <c r="S73">
        <f>ROUND((P73+Q73)*0.2,-2)</f>
        <v>16800</v>
      </c>
      <c r="T73">
        <f>ROUND((P73+Q73)*0.4,-2)</f>
        <v>33500</v>
      </c>
      <c r="U73">
        <f>ROUND(SUM(P73+Q73+R73+S73), -2)</f>
        <v>100600</v>
      </c>
      <c r="V73">
        <f>ROUND(P73+Q73+R73+T73, -2)</f>
        <v>117300</v>
      </c>
      <c r="W73">
        <v>0</v>
      </c>
      <c r="X73">
        <f>U73*0.038</f>
        <v>3822.7999999999997</v>
      </c>
      <c r="Y73">
        <f>U73*0.02</f>
        <v>2012</v>
      </c>
      <c r="Z73">
        <f>V73*0.1</f>
        <v>11730</v>
      </c>
      <c r="AA73">
        <f>U73-X73-Y73</f>
        <v>94765.2</v>
      </c>
      <c r="AB73">
        <f>V73-Z73</f>
        <v>105570</v>
      </c>
      <c r="AC73">
        <f>AA73*0.01</f>
        <v>947.652</v>
      </c>
      <c r="AD73">
        <f>AA73-P73-AC73-Q73</f>
        <v>10007.547999999995</v>
      </c>
      <c r="AE73">
        <f>AB73-P73-Q73-AC73</f>
        <v>20812.347999999998</v>
      </c>
      <c r="AF73">
        <f>AD73/U73</f>
        <v>0.09947860834990055</v>
      </c>
      <c r="AG73">
        <f>AE73/V73</f>
        <v>0.17742837169650466</v>
      </c>
      <c r="AH73">
        <f>U73-15000</f>
        <v>85600</v>
      </c>
    </row>
    <row r="74">
      <c r="F74" t="str">
        <v>블랙 X 카일 흑축</v>
      </c>
      <c r="G74" t="str">
        <f>HYPERLINK("https://item.taobao.com/item.htm?spm=a230r.1.14.6.5de04ec9hfcUuI&amp;id=575366647404&amp;ns=1&amp;abbucket=12#detail","T")</f>
        <v>T</v>
      </c>
      <c r="I74">
        <v>399</v>
      </c>
      <c r="J74">
        <v>2</v>
      </c>
      <c r="K74">
        <f>IF(J74&gt;0,J74*16,)</f>
        <v>32</v>
      </c>
      <c r="L74">
        <f>IF(J74&gt;0,J74*0.453592,IF(K74&gt;0,K74*0.02835,))</f>
        <v>0.907184</v>
      </c>
      <c r="M74">
        <v>0</v>
      </c>
      <c r="N74">
        <v>0</v>
      </c>
      <c r="O74">
        <f>I74+N74+M74</f>
        <v>399</v>
      </c>
      <c r="P74">
        <f>O74*C$3</f>
        <v>75810</v>
      </c>
      <c r="Q74">
        <f>ROUNDUP(HLOOKUP(IF(CEILING(L74,0.5)&lt;1,1,CEILING(L74,0.5)),'배송비 조회'!A$32:AY$36,2,0),-2)</f>
        <v>8000</v>
      </c>
      <c r="R74">
        <v>0</v>
      </c>
      <c r="S74">
        <f>ROUND((P74+Q74)*0.2,-2)</f>
        <v>16800</v>
      </c>
      <c r="T74">
        <f>ROUND((P74+Q74)*0.4,-2)</f>
        <v>33500</v>
      </c>
      <c r="U74">
        <f>ROUND(SUM(P74+Q74+R74+S74), -2)</f>
        <v>100600</v>
      </c>
      <c r="V74">
        <f>ROUND(P74+Q74+R74+T74, -2)</f>
        <v>117300</v>
      </c>
      <c r="W74">
        <v>0</v>
      </c>
      <c r="X74">
        <f>U74*0.038</f>
        <v>3822.7999999999997</v>
      </c>
      <c r="Y74">
        <f>U74*0.02</f>
        <v>2012</v>
      </c>
      <c r="Z74">
        <f>V74*0.1</f>
        <v>11730</v>
      </c>
      <c r="AA74">
        <f>U74-X74-Y74</f>
        <v>94765.2</v>
      </c>
      <c r="AB74">
        <f>V74-Z74</f>
        <v>105570</v>
      </c>
      <c r="AC74">
        <f>AA74*0.01</f>
        <v>947.652</v>
      </c>
      <c r="AD74">
        <f>AA74-P74-AC74-Q74</f>
        <v>10007.547999999995</v>
      </c>
      <c r="AE74">
        <f>AB74-P74-Q74-AC74</f>
        <v>20812.347999999998</v>
      </c>
      <c r="AF74">
        <f>AD74/U74</f>
        <v>0.09947860834990055</v>
      </c>
      <c r="AG74">
        <f>AE74/V74</f>
        <v>0.17742837169650466</v>
      </c>
      <c r="AH74">
        <f>U74-15000</f>
        <v>85600</v>
      </c>
    </row>
    <row r="75">
      <c r="F75" t="str">
        <v>화이트 X 카일 갈축</v>
      </c>
      <c r="G75" t="str">
        <f>HYPERLINK("https://item.taobao.com/item.htm?spm=a230r.1.14.6.5de04ec9hfcUuI&amp;id=575366647404&amp;ns=1&amp;abbucket=12#detail","T")</f>
        <v>T</v>
      </c>
      <c r="I75">
        <v>399</v>
      </c>
      <c r="J75">
        <v>2</v>
      </c>
      <c r="K75">
        <f>IF(J75&gt;0,J75*16,)</f>
        <v>32</v>
      </c>
      <c r="L75">
        <f>IF(J75&gt;0,J75*0.453592,IF(K75&gt;0,K75*0.02835,))</f>
        <v>0.907184</v>
      </c>
      <c r="M75">
        <v>0</v>
      </c>
      <c r="N75">
        <v>0</v>
      </c>
      <c r="O75">
        <f>I75+N75+M75</f>
        <v>399</v>
      </c>
      <c r="P75">
        <f>O75*C$3</f>
        <v>75810</v>
      </c>
      <c r="Q75">
        <f>ROUNDUP(HLOOKUP(IF(CEILING(L75,0.5)&lt;1,1,CEILING(L75,0.5)),'배송비 조회'!A$32:AY$36,2,0),-2)</f>
        <v>8000</v>
      </c>
      <c r="R75">
        <v>0</v>
      </c>
      <c r="S75">
        <f>ROUND((P75+Q75)*0.2,-2)</f>
        <v>16800</v>
      </c>
      <c r="T75">
        <f>ROUND((P75+Q75)*0.4,-2)</f>
        <v>33500</v>
      </c>
      <c r="U75">
        <f>ROUND(SUM(P75+Q75+R75+S75), -2)</f>
        <v>100600</v>
      </c>
      <c r="V75">
        <f>ROUND(P75+Q75+R75+T75, -2)</f>
        <v>117300</v>
      </c>
      <c r="W75">
        <v>0</v>
      </c>
      <c r="X75">
        <f>U75*0.038</f>
        <v>3822.7999999999997</v>
      </c>
      <c r="Y75">
        <f>U75*0.02</f>
        <v>2012</v>
      </c>
      <c r="Z75">
        <f>V75*0.1</f>
        <v>11730</v>
      </c>
      <c r="AA75">
        <f>U75-X75-Y75</f>
        <v>94765.2</v>
      </c>
      <c r="AB75">
        <f>V75-Z75</f>
        <v>105570</v>
      </c>
      <c r="AC75">
        <f>AA75*0.01</f>
        <v>947.652</v>
      </c>
      <c r="AD75">
        <f>AA75-P75-AC75-Q75</f>
        <v>10007.547999999995</v>
      </c>
      <c r="AE75">
        <f>AB75-P75-Q75-AC75</f>
        <v>20812.347999999998</v>
      </c>
      <c r="AF75">
        <f>AD75/U75</f>
        <v>0.09947860834990055</v>
      </c>
      <c r="AG75">
        <f>AE75/V75</f>
        <v>0.17742837169650466</v>
      </c>
      <c r="AH75">
        <f>U75-15000</f>
        <v>85600</v>
      </c>
    </row>
    <row r="76">
      <c r="F76" t="str">
        <v>블랙 X 카일 갈축</v>
      </c>
      <c r="G76" t="str">
        <f>HYPERLINK("https://item.taobao.com/item.htm?spm=a230r.1.14.6.5de04ec9hfcUuI&amp;id=575366647404&amp;ns=1&amp;abbucket=12#detail","T")</f>
        <v>T</v>
      </c>
      <c r="I76">
        <v>399</v>
      </c>
      <c r="J76">
        <v>2</v>
      </c>
      <c r="K76">
        <f>IF(J76&gt;0,J76*16,)</f>
        <v>32</v>
      </c>
      <c r="L76">
        <f>IF(J76&gt;0,J76*0.453592,IF(K76&gt;0,K76*0.02835,))</f>
        <v>0.907184</v>
      </c>
      <c r="M76">
        <v>0</v>
      </c>
      <c r="N76">
        <v>0</v>
      </c>
      <c r="O76">
        <f>I76+N76+M76</f>
        <v>399</v>
      </c>
      <c r="P76">
        <f>O76*C$3</f>
        <v>75810</v>
      </c>
      <c r="Q76">
        <f>ROUNDUP(HLOOKUP(IF(CEILING(L76,0.5)&lt;1,1,CEILING(L76,0.5)),'배송비 조회'!A$32:AY$36,2,0),-2)</f>
        <v>8000</v>
      </c>
      <c r="R76">
        <v>0</v>
      </c>
      <c r="S76">
        <f>ROUND((P76+Q76)*0.2,-2)</f>
        <v>16800</v>
      </c>
      <c r="T76">
        <f>ROUND((P76+Q76)*0.4,-2)</f>
        <v>33500</v>
      </c>
      <c r="U76">
        <f>ROUND(SUM(P76+Q76+R76+S76), -2)</f>
        <v>100600</v>
      </c>
      <c r="V76">
        <f>ROUND(P76+Q76+R76+T76, -2)</f>
        <v>117300</v>
      </c>
      <c r="W76">
        <v>0</v>
      </c>
      <c r="X76">
        <f>U76*0.038</f>
        <v>3822.7999999999997</v>
      </c>
      <c r="Y76">
        <f>U76*0.02</f>
        <v>2012</v>
      </c>
      <c r="Z76">
        <f>V76*0.1</f>
        <v>11730</v>
      </c>
      <c r="AA76">
        <f>U76-X76-Y76</f>
        <v>94765.2</v>
      </c>
      <c r="AB76">
        <f>V76-Z76</f>
        <v>105570</v>
      </c>
      <c r="AC76">
        <f>AA76*0.01</f>
        <v>947.652</v>
      </c>
      <c r="AD76">
        <f>AA76-P76-AC76-Q76</f>
        <v>10007.547999999995</v>
      </c>
      <c r="AE76">
        <f>AB76-P76-Q76-AC76</f>
        <v>20812.347999999998</v>
      </c>
      <c r="AF76">
        <f>AD76/U76</f>
        <v>0.09947860834990055</v>
      </c>
      <c r="AG76">
        <f>AE76/V76</f>
        <v>0.17742837169650466</v>
      </c>
      <c r="AH76">
        <f>U76-15000</f>
        <v>85600</v>
      </c>
    </row>
    <row r="77">
      <c r="F77" t="str">
        <v>화이트 X 체리 청축</v>
      </c>
      <c r="G77" t="str">
        <f>HYPERLINK("https://item.taobao.com/item.htm?spm=a230r.1.14.6.5de04ec9hfcUuI&amp;id=575366647404&amp;ns=1&amp;abbucket=12#detail","T")</f>
        <v>T</v>
      </c>
      <c r="I77">
        <v>499</v>
      </c>
      <c r="J77">
        <v>2</v>
      </c>
      <c r="K77">
        <f>IF(J77&gt;0,J77*16,)</f>
        <v>32</v>
      </c>
      <c r="L77">
        <f>IF(J77&gt;0,J77*0.453592,IF(K77&gt;0,K77*0.02835,))</f>
        <v>0.907184</v>
      </c>
      <c r="M77">
        <v>0</v>
      </c>
      <c r="N77">
        <v>0</v>
      </c>
      <c r="O77">
        <f>I77+N77+M77</f>
        <v>499</v>
      </c>
      <c r="P77">
        <f>O77*C$3</f>
        <v>94810</v>
      </c>
      <c r="Q77">
        <f>ROUNDUP(HLOOKUP(IF(CEILING(L77,0.5)&lt;1,1,CEILING(L77,0.5)),'배송비 조회'!A$32:AY$36,2,0),-2)</f>
        <v>8000</v>
      </c>
      <c r="R77">
        <v>0</v>
      </c>
      <c r="S77">
        <f>ROUND((P77+Q77)*0.2,-2)</f>
        <v>20600</v>
      </c>
      <c r="T77">
        <f>ROUND((P77+Q77)*0.4,-2)</f>
        <v>41100</v>
      </c>
      <c r="U77">
        <f>ROUND(SUM(P77+Q77+R77+S77), -2)</f>
        <v>123400</v>
      </c>
      <c r="V77">
        <f>ROUND(P77+Q77+R77+T77, -2)</f>
        <v>143900</v>
      </c>
      <c r="W77">
        <v>0</v>
      </c>
      <c r="X77">
        <f>U77*0.038</f>
        <v>4689.2</v>
      </c>
      <c r="Y77">
        <f>U77*0.02</f>
        <v>2468</v>
      </c>
      <c r="Z77">
        <f>V77*0.1</f>
        <v>14390</v>
      </c>
      <c r="AA77">
        <f>U77-X77-Y77</f>
        <v>116242.8</v>
      </c>
      <c r="AB77">
        <f>V77-Z77</f>
        <v>129510</v>
      </c>
      <c r="AC77">
        <f>AA77*0.01</f>
        <v>1162.428</v>
      </c>
      <c r="AD77">
        <f>AA77-P77-AC77-Q77</f>
        <v>12270.372000000003</v>
      </c>
      <c r="AE77">
        <f>AB77-P77-Q77-AC77</f>
        <v>25537.572</v>
      </c>
      <c r="AF77">
        <f>AD77/U77</f>
        <v>0.09943575364667749</v>
      </c>
      <c r="AG77">
        <f>AE77/V77</f>
        <v>0.17746749131341208</v>
      </c>
      <c r="AH77">
        <f>U77-15000</f>
        <v>108400</v>
      </c>
    </row>
    <row r="78">
      <c r="F78" t="str">
        <v>블랙 X 체리 청축</v>
      </c>
      <c r="G78" t="str">
        <f>HYPERLINK("https://item.taobao.com/item.htm?spm=a230r.1.14.6.5de04ec9hfcUuI&amp;id=575366647404&amp;ns=1&amp;abbucket=12#detail","T")</f>
        <v>T</v>
      </c>
      <c r="I78">
        <v>499</v>
      </c>
      <c r="J78">
        <v>2</v>
      </c>
      <c r="K78">
        <f>IF(J78&gt;0,J78*16,)</f>
        <v>32</v>
      </c>
      <c r="L78">
        <f>IF(J78&gt;0,J78*0.453592,IF(K78&gt;0,K78*0.02835,))</f>
        <v>0.907184</v>
      </c>
      <c r="M78">
        <v>0</v>
      </c>
      <c r="N78">
        <v>0</v>
      </c>
      <c r="O78">
        <f>I78+N78+M78</f>
        <v>499</v>
      </c>
      <c r="P78">
        <f>O78*C$3</f>
        <v>94810</v>
      </c>
      <c r="Q78">
        <f>ROUNDUP(HLOOKUP(IF(CEILING(L78,0.5)&lt;1,1,CEILING(L78,0.5)),'배송비 조회'!A$32:AY$36,2,0),-2)</f>
        <v>8000</v>
      </c>
      <c r="R78">
        <v>0</v>
      </c>
      <c r="S78">
        <f>ROUND((P78+Q78)*0.2,-2)</f>
        <v>20600</v>
      </c>
      <c r="T78">
        <f>ROUND((P78+Q78)*0.4,-2)</f>
        <v>41100</v>
      </c>
      <c r="U78">
        <f>ROUND(SUM(P78+Q78+R78+S78), -2)</f>
        <v>123400</v>
      </c>
      <c r="V78">
        <f>ROUND(P78+Q78+R78+T78, -2)</f>
        <v>143900</v>
      </c>
      <c r="W78">
        <v>0</v>
      </c>
      <c r="X78">
        <f>U78*0.038</f>
        <v>4689.2</v>
      </c>
      <c r="Y78">
        <f>U78*0.02</f>
        <v>2468</v>
      </c>
      <c r="Z78">
        <f>V78*0.1</f>
        <v>14390</v>
      </c>
      <c r="AA78">
        <f>U78-X78-Y78</f>
        <v>116242.8</v>
      </c>
      <c r="AB78">
        <f>V78-Z78</f>
        <v>129510</v>
      </c>
      <c r="AC78">
        <f>AA78*0.01</f>
        <v>1162.428</v>
      </c>
      <c r="AD78">
        <f>AA78-P78-AC78-Q78</f>
        <v>12270.372000000003</v>
      </c>
      <c r="AE78">
        <f>AB78-P78-Q78-AC78</f>
        <v>25537.572</v>
      </c>
      <c r="AF78">
        <f>AD78/U78</f>
        <v>0.09943575364667749</v>
      </c>
      <c r="AG78">
        <f>AE78/V78</f>
        <v>0.17746749131341208</v>
      </c>
      <c r="AH78">
        <f>U78-15000</f>
        <v>108400</v>
      </c>
      <c r="AI78">
        <f>AH78-AH67</f>
        <v>29700</v>
      </c>
    </row>
    <row r="79">
      <c r="F79" t="str">
        <v>화이트 X 체리 적축</v>
      </c>
      <c r="G79" t="str">
        <f>HYPERLINK("https://item.taobao.com/item.htm?spm=a230r.1.14.6.5de04ec9hfcUuI&amp;id=575366647404&amp;ns=1&amp;abbucket=12#detail","T")</f>
        <v>T</v>
      </c>
      <c r="I79">
        <v>499</v>
      </c>
      <c r="J79">
        <v>2</v>
      </c>
      <c r="K79">
        <f>IF(J79&gt;0,J79*16,)</f>
        <v>32</v>
      </c>
      <c r="L79">
        <f>IF(J79&gt;0,J79*0.453592,IF(K79&gt;0,K79*0.02835,))</f>
        <v>0.907184</v>
      </c>
      <c r="M79">
        <v>0</v>
      </c>
      <c r="N79">
        <v>0</v>
      </c>
      <c r="O79">
        <f>I79+N79+M79</f>
        <v>499</v>
      </c>
      <c r="P79">
        <f>O79*C$3</f>
        <v>94810</v>
      </c>
      <c r="Q79">
        <f>ROUNDUP(HLOOKUP(IF(CEILING(L79,0.5)&lt;1,1,CEILING(L79,0.5)),'배송비 조회'!A$32:AY$36,2,0),-2)</f>
        <v>8000</v>
      </c>
      <c r="R79">
        <v>0</v>
      </c>
      <c r="S79">
        <f>ROUND((P79+Q79)*0.2,-2)</f>
        <v>20600</v>
      </c>
      <c r="T79">
        <f>ROUND((P79+Q79)*0.4,-2)</f>
        <v>41100</v>
      </c>
      <c r="U79">
        <f>ROUND(SUM(P79+Q79+R79+S79), -2)</f>
        <v>123400</v>
      </c>
      <c r="V79">
        <f>ROUND(P79+Q79+R79+T79, -2)</f>
        <v>143900</v>
      </c>
      <c r="W79">
        <v>0</v>
      </c>
      <c r="X79">
        <f>U79*0.038</f>
        <v>4689.2</v>
      </c>
      <c r="Y79">
        <f>U79*0.02</f>
        <v>2468</v>
      </c>
      <c r="Z79">
        <f>V79*0.1</f>
        <v>14390</v>
      </c>
      <c r="AA79">
        <f>U79-X79-Y79</f>
        <v>116242.8</v>
      </c>
      <c r="AB79">
        <f>V79-Z79</f>
        <v>129510</v>
      </c>
      <c r="AC79">
        <f>AA79*0.01</f>
        <v>1162.428</v>
      </c>
      <c r="AD79">
        <f>AA79-P79-AC79-Q79</f>
        <v>12270.372000000003</v>
      </c>
      <c r="AE79">
        <f>AB79-P79-Q79-AC79</f>
        <v>25537.572</v>
      </c>
      <c r="AF79">
        <f>AD79/U79</f>
        <v>0.09943575364667749</v>
      </c>
      <c r="AG79">
        <f>AE79/V79</f>
        <v>0.17746749131341208</v>
      </c>
      <c r="AH79">
        <f>U79-15000</f>
        <v>108400</v>
      </c>
    </row>
    <row r="80">
      <c r="F80" t="str">
        <v>블랙 X 체리 적축</v>
      </c>
      <c r="G80" t="str">
        <f>HYPERLINK("https://item.taobao.com/item.htm?spm=a230r.1.14.6.5de04ec9hfcUuI&amp;id=575366647404&amp;ns=1&amp;abbucket=12#detail","T")</f>
        <v>T</v>
      </c>
      <c r="I80">
        <v>499</v>
      </c>
      <c r="J80">
        <v>2</v>
      </c>
      <c r="K80">
        <f>IF(J80&gt;0,J80*16,)</f>
        <v>32</v>
      </c>
      <c r="L80">
        <f>IF(J80&gt;0,J80*0.453592,IF(K80&gt;0,K80*0.02835,))</f>
        <v>0.907184</v>
      </c>
      <c r="M80">
        <v>0</v>
      </c>
      <c r="N80">
        <v>0</v>
      </c>
      <c r="O80">
        <f>I80+N80+M80</f>
        <v>499</v>
      </c>
      <c r="P80">
        <f>O80*C$3</f>
        <v>94810</v>
      </c>
      <c r="Q80">
        <f>ROUNDUP(HLOOKUP(IF(CEILING(L80,0.5)&lt;1,1,CEILING(L80,0.5)),'배송비 조회'!A$32:AY$36,2,0),-2)</f>
        <v>8000</v>
      </c>
      <c r="R80">
        <v>0</v>
      </c>
      <c r="S80">
        <f>ROUND((P80+Q80)*0.2,-2)</f>
        <v>20600</v>
      </c>
      <c r="T80">
        <f>ROUND((P80+Q80)*0.4,-2)</f>
        <v>41100</v>
      </c>
      <c r="U80">
        <f>ROUND(SUM(P80+Q80+R80+S80), -2)</f>
        <v>123400</v>
      </c>
      <c r="V80">
        <f>ROUND(P80+Q80+R80+T80, -2)</f>
        <v>143900</v>
      </c>
      <c r="W80">
        <v>0</v>
      </c>
      <c r="X80">
        <f>U80*0.038</f>
        <v>4689.2</v>
      </c>
      <c r="Y80">
        <f>U80*0.02</f>
        <v>2468</v>
      </c>
      <c r="Z80">
        <f>V80*0.1</f>
        <v>14390</v>
      </c>
      <c r="AA80">
        <f>U80-X80-Y80</f>
        <v>116242.8</v>
      </c>
      <c r="AB80">
        <f>V80-Z80</f>
        <v>129510</v>
      </c>
      <c r="AC80">
        <f>AA80*0.01</f>
        <v>1162.428</v>
      </c>
      <c r="AD80">
        <f>AA80-P80-AC80-Q80</f>
        <v>12270.372000000003</v>
      </c>
      <c r="AE80">
        <f>AB80-P80-Q80-AC80</f>
        <v>25537.572</v>
      </c>
      <c r="AF80">
        <f>AD80/U80</f>
        <v>0.09943575364667749</v>
      </c>
      <c r="AG80">
        <f>AE80/V80</f>
        <v>0.17746749131341208</v>
      </c>
      <c r="AH80">
        <f>U80-15000</f>
        <v>108400</v>
      </c>
    </row>
    <row r="81">
      <c r="F81" t="str">
        <v>화이트 X 체리 갈축</v>
      </c>
      <c r="G81" t="str">
        <f>HYPERLINK("https://item.taobao.com/item.htm?spm=a230r.1.14.6.5de04ec9hfcUuI&amp;id=575366647404&amp;ns=1&amp;abbucket=12#detail","T")</f>
        <v>T</v>
      </c>
      <c r="I81">
        <v>499</v>
      </c>
      <c r="J81">
        <v>2</v>
      </c>
      <c r="K81">
        <f>IF(J81&gt;0,J81*16,)</f>
        <v>32</v>
      </c>
      <c r="L81">
        <f>IF(J81&gt;0,J81*0.453592,IF(K81&gt;0,K81*0.02835,))</f>
        <v>0.907184</v>
      </c>
      <c r="M81">
        <v>0</v>
      </c>
      <c r="N81">
        <v>0</v>
      </c>
      <c r="O81">
        <f>I81+N81+M81</f>
        <v>499</v>
      </c>
      <c r="P81">
        <f>O81*C$3</f>
        <v>94810</v>
      </c>
      <c r="Q81">
        <f>ROUNDUP(HLOOKUP(IF(CEILING(L81,0.5)&lt;1,1,CEILING(L81,0.5)),'배송비 조회'!A$32:AY$36,2,0),-2)</f>
        <v>8000</v>
      </c>
      <c r="R81">
        <v>0</v>
      </c>
      <c r="S81">
        <f>ROUND((P81+Q81)*0.2,-2)</f>
        <v>20600</v>
      </c>
      <c r="T81">
        <f>ROUND((P81+Q81)*0.4,-2)</f>
        <v>41100</v>
      </c>
      <c r="U81">
        <f>ROUND(SUM(P81+Q81+R81+S81), -2)</f>
        <v>123400</v>
      </c>
      <c r="V81">
        <f>ROUND(P81+Q81+R81+T81, -2)</f>
        <v>143900</v>
      </c>
      <c r="W81">
        <v>0</v>
      </c>
      <c r="X81">
        <f>U81*0.038</f>
        <v>4689.2</v>
      </c>
      <c r="Y81">
        <f>U81*0.02</f>
        <v>2468</v>
      </c>
      <c r="Z81">
        <f>V81*0.1</f>
        <v>14390</v>
      </c>
      <c r="AA81">
        <f>U81-X81-Y81</f>
        <v>116242.8</v>
      </c>
      <c r="AB81">
        <f>V81-Z81</f>
        <v>129510</v>
      </c>
      <c r="AC81">
        <f>AA81*0.01</f>
        <v>1162.428</v>
      </c>
      <c r="AD81">
        <f>AA81-P81-AC81-Q81</f>
        <v>12270.372000000003</v>
      </c>
      <c r="AE81">
        <f>AB81-P81-Q81-AC81</f>
        <v>25537.572</v>
      </c>
      <c r="AF81">
        <f>AD81/U81</f>
        <v>0.09943575364667749</v>
      </c>
      <c r="AG81">
        <f>AE81/V81</f>
        <v>0.17746749131341208</v>
      </c>
      <c r="AH81">
        <f>U81-15000</f>
        <v>108400</v>
      </c>
    </row>
    <row r="82">
      <c r="F82" t="str">
        <v>블랙 X 체리 갈축</v>
      </c>
      <c r="G82" t="str">
        <f>HYPERLINK("https://item.taobao.com/item.htm?spm=a230r.1.14.6.5de04ec9hfcUuI&amp;id=575366647404&amp;ns=1&amp;abbucket=12#detail","T")</f>
        <v>T</v>
      </c>
      <c r="I82">
        <v>499</v>
      </c>
      <c r="J82">
        <v>2</v>
      </c>
      <c r="K82">
        <f>IF(J82&gt;0,J82*16,)</f>
        <v>32</v>
      </c>
      <c r="L82">
        <f>IF(J82&gt;0,J82*0.453592,IF(K82&gt;0,K82*0.02835,))</f>
        <v>0.907184</v>
      </c>
      <c r="M82">
        <v>0</v>
      </c>
      <c r="N82">
        <v>0</v>
      </c>
      <c r="O82">
        <f>I82+N82+M82</f>
        <v>499</v>
      </c>
      <c r="P82">
        <f>O82*C$3</f>
        <v>94810</v>
      </c>
      <c r="Q82">
        <f>ROUNDUP(HLOOKUP(IF(CEILING(L82,0.5)&lt;1,1,CEILING(L82,0.5)),'배송비 조회'!A$32:AY$36,2,0),-2)</f>
        <v>8000</v>
      </c>
      <c r="R82">
        <v>0</v>
      </c>
      <c r="S82">
        <f>ROUND((P82+Q82)*0.2,-2)</f>
        <v>20600</v>
      </c>
      <c r="T82">
        <f>ROUND((P82+Q82)*0.4,-2)</f>
        <v>41100</v>
      </c>
      <c r="U82">
        <f>ROUND(SUM(P82+Q82+R82+S82), -2)</f>
        <v>123400</v>
      </c>
      <c r="V82">
        <f>ROUND(P82+Q82+R82+T82, -2)</f>
        <v>143900</v>
      </c>
      <c r="W82">
        <v>0</v>
      </c>
      <c r="X82">
        <f>U82*0.038</f>
        <v>4689.2</v>
      </c>
      <c r="Y82">
        <f>U82*0.02</f>
        <v>2468</v>
      </c>
      <c r="Z82">
        <f>V82*0.1</f>
        <v>14390</v>
      </c>
      <c r="AA82">
        <f>U82-X82-Y82</f>
        <v>116242.8</v>
      </c>
      <c r="AB82">
        <f>V82-Z82</f>
        <v>129510</v>
      </c>
      <c r="AC82">
        <f>AA82*0.01</f>
        <v>1162.428</v>
      </c>
      <c r="AD82">
        <f>AA82-P82-AC82-Q82</f>
        <v>12270.372000000003</v>
      </c>
      <c r="AE82">
        <f>AB82-P82-Q82-AC82</f>
        <v>25537.572</v>
      </c>
      <c r="AF82">
        <f>AD82/U82</f>
        <v>0.09943575364667749</v>
      </c>
      <c r="AG82">
        <f>AE82/V82</f>
        <v>0.17746749131341208</v>
      </c>
      <c r="AH82">
        <f>U82-15000</f>
        <v>108400</v>
      </c>
    </row>
    <row r="83">
      <c r="F83" t="str">
        <v>화이트 X 체리 은축</v>
      </c>
      <c r="G83" t="str">
        <f>HYPERLINK("https://item.taobao.com/item.htm?spm=a230r.1.14.6.5de04ec9hfcUuI&amp;id=575366647404&amp;ns=1&amp;abbucket=12#detail","T")</f>
        <v>T</v>
      </c>
      <c r="I83">
        <v>499</v>
      </c>
      <c r="J83">
        <v>2</v>
      </c>
      <c r="K83">
        <f>IF(J83&gt;0,J83*16,)</f>
        <v>32</v>
      </c>
      <c r="L83">
        <f>IF(J83&gt;0,J83*0.453592,IF(K83&gt;0,K83*0.02835,))</f>
        <v>0.907184</v>
      </c>
      <c r="M83">
        <v>0</v>
      </c>
      <c r="N83">
        <v>0</v>
      </c>
      <c r="O83">
        <f>I83+N83+M83</f>
        <v>499</v>
      </c>
      <c r="P83">
        <f>O83*C$3</f>
        <v>94810</v>
      </c>
      <c r="Q83">
        <f>ROUNDUP(HLOOKUP(IF(CEILING(L83,0.5)&lt;1,1,CEILING(L83,0.5)),'배송비 조회'!A$32:AY$36,2,0),-2)</f>
        <v>8000</v>
      </c>
      <c r="R83">
        <v>0</v>
      </c>
      <c r="S83">
        <f>ROUND((P83+Q83)*0.2,-2)</f>
        <v>20600</v>
      </c>
      <c r="T83">
        <f>ROUND((P83+Q83)*0.4,-2)</f>
        <v>41100</v>
      </c>
      <c r="U83">
        <f>ROUND(SUM(P83+Q83+R83+S83), -2)</f>
        <v>123400</v>
      </c>
      <c r="V83">
        <f>ROUND(P83+Q83+R83+T83, -2)</f>
        <v>143900</v>
      </c>
      <c r="W83">
        <v>0</v>
      </c>
      <c r="X83">
        <f>U83*0.038</f>
        <v>4689.2</v>
      </c>
      <c r="Y83">
        <f>U83*0.02</f>
        <v>2468</v>
      </c>
      <c r="Z83">
        <f>V83*0.1</f>
        <v>14390</v>
      </c>
      <c r="AA83">
        <f>U83-X83-Y83</f>
        <v>116242.8</v>
      </c>
      <c r="AB83">
        <f>V83-Z83</f>
        <v>129510</v>
      </c>
      <c r="AC83">
        <f>AA83*0.01</f>
        <v>1162.428</v>
      </c>
      <c r="AD83">
        <f>AA83-P83-AC83-Q83</f>
        <v>12270.372000000003</v>
      </c>
      <c r="AE83">
        <f>AB83-P83-Q83-AC83</f>
        <v>25537.572</v>
      </c>
      <c r="AF83">
        <f>AD83/U83</f>
        <v>0.09943575364667749</v>
      </c>
      <c r="AG83">
        <f>AE83/V83</f>
        <v>0.17746749131341208</v>
      </c>
      <c r="AH83">
        <f>U83-15000</f>
        <v>108400</v>
      </c>
    </row>
    <row r="84">
      <c r="F84" t="str">
        <v>블랙 X 체리 은축</v>
      </c>
      <c r="G84" t="str">
        <f>HYPERLINK("https://item.taobao.com/item.htm?spm=a230r.1.14.6.5de04ec9hfcUuI&amp;id=575366647404&amp;ns=1&amp;abbucket=12#detail","T")</f>
        <v>T</v>
      </c>
      <c r="I84">
        <v>499</v>
      </c>
      <c r="J84">
        <v>2</v>
      </c>
      <c r="K84">
        <f>IF(J84&gt;0,J84*16,)</f>
        <v>32</v>
      </c>
      <c r="L84">
        <f>IF(J84&gt;0,J84*0.453592,IF(K84&gt;0,K84*0.02835,))</f>
        <v>0.907184</v>
      </c>
      <c r="M84">
        <v>0</v>
      </c>
      <c r="N84">
        <v>0</v>
      </c>
      <c r="O84">
        <f>I84+N84+M84</f>
        <v>499</v>
      </c>
      <c r="P84">
        <f>O84*C$3</f>
        <v>94810</v>
      </c>
      <c r="Q84">
        <f>ROUNDUP(HLOOKUP(IF(CEILING(L84,0.5)&lt;1,1,CEILING(L84,0.5)),'배송비 조회'!A$32:AY$36,2,0),-2)</f>
        <v>8000</v>
      </c>
      <c r="R84">
        <v>0</v>
      </c>
      <c r="S84">
        <f>ROUND((P84+Q84)*0.2,-2)</f>
        <v>20600</v>
      </c>
      <c r="T84">
        <f>ROUND((P84+Q84)*0.4,-2)</f>
        <v>41100</v>
      </c>
      <c r="U84">
        <f>ROUND(SUM(P84+Q84+R84+S84), -2)</f>
        <v>123400</v>
      </c>
      <c r="V84">
        <f>ROUND(P84+Q84+R84+T84, -2)</f>
        <v>143900</v>
      </c>
      <c r="W84">
        <v>0</v>
      </c>
      <c r="X84">
        <f>U84*0.038</f>
        <v>4689.2</v>
      </c>
      <c r="Y84">
        <f>U84*0.02</f>
        <v>2468</v>
      </c>
      <c r="Z84">
        <f>V84*0.1</f>
        <v>14390</v>
      </c>
      <c r="AA84">
        <f>U84-X84-Y84</f>
        <v>116242.8</v>
      </c>
      <c r="AB84">
        <f>V84-Z84</f>
        <v>129510</v>
      </c>
      <c r="AC84">
        <f>AA84*0.01</f>
        <v>1162.428</v>
      </c>
      <c r="AD84">
        <f>AA84-P84-AC84-Q84</f>
        <v>12270.372000000003</v>
      </c>
      <c r="AE84">
        <f>AB84-P84-Q84-AC84</f>
        <v>25537.572</v>
      </c>
      <c r="AF84">
        <f>AD84/U84</f>
        <v>0.09943575364667749</v>
      </c>
      <c r="AG84">
        <f>AE84/V84</f>
        <v>0.17746749131341208</v>
      </c>
      <c r="AH84">
        <f>U84-15000</f>
        <v>108400</v>
      </c>
    </row>
    <row r="85">
      <c r="A85" t="str">
        <f>HYPERLINK("https://smartstore.naver.com/brickstore2019/products/4747725729","4747725729")</f>
        <v>4747725729</v>
      </c>
      <c r="C85" t="str">
        <v>타이틀리스트 겨울모자 골프 방한 모자(무료배송)</v>
      </c>
      <c r="F85" t="str">
        <v>그레이</v>
      </c>
      <c r="G85" t="str">
        <f>HYPERLINK("https://detail.tmall.com/item.htm?spm=a230r.1.999.1.158b523cqpkkYm&amp;id=602238836074&amp;ns=1&amp;skuId=4221106873637","A")</f>
        <v>A</v>
      </c>
      <c r="I85">
        <v>119</v>
      </c>
      <c r="J85">
        <f>IF(K85&gt;0,K85*0.0625,)</f>
        <v>2.1875</v>
      </c>
      <c r="K85">
        <v>35</v>
      </c>
      <c r="L85">
        <f>IF(J85&gt;0,J85*0.453592,IF(K85&gt;0,K85*0.02835,))</f>
        <v>0.9922325</v>
      </c>
      <c r="M85">
        <v>0</v>
      </c>
      <c r="N85">
        <v>0</v>
      </c>
      <c r="O85">
        <f>I85+N85+M85</f>
        <v>119</v>
      </c>
      <c r="P85">
        <f>O85*C$3</f>
        <v>22610</v>
      </c>
      <c r="Q85">
        <f>ROUNDUP(HLOOKUP(IF(CEILING(L85,0.5)&lt;1,1,CEILING(L85,0.5)),'배송비 조회'!A$32:AY$36,2,0),-2)</f>
        <v>8000</v>
      </c>
      <c r="R85">
        <v>0</v>
      </c>
      <c r="S85">
        <f>ROUND((P85+Q85)*0.4,-2)</f>
        <v>12200</v>
      </c>
      <c r="T85">
        <f>ROUND((P85+Q85)*0.7,-2)</f>
        <v>21400</v>
      </c>
      <c r="U85">
        <f>ROUND(SUM(P85+Q85+R85+S85), -2)</f>
        <v>42800</v>
      </c>
      <c r="V85">
        <f>ROUND(P85+Q85+R85+T85, -2)</f>
        <v>52000</v>
      </c>
      <c r="W85">
        <v>0</v>
      </c>
      <c r="X85">
        <f>U85*0.038</f>
        <v>1626.3999999999999</v>
      </c>
      <c r="Y85">
        <f>U85*0.02</f>
        <v>856</v>
      </c>
      <c r="Z85">
        <f>V85*0.1</f>
        <v>5200</v>
      </c>
      <c r="AA85">
        <f>U85-X85-Y85</f>
        <v>40317.6</v>
      </c>
      <c r="AB85">
        <f>V85-Z85</f>
        <v>46800</v>
      </c>
      <c r="AC85">
        <f>AA85*0.01</f>
        <v>403.176</v>
      </c>
      <c r="AD85">
        <f>AA85-P85-AC85-Q85</f>
        <v>9304.423999999999</v>
      </c>
      <c r="AE85">
        <f>AB85-P85-Q85-AC85</f>
        <v>15786.824</v>
      </c>
      <c r="AF85">
        <f>AD85/U85</f>
        <v>0.2173930841121495</v>
      </c>
      <c r="AG85">
        <f>AE85/V85</f>
        <v>0.3035927692307692</v>
      </c>
    </row>
    <row r="86">
      <c r="F86" t="str">
        <v>블랙</v>
      </c>
      <c r="G86" t="str">
        <f>HYPERLINK("https://detail.tmall.com/item.htm?spm=a230r.1.999.1.158b523cqpkkYm&amp;id=602238836074&amp;ns=1&amp;skuId=4221106873638","A")</f>
        <v>A</v>
      </c>
      <c r="I86">
        <v>119</v>
      </c>
      <c r="J86">
        <f>IF(K86&gt;0,K86*0.0625,)</f>
        <v>2.1875</v>
      </c>
      <c r="K86">
        <v>35</v>
      </c>
      <c r="L86">
        <f>IF(J86&gt;0,J86*0.453592,IF(K86&gt;0,K86*0.02835,))</f>
        <v>0.9922325</v>
      </c>
      <c r="M86">
        <v>0</v>
      </c>
      <c r="N86">
        <v>0</v>
      </c>
      <c r="O86">
        <f>I86+N86+M86</f>
        <v>119</v>
      </c>
      <c r="P86">
        <f>O86*C$3</f>
        <v>22610</v>
      </c>
      <c r="Q86">
        <f>ROUNDUP(HLOOKUP(IF(CEILING(L86,0.5)&lt;1,1,CEILING(L86,0.5)),'배송비 조회'!A$32:AY$36,2,0),-2)</f>
        <v>8000</v>
      </c>
      <c r="R86">
        <v>0</v>
      </c>
      <c r="S86">
        <f>ROUND((P86+Q86)*0.4,-2)</f>
        <v>12200</v>
      </c>
      <c r="T86">
        <f>ROUND((P86+Q86)*0.7,-2)</f>
        <v>21400</v>
      </c>
      <c r="U86">
        <f>ROUND(SUM(P86+Q86+R86+S86), -2)</f>
        <v>42800</v>
      </c>
      <c r="V86">
        <f>ROUND(P86+Q86+R86+T86, -2)</f>
        <v>52000</v>
      </c>
      <c r="W86">
        <v>0</v>
      </c>
      <c r="X86">
        <f>U86*0.038</f>
        <v>1626.3999999999999</v>
      </c>
      <c r="Y86">
        <f>U86*0.02</f>
        <v>856</v>
      </c>
      <c r="Z86">
        <f>V86*0.1</f>
        <v>5200</v>
      </c>
      <c r="AA86">
        <f>U86-X86-Y86</f>
        <v>40317.6</v>
      </c>
      <c r="AB86">
        <f>V86-Z86</f>
        <v>46800</v>
      </c>
      <c r="AC86">
        <f>AA86*0.01</f>
        <v>403.176</v>
      </c>
      <c r="AD86">
        <f>AA86-P86-AC86-Q86</f>
        <v>9304.423999999999</v>
      </c>
      <c r="AE86">
        <f>AB86-P86-Q86-AC86</f>
        <v>15786.824</v>
      </c>
      <c r="AF86">
        <f>AD86/U86</f>
        <v>0.2173930841121495</v>
      </c>
      <c r="AG86">
        <f>AE86/V86</f>
        <v>0.3035927692307692</v>
      </c>
    </row>
    <row r="87">
      <c r="A87" t="str">
        <f>HYPERLINK("https://smartstore.naver.com/brickstore2019/products/4747745113","4747745113")</f>
        <v>4747745113</v>
      </c>
      <c r="C87" t="str">
        <v>타이틀리스트 골프 색백 보조 가방 백팩 TA8CSSP(무료배송)</v>
      </c>
      <c r="G87" t="str">
        <f>HYPERLINK("https://detail.tmall.com/item.htm?spm=a230r.1.14.198.be414867dJvqIK&amp;id=565528421026&amp;ns=1&amp;abbucket=7&amp;skuId=3582543800529","A")</f>
        <v>A</v>
      </c>
      <c r="I87">
        <v>221</v>
      </c>
      <c r="J87">
        <f>IF(K87&gt;0,K87*0.0625,)</f>
        <v>2.1875</v>
      </c>
      <c r="K87">
        <v>35</v>
      </c>
      <c r="L87">
        <f>IF(J87&gt;0,J87*0.453592,IF(K87&gt;0,K87*0.02835,))</f>
        <v>0.9922325</v>
      </c>
      <c r="M87">
        <v>0</v>
      </c>
      <c r="N87">
        <v>0</v>
      </c>
      <c r="O87">
        <f>I87+N87+M87</f>
        <v>221</v>
      </c>
      <c r="P87">
        <f>O87*C$3</f>
        <v>41990</v>
      </c>
      <c r="Q87">
        <f>ROUNDUP(HLOOKUP(IF(CEILING(L87,0.5)&lt;1,1,CEILING(L87,0.5)),'배송비 조회'!A$32:AY$36,2,0),-2)</f>
        <v>8000</v>
      </c>
      <c r="R87">
        <v>0</v>
      </c>
      <c r="S87">
        <f>ROUND((P87+Q87)*0.3,-2)</f>
        <v>15000</v>
      </c>
      <c r="T87">
        <f>ROUND((P87+Q87)*0.7,-2)</f>
        <v>35000</v>
      </c>
      <c r="U87">
        <f>ROUND(SUM(P87+Q87+R87+S87), -2)</f>
        <v>65000</v>
      </c>
      <c r="V87">
        <f>ROUND(P87+Q87+R87+T87, -2)</f>
        <v>85000</v>
      </c>
      <c r="W87">
        <v>0</v>
      </c>
      <c r="X87">
        <f>U87*0.038</f>
        <v>2470</v>
      </c>
      <c r="Y87">
        <f>U87*0.02</f>
        <v>1300</v>
      </c>
      <c r="Z87">
        <f>V87*0.1</f>
        <v>8500</v>
      </c>
      <c r="AA87">
        <f>U87-X87-Y87</f>
        <v>61230</v>
      </c>
      <c r="AB87">
        <f>V87-Z87</f>
        <v>76500</v>
      </c>
      <c r="AC87">
        <f>AA87*0.01</f>
        <v>612.3000000000001</v>
      </c>
      <c r="AD87">
        <f>AA87-P87-AC87-Q87</f>
        <v>10627.7</v>
      </c>
      <c r="AE87">
        <f>AB87-P87-Q87-AC87</f>
        <v>25897.7</v>
      </c>
      <c r="AF87">
        <f>AD87/U87</f>
        <v>0.16350307692307695</v>
      </c>
      <c r="AG87">
        <f>AE87/V87</f>
        <v>0.3046788235294118</v>
      </c>
    </row>
    <row r="88">
      <c r="A88" t="str">
        <f>HYPERLINK("https://smartstore.naver.com/brickstore2019/products/4747775797","4747775797")</f>
        <v>4747775797</v>
      </c>
      <c r="C88" t="str">
        <v>티라미수용기 베이킹 포장 용기 25개 세트 (무료배송)</v>
      </c>
      <c r="F88" t="str">
        <v>라운드</v>
      </c>
      <c r="G88" t="str">
        <f>HYPERLINK("https://detail.tmall.com/item.htm?spm=a230r.1.14.13.4a584437Aw8IpS&amp;id=555194213379&amp;cm_id=140105335569ed55e27b&amp;abbucket=7&amp;skuId=3425366469237","A")</f>
        <v>A</v>
      </c>
      <c r="I88">
        <v>20</v>
      </c>
      <c r="J88">
        <f>IF(K88&gt;0,K88*0.0625,)</f>
        <v>2.1875</v>
      </c>
      <c r="K88">
        <v>35</v>
      </c>
      <c r="L88">
        <f>IF(J88&gt;0,J88*0.453592,IF(K88&gt;0,K88*0.02835,))</f>
        <v>0.9922325</v>
      </c>
      <c r="M88">
        <v>0</v>
      </c>
      <c r="N88">
        <v>0</v>
      </c>
      <c r="O88">
        <f>I88+N88+M88</f>
        <v>20</v>
      </c>
      <c r="P88">
        <f>O88*C$3</f>
        <v>3800</v>
      </c>
      <c r="Q88">
        <f>ROUNDUP(HLOOKUP(IF(CEILING(L88,0.5)&lt;1,1,CEILING(L88,0.5)),'배송비 조회'!A$32:AY$36,2,0),-2)</f>
        <v>8000</v>
      </c>
      <c r="R88">
        <v>0</v>
      </c>
      <c r="S88">
        <f>ROUND((P88+Q88)*0.5,-2)</f>
        <v>5900</v>
      </c>
      <c r="T88">
        <f>ROUND((P88+Q88)*0.7,-2)</f>
        <v>8300</v>
      </c>
      <c r="U88">
        <f>ROUND(SUM(P88+Q88+R88+S88), -2)</f>
        <v>17700</v>
      </c>
      <c r="V88">
        <f>ROUND(P88+Q88+R88+T88, -2)</f>
        <v>20100</v>
      </c>
      <c r="W88">
        <v>0</v>
      </c>
      <c r="X88">
        <f>U88*0.038</f>
        <v>672.6</v>
      </c>
      <c r="Y88">
        <f>U88*0.02</f>
        <v>354</v>
      </c>
      <c r="Z88">
        <f>V88*0.1</f>
        <v>2010</v>
      </c>
      <c r="AA88">
        <f>U88-X88-Y88</f>
        <v>16673.4</v>
      </c>
      <c r="AB88">
        <f>V88-Z88</f>
        <v>18090</v>
      </c>
      <c r="AC88">
        <f>AA88*0.01</f>
        <v>166.734</v>
      </c>
      <c r="AD88">
        <f>AA88-P88-AC88-Q88</f>
        <v>4706.666000000001</v>
      </c>
      <c r="AE88">
        <f>AB88-P88-Q88-AC88</f>
        <v>6123.266</v>
      </c>
      <c r="AF88">
        <f>AD88/U88</f>
        <v>0.2659133333333334</v>
      </c>
      <c r="AG88">
        <f>AE88/V88</f>
        <v>0.30464009950248755</v>
      </c>
    </row>
    <row r="89">
      <c r="F89" t="str">
        <v>사각형</v>
      </c>
      <c r="G89" t="str">
        <f>HYPERLINK("https://detail.tmall.com/item.htm?spm=a230r.1.14.13.4a584437Aw8IpS&amp;id=555194213379&amp;cm_id=140105335569ed55e27b&amp;abbucket=7&amp;skuId=3425366469240","A")</f>
        <v>A</v>
      </c>
      <c r="I89">
        <v>20</v>
      </c>
      <c r="J89">
        <f>IF(K89&gt;0,K89*0.0625,)</f>
        <v>2.1875</v>
      </c>
      <c r="K89">
        <v>35</v>
      </c>
      <c r="L89">
        <f>IF(J89&gt;0,J89*0.453592,IF(K89&gt;0,K89*0.02835,))</f>
        <v>0.9922325</v>
      </c>
      <c r="M89">
        <v>0</v>
      </c>
      <c r="N89">
        <v>0</v>
      </c>
      <c r="O89">
        <f>I89+N89+M89</f>
        <v>20</v>
      </c>
      <c r="P89">
        <f>O89*C$3</f>
        <v>3800</v>
      </c>
      <c r="Q89">
        <f>ROUNDUP(HLOOKUP(IF(CEILING(L89,0.5)&lt;1,1,CEILING(L89,0.5)),'배송비 조회'!A$32:AY$36,2,0),-2)</f>
        <v>8000</v>
      </c>
      <c r="R89">
        <v>0</v>
      </c>
      <c r="S89">
        <f>ROUND((P89+Q89)*0.5,-2)</f>
        <v>5900</v>
      </c>
      <c r="T89">
        <f>ROUND((P89+Q89)*0.7,-2)</f>
        <v>8300</v>
      </c>
      <c r="U89">
        <f>ROUND(SUM(P89+Q89+R89+S89), -2)</f>
        <v>17700</v>
      </c>
      <c r="V89">
        <f>ROUND(P89+Q89+R89+T89, -2)</f>
        <v>20100</v>
      </c>
      <c r="W89">
        <v>0</v>
      </c>
      <c r="X89">
        <f>U89*0.038</f>
        <v>672.6</v>
      </c>
      <c r="Y89">
        <f>U89*0.02</f>
        <v>354</v>
      </c>
      <c r="Z89">
        <f>V89*0.1</f>
        <v>2010</v>
      </c>
      <c r="AA89">
        <f>U89-X89-Y89</f>
        <v>16673.4</v>
      </c>
      <c r="AB89">
        <f>V89-Z89</f>
        <v>18090</v>
      </c>
      <c r="AC89">
        <f>AA89*0.01</f>
        <v>166.734</v>
      </c>
      <c r="AD89">
        <f>AA89-P89-AC89-Q89</f>
        <v>4706.666000000001</v>
      </c>
      <c r="AE89">
        <f>AB89-P89-Q89-AC89</f>
        <v>6123.266</v>
      </c>
      <c r="AF89">
        <f>AD89/U89</f>
        <v>0.2659133333333334</v>
      </c>
      <c r="AG89">
        <f>AE89/V89</f>
        <v>0.30464009950248755</v>
      </c>
    </row>
    <row r="90">
      <c r="F90" t="str">
        <v>하트</v>
      </c>
      <c r="G90" t="str">
        <f>HYPERLINK("https://detail.tmall.com/item.htm?spm=a230r.1.14.13.4a584437Aw8IpS&amp;id=555194213379&amp;cm_id=140105335569ed55e27b&amp;abbucket=7&amp;skuId=3425366469246","A")</f>
        <v>A</v>
      </c>
      <c r="I90">
        <v>20</v>
      </c>
      <c r="J90">
        <f>IF(K90&gt;0,K90*0.0625,)</f>
        <v>2.1875</v>
      </c>
      <c r="K90">
        <v>35</v>
      </c>
      <c r="L90">
        <f>IF(J90&gt;0,J90*0.453592,IF(K90&gt;0,K90*0.02835,))</f>
        <v>0.9922325</v>
      </c>
      <c r="M90">
        <v>0</v>
      </c>
      <c r="N90">
        <v>0</v>
      </c>
      <c r="O90">
        <f>I90+N90+M90</f>
        <v>20</v>
      </c>
      <c r="P90">
        <f>O90*C$3</f>
        <v>3800</v>
      </c>
      <c r="Q90">
        <f>ROUNDUP(HLOOKUP(IF(CEILING(L90,0.5)&lt;1,1,CEILING(L90,0.5)),'배송비 조회'!A$32:AY$36,2,0),-2)</f>
        <v>8000</v>
      </c>
      <c r="R90">
        <v>0</v>
      </c>
      <c r="S90">
        <f>ROUND((P90+Q90)*0.5,-2)</f>
        <v>5900</v>
      </c>
      <c r="T90">
        <f>ROUND((P90+Q90)*0.7,-2)</f>
        <v>8300</v>
      </c>
      <c r="U90">
        <f>ROUND(SUM(P90+Q90+R90+S90), -2)</f>
        <v>17700</v>
      </c>
      <c r="V90">
        <f>ROUND(P90+Q90+R90+T90, -2)</f>
        <v>20100</v>
      </c>
      <c r="W90">
        <v>0</v>
      </c>
      <c r="X90">
        <f>U90*0.038</f>
        <v>672.6</v>
      </c>
      <c r="Y90">
        <f>U90*0.02</f>
        <v>354</v>
      </c>
      <c r="Z90">
        <f>V90*0.1</f>
        <v>2010</v>
      </c>
      <c r="AA90">
        <f>U90-X90-Y90</f>
        <v>16673.4</v>
      </c>
      <c r="AB90">
        <f>V90-Z90</f>
        <v>18090</v>
      </c>
      <c r="AC90">
        <f>AA90*0.01</f>
        <v>166.734</v>
      </c>
      <c r="AD90">
        <f>AA90-P90-AC90-Q90</f>
        <v>4706.666000000001</v>
      </c>
      <c r="AE90">
        <f>AB90-P90-Q90-AC90</f>
        <v>6123.266</v>
      </c>
      <c r="AF90">
        <f>AD90/U90</f>
        <v>0.2659133333333334</v>
      </c>
      <c r="AG90">
        <f>AE90/V90</f>
        <v>0.30464009950248755</v>
      </c>
    </row>
    <row r="91">
      <c r="A91" t="str">
        <f>HYPERLINK("https://smartstore.naver.com/brickstore2019/products/4748922979","4748922979")</f>
        <v>4748922979</v>
      </c>
      <c r="C91" t="str">
        <v>기네스 전용 맥주잔 500ml Guinness 500ml</v>
      </c>
      <c r="G91" t="str">
        <f>HYPERLINK("https://item.taobao.com/item.htm?spm=a230r.1.14.297.574b663bkrSHgk&amp;id=530860491677&amp;ns=1&amp;abbucket=12#detail","A")</f>
        <v>A</v>
      </c>
      <c r="I91">
        <v>19</v>
      </c>
      <c r="J91">
        <f>IF(K91&gt;0,K91*0.0625,)</f>
        <v>0.7</v>
      </c>
      <c r="K91">
        <v>11.2</v>
      </c>
      <c r="L91">
        <f>IF(J91&gt;0,J91*0.453592,IF(K91&gt;0,K91*0.02835,))</f>
        <v>0.3175144</v>
      </c>
      <c r="M91">
        <v>0</v>
      </c>
      <c r="N91">
        <v>0</v>
      </c>
      <c r="O91">
        <f>I91+N91+M91</f>
        <v>19</v>
      </c>
      <c r="P91">
        <f>O91*C$3</f>
        <v>3610</v>
      </c>
      <c r="Q91">
        <f>ROUNDUP(HLOOKUP(IF(CEILING(L91,0.5)&lt;1,1,CEILING(L91,0.5)),'배송비 조회'!A$32:AY$36,2,0),-2)</f>
        <v>8000</v>
      </c>
      <c r="R91">
        <v>0</v>
      </c>
      <c r="S91">
        <f>ROUND((P91+Q91)*0.3,-2)</f>
        <v>3500</v>
      </c>
      <c r="T91">
        <f>ROUND((P91+Q91)*0.7,-2)</f>
        <v>8100</v>
      </c>
      <c r="U91">
        <f>ROUND(SUM(P91+Q91+R91+S91), -2)</f>
        <v>15100</v>
      </c>
      <c r="V91">
        <f>ROUND(P91+Q91+R91+T91, -2)</f>
        <v>19700</v>
      </c>
      <c r="W91">
        <v>0</v>
      </c>
      <c r="X91">
        <f>U91*0.038</f>
        <v>573.8</v>
      </c>
      <c r="Y91">
        <f>U91*0.02</f>
        <v>302</v>
      </c>
      <c r="Z91">
        <f>V91*0.1</f>
        <v>1970</v>
      </c>
      <c r="AA91">
        <f>U91-X91-Y91</f>
        <v>14224.2</v>
      </c>
      <c r="AB91">
        <f>V91-Z91</f>
        <v>17730</v>
      </c>
      <c r="AC91">
        <f>AA91*0.01</f>
        <v>142.24200000000002</v>
      </c>
      <c r="AD91">
        <f>AA91-P91-AC91-Q91</f>
        <v>2471.9580000000005</v>
      </c>
      <c r="AE91">
        <f>AB91-P91-Q91-AC91</f>
        <v>5977.758</v>
      </c>
      <c r="AF91">
        <f>AD91/U91</f>
        <v>0.16370582781456958</v>
      </c>
      <c r="AG91">
        <f>AE91/V91</f>
        <v>0.30343949238578677</v>
      </c>
    </row>
    <row r="92">
      <c r="A92" t="str">
        <f>HYPERLINK("https://smartstore.naver.com/brickstore2019/products/4749091691","4749091691")</f>
        <v>4749091691</v>
      </c>
      <c r="C92" t="str">
        <v>뽀모도로공부법 타이머 공부에 집중이 안 될 때 시간 활용(무료배송)</v>
      </c>
      <c r="G92" t="str">
        <f>HYPERLINK("https://detail.tmall.com/item.htm?spm=a230r.1.14.321.7fd92f2bZeVDRU&amp;id=554494779519&amp;ns=1&amp;abbucket=7&amp;skuId=3414874005076","A")</f>
        <v>A</v>
      </c>
      <c r="I92">
        <v>70</v>
      </c>
      <c r="J92">
        <f>IF(K92&gt;0,K92*0.0625,)</f>
        <v>2.1875</v>
      </c>
      <c r="K92">
        <v>35</v>
      </c>
      <c r="L92">
        <f>IF(J92&gt;0,J92*0.453592,IF(K92&gt;0,K92*0.02835,))</f>
        <v>0.9922325</v>
      </c>
      <c r="M92">
        <v>0</v>
      </c>
      <c r="N92">
        <v>0</v>
      </c>
      <c r="O92">
        <f>I92+N92+M92</f>
        <v>70</v>
      </c>
      <c r="P92">
        <f>O92*C$3</f>
        <v>13300</v>
      </c>
      <c r="Q92">
        <f>ROUNDUP(HLOOKUP(IF(CEILING(L92,0.5)&lt;1,1,CEILING(L92,0.5)),'배송비 조회'!A$32:AY$36,2,0),-2)</f>
        <v>8000</v>
      </c>
      <c r="R92">
        <v>0</v>
      </c>
      <c r="S92">
        <f>ROUND((P92+Q92)*0.4,-2)</f>
        <v>8500</v>
      </c>
      <c r="T92">
        <f>ROUND((P92+Q92)*0.7,-2)</f>
        <v>14900</v>
      </c>
      <c r="U92">
        <f>ROUND(SUM(P92+Q92+R92+S92), -2)</f>
        <v>29800</v>
      </c>
      <c r="V92">
        <f>ROUND(P92+Q92+R92+T92, -2)</f>
        <v>36200</v>
      </c>
      <c r="W92">
        <v>0</v>
      </c>
      <c r="X92">
        <f>U92*0.038</f>
        <v>1132.3999999999999</v>
      </c>
      <c r="Y92">
        <f>U92*0.02</f>
        <v>596</v>
      </c>
      <c r="Z92">
        <f>V92*0.1</f>
        <v>3620</v>
      </c>
      <c r="AA92">
        <f>U92-X92-Y92</f>
        <v>28071.6</v>
      </c>
      <c r="AB92">
        <f>V92-Z92</f>
        <v>32580</v>
      </c>
      <c r="AC92">
        <f>AA92*0.01</f>
        <v>280.716</v>
      </c>
      <c r="AD92">
        <f>AA92-P92-AC92-Q92</f>
        <v>6490.883999999998</v>
      </c>
      <c r="AE92">
        <f>AB92-P92-Q92-AC92</f>
        <v>10999.284</v>
      </c>
      <c r="AF92">
        <f>AD92/U92</f>
        <v>0.217814899328859</v>
      </c>
      <c r="AG92">
        <f>AE92/V92</f>
        <v>0.3038476243093923</v>
      </c>
    </row>
    <row r="93">
      <c r="A93" t="str">
        <f>HYPERLINK("https://smartstore.naver.com/brickstore2019/products/4749141072","4749141072")</f>
        <v>4749141072</v>
      </c>
      <c r="C93" t="str">
        <v>뽀모도로공부법 타이머 집중이 안 될 때 공부법(무료배송)</v>
      </c>
      <c r="F93" t="str">
        <v>기본사이즈</v>
      </c>
      <c r="G93" t="str">
        <f>HYPERLINK("https://detail.tmall.com/item.htm?spm=a230r.1.999.24.dd41523cC8uEs9&amp;id=553554172095&amp;ns=1&amp;skuId=4033349090907","A")</f>
        <v>A</v>
      </c>
      <c r="I93">
        <v>17</v>
      </c>
      <c r="J93">
        <f>IF(K93&gt;0,K93*0.0625,)</f>
        <v>2.1875</v>
      </c>
      <c r="K93">
        <v>35</v>
      </c>
      <c r="L93">
        <f>IF(J93&gt;0,J93*0.453592,IF(K93&gt;0,K93*0.02835,))</f>
        <v>0.9922325</v>
      </c>
      <c r="M93">
        <v>0</v>
      </c>
      <c r="N93">
        <v>0</v>
      </c>
      <c r="O93">
        <f>I93+N93+M93</f>
        <v>17</v>
      </c>
      <c r="P93">
        <f>O93*C$3</f>
        <v>3230</v>
      </c>
      <c r="Q93">
        <f>ROUNDUP(HLOOKUP(IF(CEILING(L93,0.5)&lt;1,1,CEILING(L93,0.5)),'배송비 조회'!A$32:AY$36,2,0),-2)</f>
        <v>8000</v>
      </c>
      <c r="R93">
        <v>0</v>
      </c>
      <c r="S93">
        <f>ROUND((P93+Q93)*0.6,-2)</f>
        <v>6700</v>
      </c>
      <c r="T93">
        <f>ROUND((P93+Q93)*0.7,-2)</f>
        <v>7900</v>
      </c>
      <c r="U93">
        <f>ROUND(SUM(P93+Q93+R93+S93), -2)</f>
        <v>17900</v>
      </c>
      <c r="V93">
        <f>ROUND(P93+Q93+R93+T93, -2)</f>
        <v>19100</v>
      </c>
      <c r="W93">
        <v>0</v>
      </c>
      <c r="X93">
        <f>U93*0.038</f>
        <v>680.1999999999999</v>
      </c>
      <c r="Y93">
        <f>U93*0.02</f>
        <v>358</v>
      </c>
      <c r="Z93">
        <f>V93*0.1</f>
        <v>1910</v>
      </c>
      <c r="AA93">
        <f>U93-X93-Y93</f>
        <v>16861.8</v>
      </c>
      <c r="AB93">
        <f>V93-Z93</f>
        <v>17190</v>
      </c>
      <c r="AC93">
        <f>AA93*0.01</f>
        <v>168.618</v>
      </c>
      <c r="AD93">
        <f>AA93-P93-AC93-Q93</f>
        <v>5463.181999999999</v>
      </c>
      <c r="AE93">
        <f>AB93-P93-Q93-AC93</f>
        <v>5791.382</v>
      </c>
      <c r="AF93">
        <f>AD93/U93</f>
        <v>0.3052056983240223</v>
      </c>
      <c r="AG93">
        <f>AE93/V93</f>
        <v>0.3032137172774869</v>
      </c>
    </row>
    <row r="94">
      <c r="F94" t="str">
        <v>큰사이즈</v>
      </c>
      <c r="G94" t="str">
        <f>HYPERLINK("https://detail.tmall.com/item.htm?spm=a230r.1.999.24.dd41523cC8uEs9&amp;id=553554172095&amp;ns=1&amp;skuId=4033349090909","A")</f>
        <v>A</v>
      </c>
      <c r="I94">
        <v>20</v>
      </c>
      <c r="J94">
        <f>IF(K94&gt;0,K94*0.0625,)</f>
        <v>2.1875</v>
      </c>
      <c r="K94">
        <v>35</v>
      </c>
      <c r="L94">
        <f>IF(J94&gt;0,J94*0.453592,IF(K94&gt;0,K94*0.02835,))</f>
        <v>0.9922325</v>
      </c>
      <c r="M94">
        <v>0</v>
      </c>
      <c r="N94">
        <v>0</v>
      </c>
      <c r="O94">
        <f>I94+N94+M94</f>
        <v>20</v>
      </c>
      <c r="P94">
        <f>O94*C$3</f>
        <v>3800</v>
      </c>
      <c r="Q94">
        <f>ROUNDUP(HLOOKUP(IF(CEILING(L94,0.5)&lt;1,1,CEILING(L94,0.5)),'배송비 조회'!A$32:AY$36,2,0),-2)</f>
        <v>8000</v>
      </c>
      <c r="R94">
        <v>0</v>
      </c>
      <c r="S94">
        <f>ROUND((P94+Q94)*0.6,-2)</f>
        <v>7100</v>
      </c>
      <c r="T94">
        <f>ROUND((P94+Q94)*0.7,-2)</f>
        <v>8300</v>
      </c>
      <c r="U94">
        <f>ROUND(SUM(P94+Q94+R94+S94), -2)</f>
        <v>18900</v>
      </c>
      <c r="V94">
        <f>ROUND(P94+Q94+R94+T94, -2)</f>
        <v>20100</v>
      </c>
      <c r="W94">
        <v>0</v>
      </c>
      <c r="X94">
        <f>U94*0.038</f>
        <v>718.1999999999999</v>
      </c>
      <c r="Y94">
        <f>U94*0.02</f>
        <v>378</v>
      </c>
      <c r="Z94">
        <f>V94*0.1</f>
        <v>2010</v>
      </c>
      <c r="AA94">
        <f>U94-X94-Y94</f>
        <v>17803.8</v>
      </c>
      <c r="AB94">
        <f>V94-Z94</f>
        <v>18090</v>
      </c>
      <c r="AC94">
        <f>AA94*0.01</f>
        <v>178.03799999999998</v>
      </c>
      <c r="AD94">
        <f>AA94-P94-AC94-Q94</f>
        <v>5825.761999999999</v>
      </c>
      <c r="AE94">
        <f>AB94-P94-Q94-AC94</f>
        <v>6111.962</v>
      </c>
      <c r="AF94">
        <f>AD94/U94</f>
        <v>0.3082413756613756</v>
      </c>
      <c r="AG94">
        <f>AE94/V94</f>
        <v>0.3040777114427861</v>
      </c>
    </row>
    <row r="95">
      <c r="A95" t="str">
        <f>HYPERLINK("https://smartstore.naver.com/brickstore2019/products/4750320346","4750320346")</f>
        <v>4750320346</v>
      </c>
      <c r="C95" t="str">
        <v>사이드라인 스크래퍼 케이크 스크래퍼 3종 세트</v>
      </c>
      <c r="G95" t="str">
        <f>HYPERLINK("https://item.taobao.com/item.htm?spm=a230r.1.998.41.4d72523cSIjVIG&amp;scm=1007.11224.62891.0&amp;id=17081082139&amp;pvid=85f91824-d2ff-4658-833b-5723447f2c57","A")</f>
        <v>A</v>
      </c>
      <c r="I95">
        <v>11</v>
      </c>
      <c r="J95">
        <f>IF(K95&gt;0,K95*0.0625,)</f>
        <v>2.1875</v>
      </c>
      <c r="K95">
        <v>35</v>
      </c>
      <c r="L95">
        <f>IF(J95&gt;0,J95*0.453592,IF(K95&gt;0,K95*0.02835,))</f>
        <v>0.9922325</v>
      </c>
      <c r="M95">
        <v>0</v>
      </c>
      <c r="N95">
        <v>0</v>
      </c>
      <c r="O95">
        <f>I95+N95+M95</f>
        <v>11</v>
      </c>
      <c r="P95">
        <f>O95*C$3</f>
        <v>2090</v>
      </c>
      <c r="Q95">
        <f>ROUNDUP(HLOOKUP(IF(CEILING(L95,0.5)&lt;1,1,CEILING(L95,0.5)),'배송비 조회'!A$32:AY$36,2,0),-2)</f>
        <v>8000</v>
      </c>
      <c r="R95">
        <v>0</v>
      </c>
      <c r="S95">
        <f>ROUND((P95+Q95)*0.6,-2)</f>
        <v>6100</v>
      </c>
      <c r="T95">
        <f>ROUND((P95+Q95)*0.7,-2)</f>
        <v>7100</v>
      </c>
      <c r="U95">
        <f>ROUND(SUM(P95+Q95+R95+S95), -2)</f>
        <v>16200</v>
      </c>
      <c r="V95">
        <f>ROUND(P95+Q95+R95+T95, -2)</f>
        <v>17200</v>
      </c>
      <c r="W95">
        <v>0</v>
      </c>
      <c r="X95">
        <f>U95*0.038</f>
        <v>615.6</v>
      </c>
      <c r="Y95">
        <f>U95*0.02</f>
        <v>324</v>
      </c>
      <c r="Z95">
        <f>V95*0.1</f>
        <v>1720</v>
      </c>
      <c r="AA95">
        <f>U95-X95-Y95</f>
        <v>15260.4</v>
      </c>
      <c r="AB95">
        <f>V95-Z95</f>
        <v>15480</v>
      </c>
      <c r="AC95">
        <f>AA95*0.01</f>
        <v>152.604</v>
      </c>
      <c r="AD95">
        <f>AA95-P95-AC95-Q95</f>
        <v>5017.796</v>
      </c>
      <c r="AE95">
        <f>AB95-P95-Q95-AC95</f>
        <v>5237.396</v>
      </c>
      <c r="AF95">
        <f>AD95/U95</f>
        <v>0.3097404938271605</v>
      </c>
      <c r="AG95">
        <f>AE95/V95</f>
        <v>0.30449976744186047</v>
      </c>
      <c r="AH95">
        <v>8000</v>
      </c>
      <c r="AI95">
        <f>U95-8000</f>
        <v>8200</v>
      </c>
    </row>
    <row r="96">
      <c r="A96" t="str">
        <f>HYPERLINK("https://smartstore.naver.com/brickstore2019/products/4751331375","4751331375")</f>
        <v>4751331375</v>
      </c>
      <c r="C96" t="str">
        <v>펠리시타 아크 에스프레소 전자 저울 Felicita Arc (무료배송)</v>
      </c>
      <c r="F96" t="str">
        <v>1688소싱이므로 알리패이 중국계좌 연결이후 재확인</v>
      </c>
      <c r="G96" t="str">
        <v>A</v>
      </c>
      <c r="I96">
        <v>653</v>
      </c>
      <c r="J96">
        <v>1.54</v>
      </c>
      <c r="K96">
        <f>IF(J96&gt;0,J96*16,)</f>
        <v>24.64</v>
      </c>
      <c r="L96">
        <f>IF(J96&gt;0,J96*0.453592,IF(K96&gt;0,K96*0.02835,))</f>
        <v>0.69853168</v>
      </c>
      <c r="M96">
        <v>0</v>
      </c>
      <c r="N96">
        <v>0</v>
      </c>
      <c r="O96">
        <f>I96+N96+M96</f>
        <v>653</v>
      </c>
      <c r="P96">
        <f>O96*C$3</f>
        <v>124070</v>
      </c>
      <c r="Q96">
        <f>ROUNDUP(HLOOKUP(IF(CEILING(L96,0.5)&lt;1,1,CEILING(L96,0.5)),'배송비 조회'!A$32:AY$36,2,0),-2)</f>
        <v>8000</v>
      </c>
      <c r="R96">
        <v>0</v>
      </c>
      <c r="S96">
        <f>ROUND((P96+Q96)*0.2,-2)</f>
        <v>26400</v>
      </c>
      <c r="T96">
        <f>ROUND((P96+Q96)*0.7,-2)</f>
        <v>92400</v>
      </c>
      <c r="U96">
        <v>155900</v>
      </c>
      <c r="V96">
        <f>ROUND(P96+Q96+R96+T96, -2)</f>
        <v>224500</v>
      </c>
      <c r="W96">
        <v>0</v>
      </c>
      <c r="X96">
        <f>U96*0.038</f>
        <v>5924.2</v>
      </c>
      <c r="Y96">
        <f>U96*0.02</f>
        <v>3118</v>
      </c>
      <c r="Z96">
        <f>V96*0.1</f>
        <v>22450</v>
      </c>
      <c r="AA96">
        <f>U96-X96-Y96</f>
        <v>146857.8</v>
      </c>
      <c r="AB96">
        <f>V96-Z96</f>
        <v>202050</v>
      </c>
      <c r="AC96">
        <f>AA96*0.01</f>
        <v>1468.578</v>
      </c>
      <c r="AD96">
        <f>AA96-P96-AC96-Q96</f>
        <v>13319.221999999987</v>
      </c>
      <c r="AE96">
        <f>AB96-P96-Q96-AC96</f>
        <v>68511.422</v>
      </c>
      <c r="AF96">
        <f>AD96/U96</f>
        <v>0.08543439384220645</v>
      </c>
      <c r="AG96">
        <f>AE96/V96</f>
        <v>0.3051733719376392</v>
      </c>
      <c r="AH96">
        <f>U96-8000</f>
        <v>147900</v>
      </c>
    </row>
    <row r="97">
      <c r="A97" t="str">
        <f>HYPERLINK("https://smartstore.naver.com/brickstore2019/products/4754037695","4754037695")</f>
        <v>4754037695</v>
      </c>
      <c r="C97" t="str">
        <v>홈서대 눕서대 접히는 독서대 (무료배송)</v>
      </c>
      <c r="F97" t="str">
        <v>블랙</v>
      </c>
      <c r="G97" t="str">
        <f>HYPERLINK("https://detail.tmall.com/item.htm?spm=a230r.1.999.1.633e523cmeX8ZD&amp;id=573684004683&amp;ns=1&amp;skuId=3748135376633","A")</f>
        <v>A</v>
      </c>
      <c r="I97">
        <v>80</v>
      </c>
      <c r="J97">
        <f>IF(K97&gt;0,K97*0.0625,)</f>
        <v>6.25</v>
      </c>
      <c r="K97">
        <v>100</v>
      </c>
      <c r="L97">
        <f>IF(J97&gt;0,J97*0.453592,IF(K97&gt;0,K97*0.02835,))</f>
        <v>2.83495</v>
      </c>
      <c r="M97">
        <v>0</v>
      </c>
      <c r="N97">
        <v>0</v>
      </c>
      <c r="O97">
        <f>I97+N97+M97</f>
        <v>80</v>
      </c>
      <c r="P97">
        <f>O97*C$3</f>
        <v>15200</v>
      </c>
      <c r="Q97">
        <f>ROUNDUP(HLOOKUP(IF(CEILING(L97,0.5)&lt;1,1,CEILING(L97,0.5)),'배송비 조회'!A$32:AY$36,2,0),-2)</f>
        <v>11200</v>
      </c>
      <c r="R97">
        <v>0</v>
      </c>
      <c r="S97">
        <f>ROUND((P97+Q97)*0.6,-2)</f>
        <v>15800</v>
      </c>
      <c r="T97">
        <f>ROUND((P97+Q97)*0.7,-2)</f>
        <v>18500</v>
      </c>
      <c r="U97">
        <f>ROUND(SUM(P97+Q97+R97+S97), -2)</f>
        <v>42200</v>
      </c>
      <c r="V97">
        <f>ROUND(P97+Q97+R97+T97, -2)</f>
        <v>44900</v>
      </c>
      <c r="W97">
        <v>0</v>
      </c>
      <c r="X97">
        <f>U97*0.038</f>
        <v>1603.6</v>
      </c>
      <c r="Y97">
        <f>U97*0.02</f>
        <v>844</v>
      </c>
      <c r="Z97">
        <f>V97*0.1</f>
        <v>4490</v>
      </c>
      <c r="AA97">
        <f>U97-X97-Y97</f>
        <v>39752.4</v>
      </c>
      <c r="AB97">
        <f>V97-Z97</f>
        <v>40410</v>
      </c>
      <c r="AC97">
        <f>AA97*0.01</f>
        <v>397.524</v>
      </c>
      <c r="AD97">
        <f>AA97-P97-AC97-Q97</f>
        <v>12954.876</v>
      </c>
      <c r="AE97">
        <f>AB97-P97-Q97-AC97</f>
        <v>13612.476</v>
      </c>
      <c r="AF97">
        <f>AD97/U97</f>
        <v>0.3069875829383886</v>
      </c>
      <c r="AG97">
        <f>AE97/V97</f>
        <v>0.30317318485523387</v>
      </c>
    </row>
    <row r="98">
      <c r="F98" t="str">
        <v>블랙+마우스패드</v>
      </c>
      <c r="G98" t="str">
        <f>HYPERLINK("https://detail.tmall.com/item.htm?spm=a230r.1.999.1.633e523cmeX8ZD&amp;id=573684004683&amp;ns=1&amp;skuId=3748135376634","A")</f>
        <v>A</v>
      </c>
      <c r="I98">
        <v>90</v>
      </c>
      <c r="J98">
        <f>IF(K98&gt;0,K98*0.0625,)</f>
        <v>6.25</v>
      </c>
      <c r="K98">
        <v>100</v>
      </c>
      <c r="L98">
        <f>IF(J98&gt;0,J98*0.453592,IF(K98&gt;0,K98*0.02835,))</f>
        <v>2.83495</v>
      </c>
      <c r="M98">
        <v>0</v>
      </c>
      <c r="N98">
        <v>0</v>
      </c>
      <c r="O98">
        <f>I98+N98+M98</f>
        <v>90</v>
      </c>
      <c r="P98">
        <f>O98*C$3</f>
        <v>17100</v>
      </c>
      <c r="Q98">
        <f>ROUNDUP(HLOOKUP(IF(CEILING(L98,0.5)&lt;1,1,CEILING(L98,0.5)),'배송비 조회'!A$32:AY$36,2,0),-2)</f>
        <v>11200</v>
      </c>
      <c r="R98">
        <v>0</v>
      </c>
      <c r="S98">
        <f>ROUND((P98+Q98)*0.6,-2)</f>
        <v>17000</v>
      </c>
      <c r="T98">
        <f>ROUND((P98+Q98)*0.7,-2)</f>
        <v>19800</v>
      </c>
      <c r="U98">
        <f>ROUND(SUM(P98+Q98+R98+S98), -2)</f>
        <v>45300</v>
      </c>
      <c r="V98">
        <f>ROUND(P98+Q98+R98+T98, -2)</f>
        <v>48100</v>
      </c>
      <c r="W98">
        <v>0</v>
      </c>
      <c r="X98">
        <f>U98*0.038</f>
        <v>1721.3999999999999</v>
      </c>
      <c r="Y98">
        <f>U98*0.02</f>
        <v>906</v>
      </c>
      <c r="Z98">
        <f>V98*0.1</f>
        <v>4810</v>
      </c>
      <c r="AA98">
        <f>U98-X98-Y98</f>
        <v>42672.6</v>
      </c>
      <c r="AB98">
        <f>V98-Z98</f>
        <v>43290</v>
      </c>
      <c r="AC98">
        <f>AA98*0.01</f>
        <v>426.726</v>
      </c>
      <c r="AD98">
        <f>AA98-P98-AC98-Q98</f>
        <v>13945.874</v>
      </c>
      <c r="AE98">
        <f>AB98-P98-Q98-AC98</f>
        <v>14563.274</v>
      </c>
      <c r="AF98">
        <f>AD98/U98</f>
        <v>0.30785593818984547</v>
      </c>
      <c r="AG98">
        <f>AE98/V98</f>
        <v>0.30277076923076923</v>
      </c>
    </row>
    <row r="99">
      <c r="F99" t="str">
        <v>화이트</v>
      </c>
      <c r="G99" t="str">
        <f>HYPERLINK("https://detail.tmall.com/item.htm?spm=a230r.1.999.1.633e523cmeX8ZD&amp;id=573684004683&amp;ns=1&amp;skuId=3748135376635","A")</f>
        <v>A</v>
      </c>
      <c r="I99">
        <v>80</v>
      </c>
      <c r="J99">
        <f>IF(K99&gt;0,K99*0.0625,)</f>
        <v>6.25</v>
      </c>
      <c r="K99">
        <v>100</v>
      </c>
      <c r="L99">
        <f>IF(J99&gt;0,J99*0.453592,IF(K99&gt;0,K99*0.02835,))</f>
        <v>2.83495</v>
      </c>
      <c r="M99">
        <v>0</v>
      </c>
      <c r="N99">
        <v>0</v>
      </c>
      <c r="O99">
        <f>I99+N99+M99</f>
        <v>80</v>
      </c>
      <c r="P99">
        <f>O99*C$3</f>
        <v>15200</v>
      </c>
      <c r="Q99">
        <f>ROUNDUP(HLOOKUP(IF(CEILING(L99,0.5)&lt;1,1,CEILING(L99,0.5)),'배송비 조회'!A$32:AY$36,2,0),-2)</f>
        <v>11200</v>
      </c>
      <c r="R99">
        <v>0</v>
      </c>
      <c r="S99">
        <f>ROUND((P99+Q99)*0.6,-2)</f>
        <v>15800</v>
      </c>
      <c r="T99">
        <f>ROUND((P99+Q99)*0.7,-2)</f>
        <v>18500</v>
      </c>
      <c r="U99">
        <f>ROUND(SUM(P99+Q99+R99+S99), -2)</f>
        <v>42200</v>
      </c>
      <c r="V99">
        <f>ROUND(P99+Q99+R99+T99, -2)</f>
        <v>44900</v>
      </c>
      <c r="W99">
        <v>0</v>
      </c>
      <c r="X99">
        <f>U99*0.038</f>
        <v>1603.6</v>
      </c>
      <c r="Y99">
        <f>U99*0.02</f>
        <v>844</v>
      </c>
      <c r="Z99">
        <f>V99*0.1</f>
        <v>4490</v>
      </c>
      <c r="AA99">
        <f>U99-X99-Y99</f>
        <v>39752.4</v>
      </c>
      <c r="AB99">
        <f>V99-Z99</f>
        <v>40410</v>
      </c>
      <c r="AC99">
        <f>AA99*0.01</f>
        <v>397.524</v>
      </c>
      <c r="AD99">
        <f>AA99-P99-AC99-Q99</f>
        <v>12954.876</v>
      </c>
      <c r="AE99">
        <f>AB99-P99-Q99-AC99</f>
        <v>13612.476</v>
      </c>
      <c r="AF99">
        <f>AD99/U99</f>
        <v>0.3069875829383886</v>
      </c>
      <c r="AG99">
        <f>AE99/V99</f>
        <v>0.30317318485523387</v>
      </c>
    </row>
    <row r="100">
      <c r="F100" t="str">
        <v>화이트+마우스패드</v>
      </c>
      <c r="G100" t="str">
        <f>HYPERLINK("https://detail.tmall.com/item.htm?spm=a230r.1.999.1.633e523cmeX8ZD&amp;id=573684004683&amp;ns=1&amp;skuId=3748135376636","A")</f>
        <v>A</v>
      </c>
      <c r="I100">
        <v>90</v>
      </c>
      <c r="J100">
        <f>IF(K100&gt;0,K100*0.0625,)</f>
        <v>6.25</v>
      </c>
      <c r="K100">
        <v>100</v>
      </c>
      <c r="L100">
        <f>IF(J100&gt;0,J100*0.453592,IF(K100&gt;0,K100*0.02835,))</f>
        <v>2.83495</v>
      </c>
      <c r="M100">
        <v>0</v>
      </c>
      <c r="N100">
        <v>0</v>
      </c>
      <c r="O100">
        <f>I100+N100+M100</f>
        <v>90</v>
      </c>
      <c r="P100">
        <f>O100*C$3</f>
        <v>17100</v>
      </c>
      <c r="Q100">
        <f>ROUNDUP(HLOOKUP(IF(CEILING(L100,0.5)&lt;1,1,CEILING(L100,0.5)),'배송비 조회'!A$32:AY$36,2,0),-2)</f>
        <v>11200</v>
      </c>
      <c r="R100">
        <v>0</v>
      </c>
      <c r="S100">
        <f>ROUND((P100+Q100)*0.6,-2)</f>
        <v>17000</v>
      </c>
      <c r="T100">
        <f>ROUND((P100+Q100)*0.7,-2)</f>
        <v>19800</v>
      </c>
      <c r="U100">
        <f>ROUND(SUM(P100+Q100+R100+S100), -2)</f>
        <v>45300</v>
      </c>
      <c r="V100">
        <f>ROUND(P100+Q100+R100+T100, -2)</f>
        <v>48100</v>
      </c>
      <c r="W100">
        <v>0</v>
      </c>
      <c r="X100">
        <f>U100*0.038</f>
        <v>1721.3999999999999</v>
      </c>
      <c r="Y100">
        <f>U100*0.02</f>
        <v>906</v>
      </c>
      <c r="Z100">
        <f>V100*0.1</f>
        <v>4810</v>
      </c>
      <c r="AA100">
        <f>U100-X100-Y100</f>
        <v>42672.6</v>
      </c>
      <c r="AB100">
        <f>V100-Z100</f>
        <v>43290</v>
      </c>
      <c r="AC100">
        <f>AA100*0.01</f>
        <v>426.726</v>
      </c>
      <c r="AD100">
        <f>AA100-P100-AC100-Q100</f>
        <v>13945.874</v>
      </c>
      <c r="AE100">
        <f>AB100-P100-Q100-AC100</f>
        <v>14563.274</v>
      </c>
      <c r="AF100">
        <f>AD100/U100</f>
        <v>0.30785593818984547</v>
      </c>
      <c r="AG100">
        <f>AE100/V100</f>
        <v>0.30277076923076923</v>
      </c>
    </row>
    <row r="101">
      <c r="A101" t="str">
        <f>HYPERLINK("https://smartstore.naver.com/brickstore2019/products/4756499204","4756499204")</f>
        <v>4756499204</v>
      </c>
      <c r="C101" t="str">
        <v>명품 가방진열장 가방틈새수납함 (무료배송)</v>
      </c>
      <c r="F101" t="str">
        <v>녹색 / 문X / 1층 1열</v>
      </c>
      <c r="G101" t="str">
        <f>HYPERLINK("https://detail.tmall.com/item.htm?spm=a230r.1.999.113.4d4c523cVqLIDR&amp;id=599538363886&amp;ns=1&amp;skuId=4352228335831","T")</f>
        <v>T</v>
      </c>
      <c r="I101">
        <v>19</v>
      </c>
      <c r="J101">
        <f>IF(K101&gt;0,K101*0.0625,IF(L101&gt;0,L101*2.204623,))</f>
        <v>4.40924525</v>
      </c>
      <c r="K101">
        <f>IF(L101&gt;0,L101*35.273962,IF(J101&gt;0,J101*16,))</f>
        <v>70.547924</v>
      </c>
      <c r="L101">
        <v>2</v>
      </c>
      <c r="M101">
        <v>0</v>
      </c>
      <c r="N101">
        <v>0</v>
      </c>
      <c r="O101">
        <f>I101+N101+M101</f>
        <v>19</v>
      </c>
      <c r="P101">
        <f>O101*C$3</f>
        <v>3610</v>
      </c>
      <c r="Q101">
        <f>ROUNDUP(HLOOKUP(IF(CEILING(L101,0.5)&lt;1,1,CEILING(L101,0.5)),'배송비 조회'!A$32:AY$36,2,0),-2)</f>
        <v>9600</v>
      </c>
      <c r="R101">
        <v>0</v>
      </c>
      <c r="S101">
        <f>ROUND((P101+Q101)*0.5,-2)</f>
        <v>6600</v>
      </c>
      <c r="T101">
        <f>ROUND((P101+Q101)*0.7,-2)</f>
        <v>9200</v>
      </c>
      <c r="U101">
        <f>ROUND(SUM(P101+Q101+R101+S101), -2)</f>
        <v>19800</v>
      </c>
      <c r="V101">
        <f>ROUND(P101+Q101+R101+T101, -2)</f>
        <v>22400</v>
      </c>
      <c r="W101">
        <v>0</v>
      </c>
      <c r="X101">
        <f>U101*0.038</f>
        <v>752.4</v>
      </c>
      <c r="Y101">
        <f>U101*0.02</f>
        <v>396</v>
      </c>
      <c r="Z101">
        <f>V101*0.1</f>
        <v>2240</v>
      </c>
      <c r="AA101">
        <f>U101-X101-Y101</f>
        <v>18651.6</v>
      </c>
      <c r="AB101">
        <f>V101-Z101</f>
        <v>20160</v>
      </c>
      <c r="AC101">
        <f>AA101*0.01</f>
        <v>186.516</v>
      </c>
      <c r="AD101">
        <f>AA101-P101-AC101-Q101</f>
        <v>5255.083999999999</v>
      </c>
      <c r="AE101">
        <f>AB101-P101-Q101-AC101</f>
        <v>6763.484</v>
      </c>
      <c r="AF101">
        <f>AD101/U101</f>
        <v>0.26540828282828277</v>
      </c>
      <c r="AG101">
        <f>AE101/V101</f>
        <v>0.30194125</v>
      </c>
      <c r="AH101">
        <f>U101-$U$113</f>
        <v>-4800</v>
      </c>
    </row>
    <row r="102">
      <c r="F102" t="str">
        <v>녹색 / 문X / 1층 2열</v>
      </c>
      <c r="I102">
        <v>35</v>
      </c>
      <c r="J102">
        <f>IF(K102&gt;0,K102*0.0625,IF(L102&gt;0,L102*2.204623,))</f>
        <v>4.40924525</v>
      </c>
      <c r="K102">
        <f>IF(L102&gt;0,L102*35.273962,IF(J102&gt;0,J102*16,))</f>
        <v>70.547924</v>
      </c>
      <c r="L102">
        <v>2</v>
      </c>
      <c r="M102">
        <v>0</v>
      </c>
      <c r="N102">
        <v>0</v>
      </c>
      <c r="O102">
        <f>I102+N102+M102</f>
        <v>35</v>
      </c>
      <c r="P102">
        <f>O102*C$3</f>
        <v>6650</v>
      </c>
      <c r="Q102">
        <f>ROUNDUP(HLOOKUP(IF(CEILING(L102,0.5)&lt;1,1,CEILING(L102,0.5)),'배송비 조회'!A$32:AY$36,2,0),-2)</f>
        <v>9600</v>
      </c>
      <c r="R102">
        <v>0</v>
      </c>
      <c r="S102">
        <f>ROUND((P102+Q102)*0.3,-2)</f>
        <v>4900</v>
      </c>
      <c r="T102">
        <f>ROUND((P102+Q102)*0.7,-2)</f>
        <v>11400</v>
      </c>
      <c r="U102">
        <f>ROUND(SUM(P102+Q102+R102+S102), -2)</f>
        <v>21200</v>
      </c>
      <c r="V102">
        <f>ROUND(P102+Q102+R102+T102, -2)</f>
        <v>27700</v>
      </c>
      <c r="W102">
        <v>0</v>
      </c>
      <c r="X102">
        <f>U102*0.038</f>
        <v>805.6</v>
      </c>
      <c r="Y102">
        <f>U102*0.02</f>
        <v>424</v>
      </c>
      <c r="Z102">
        <f>V102*0.1</f>
        <v>2770</v>
      </c>
      <c r="AA102">
        <f>U102-X102-Y102</f>
        <v>19970.4</v>
      </c>
      <c r="AB102">
        <f>V102-Z102</f>
        <v>24930</v>
      </c>
      <c r="AC102">
        <f>AA102*0.01</f>
        <v>199.704</v>
      </c>
      <c r="AD102">
        <f>AA102-P102-AC102-Q102</f>
        <v>3520.6960000000017</v>
      </c>
      <c r="AE102">
        <f>AB102-P102-Q102-AC102</f>
        <v>8480.296</v>
      </c>
      <c r="AF102">
        <f>AD102/U102</f>
        <v>0.16607056603773593</v>
      </c>
      <c r="AG102">
        <f>AE102/V102</f>
        <v>0.3061478700361011</v>
      </c>
      <c r="AH102">
        <f>U102-$U$113</f>
        <v>-3400</v>
      </c>
    </row>
    <row r="103">
      <c r="F103" t="str">
        <v>녹색 / 문X / 2층 2열</v>
      </c>
      <c r="I103">
        <v>55</v>
      </c>
      <c r="J103">
        <f>IF(K103&gt;0,K103*0.0625,IF(L103&gt;0,L103*2.204623,))</f>
        <v>4.40924525</v>
      </c>
      <c r="K103">
        <f>IF(L103&gt;0,L103*35.273962,IF(J103&gt;0,J103*16,))</f>
        <v>70.547924</v>
      </c>
      <c r="L103">
        <v>2</v>
      </c>
      <c r="M103">
        <v>0</v>
      </c>
      <c r="N103">
        <v>0</v>
      </c>
      <c r="O103">
        <f>I103+N103+M103</f>
        <v>55</v>
      </c>
      <c r="P103">
        <f>O103*C$3</f>
        <v>10450</v>
      </c>
      <c r="Q103">
        <f>ROUNDUP(HLOOKUP(IF(CEILING(L103,0.5)&lt;1,1,CEILING(L103,0.5)),'배송비 조회'!A$32:AY$36,2,0),-2)</f>
        <v>9600</v>
      </c>
      <c r="R103">
        <v>0</v>
      </c>
      <c r="S103">
        <f>ROUND((P103+Q103)*0.3,-2)</f>
        <v>6000</v>
      </c>
      <c r="T103">
        <f>ROUND((P103+Q103)*0.7,-2)</f>
        <v>14000</v>
      </c>
      <c r="U103">
        <f>ROUND(SUM(P103+Q103+R103+S103), -2)</f>
        <v>26100</v>
      </c>
      <c r="V103">
        <f>ROUND(P103+Q103+R103+T103, -2)</f>
        <v>34100</v>
      </c>
      <c r="W103">
        <v>0</v>
      </c>
      <c r="X103">
        <f>U103*0.038</f>
        <v>991.8</v>
      </c>
      <c r="Y103">
        <f>U103*0.02</f>
        <v>522</v>
      </c>
      <c r="Z103">
        <f>V103*0.1</f>
        <v>3410</v>
      </c>
      <c r="AA103">
        <f>U103-X103-Y103</f>
        <v>24586.2</v>
      </c>
      <c r="AB103">
        <f>V103-Z103</f>
        <v>30690</v>
      </c>
      <c r="AC103">
        <f>AA103*0.01</f>
        <v>245.86200000000002</v>
      </c>
      <c r="AD103">
        <f>AA103-P103-AC103-Q103</f>
        <v>4290.338000000002</v>
      </c>
      <c r="AE103">
        <f>AB103-P103-Q103-AC103</f>
        <v>10394.138</v>
      </c>
      <c r="AF103">
        <f>AD103/U103</f>
        <v>0.16438076628352496</v>
      </c>
      <c r="AG103">
        <f>AE103/V103</f>
        <v>0.304813431085044</v>
      </c>
      <c r="AH103">
        <f>U103-$U$113</f>
        <v>1500</v>
      </c>
    </row>
    <row r="104">
      <c r="F104" t="str">
        <v>녹색 / 문X / 3층 2열</v>
      </c>
      <c r="I104">
        <v>69</v>
      </c>
      <c r="J104">
        <f>IF(K104&gt;0,K104*0.0625,IF(L104&gt;0,L104*2.204623,))</f>
        <v>4.40924525</v>
      </c>
      <c r="K104">
        <f>IF(L104&gt;0,L104*35.273962,IF(J104&gt;0,J104*16,))</f>
        <v>70.547924</v>
      </c>
      <c r="L104">
        <v>2</v>
      </c>
      <c r="M104">
        <v>0</v>
      </c>
      <c r="N104">
        <v>0</v>
      </c>
      <c r="O104">
        <f>I104+N104+M104</f>
        <v>69</v>
      </c>
      <c r="P104">
        <f>O104*C$3</f>
        <v>13110</v>
      </c>
      <c r="Q104">
        <f>ROUNDUP(HLOOKUP(IF(CEILING(L104,0.5)&lt;1,1,CEILING(L104,0.5)),'배송비 조회'!A$32:AY$36,2,0),-2)</f>
        <v>9600</v>
      </c>
      <c r="R104">
        <v>0</v>
      </c>
      <c r="S104">
        <f>ROUND((P104+Q104)*0.3,-2)</f>
        <v>6800</v>
      </c>
      <c r="T104">
        <f>ROUND((P104+Q104)*0.7,-2)</f>
        <v>15900</v>
      </c>
      <c r="U104">
        <f>ROUND(SUM(P104+Q104+R104+S104), -2)</f>
        <v>29500</v>
      </c>
      <c r="V104">
        <f>ROUND(P104+Q104+R104+T104, -2)</f>
        <v>38600</v>
      </c>
      <c r="W104">
        <v>0</v>
      </c>
      <c r="X104">
        <f>U104*0.038</f>
        <v>1121</v>
      </c>
      <c r="Y104">
        <f>U104*0.02</f>
        <v>590</v>
      </c>
      <c r="Z104">
        <f>V104*0.1</f>
        <v>3860</v>
      </c>
      <c r="AA104">
        <f>U104-X104-Y104</f>
        <v>27789</v>
      </c>
      <c r="AB104">
        <f>V104-Z104</f>
        <v>34740</v>
      </c>
      <c r="AC104">
        <f>AA104*0.01</f>
        <v>277.89</v>
      </c>
      <c r="AD104">
        <f>AA104-P104-AC104-Q104</f>
        <v>4801.110000000001</v>
      </c>
      <c r="AE104">
        <f>AB104-P104-Q104-AC104</f>
        <v>11752.11</v>
      </c>
      <c r="AF104">
        <f>AD104/U104</f>
        <v>0.16274949152542376</v>
      </c>
      <c r="AG104">
        <f>AE104/V104</f>
        <v>0.3044588082901555</v>
      </c>
      <c r="AH104">
        <f>U104-$U$113</f>
        <v>4900</v>
      </c>
    </row>
    <row r="105">
      <c r="F105" t="str">
        <v>녹색 / 문X / 4층 2열</v>
      </c>
      <c r="I105">
        <v>89</v>
      </c>
      <c r="J105">
        <f>IF(K105&gt;0,K105*0.0625,IF(L105&gt;0,L105*2.204623,))</f>
        <v>4.40924525</v>
      </c>
      <c r="K105">
        <f>IF(L105&gt;0,L105*35.273962,IF(J105&gt;0,J105*16,))</f>
        <v>70.547924</v>
      </c>
      <c r="L105">
        <v>2</v>
      </c>
      <c r="M105">
        <v>0</v>
      </c>
      <c r="N105">
        <v>0</v>
      </c>
      <c r="O105">
        <f>I105+N105+M105</f>
        <v>89</v>
      </c>
      <c r="P105">
        <f>O105*C$3</f>
        <v>16910</v>
      </c>
      <c r="Q105">
        <f>ROUNDUP(HLOOKUP(IF(CEILING(L105,0.5)&lt;1,1,CEILING(L105,0.5)),'배송비 조회'!A$32:AY$36,2,0),-2)</f>
        <v>9600</v>
      </c>
      <c r="R105">
        <v>0</v>
      </c>
      <c r="S105">
        <f>ROUND((P105+Q105)*0.3,-2)</f>
        <v>8000</v>
      </c>
      <c r="T105">
        <f>ROUND((P105+Q105)*0.7,-2)</f>
        <v>18600</v>
      </c>
      <c r="U105">
        <f>ROUND(SUM(P105+Q105+R105+S105), -2)</f>
        <v>34500</v>
      </c>
      <c r="V105">
        <f>ROUND(P105+Q105+R105+T105, -2)</f>
        <v>45100</v>
      </c>
      <c r="W105">
        <v>0</v>
      </c>
      <c r="X105">
        <f>U105*0.038</f>
        <v>1311</v>
      </c>
      <c r="Y105">
        <f>U105*0.02</f>
        <v>690</v>
      </c>
      <c r="Z105">
        <f>V105*0.1</f>
        <v>4510</v>
      </c>
      <c r="AA105">
        <f>U105-X105-Y105</f>
        <v>32499</v>
      </c>
      <c r="AB105">
        <f>V105-Z105</f>
        <v>40590</v>
      </c>
      <c r="AC105">
        <f>AA105*0.01</f>
        <v>324.99</v>
      </c>
      <c r="AD105">
        <f>AA105-P105-AC105-Q105</f>
        <v>5664.01</v>
      </c>
      <c r="AE105">
        <f>AB105-P105-Q105-AC105</f>
        <v>13755.01</v>
      </c>
      <c r="AF105">
        <f>AD105/U105</f>
        <v>0.16417420289855073</v>
      </c>
      <c r="AG105">
        <f>AE105/V105</f>
        <v>0.30498913525498894</v>
      </c>
      <c r="AH105">
        <f>U105-$U$113</f>
        <v>9900</v>
      </c>
    </row>
    <row r="106">
      <c r="F106" t="str">
        <v>녹색 / 문X / 1층 3열</v>
      </c>
      <c r="I106">
        <v>45</v>
      </c>
      <c r="J106">
        <f>IF(K106&gt;0,K106*0.0625,IF(L106&gt;0,L106*2.204623,))</f>
        <v>4.40924525</v>
      </c>
      <c r="K106">
        <f>IF(L106&gt;0,L106*35.273962,IF(J106&gt;0,J106*16,))</f>
        <v>70.547924</v>
      </c>
      <c r="L106">
        <v>2</v>
      </c>
      <c r="M106">
        <v>0</v>
      </c>
      <c r="N106">
        <v>0</v>
      </c>
      <c r="O106">
        <f>I106+N106+M106</f>
        <v>45</v>
      </c>
      <c r="P106">
        <f>O106*C$3</f>
        <v>8550</v>
      </c>
      <c r="Q106">
        <f>ROUNDUP(HLOOKUP(IF(CEILING(L106,0.5)&lt;1,1,CEILING(L106,0.5)),'배송비 조회'!A$32:AY$36,2,0),-2)</f>
        <v>9600</v>
      </c>
      <c r="R106">
        <v>0</v>
      </c>
      <c r="S106">
        <f>ROUND((P106+Q106)*0.3,-2)</f>
        <v>5400</v>
      </c>
      <c r="T106">
        <f>ROUND((P106+Q106)*0.7,-2)</f>
        <v>12700</v>
      </c>
      <c r="U106">
        <f>ROUND(SUM(P106+Q106+R106+S106), -2)</f>
        <v>23600</v>
      </c>
      <c r="V106">
        <f>ROUND(P106+Q106+R106+T106, -2)</f>
        <v>30900</v>
      </c>
      <c r="W106">
        <v>0</v>
      </c>
      <c r="X106">
        <f>U106*0.038</f>
        <v>896.8</v>
      </c>
      <c r="Y106">
        <f>U106*0.02</f>
        <v>472</v>
      </c>
      <c r="Z106">
        <f>V106*0.1</f>
        <v>3090</v>
      </c>
      <c r="AA106">
        <f>U106-X106-Y106</f>
        <v>22231.2</v>
      </c>
      <c r="AB106">
        <f>V106-Z106</f>
        <v>27810</v>
      </c>
      <c r="AC106">
        <f>AA106*0.01</f>
        <v>222.312</v>
      </c>
      <c r="AD106">
        <f>AA106-P106-AC106-Q106</f>
        <v>3858.888000000001</v>
      </c>
      <c r="AE106">
        <f>AB106-P106-Q106-AC106</f>
        <v>9437.688</v>
      </c>
      <c r="AF106">
        <f>AD106/U106</f>
        <v>0.16351220338983055</v>
      </c>
      <c r="AG106">
        <f>AE106/V106</f>
        <v>0.30542679611650486</v>
      </c>
      <c r="AH106">
        <f>U106-$U$113</f>
        <v>-1000</v>
      </c>
    </row>
    <row r="107">
      <c r="F107" t="str">
        <v>녹색 / 문X / 1층 4열</v>
      </c>
      <c r="I107">
        <v>55</v>
      </c>
      <c r="J107">
        <f>IF(K107&gt;0,K107*0.0625,IF(L107&gt;0,L107*2.204623,))</f>
        <v>4.40924525</v>
      </c>
      <c r="K107">
        <f>IF(L107&gt;0,L107*35.273962,IF(J107&gt;0,J107*16,))</f>
        <v>70.547924</v>
      </c>
      <c r="L107">
        <v>2</v>
      </c>
      <c r="M107">
        <v>0</v>
      </c>
      <c r="N107">
        <v>0</v>
      </c>
      <c r="O107">
        <f>I107+N107+M107</f>
        <v>55</v>
      </c>
      <c r="P107">
        <f>O107*C$3</f>
        <v>10450</v>
      </c>
      <c r="Q107">
        <f>ROUNDUP(HLOOKUP(IF(CEILING(L107,0.5)&lt;1,1,CEILING(L107,0.5)),'배송비 조회'!A$32:AY$36,2,0),-2)</f>
        <v>9600</v>
      </c>
      <c r="R107">
        <v>0</v>
      </c>
      <c r="S107">
        <f>ROUND((P107+Q107)*0.3,-2)</f>
        <v>6000</v>
      </c>
      <c r="T107">
        <f>ROUND((P107+Q107)*0.7,-2)</f>
        <v>14000</v>
      </c>
      <c r="U107">
        <f>ROUND(SUM(P107+Q107+R107+S107), -2)</f>
        <v>26100</v>
      </c>
      <c r="V107">
        <f>ROUND(P107+Q107+R107+T107, -2)</f>
        <v>34100</v>
      </c>
      <c r="W107">
        <v>0</v>
      </c>
      <c r="X107">
        <f>U107*0.038</f>
        <v>991.8</v>
      </c>
      <c r="Y107">
        <f>U107*0.02</f>
        <v>522</v>
      </c>
      <c r="Z107">
        <f>V107*0.1</f>
        <v>3410</v>
      </c>
      <c r="AA107">
        <f>U107-X107-Y107</f>
        <v>24586.2</v>
      </c>
      <c r="AB107">
        <f>V107-Z107</f>
        <v>30690</v>
      </c>
      <c r="AC107">
        <f>AA107*0.01</f>
        <v>245.86200000000002</v>
      </c>
      <c r="AD107">
        <f>AA107-P107-AC107-Q107</f>
        <v>4290.338000000002</v>
      </c>
      <c r="AE107">
        <f>AB107-P107-Q107-AC107</f>
        <v>10394.138</v>
      </c>
      <c r="AF107">
        <f>AD107/U107</f>
        <v>0.16438076628352496</v>
      </c>
      <c r="AG107">
        <f>AE107/V107</f>
        <v>0.304813431085044</v>
      </c>
      <c r="AH107">
        <f>U107-$U$113</f>
        <v>1500</v>
      </c>
    </row>
    <row r="108">
      <c r="F108" t="str">
        <v>녹색 / 문X / 1층 5열</v>
      </c>
      <c r="I108">
        <v>65</v>
      </c>
      <c r="J108">
        <f>IF(K108&gt;0,K108*0.0625,IF(L108&gt;0,L108*2.204623,))</f>
        <v>4.40924525</v>
      </c>
      <c r="K108">
        <f>IF(L108&gt;0,L108*35.273962,IF(J108&gt;0,J108*16,))</f>
        <v>70.547924</v>
      </c>
      <c r="L108">
        <v>2</v>
      </c>
      <c r="M108">
        <v>0</v>
      </c>
      <c r="N108">
        <v>0</v>
      </c>
      <c r="O108">
        <f>I108+N108+M108</f>
        <v>65</v>
      </c>
      <c r="P108">
        <f>O108*C$3</f>
        <v>12350</v>
      </c>
      <c r="Q108">
        <f>ROUNDUP(HLOOKUP(IF(CEILING(L108,0.5)&lt;1,1,CEILING(L108,0.5)),'배송비 조회'!A$32:AY$36,2,0),-2)</f>
        <v>9600</v>
      </c>
      <c r="R108">
        <v>0</v>
      </c>
      <c r="S108">
        <f>ROUND((P108+Q108)*0.3,-2)</f>
        <v>6600</v>
      </c>
      <c r="T108">
        <f>ROUND((P108+Q108)*0.7,-2)</f>
        <v>15400</v>
      </c>
      <c r="U108">
        <f>ROUND(SUM(P108+Q108+R108+S108), -2)</f>
        <v>28600</v>
      </c>
      <c r="V108">
        <f>ROUND(P108+Q108+R108+T108, -2)</f>
        <v>37400</v>
      </c>
      <c r="W108">
        <v>0</v>
      </c>
      <c r="X108">
        <f>U108*0.038</f>
        <v>1086.8</v>
      </c>
      <c r="Y108">
        <f>U108*0.02</f>
        <v>572</v>
      </c>
      <c r="Z108">
        <f>V108*0.1</f>
        <v>3740</v>
      </c>
      <c r="AA108">
        <f>U108-X108-Y108</f>
        <v>26941.2</v>
      </c>
      <c r="AB108">
        <f>V108-Z108</f>
        <v>33660</v>
      </c>
      <c r="AC108">
        <f>AA108*0.01</f>
        <v>269.41200000000003</v>
      </c>
      <c r="AD108">
        <f>AA108-P108-AC108-Q108</f>
        <v>4721.7880000000005</v>
      </c>
      <c r="AE108">
        <f>AB108-P108-Q108-AC108</f>
        <v>11440.588</v>
      </c>
      <c r="AF108">
        <f>AD108/U108</f>
        <v>0.16509748251748255</v>
      </c>
      <c r="AG108">
        <f>AE108/V108</f>
        <v>0.30589807486631015</v>
      </c>
      <c r="AH108">
        <f>U108-$U$113</f>
        <v>4000</v>
      </c>
    </row>
    <row r="109">
      <c r="F109" t="str">
        <v>녹색 / 문O / 1층 2열</v>
      </c>
      <c r="I109">
        <v>39</v>
      </c>
      <c r="J109">
        <f>IF(K109&gt;0,K109*0.0625,IF(L109&gt;0,L109*2.204623,))</f>
        <v>4.40924525</v>
      </c>
      <c r="K109">
        <f>IF(L109&gt;0,L109*35.273962,IF(J109&gt;0,J109*16,))</f>
        <v>70.547924</v>
      </c>
      <c r="L109">
        <v>2</v>
      </c>
      <c r="M109">
        <v>0</v>
      </c>
      <c r="N109">
        <v>0</v>
      </c>
      <c r="O109">
        <f>I109+N109+M109</f>
        <v>39</v>
      </c>
      <c r="P109">
        <f>O109*C$3</f>
        <v>7410</v>
      </c>
      <c r="Q109">
        <f>ROUNDUP(HLOOKUP(IF(CEILING(L109,0.5)&lt;1,1,CEILING(L109,0.5)),'배송비 조회'!A$32:AY$36,2,0),-2)</f>
        <v>9600</v>
      </c>
      <c r="R109">
        <v>0</v>
      </c>
      <c r="S109">
        <f>ROUND((P109+Q109)*0.3,-2)</f>
        <v>5100</v>
      </c>
      <c r="T109">
        <f>ROUND((P109+Q109)*0.7,-2)</f>
        <v>11900</v>
      </c>
      <c r="U109">
        <f>ROUND(SUM(P109+Q109+R109+S109), -2)</f>
        <v>22100</v>
      </c>
      <c r="V109">
        <f>ROUND(P109+Q109+R109+T109, -2)</f>
        <v>28900</v>
      </c>
      <c r="W109">
        <v>0</v>
      </c>
      <c r="X109">
        <f>U109*0.038</f>
        <v>839.8</v>
      </c>
      <c r="Y109">
        <f>U109*0.02</f>
        <v>442</v>
      </c>
      <c r="Z109">
        <f>V109*0.1</f>
        <v>2890</v>
      </c>
      <c r="AA109">
        <f>U109-X109-Y109</f>
        <v>20818.2</v>
      </c>
      <c r="AB109">
        <f>V109-Z109</f>
        <v>26010</v>
      </c>
      <c r="AC109">
        <f>AA109*0.01</f>
        <v>208.18200000000002</v>
      </c>
      <c r="AD109">
        <f>AA109-P109-AC109-Q109</f>
        <v>3600.018</v>
      </c>
      <c r="AE109">
        <f>AB109-P109-Q109-AC109</f>
        <v>8791.818</v>
      </c>
      <c r="AF109">
        <f>AD109/U109</f>
        <v>0.16289674208144797</v>
      </c>
      <c r="AG109">
        <f>AE109/V109</f>
        <v>0.30421515570934254</v>
      </c>
      <c r="AH109">
        <f>U109-$U$113</f>
        <v>-2500</v>
      </c>
    </row>
    <row r="110">
      <c r="F110" t="str">
        <v>녹색 / 문O / 2층 2열</v>
      </c>
      <c r="I110">
        <v>59</v>
      </c>
      <c r="J110">
        <f>IF(K110&gt;0,K110*0.0625,IF(L110&gt;0,L110*2.204623,))</f>
        <v>4.40924525</v>
      </c>
      <c r="K110">
        <f>IF(L110&gt;0,L110*35.273962,IF(J110&gt;0,J110*16,))</f>
        <v>70.547924</v>
      </c>
      <c r="L110">
        <v>2</v>
      </c>
      <c r="M110">
        <v>0</v>
      </c>
      <c r="N110">
        <v>0</v>
      </c>
      <c r="O110">
        <f>I110+N110+M110</f>
        <v>59</v>
      </c>
      <c r="P110">
        <f>O110*C$3</f>
        <v>11210</v>
      </c>
      <c r="Q110">
        <f>ROUNDUP(HLOOKUP(IF(CEILING(L110,0.5)&lt;1,1,CEILING(L110,0.5)),'배송비 조회'!A$32:AY$36,2,0),-2)</f>
        <v>9600</v>
      </c>
      <c r="R110">
        <v>0</v>
      </c>
      <c r="S110">
        <f>ROUND((P110+Q110)*0.3,-2)</f>
        <v>6200</v>
      </c>
      <c r="T110">
        <f>ROUND((P110+Q110)*0.7,-2)</f>
        <v>14600</v>
      </c>
      <c r="U110">
        <f>ROUND(SUM(P110+Q110+R110+S110), -2)</f>
        <v>27000</v>
      </c>
      <c r="V110">
        <f>ROUND(P110+Q110+R110+T110, -2)</f>
        <v>35400</v>
      </c>
      <c r="W110">
        <v>0</v>
      </c>
      <c r="X110">
        <f>U110*0.038</f>
        <v>1026</v>
      </c>
      <c r="Y110">
        <f>U110*0.02</f>
        <v>540</v>
      </c>
      <c r="Z110">
        <f>V110*0.1</f>
        <v>3540</v>
      </c>
      <c r="AA110">
        <f>U110-X110-Y110</f>
        <v>25434</v>
      </c>
      <c r="AB110">
        <f>V110-Z110</f>
        <v>31860</v>
      </c>
      <c r="AC110">
        <f>AA110*0.01</f>
        <v>254.34</v>
      </c>
      <c r="AD110">
        <f>AA110-P110-AC110-Q110</f>
        <v>4369.66</v>
      </c>
      <c r="AE110">
        <f>AB110-P110-Q110-AC110</f>
        <v>10795.66</v>
      </c>
      <c r="AF110">
        <f>AD110/U110</f>
        <v>0.16183925925925927</v>
      </c>
      <c r="AG110">
        <f>AE110/V110</f>
        <v>0.3049621468926554</v>
      </c>
      <c r="AH110">
        <f>U110-$U$113</f>
        <v>2400</v>
      </c>
    </row>
    <row r="111">
      <c r="F111" t="str">
        <v>녹색 / 문O / 3층 2열</v>
      </c>
      <c r="I111">
        <v>79</v>
      </c>
      <c r="J111">
        <f>IF(K111&gt;0,K111*0.0625,IF(L111&gt;0,L111*2.204623,))</f>
        <v>4.40924525</v>
      </c>
      <c r="K111">
        <f>IF(L111&gt;0,L111*35.273962,IF(J111&gt;0,J111*16,))</f>
        <v>70.547924</v>
      </c>
      <c r="L111">
        <v>2</v>
      </c>
      <c r="M111">
        <v>0</v>
      </c>
      <c r="N111">
        <v>0</v>
      </c>
      <c r="O111">
        <f>I111+N111+M111</f>
        <v>79</v>
      </c>
      <c r="P111">
        <f>O111*C$3</f>
        <v>15010</v>
      </c>
      <c r="Q111">
        <f>ROUNDUP(HLOOKUP(IF(CEILING(L111,0.5)&lt;1,1,CEILING(L111,0.5)),'배송비 조회'!A$32:AY$36,2,0),-2)</f>
        <v>9600</v>
      </c>
      <c r="R111">
        <v>0</v>
      </c>
      <c r="S111">
        <f>ROUND((P111+Q111)*0.3,-2)</f>
        <v>7400</v>
      </c>
      <c r="T111">
        <f>ROUND((P111+Q111)*0.7,-2)</f>
        <v>17200</v>
      </c>
      <c r="U111">
        <f>ROUND(SUM(P111+Q111+R111+S111), -2)</f>
        <v>32000</v>
      </c>
      <c r="V111">
        <f>ROUND(P111+Q111+R111+T111, -2)</f>
        <v>41800</v>
      </c>
      <c r="W111">
        <v>0</v>
      </c>
      <c r="X111">
        <f>U111*0.038</f>
        <v>1216</v>
      </c>
      <c r="Y111">
        <f>U111*0.02</f>
        <v>640</v>
      </c>
      <c r="Z111">
        <f>V111*0.1</f>
        <v>4180</v>
      </c>
      <c r="AA111">
        <f>U111-X111-Y111</f>
        <v>30144</v>
      </c>
      <c r="AB111">
        <f>V111-Z111</f>
        <v>37620</v>
      </c>
      <c r="AC111">
        <f>AA111*0.01</f>
        <v>301.44</v>
      </c>
      <c r="AD111">
        <f>AA111-P111-AC111-Q111</f>
        <v>5232.5599999999995</v>
      </c>
      <c r="AE111">
        <f>AB111-P111-Q111-AC111</f>
        <v>12708.56</v>
      </c>
      <c r="AF111">
        <f>AD111/U111</f>
        <v>0.16351749999999998</v>
      </c>
      <c r="AG111">
        <f>AE111/V111</f>
        <v>0.30403253588516743</v>
      </c>
      <c r="AH111">
        <f>U111-$U$113</f>
        <v>7400</v>
      </c>
    </row>
    <row r="112">
      <c r="F112" t="str">
        <v>녹색 / 문O / 4층 2열</v>
      </c>
      <c r="I112">
        <v>99</v>
      </c>
      <c r="J112">
        <f>IF(K112&gt;0,K112*0.0625,IF(L112&gt;0,L112*2.204623,))</f>
        <v>4.40924525</v>
      </c>
      <c r="K112">
        <f>IF(L112&gt;0,L112*35.273962,IF(J112&gt;0,J112*16,))</f>
        <v>70.547924</v>
      </c>
      <c r="L112">
        <v>2</v>
      </c>
      <c r="M112">
        <v>0</v>
      </c>
      <c r="N112">
        <v>0</v>
      </c>
      <c r="O112">
        <f>I112+N112+M112</f>
        <v>99</v>
      </c>
      <c r="P112">
        <f>O112*C$3</f>
        <v>18810</v>
      </c>
      <c r="Q112">
        <f>ROUNDUP(HLOOKUP(IF(CEILING(L112,0.5)&lt;1,1,CEILING(L112,0.5)),'배송비 조회'!A$32:AY$36,2,0),-2)</f>
        <v>9600</v>
      </c>
      <c r="R112">
        <v>0</v>
      </c>
      <c r="S112">
        <f>ROUND((P112+Q112)*0.3,-2)</f>
        <v>8500</v>
      </c>
      <c r="T112">
        <f>ROUND((P112+Q112)*0.7,-2)</f>
        <v>19900</v>
      </c>
      <c r="U112">
        <f>ROUND(SUM(P112+Q112+R112+S112), -2)</f>
        <v>36900</v>
      </c>
      <c r="V112">
        <f>ROUND(P112+Q112+R112+T112, -2)</f>
        <v>48300</v>
      </c>
      <c r="W112">
        <v>0</v>
      </c>
      <c r="X112">
        <f>U112*0.038</f>
        <v>1402.2</v>
      </c>
      <c r="Y112">
        <f>U112*0.02</f>
        <v>738</v>
      </c>
      <c r="Z112">
        <f>V112*0.1</f>
        <v>4830</v>
      </c>
      <c r="AA112">
        <f>U112-X112-Y112</f>
        <v>34759.8</v>
      </c>
      <c r="AB112">
        <f>V112-Z112</f>
        <v>43470</v>
      </c>
      <c r="AC112">
        <f>AA112*0.01</f>
        <v>347.598</v>
      </c>
      <c r="AD112">
        <f>AA112-P112-AC112-Q112</f>
        <v>6002.202000000003</v>
      </c>
      <c r="AE112">
        <f>AB112-P112-Q112-AC112</f>
        <v>14712.402</v>
      </c>
      <c r="AF112">
        <f>AD112/U112</f>
        <v>0.1626613008130082</v>
      </c>
      <c r="AG112">
        <f>AE112/V112</f>
        <v>0.30460459627329195</v>
      </c>
      <c r="AH112">
        <f>U112-$U$113</f>
        <v>12300</v>
      </c>
    </row>
    <row r="113">
      <c r="F113" t="str">
        <v>녹색 / 문O / 1층 3열</v>
      </c>
      <c r="I113">
        <v>49</v>
      </c>
      <c r="J113">
        <f>IF(K113&gt;0,K113*0.0625,IF(L113&gt;0,L113*2.204623,))</f>
        <v>4.40924525</v>
      </c>
      <c r="K113">
        <f>IF(L113&gt;0,L113*35.273962,IF(J113&gt;0,J113*16,))</f>
        <v>70.547924</v>
      </c>
      <c r="L113">
        <v>2</v>
      </c>
      <c r="M113">
        <v>0</v>
      </c>
      <c r="N113">
        <v>0</v>
      </c>
      <c r="O113">
        <f>I113+N113+M113</f>
        <v>49</v>
      </c>
      <c r="P113">
        <f>O113*C$3</f>
        <v>9310</v>
      </c>
      <c r="Q113">
        <f>ROUNDUP(HLOOKUP(IF(CEILING(L113,0.5)&lt;1,1,CEILING(L113,0.5)),'배송비 조회'!A$32:AY$36,2,0),-2)</f>
        <v>9600</v>
      </c>
      <c r="R113">
        <v>0</v>
      </c>
      <c r="S113">
        <f>ROUND((P113+Q113)*0.3,-2)</f>
        <v>5700</v>
      </c>
      <c r="T113">
        <f>ROUND((P113+Q113)*0.7,-2)</f>
        <v>13200</v>
      </c>
      <c r="U113">
        <f>ROUND(SUM(P113+Q113+R113+S113), -2)</f>
        <v>24600</v>
      </c>
      <c r="V113">
        <f>ROUND(P113+Q113+R113+T113, -2)</f>
        <v>32100</v>
      </c>
      <c r="W113">
        <v>0</v>
      </c>
      <c r="X113">
        <f>U113*0.038</f>
        <v>934.8</v>
      </c>
      <c r="Y113">
        <f>U113*0.02</f>
        <v>492</v>
      </c>
      <c r="Z113">
        <f>V113*0.1</f>
        <v>3210</v>
      </c>
      <c r="AA113">
        <f>U113-X113-Y113</f>
        <v>23173.2</v>
      </c>
      <c r="AB113">
        <f>V113-Z113</f>
        <v>28890</v>
      </c>
      <c r="AC113">
        <f>AA113*0.01</f>
        <v>231.732</v>
      </c>
      <c r="AD113">
        <f>AA113-P113-AC113-Q113</f>
        <v>4031.4680000000008</v>
      </c>
      <c r="AE113">
        <f>AB113-P113-Q113-AC113</f>
        <v>9748.268</v>
      </c>
      <c r="AF113">
        <f>AD113/U113</f>
        <v>0.16388081300813012</v>
      </c>
      <c r="AG113">
        <f>AE113/V113</f>
        <v>0.3036843613707165</v>
      </c>
      <c r="AH113">
        <f>U113-$U$113</f>
        <v>0</v>
      </c>
    </row>
    <row r="114">
      <c r="F114" t="str">
        <v>녹색 / 문O / 1층 4열</v>
      </c>
      <c r="I114">
        <v>59</v>
      </c>
      <c r="J114">
        <f>IF(K114&gt;0,K114*0.0625,IF(L114&gt;0,L114*2.204623,))</f>
        <v>4.40924525</v>
      </c>
      <c r="K114">
        <f>IF(L114&gt;0,L114*35.273962,IF(J114&gt;0,J114*16,))</f>
        <v>70.547924</v>
      </c>
      <c r="L114">
        <v>2</v>
      </c>
      <c r="M114">
        <v>0</v>
      </c>
      <c r="N114">
        <v>0</v>
      </c>
      <c r="O114">
        <f>I114+N114+M114</f>
        <v>59</v>
      </c>
      <c r="P114">
        <f>O114*C$3</f>
        <v>11210</v>
      </c>
      <c r="Q114">
        <f>ROUNDUP(HLOOKUP(IF(CEILING(L114,0.5)&lt;1,1,CEILING(L114,0.5)),'배송비 조회'!A$32:AY$36,2,0),-2)</f>
        <v>9600</v>
      </c>
      <c r="R114">
        <v>0</v>
      </c>
      <c r="S114">
        <f>ROUND((P114+Q114)*0.3,-2)</f>
        <v>6200</v>
      </c>
      <c r="T114">
        <f>ROUND((P114+Q114)*0.7,-2)</f>
        <v>14600</v>
      </c>
      <c r="U114">
        <f>ROUND(SUM(P114+Q114+R114+S114), -2)</f>
        <v>27000</v>
      </c>
      <c r="V114">
        <f>ROUND(P114+Q114+R114+T114, -2)</f>
        <v>35400</v>
      </c>
      <c r="W114">
        <v>0</v>
      </c>
      <c r="X114">
        <f>U114*0.038</f>
        <v>1026</v>
      </c>
      <c r="Y114">
        <f>U114*0.02</f>
        <v>540</v>
      </c>
      <c r="Z114">
        <f>V114*0.1</f>
        <v>3540</v>
      </c>
      <c r="AA114">
        <f>U114-X114-Y114</f>
        <v>25434</v>
      </c>
      <c r="AB114">
        <f>V114-Z114</f>
        <v>31860</v>
      </c>
      <c r="AC114">
        <f>AA114*0.01</f>
        <v>254.34</v>
      </c>
      <c r="AD114">
        <f>AA114-P114-AC114-Q114</f>
        <v>4369.66</v>
      </c>
      <c r="AE114">
        <f>AB114-P114-Q114-AC114</f>
        <v>10795.66</v>
      </c>
      <c r="AF114">
        <f>AD114/U114</f>
        <v>0.16183925925925927</v>
      </c>
      <c r="AG114">
        <f>AE114/V114</f>
        <v>0.3049621468926554</v>
      </c>
      <c r="AH114">
        <f>U114-$U$113</f>
        <v>2400</v>
      </c>
    </row>
    <row r="115">
      <c r="F115" t="str">
        <v>녹색 / 문O / 1층 5열</v>
      </c>
      <c r="I115">
        <v>69</v>
      </c>
      <c r="J115">
        <f>IF(K115&gt;0,K115*0.0625,IF(L115&gt;0,L115*2.204623,))</f>
        <v>4.40924525</v>
      </c>
      <c r="K115">
        <f>IF(L115&gt;0,L115*35.273962,IF(J115&gt;0,J115*16,))</f>
        <v>70.547924</v>
      </c>
      <c r="L115">
        <v>2</v>
      </c>
      <c r="M115">
        <v>0</v>
      </c>
      <c r="N115">
        <v>0</v>
      </c>
      <c r="O115">
        <f>I115+N115+M115</f>
        <v>69</v>
      </c>
      <c r="P115">
        <f>O115*C$3</f>
        <v>13110</v>
      </c>
      <c r="Q115">
        <f>ROUNDUP(HLOOKUP(IF(CEILING(L115,0.5)&lt;1,1,CEILING(L115,0.5)),'배송비 조회'!A$32:AY$36,2,0),-2)</f>
        <v>9600</v>
      </c>
      <c r="R115">
        <v>0</v>
      </c>
      <c r="S115">
        <f>ROUND((P115+Q115)*0.3,-2)</f>
        <v>6800</v>
      </c>
      <c r="T115">
        <f>ROUND((P115+Q115)*0.7,-2)</f>
        <v>15900</v>
      </c>
      <c r="U115">
        <f>ROUND(SUM(P115+Q115+R115+S115), -2)</f>
        <v>29500</v>
      </c>
      <c r="V115">
        <f>ROUND(P115+Q115+R115+T115, -2)</f>
        <v>38600</v>
      </c>
      <c r="W115">
        <v>0</v>
      </c>
      <c r="X115">
        <f>U115*0.038</f>
        <v>1121</v>
      </c>
      <c r="Y115">
        <f>U115*0.02</f>
        <v>590</v>
      </c>
      <c r="Z115">
        <f>V115*0.1</f>
        <v>3860</v>
      </c>
      <c r="AA115">
        <f>U115-X115-Y115</f>
        <v>27789</v>
      </c>
      <c r="AB115">
        <f>V115-Z115</f>
        <v>34740</v>
      </c>
      <c r="AC115">
        <f>AA115*0.01</f>
        <v>277.89</v>
      </c>
      <c r="AD115">
        <f>AA115-P115-AC115-Q115</f>
        <v>4801.110000000001</v>
      </c>
      <c r="AE115">
        <f>AB115-P115-Q115-AC115</f>
        <v>11752.11</v>
      </c>
      <c r="AF115">
        <f>AD115/U115</f>
        <v>0.16274949152542376</v>
      </c>
      <c r="AG115">
        <f>AE115/V115</f>
        <v>0.3044588082901555</v>
      </c>
      <c r="AH115">
        <f>U115-$U$113</f>
        <v>4900</v>
      </c>
    </row>
    <row r="116">
      <c r="F116" t="str">
        <v>분홍 / 문X / 2층 2열</v>
      </c>
      <c r="I116">
        <v>55</v>
      </c>
      <c r="J116">
        <f>IF(K116&gt;0,K116*0.0625,IF(L116&gt;0,L116*2.204623,))</f>
        <v>4.40924525</v>
      </c>
      <c r="K116">
        <f>IF(L116&gt;0,L116*35.273962,IF(J116&gt;0,J116*16,))</f>
        <v>70.547924</v>
      </c>
      <c r="L116">
        <v>2</v>
      </c>
      <c r="M116">
        <v>0</v>
      </c>
      <c r="N116">
        <v>0</v>
      </c>
      <c r="O116">
        <f>I116+N116+M116</f>
        <v>55</v>
      </c>
      <c r="P116">
        <f>O116*C$3</f>
        <v>10450</v>
      </c>
      <c r="Q116">
        <f>ROUNDUP(HLOOKUP(IF(CEILING(L116,0.5)&lt;1,1,CEILING(L116,0.5)),'배송비 조회'!A$32:AY$36,2,0),-2)</f>
        <v>9600</v>
      </c>
      <c r="R116">
        <v>0</v>
      </c>
      <c r="S116">
        <f>ROUND((P116+Q116)*0.3,-2)</f>
        <v>6000</v>
      </c>
      <c r="T116">
        <f>ROUND((P116+Q116)*0.7,-2)</f>
        <v>14000</v>
      </c>
      <c r="U116">
        <f>ROUND(SUM(P116+Q116+R116+S116), -2)</f>
        <v>26100</v>
      </c>
      <c r="V116">
        <f>ROUND(P116+Q116+R116+T116, -2)</f>
        <v>34100</v>
      </c>
      <c r="W116">
        <v>0</v>
      </c>
      <c r="X116">
        <f>U116*0.038</f>
        <v>991.8</v>
      </c>
      <c r="Y116">
        <f>U116*0.02</f>
        <v>522</v>
      </c>
      <c r="Z116">
        <f>V116*0.1</f>
        <v>3410</v>
      </c>
      <c r="AA116">
        <f>U116-X116-Y116</f>
        <v>24586.2</v>
      </c>
      <c r="AB116">
        <f>V116-Z116</f>
        <v>30690</v>
      </c>
      <c r="AC116">
        <f>AA116*0.01</f>
        <v>245.86200000000002</v>
      </c>
      <c r="AD116">
        <f>AA116-P116-AC116-Q116</f>
        <v>4290.338000000002</v>
      </c>
      <c r="AE116">
        <f>AB116-P116-Q116-AC116</f>
        <v>10394.138</v>
      </c>
      <c r="AF116">
        <f>AD116/U116</f>
        <v>0.16438076628352496</v>
      </c>
      <c r="AG116">
        <f>AE116/V116</f>
        <v>0.304813431085044</v>
      </c>
      <c r="AH116">
        <f>U116-$U$113</f>
        <v>1500</v>
      </c>
    </row>
    <row r="117">
      <c r="F117" t="str">
        <v>분홍 / 문X / 3층 2열</v>
      </c>
      <c r="I117">
        <v>69</v>
      </c>
      <c r="J117">
        <f>IF(K117&gt;0,K117*0.0625,IF(L117&gt;0,L117*2.204623,))</f>
        <v>4.40924525</v>
      </c>
      <c r="K117">
        <f>IF(L117&gt;0,L117*35.273962,IF(J117&gt;0,J117*16,))</f>
        <v>70.547924</v>
      </c>
      <c r="L117">
        <v>2</v>
      </c>
      <c r="M117">
        <v>0</v>
      </c>
      <c r="N117">
        <v>0</v>
      </c>
      <c r="O117">
        <f>I117+N117+M117</f>
        <v>69</v>
      </c>
      <c r="P117">
        <f>O117*C$3</f>
        <v>13110</v>
      </c>
      <c r="Q117">
        <f>ROUNDUP(HLOOKUP(IF(CEILING(L117,0.5)&lt;1,1,CEILING(L117,0.5)),'배송비 조회'!A$32:AY$36,2,0),-2)</f>
        <v>9600</v>
      </c>
      <c r="R117">
        <v>0</v>
      </c>
      <c r="S117">
        <f>ROUND((P117+Q117)*0.3,-2)</f>
        <v>6800</v>
      </c>
      <c r="T117">
        <f>ROUND((P117+Q117)*0.7,-2)</f>
        <v>15900</v>
      </c>
      <c r="U117">
        <f>ROUND(SUM(P117+Q117+R117+S117), -2)</f>
        <v>29500</v>
      </c>
      <c r="V117">
        <f>ROUND(P117+Q117+R117+T117, -2)</f>
        <v>38600</v>
      </c>
      <c r="W117">
        <v>0</v>
      </c>
      <c r="X117">
        <f>U117*0.038</f>
        <v>1121</v>
      </c>
      <c r="Y117">
        <f>U117*0.02</f>
        <v>590</v>
      </c>
      <c r="Z117">
        <f>V117*0.1</f>
        <v>3860</v>
      </c>
      <c r="AA117">
        <f>U117-X117-Y117</f>
        <v>27789</v>
      </c>
      <c r="AB117">
        <f>V117-Z117</f>
        <v>34740</v>
      </c>
      <c r="AC117">
        <f>AA117*0.01</f>
        <v>277.89</v>
      </c>
      <c r="AD117">
        <f>AA117-P117-AC117-Q117</f>
        <v>4801.110000000001</v>
      </c>
      <c r="AE117">
        <f>AB117-P117-Q117-AC117</f>
        <v>11752.11</v>
      </c>
      <c r="AF117">
        <f>AD117/U117</f>
        <v>0.16274949152542376</v>
      </c>
      <c r="AG117">
        <f>AE117/V117</f>
        <v>0.3044588082901555</v>
      </c>
      <c r="AH117">
        <f>U117-$U$113</f>
        <v>4900</v>
      </c>
    </row>
    <row r="118">
      <c r="F118" t="str">
        <v>분홍 / 문X / 4층 2열</v>
      </c>
      <c r="I118">
        <v>89</v>
      </c>
      <c r="J118">
        <f>IF(K118&gt;0,K118*0.0625,IF(L118&gt;0,L118*2.204623,))</f>
        <v>4.40924525</v>
      </c>
      <c r="K118">
        <f>IF(L118&gt;0,L118*35.273962,IF(J118&gt;0,J118*16,))</f>
        <v>70.547924</v>
      </c>
      <c r="L118">
        <v>2</v>
      </c>
      <c r="M118">
        <v>0</v>
      </c>
      <c r="N118">
        <v>0</v>
      </c>
      <c r="O118">
        <f>I118+N118+M118</f>
        <v>89</v>
      </c>
      <c r="P118">
        <f>O118*C$3</f>
        <v>16910</v>
      </c>
      <c r="Q118">
        <f>ROUNDUP(HLOOKUP(IF(CEILING(L118,0.5)&lt;1,1,CEILING(L118,0.5)),'배송비 조회'!A$32:AY$36,2,0),-2)</f>
        <v>9600</v>
      </c>
      <c r="R118">
        <v>0</v>
      </c>
      <c r="S118">
        <f>ROUND((P118+Q118)*0.3,-2)</f>
        <v>8000</v>
      </c>
      <c r="T118">
        <f>ROUND((P118+Q118)*0.7,-2)</f>
        <v>18600</v>
      </c>
      <c r="U118">
        <f>ROUND(SUM(P118+Q118+R118+S118), -2)</f>
        <v>34500</v>
      </c>
      <c r="V118">
        <f>ROUND(P118+Q118+R118+T118, -2)</f>
        <v>45100</v>
      </c>
      <c r="W118">
        <v>0</v>
      </c>
      <c r="X118">
        <f>U118*0.038</f>
        <v>1311</v>
      </c>
      <c r="Y118">
        <f>U118*0.02</f>
        <v>690</v>
      </c>
      <c r="Z118">
        <f>V118*0.1</f>
        <v>4510</v>
      </c>
      <c r="AA118">
        <f>U118-X118-Y118</f>
        <v>32499</v>
      </c>
      <c r="AB118">
        <f>V118-Z118</f>
        <v>40590</v>
      </c>
      <c r="AC118">
        <f>AA118*0.01</f>
        <v>324.99</v>
      </c>
      <c r="AD118">
        <f>AA118-P118-AC118-Q118</f>
        <v>5664.01</v>
      </c>
      <c r="AE118">
        <f>AB118-P118-Q118-AC118</f>
        <v>13755.01</v>
      </c>
      <c r="AF118">
        <f>AD118/U118</f>
        <v>0.16417420289855073</v>
      </c>
      <c r="AG118">
        <f>AE118/V118</f>
        <v>0.30498913525498894</v>
      </c>
      <c r="AH118">
        <f>U118-$U$113</f>
        <v>9900</v>
      </c>
    </row>
    <row r="119">
      <c r="F119" t="str">
        <v>분홍 / 문O / 2층 2열</v>
      </c>
      <c r="I119">
        <v>59</v>
      </c>
      <c r="J119">
        <f>IF(K119&gt;0,K119*0.0625,IF(L119&gt;0,L119*2.204623,))</f>
        <v>4.40924525</v>
      </c>
      <c r="K119">
        <f>IF(L119&gt;0,L119*35.273962,IF(J119&gt;0,J119*16,))</f>
        <v>70.547924</v>
      </c>
      <c r="L119">
        <v>2</v>
      </c>
      <c r="M119">
        <v>0</v>
      </c>
      <c r="N119">
        <v>0</v>
      </c>
      <c r="O119">
        <f>I119+N119+M119</f>
        <v>59</v>
      </c>
      <c r="P119">
        <f>O119*C$3</f>
        <v>11210</v>
      </c>
      <c r="Q119">
        <f>ROUNDUP(HLOOKUP(IF(CEILING(L119,0.5)&lt;1,1,CEILING(L119,0.5)),'배송비 조회'!A$32:AY$36,2,0),-2)</f>
        <v>9600</v>
      </c>
      <c r="R119">
        <v>0</v>
      </c>
      <c r="S119">
        <f>ROUND((P119+Q119)*0.3,-2)</f>
        <v>6200</v>
      </c>
      <c r="T119">
        <f>ROUND((P119+Q119)*0.7,-2)</f>
        <v>14600</v>
      </c>
      <c r="U119">
        <f>ROUND(SUM(P119+Q119+R119+S119), -2)</f>
        <v>27000</v>
      </c>
      <c r="V119">
        <f>ROUND(P119+Q119+R119+T119, -2)</f>
        <v>35400</v>
      </c>
      <c r="W119">
        <v>0</v>
      </c>
      <c r="X119">
        <f>U119*0.038</f>
        <v>1026</v>
      </c>
      <c r="Y119">
        <f>U119*0.02</f>
        <v>540</v>
      </c>
      <c r="Z119">
        <f>V119*0.1</f>
        <v>3540</v>
      </c>
      <c r="AA119">
        <f>U119-X119-Y119</f>
        <v>25434</v>
      </c>
      <c r="AB119">
        <f>V119-Z119</f>
        <v>31860</v>
      </c>
      <c r="AC119">
        <f>AA119*0.01</f>
        <v>254.34</v>
      </c>
      <c r="AD119">
        <f>AA119-P119-AC119-Q119</f>
        <v>4369.66</v>
      </c>
      <c r="AE119">
        <f>AB119-P119-Q119-AC119</f>
        <v>10795.66</v>
      </c>
      <c r="AF119">
        <f>AD119/U119</f>
        <v>0.16183925925925927</v>
      </c>
      <c r="AG119">
        <f>AE119/V119</f>
        <v>0.3049621468926554</v>
      </c>
      <c r="AH119">
        <f>U119-$U$113</f>
        <v>2400</v>
      </c>
    </row>
    <row r="120">
      <c r="F120" t="str">
        <v>분홍 / 문O / 3층 2열</v>
      </c>
      <c r="I120">
        <v>79</v>
      </c>
      <c r="J120">
        <f>IF(K120&gt;0,K120*0.0625,IF(L120&gt;0,L120*2.204623,))</f>
        <v>4.40924525</v>
      </c>
      <c r="K120">
        <f>IF(L120&gt;0,L120*35.273962,IF(J120&gt;0,J120*16,))</f>
        <v>70.547924</v>
      </c>
      <c r="L120">
        <v>2</v>
      </c>
      <c r="M120">
        <v>0</v>
      </c>
      <c r="N120">
        <v>0</v>
      </c>
      <c r="O120">
        <f>I120+N120+M120</f>
        <v>79</v>
      </c>
      <c r="P120">
        <f>O120*C$3</f>
        <v>15010</v>
      </c>
      <c r="Q120">
        <f>ROUNDUP(HLOOKUP(IF(CEILING(L120,0.5)&lt;1,1,CEILING(L120,0.5)),'배송비 조회'!A$32:AY$36,2,0),-2)</f>
        <v>9600</v>
      </c>
      <c r="R120">
        <v>0</v>
      </c>
      <c r="S120">
        <f>ROUND((P120+Q120)*0.3,-2)</f>
        <v>7400</v>
      </c>
      <c r="T120">
        <f>ROUND((P120+Q120)*0.7,-2)</f>
        <v>17200</v>
      </c>
      <c r="U120">
        <f>ROUND(SUM(P120+Q120+R120+S120), -2)</f>
        <v>32000</v>
      </c>
      <c r="V120">
        <f>ROUND(P120+Q120+R120+T120, -2)</f>
        <v>41800</v>
      </c>
      <c r="W120">
        <v>0</v>
      </c>
      <c r="X120">
        <f>U120*0.038</f>
        <v>1216</v>
      </c>
      <c r="Y120">
        <f>U120*0.02</f>
        <v>640</v>
      </c>
      <c r="Z120">
        <f>V120*0.1</f>
        <v>4180</v>
      </c>
      <c r="AA120">
        <f>U120-X120-Y120</f>
        <v>30144</v>
      </c>
      <c r="AB120">
        <f>V120-Z120</f>
        <v>37620</v>
      </c>
      <c r="AC120">
        <f>AA120*0.01</f>
        <v>301.44</v>
      </c>
      <c r="AD120">
        <f>AA120-P120-AC120-Q120</f>
        <v>5232.5599999999995</v>
      </c>
      <c r="AE120">
        <f>AB120-P120-Q120-AC120</f>
        <v>12708.56</v>
      </c>
      <c r="AF120">
        <f>AD120/U120</f>
        <v>0.16351749999999998</v>
      </c>
      <c r="AG120">
        <f>AE120/V120</f>
        <v>0.30403253588516743</v>
      </c>
      <c r="AH120">
        <f>U120-$U$113</f>
        <v>7400</v>
      </c>
    </row>
    <row r="121">
      <c r="F121" t="str">
        <v>분홍 / 문O / 4층 2열</v>
      </c>
      <c r="I121">
        <v>99</v>
      </c>
      <c r="J121">
        <f>IF(K121&gt;0,K121*0.0625,IF(L121&gt;0,L121*2.204623,))</f>
        <v>4.40924525</v>
      </c>
      <c r="K121">
        <f>IF(L121&gt;0,L121*35.273962,IF(J121&gt;0,J121*16,))</f>
        <v>70.547924</v>
      </c>
      <c r="L121">
        <v>2</v>
      </c>
      <c r="M121">
        <v>0</v>
      </c>
      <c r="N121">
        <v>0</v>
      </c>
      <c r="O121">
        <f>I121+N121+M121</f>
        <v>99</v>
      </c>
      <c r="P121">
        <f>O121*C$3</f>
        <v>18810</v>
      </c>
      <c r="Q121">
        <f>ROUNDUP(HLOOKUP(IF(CEILING(L121,0.5)&lt;1,1,CEILING(L121,0.5)),'배송비 조회'!A$32:AY$36,2,0),-2)</f>
        <v>9600</v>
      </c>
      <c r="R121">
        <v>0</v>
      </c>
      <c r="S121">
        <f>ROUND((P121+Q121)*0.3,-2)</f>
        <v>8500</v>
      </c>
      <c r="T121">
        <f>ROUND((P121+Q121)*0.7,-2)</f>
        <v>19900</v>
      </c>
      <c r="U121">
        <f>ROUND(SUM(P121+Q121+R121+S121), -2)</f>
        <v>36900</v>
      </c>
      <c r="V121">
        <f>ROUND(P121+Q121+R121+T121, -2)</f>
        <v>48300</v>
      </c>
      <c r="W121">
        <v>0</v>
      </c>
      <c r="X121">
        <f>U121*0.038</f>
        <v>1402.2</v>
      </c>
      <c r="Y121">
        <f>U121*0.02</f>
        <v>738</v>
      </c>
      <c r="Z121">
        <f>V121*0.1</f>
        <v>4830</v>
      </c>
      <c r="AA121">
        <f>U121-X121-Y121</f>
        <v>34759.8</v>
      </c>
      <c r="AB121">
        <f>V121-Z121</f>
        <v>43470</v>
      </c>
      <c r="AC121">
        <f>AA121*0.01</f>
        <v>347.598</v>
      </c>
      <c r="AD121">
        <f>AA121-P121-AC121-Q121</f>
        <v>6002.202000000003</v>
      </c>
      <c r="AE121">
        <f>AB121-P121-Q121-AC121</f>
        <v>14712.402</v>
      </c>
      <c r="AF121">
        <f>AD121/U121</f>
        <v>0.1626613008130082</v>
      </c>
      <c r="AG121">
        <f>AE121/V121</f>
        <v>0.30460459627329195</v>
      </c>
      <c r="AH121">
        <f>U121-$U$113</f>
        <v>12300</v>
      </c>
    </row>
    <row r="122">
      <c r="F122" t="str">
        <v>분홍 / 문O / 1층 3열</v>
      </c>
      <c r="I122">
        <v>49</v>
      </c>
      <c r="J122">
        <f>IF(K122&gt;0,K122*0.0625,IF(L122&gt;0,L122*2.204623,))</f>
        <v>4.40924525</v>
      </c>
      <c r="K122">
        <f>IF(L122&gt;0,L122*35.273962,IF(J122&gt;0,J122*16,))</f>
        <v>70.547924</v>
      </c>
      <c r="L122">
        <v>2</v>
      </c>
      <c r="M122">
        <v>0</v>
      </c>
      <c r="N122">
        <v>0</v>
      </c>
      <c r="O122">
        <f>I122+N122+M122</f>
        <v>49</v>
      </c>
      <c r="P122">
        <f>O122*C$3</f>
        <v>9310</v>
      </c>
      <c r="Q122">
        <f>ROUNDUP(HLOOKUP(IF(CEILING(L122,0.5)&lt;1,1,CEILING(L122,0.5)),'배송비 조회'!A$32:AY$36,2,0),-2)</f>
        <v>9600</v>
      </c>
      <c r="R122">
        <v>0</v>
      </c>
      <c r="S122">
        <f>ROUND((P122+Q122)*0.3,-2)</f>
        <v>5700</v>
      </c>
      <c r="T122">
        <f>ROUND((P122+Q122)*0.7,-2)</f>
        <v>13200</v>
      </c>
      <c r="U122">
        <f>ROUND(SUM(P122+Q122+R122+S122), -2)</f>
        <v>24600</v>
      </c>
      <c r="V122">
        <f>ROUND(P122+Q122+R122+T122, -2)</f>
        <v>32100</v>
      </c>
      <c r="W122">
        <v>0</v>
      </c>
      <c r="X122">
        <f>U122*0.038</f>
        <v>934.8</v>
      </c>
      <c r="Y122">
        <f>U122*0.02</f>
        <v>492</v>
      </c>
      <c r="Z122">
        <f>V122*0.1</f>
        <v>3210</v>
      </c>
      <c r="AA122">
        <f>U122-X122-Y122</f>
        <v>23173.2</v>
      </c>
      <c r="AB122">
        <f>V122-Z122</f>
        <v>28890</v>
      </c>
      <c r="AC122">
        <f>AA122*0.01</f>
        <v>231.732</v>
      </c>
      <c r="AD122">
        <f>AA122-P122-AC122-Q122</f>
        <v>4031.4680000000008</v>
      </c>
      <c r="AE122">
        <f>AB122-P122-Q122-AC122</f>
        <v>9748.268</v>
      </c>
      <c r="AF122">
        <f>AD122/U122</f>
        <v>0.16388081300813012</v>
      </c>
      <c r="AG122">
        <f>AE122/V122</f>
        <v>0.3036843613707165</v>
      </c>
      <c r="AH122">
        <f>U122-$U$113</f>
        <v>0</v>
      </c>
    </row>
    <row r="123">
      <c r="F123" t="str">
        <v>분홍 / 문O / 1층 4열</v>
      </c>
      <c r="I123">
        <v>59</v>
      </c>
      <c r="J123">
        <f>IF(K123&gt;0,K123*0.0625,IF(L123&gt;0,L123*2.204623,))</f>
        <v>4.40924525</v>
      </c>
      <c r="K123">
        <f>IF(L123&gt;0,L123*35.273962,IF(J123&gt;0,J123*16,))</f>
        <v>70.547924</v>
      </c>
      <c r="L123">
        <v>2</v>
      </c>
      <c r="M123">
        <v>0</v>
      </c>
      <c r="N123">
        <v>0</v>
      </c>
      <c r="O123">
        <f>I123+N123+M123</f>
        <v>59</v>
      </c>
      <c r="P123">
        <f>O123*C$3</f>
        <v>11210</v>
      </c>
      <c r="Q123">
        <f>ROUNDUP(HLOOKUP(IF(CEILING(L123,0.5)&lt;1,1,CEILING(L123,0.5)),'배송비 조회'!A$32:AY$36,2,0),-2)</f>
        <v>9600</v>
      </c>
      <c r="R123">
        <v>0</v>
      </c>
      <c r="S123">
        <f>ROUND((P123+Q123)*0.3,-2)</f>
        <v>6200</v>
      </c>
      <c r="T123">
        <f>ROUND((P123+Q123)*0.7,-2)</f>
        <v>14600</v>
      </c>
      <c r="U123">
        <f>ROUND(SUM(P123+Q123+R123+S123), -2)</f>
        <v>27000</v>
      </c>
      <c r="V123">
        <f>ROUND(P123+Q123+R123+T123, -2)</f>
        <v>35400</v>
      </c>
      <c r="W123">
        <v>0</v>
      </c>
      <c r="X123">
        <f>U123*0.038</f>
        <v>1026</v>
      </c>
      <c r="Y123">
        <f>U123*0.02</f>
        <v>540</v>
      </c>
      <c r="Z123">
        <f>V123*0.1</f>
        <v>3540</v>
      </c>
      <c r="AA123">
        <f>U123-X123-Y123</f>
        <v>25434</v>
      </c>
      <c r="AB123">
        <f>V123-Z123</f>
        <v>31860</v>
      </c>
      <c r="AC123">
        <f>AA123*0.01</f>
        <v>254.34</v>
      </c>
      <c r="AD123">
        <f>AA123-P123-AC123-Q123</f>
        <v>4369.66</v>
      </c>
      <c r="AE123">
        <f>AB123-P123-Q123-AC123</f>
        <v>10795.66</v>
      </c>
      <c r="AF123">
        <f>AD123/U123</f>
        <v>0.16183925925925927</v>
      </c>
      <c r="AG123">
        <f>AE123/V123</f>
        <v>0.3049621468926554</v>
      </c>
      <c r="AH123">
        <f>U123-$U$113</f>
        <v>2400</v>
      </c>
    </row>
    <row r="124">
      <c r="F124" t="str">
        <v>분홍 / 문O / 1층 5열</v>
      </c>
      <c r="I124">
        <v>69</v>
      </c>
      <c r="J124">
        <f>IF(K124&gt;0,K124*0.0625,IF(L124&gt;0,L124*2.204623,))</f>
        <v>4.40924525</v>
      </c>
      <c r="K124">
        <f>IF(L124&gt;0,L124*35.273962,IF(J124&gt;0,J124*16,))</f>
        <v>70.547924</v>
      </c>
      <c r="L124">
        <v>2</v>
      </c>
      <c r="M124">
        <v>0</v>
      </c>
      <c r="N124">
        <v>0</v>
      </c>
      <c r="O124">
        <f>I124+N124+M124</f>
        <v>69</v>
      </c>
      <c r="P124">
        <f>O124*C$3</f>
        <v>13110</v>
      </c>
      <c r="Q124">
        <f>ROUNDUP(HLOOKUP(IF(CEILING(L124,0.5)&lt;1,1,CEILING(L124,0.5)),'배송비 조회'!A$32:AY$36,2,0),-2)</f>
        <v>9600</v>
      </c>
      <c r="R124">
        <v>0</v>
      </c>
      <c r="S124">
        <f>ROUND((P124+Q124)*0.3,-2)</f>
        <v>6800</v>
      </c>
      <c r="T124">
        <f>ROUND((P124+Q124)*0.7,-2)</f>
        <v>15900</v>
      </c>
      <c r="U124">
        <f>ROUND(SUM(P124+Q124+R124+S124), -2)</f>
        <v>29500</v>
      </c>
      <c r="V124">
        <f>ROUND(P124+Q124+R124+T124, -2)</f>
        <v>38600</v>
      </c>
      <c r="W124">
        <v>0</v>
      </c>
      <c r="X124">
        <f>U124*0.038</f>
        <v>1121</v>
      </c>
      <c r="Y124">
        <f>U124*0.02</f>
        <v>590</v>
      </c>
      <c r="Z124">
        <f>V124*0.1</f>
        <v>3860</v>
      </c>
      <c r="AA124">
        <f>U124-X124-Y124</f>
        <v>27789</v>
      </c>
      <c r="AB124">
        <f>V124-Z124</f>
        <v>34740</v>
      </c>
      <c r="AC124">
        <f>AA124*0.01</f>
        <v>277.89</v>
      </c>
      <c r="AD124">
        <f>AA124-P124-AC124-Q124</f>
        <v>4801.110000000001</v>
      </c>
      <c r="AE124">
        <f>AB124-P124-Q124-AC124</f>
        <v>11752.11</v>
      </c>
      <c r="AF124">
        <f>AD124/U124</f>
        <v>0.16274949152542376</v>
      </c>
      <c r="AG124">
        <f>AE124/V124</f>
        <v>0.3044588082901555</v>
      </c>
      <c r="AH124">
        <f>U124-$U$113</f>
        <v>4900</v>
      </c>
    </row>
    <row r="125">
      <c r="A125" t="str">
        <f>HYPERLINK("https://smartstore.naver.com/brickstore2019/products/4757699446","4757699446")</f>
        <v>4757699446</v>
      </c>
      <c r="C125" t="str">
        <v>명품가방보관 가방틈새수납함 가방정리</v>
      </c>
      <c r="F125" t="str">
        <v>블랙</v>
      </c>
      <c r="G125" t="str">
        <f>HYPERLINK("https://detail.tmall.com/item.htm?spm=a220l.1.0.0.48977f33jIu2b8&amp;id=597555025129&amp;skuId=4330986303173","A")</f>
        <v>A</v>
      </c>
      <c r="I125">
        <v>20</v>
      </c>
      <c r="J125">
        <f>IF(K125&gt;0,K125*0.0625,IF(L125&gt;0,L125*2.204623,))</f>
        <v>7.5</v>
      </c>
      <c r="K125">
        <v>120</v>
      </c>
      <c r="L125">
        <f>IF(J125&gt;0,J125*0.453592,IF(K125&gt;0,K125*0.02835,))</f>
        <v>3.4019399999999997</v>
      </c>
      <c r="M125">
        <v>0</v>
      </c>
      <c r="N125">
        <v>0</v>
      </c>
      <c r="O125">
        <f>I125+N125+M125</f>
        <v>20</v>
      </c>
      <c r="P125">
        <f>O125*C$3</f>
        <v>3800</v>
      </c>
      <c r="Q125">
        <f>ROUNDUP(HLOOKUP(IF(CEILING(L125,0.5)&lt;1,1,CEILING(L125,0.5)),'배송비 조회'!A$32:AY$36,2,0),-2)</f>
        <v>12000</v>
      </c>
      <c r="R125">
        <v>0</v>
      </c>
      <c r="S125">
        <f>ROUND((P125+Q125)*0.6,-2)</f>
        <v>9500</v>
      </c>
      <c r="T125">
        <f>ROUND((P125+Q125)*0.7,-2)</f>
        <v>11100</v>
      </c>
      <c r="U125">
        <f>ROUND(SUM(P125+Q125+R125+S125), -2)</f>
        <v>25300</v>
      </c>
      <c r="V125">
        <f>ROUND(P125+Q125+R125+T125, -2)</f>
        <v>26900</v>
      </c>
      <c r="W125">
        <v>0</v>
      </c>
      <c r="X125">
        <f>U125*0.038</f>
        <v>961.4</v>
      </c>
      <c r="Y125">
        <f>U125*0.02</f>
        <v>506</v>
      </c>
      <c r="Z125">
        <f>V125*0.1</f>
        <v>2690</v>
      </c>
      <c r="AA125">
        <f>U125-X125-Y125</f>
        <v>23832.6</v>
      </c>
      <c r="AB125">
        <f>V125-Z125</f>
        <v>24210</v>
      </c>
      <c r="AC125">
        <f>AA125*0.01</f>
        <v>238.326</v>
      </c>
      <c r="AD125">
        <f>AA125-P125-AC125-Q125</f>
        <v>7794.273999999998</v>
      </c>
      <c r="AE125">
        <f>AB125-P125-Q125-AC125</f>
        <v>8171.674</v>
      </c>
      <c r="AF125">
        <f>AD125/U125</f>
        <v>0.30807407114624497</v>
      </c>
      <c r="AG125">
        <f>AE125/V125</f>
        <v>0.3037797026022305</v>
      </c>
      <c r="AH125">
        <v>10000</v>
      </c>
      <c r="AI125">
        <f>U125-AH125</f>
        <v>15300</v>
      </c>
    </row>
    <row r="126">
      <c r="F126" t="str">
        <v>화이트</v>
      </c>
      <c r="G126" t="str">
        <f>HYPERLINK("https://detail.tmall.com/item.htm?spm=a220l.1.0.0.48977f33jIu2b8&amp;id=597555025129&amp;skuId=4330986303174","A")</f>
        <v>A</v>
      </c>
      <c r="I126">
        <v>20</v>
      </c>
      <c r="J126">
        <f>IF(K126&gt;0,K126*0.0625,IF(L126&gt;0,L126*2.204623,))</f>
        <v>7.5</v>
      </c>
      <c r="K126">
        <v>120</v>
      </c>
      <c r="L126">
        <f>IF(J126&gt;0,J126*0.453592,IF(K126&gt;0,K126*0.02835,))</f>
        <v>3.4019399999999997</v>
      </c>
      <c r="M126">
        <v>0</v>
      </c>
      <c r="N126">
        <v>0</v>
      </c>
      <c r="O126">
        <f>I126+N126+M126</f>
        <v>20</v>
      </c>
      <c r="P126">
        <f>O126*C$3</f>
        <v>3800</v>
      </c>
      <c r="Q126">
        <f>ROUNDUP(HLOOKUP(IF(CEILING(L126,0.5)&lt;1,1,CEILING(L126,0.5)),'배송비 조회'!A$32:AY$36,2,0),-2)</f>
        <v>12000</v>
      </c>
      <c r="R126">
        <v>0</v>
      </c>
      <c r="S126">
        <f>ROUND((P126+Q126)*0.6,-2)</f>
        <v>9500</v>
      </c>
      <c r="T126">
        <f>ROUND((P126+Q126)*0.7,-2)</f>
        <v>11100</v>
      </c>
      <c r="U126">
        <f>ROUND(SUM(P126+Q126+R126+S126), -2)</f>
        <v>25300</v>
      </c>
      <c r="V126">
        <f>ROUND(P126+Q126+R126+T126, -2)</f>
        <v>26900</v>
      </c>
      <c r="W126">
        <v>0</v>
      </c>
      <c r="X126">
        <f>U126*0.038</f>
        <v>961.4</v>
      </c>
      <c r="Y126">
        <f>U126*0.02</f>
        <v>506</v>
      </c>
      <c r="Z126">
        <f>V126*0.1</f>
        <v>2690</v>
      </c>
      <c r="AA126">
        <f>U126-X126-Y126</f>
        <v>23832.6</v>
      </c>
      <c r="AB126">
        <f>V126-Z126</f>
        <v>24210</v>
      </c>
      <c r="AC126">
        <f>AA126*0.01</f>
        <v>238.326</v>
      </c>
      <c r="AD126">
        <f>AA126-P126-AC126-Q126</f>
        <v>7794.273999999998</v>
      </c>
      <c r="AE126">
        <f>AB126-P126-Q126-AC126</f>
        <v>8171.674</v>
      </c>
      <c r="AF126">
        <f>AD126/U126</f>
        <v>0.30807407114624497</v>
      </c>
      <c r="AG126">
        <f>AE126/V126</f>
        <v>0.3037797026022305</v>
      </c>
      <c r="AH126">
        <v>10000</v>
      </c>
      <c r="AI126">
        <f>U126-AH126</f>
        <v>15300</v>
      </c>
    </row>
    <row r="127">
      <c r="A127" t="str">
        <f>HYPERLINK("https://smartstore.naver.com/brickstore2019/products/4758864126","4758864126")</f>
        <v>4758864126</v>
      </c>
      <c r="C127" t="str">
        <v>미니 도넛틀 도너츠 만들기</v>
      </c>
      <c r="G127" t="str">
        <f>HYPERLINK("https://item.taobao.com/item.htm?spm=a230r.1.999.128.5368523cnzM2VL&amp;id=555674700494&amp;ns=1#detail","A")</f>
        <v>A</v>
      </c>
      <c r="I127">
        <v>52</v>
      </c>
      <c r="J127">
        <f>IF(K127&gt;0,K127*0.0625,IF(L127&gt;0,L127*2.204623,))</f>
        <v>2.1875</v>
      </c>
      <c r="K127">
        <v>35</v>
      </c>
      <c r="L127">
        <f>IF(J127&gt;0,J127*0.453592,IF(K127&gt;0,K127*0.02835,))</f>
        <v>0.9922325</v>
      </c>
      <c r="M127">
        <v>0</v>
      </c>
      <c r="N127">
        <v>0</v>
      </c>
      <c r="O127">
        <f>I127+N127+M127</f>
        <v>52</v>
      </c>
      <c r="P127">
        <f>O127*C$3</f>
        <v>9880</v>
      </c>
      <c r="Q127">
        <f>ROUNDUP(HLOOKUP(IF(CEILING(L127,0.5)&lt;1,1,CEILING(L127,0.5)),'배송비 조회'!A$32:AY$36,2,0),-2)</f>
        <v>8000</v>
      </c>
      <c r="R127">
        <v>0</v>
      </c>
      <c r="S127">
        <f>ROUND((P127+Q127)*0.4,-2)</f>
        <v>7200</v>
      </c>
      <c r="T127">
        <f>ROUND((P127+Q127)*0.7,-2)</f>
        <v>12500</v>
      </c>
      <c r="U127">
        <f>ROUND(SUM(P127+Q127+R127+S127), -2)</f>
        <v>25100</v>
      </c>
      <c r="V127">
        <f>ROUND(P127+Q127+R127+T127, -2)</f>
        <v>30400</v>
      </c>
      <c r="W127">
        <v>0</v>
      </c>
      <c r="X127">
        <f>U127*0.038</f>
        <v>953.8</v>
      </c>
      <c r="Y127">
        <f>U127*0.02</f>
        <v>502</v>
      </c>
      <c r="Z127">
        <f>V127*0.1</f>
        <v>3040</v>
      </c>
      <c r="AA127">
        <f>U127-X127-Y127</f>
        <v>23644.2</v>
      </c>
      <c r="AB127">
        <f>V127-Z127</f>
        <v>27360</v>
      </c>
      <c r="AC127">
        <f>AA127*0.01</f>
        <v>236.442</v>
      </c>
      <c r="AD127">
        <f>AA127-P127-AC127-Q127</f>
        <v>5527.758000000002</v>
      </c>
      <c r="AE127">
        <f>AB127-P127-Q127-AC127</f>
        <v>9243.558</v>
      </c>
      <c r="AF127">
        <f>AD127/U127</f>
        <v>0.2202294023904383</v>
      </c>
      <c r="AG127">
        <f>AE127/V127</f>
        <v>0.3040644078947369</v>
      </c>
      <c r="AH127">
        <v>10000</v>
      </c>
      <c r="AI127">
        <f>U127-AH127</f>
        <v>15100</v>
      </c>
    </row>
    <row r="128">
      <c r="A128" t="str">
        <f>HYPERLINK("https://smartstore.naver.com/brickstore2019/products/4761146189","4761146189")</f>
        <v>4761146189</v>
      </c>
      <c r="C128" t="str">
        <v>티라미수 용기 50개 (무료배송)</v>
      </c>
      <c r="F128" t="str">
        <v>280ml 10개</v>
      </c>
      <c r="G128" t="str">
        <f>HYPERLINK("https://item.taobao.com/item.htm?spm=2013.1.20160405.7.30189463wCR9pG&amp;scm=1007.13066.127283.0&amp;id=573291531092","A")</f>
        <v>A</v>
      </c>
      <c r="I128">
        <v>17</v>
      </c>
      <c r="J128">
        <f>IF(K128&gt;0,K128*0.0625,IF(L128&gt;0,L128*2.204623,))</f>
        <v>2.1875</v>
      </c>
      <c r="K128">
        <v>35</v>
      </c>
      <c r="L128">
        <f>IF(J128&gt;0,J128*0.453592,IF(K128&gt;0,K128*0.02835,))</f>
        <v>0.9922325</v>
      </c>
      <c r="M128">
        <v>0</v>
      </c>
      <c r="N128">
        <v>0</v>
      </c>
      <c r="O128">
        <f>I128+N128+M128</f>
        <v>17</v>
      </c>
      <c r="P128">
        <f>O128*C$3</f>
        <v>3230</v>
      </c>
      <c r="Q128">
        <f>ROUNDUP(HLOOKUP(IF(CEILING(L128,0.5)&lt;1,1,CEILING(L128,0.5)),'배송비 조회'!A$32:AY$36,2,0),-2)</f>
        <v>8000</v>
      </c>
      <c r="R128">
        <v>0</v>
      </c>
      <c r="S128">
        <f>ROUND((P128+Q128)*0.5,-2)</f>
        <v>5600</v>
      </c>
      <c r="T128">
        <f>ROUND((P128+Q128)*0.7,-2)</f>
        <v>7900</v>
      </c>
      <c r="U128">
        <f>ROUND(SUM(P128+Q128+R128+S128), -2)</f>
        <v>16800</v>
      </c>
      <c r="V128">
        <f>ROUND(P128+Q128+R128+T128, -2)</f>
        <v>19100</v>
      </c>
      <c r="W128">
        <v>0</v>
      </c>
      <c r="X128">
        <f>U128*0.038</f>
        <v>638.4</v>
      </c>
      <c r="Y128">
        <f>U128*0.02</f>
        <v>336</v>
      </c>
      <c r="Z128">
        <f>V128*0.1</f>
        <v>1910</v>
      </c>
      <c r="AA128">
        <f>U128-X128-Y128</f>
        <v>15825.6</v>
      </c>
      <c r="AB128">
        <f>V128-Z128</f>
        <v>17190</v>
      </c>
      <c r="AC128">
        <f>AA128*0.01</f>
        <v>158.256</v>
      </c>
      <c r="AD128">
        <f>AA128-P128-AC128-Q128</f>
        <v>4437.344000000001</v>
      </c>
      <c r="AE128">
        <f>AB128-P128-Q128-AC128</f>
        <v>5801.744</v>
      </c>
      <c r="AF128">
        <f>AD128/U128</f>
        <v>0.2641276190476191</v>
      </c>
      <c r="AG128">
        <f>AE128/V128</f>
        <v>0.30375623036649213</v>
      </c>
    </row>
    <row r="129">
      <c r="F129" t="str">
        <v>280ml 50개</v>
      </c>
      <c r="G129" t="str">
        <f>HYPERLINK("https://item.taobao.com/item.htm?spm=2013.1.20160405.7.30189463wCR9pG&amp;scm=1007.13066.127283.0&amp;id=573291531092","A")</f>
        <v>A</v>
      </c>
      <c r="I129">
        <v>51</v>
      </c>
      <c r="J129">
        <f>IF(K129&gt;0,K129*0.0625,IF(L129&gt;0,L129*2.204623,))</f>
        <v>2.1875</v>
      </c>
      <c r="K129">
        <v>35</v>
      </c>
      <c r="L129">
        <f>IF(J129&gt;0,J129*0.453592,IF(K129&gt;0,K129*0.02835,))</f>
        <v>0.9922325</v>
      </c>
      <c r="M129">
        <v>0</v>
      </c>
      <c r="N129">
        <v>0</v>
      </c>
      <c r="O129">
        <f>I129+N129+M129</f>
        <v>51</v>
      </c>
      <c r="P129">
        <f>O129*C$3</f>
        <v>9690</v>
      </c>
      <c r="Q129">
        <f>ROUNDUP(HLOOKUP(IF(CEILING(L129,0.5)&lt;1,1,CEILING(L129,0.5)),'배송비 조회'!A$32:AY$36,2,0),-2)</f>
        <v>8000</v>
      </c>
      <c r="R129">
        <v>0</v>
      </c>
      <c r="S129">
        <f>ROUND((P129+Q129)*0.5,-2)</f>
        <v>8800</v>
      </c>
      <c r="T129">
        <f>ROUND((P129+Q129)*0.7,-2)</f>
        <v>12400</v>
      </c>
      <c r="U129">
        <f>ROUND(SUM(P129+Q129+R129+S129), -2)</f>
        <v>26500</v>
      </c>
      <c r="V129">
        <f>ROUND(P129+Q129+R129+T129, -2)</f>
        <v>30100</v>
      </c>
      <c r="W129">
        <v>0</v>
      </c>
      <c r="X129">
        <f>U129*0.038</f>
        <v>1007</v>
      </c>
      <c r="Y129">
        <f>U129*0.02</f>
        <v>530</v>
      </c>
      <c r="Z129">
        <f>V129*0.1</f>
        <v>3010</v>
      </c>
      <c r="AA129">
        <f>U129-X129-Y129</f>
        <v>24963</v>
      </c>
      <c r="AB129">
        <f>V129-Z129</f>
        <v>27090</v>
      </c>
      <c r="AC129">
        <f>AA129*0.01</f>
        <v>249.63</v>
      </c>
      <c r="AD129">
        <f>AA129-P129-AC129-Q129</f>
        <v>7023.370000000001</v>
      </c>
      <c r="AE129">
        <f>AB129-P129-Q129-AC129</f>
        <v>9150.37</v>
      </c>
      <c r="AF129">
        <f>AD129/U129</f>
        <v>0.2650328301886793</v>
      </c>
      <c r="AG129">
        <f>AE129/V129</f>
        <v>0.30399900332225915</v>
      </c>
    </row>
    <row r="130">
      <c r="F130" t="str">
        <v>340ml 10개</v>
      </c>
      <c r="G130" t="str">
        <f>HYPERLINK("https://item.taobao.com/item.htm?spm=2013.1.20160405.7.30189463wCR9pG&amp;scm=1007.13066.127283.0&amp;id=573291531092","A")</f>
        <v>A</v>
      </c>
      <c r="I130">
        <v>18</v>
      </c>
      <c r="J130">
        <f>IF(K130&gt;0,K130*0.0625,IF(L130&gt;0,L130*2.204623,))</f>
        <v>2.1875</v>
      </c>
      <c r="K130">
        <v>35</v>
      </c>
      <c r="L130">
        <f>IF(J130&gt;0,J130*0.453592,IF(K130&gt;0,K130*0.02835,))</f>
        <v>0.9922325</v>
      </c>
      <c r="M130">
        <v>0</v>
      </c>
      <c r="N130">
        <v>0</v>
      </c>
      <c r="O130">
        <f>I130+N130+M130</f>
        <v>18</v>
      </c>
      <c r="P130">
        <f>O130*C$3</f>
        <v>3420</v>
      </c>
      <c r="Q130">
        <f>ROUNDUP(HLOOKUP(IF(CEILING(L130,0.5)&lt;1,1,CEILING(L130,0.5)),'배송비 조회'!A$32:AY$36,2,0),-2)</f>
        <v>8000</v>
      </c>
      <c r="R130">
        <v>0</v>
      </c>
      <c r="S130">
        <f>ROUND((P130+Q130)*0.5,-2)</f>
        <v>5700</v>
      </c>
      <c r="T130">
        <f>ROUND((P130+Q130)*0.7,-2)</f>
        <v>8000</v>
      </c>
      <c r="U130">
        <f>ROUND(SUM(P130+Q130+R130+S130), -2)</f>
        <v>17100</v>
      </c>
      <c r="V130">
        <f>ROUND(P130+Q130+R130+T130, -2)</f>
        <v>19400</v>
      </c>
      <c r="W130">
        <v>0</v>
      </c>
      <c r="X130">
        <f>U130*0.038</f>
        <v>649.8</v>
      </c>
      <c r="Y130">
        <f>U130*0.02</f>
        <v>342</v>
      </c>
      <c r="Z130">
        <f>V130*0.1</f>
        <v>1940</v>
      </c>
      <c r="AA130">
        <f>U130-X130-Y130</f>
        <v>16108.2</v>
      </c>
      <c r="AB130">
        <f>V130-Z130</f>
        <v>17460</v>
      </c>
      <c r="AC130">
        <f>AA130*0.01</f>
        <v>161.08200000000002</v>
      </c>
      <c r="AD130">
        <f>AA130-P130-AC130-Q130</f>
        <v>4527.118</v>
      </c>
      <c r="AE130">
        <f>AB130-P130-Q130-AC130</f>
        <v>5878.918</v>
      </c>
      <c r="AF130">
        <f>AD130/U130</f>
        <v>0.2647437426900585</v>
      </c>
      <c r="AG130">
        <f>AE130/V130</f>
        <v>0.3030370103092783</v>
      </c>
    </row>
    <row r="131">
      <c r="F131" t="str">
        <v>340ml 50개</v>
      </c>
      <c r="G131" t="str">
        <f>HYPERLINK("https://item.taobao.com/item.htm?spm=2013.1.20160405.7.30189463wCR9pG&amp;scm=1007.13066.127283.0&amp;id=573291531092","A")</f>
        <v>A</v>
      </c>
      <c r="I131">
        <v>61</v>
      </c>
      <c r="J131">
        <f>IF(K131&gt;0,K131*0.0625,IF(L131&gt;0,L131*2.204623,))</f>
        <v>2.1875</v>
      </c>
      <c r="K131">
        <v>35</v>
      </c>
      <c r="L131">
        <f>IF(J131&gt;0,J131*0.453592,IF(K131&gt;0,K131*0.02835,))</f>
        <v>0.9922325</v>
      </c>
      <c r="M131">
        <v>0</v>
      </c>
      <c r="N131">
        <v>0</v>
      </c>
      <c r="O131">
        <f>I131+N131+M131</f>
        <v>61</v>
      </c>
      <c r="P131">
        <f>O131*C$3</f>
        <v>11590</v>
      </c>
      <c r="Q131">
        <f>ROUNDUP(HLOOKUP(IF(CEILING(L131,0.5)&lt;1,1,CEILING(L131,0.5)),'배송비 조회'!A$32:AY$36,2,0),-2)</f>
        <v>8000</v>
      </c>
      <c r="R131">
        <v>0</v>
      </c>
      <c r="S131">
        <f>ROUND((P131+Q131)*0.5,-2)</f>
        <v>9800</v>
      </c>
      <c r="T131">
        <f>ROUND((P131+Q131)*0.7,-2)</f>
        <v>13700</v>
      </c>
      <c r="U131">
        <f>ROUND(SUM(P131+Q131+R131+S131), -2)</f>
        <v>29400</v>
      </c>
      <c r="V131">
        <f>ROUND(P131+Q131+R131+T131, -2)</f>
        <v>33300</v>
      </c>
      <c r="W131">
        <v>0</v>
      </c>
      <c r="X131">
        <f>U131*0.038</f>
        <v>1117.2</v>
      </c>
      <c r="Y131">
        <f>U131*0.02</f>
        <v>588</v>
      </c>
      <c r="Z131">
        <f>V131*0.1</f>
        <v>3330</v>
      </c>
      <c r="AA131">
        <f>U131-X131-Y131</f>
        <v>27694.8</v>
      </c>
      <c r="AB131">
        <f>V131-Z131</f>
        <v>29970</v>
      </c>
      <c r="AC131">
        <f>AA131*0.01</f>
        <v>276.948</v>
      </c>
      <c r="AD131">
        <f>AA131-P131-AC131-Q131</f>
        <v>7827.851999999999</v>
      </c>
      <c r="AE131">
        <f>AB131-P131-Q131-AC131</f>
        <v>10103.052</v>
      </c>
      <c r="AF131">
        <f>AD131/U131</f>
        <v>0.26625346938775507</v>
      </c>
      <c r="AG131">
        <f>AE131/V131</f>
        <v>0.30339495495495494</v>
      </c>
    </row>
    <row r="132">
      <c r="A132" t="str">
        <f>HYPERLINK("https://smartstore.naver.com/brickstore2019/products/4762179225","4762179225")</f>
        <v>4762179225</v>
      </c>
      <c r="C132" t="str">
        <v>wicueboard 그림 그리는 태블릿</v>
      </c>
      <c r="F132" t="str">
        <v>흑백</v>
      </c>
      <c r="G132" t="str">
        <f>HYPERLINK("https://item.taobao.com/item.htm?spm=a230r.1.999.1.9b6d523cd2IGi5&amp;id=590743813901&amp;ns=1#detail","A")</f>
        <v>A</v>
      </c>
      <c r="I132">
        <v>82</v>
      </c>
      <c r="J132">
        <f>IF(K132&gt;0,K132*0.0625,IF(L132&gt;0,L132*2.204623,))</f>
        <v>2.1875</v>
      </c>
      <c r="K132">
        <v>35</v>
      </c>
      <c r="L132">
        <f>IF(J132&gt;0,J132*0.453592,IF(K132&gt;0,K132*0.02835,))</f>
        <v>0.9922325</v>
      </c>
      <c r="M132">
        <v>0</v>
      </c>
      <c r="N132">
        <v>0</v>
      </c>
      <c r="O132">
        <f>I132+N132+M132</f>
        <v>82</v>
      </c>
      <c r="P132">
        <f>O132*C$3</f>
        <v>15580</v>
      </c>
      <c r="Q132">
        <f>ROUNDUP(HLOOKUP(IF(CEILING(L132,0.5)&lt;1,1,CEILING(L132,0.5)),'배송비 조회'!A$32:AY$36,2,0),-2)</f>
        <v>8000</v>
      </c>
      <c r="R132">
        <v>0</v>
      </c>
      <c r="S132">
        <f>ROUND((P132+Q132)*0.5,-2)</f>
        <v>11800</v>
      </c>
      <c r="T132">
        <f>ROUND((P132+Q132)*0.7,-2)</f>
        <v>16500</v>
      </c>
      <c r="U132">
        <f>ROUND(SUM(P132+Q132+R132+S132), -2)</f>
        <v>35400</v>
      </c>
      <c r="V132">
        <f>ROUND(P132+Q132+R132+T132, -2)</f>
        <v>40100</v>
      </c>
      <c r="W132">
        <v>0</v>
      </c>
      <c r="X132">
        <f>U132*0.038</f>
        <v>1345.2</v>
      </c>
      <c r="Y132">
        <f>U132*0.02</f>
        <v>708</v>
      </c>
      <c r="Z132">
        <f>V132*0.1</f>
        <v>4010</v>
      </c>
      <c r="AA132">
        <f>U132-X132-Y132</f>
        <v>33346.8</v>
      </c>
      <c r="AB132">
        <f>V132-Z132</f>
        <v>36090</v>
      </c>
      <c r="AC132">
        <f>AA132*0.01</f>
        <v>333.468</v>
      </c>
      <c r="AD132">
        <f>AA132-P132-AC132-Q132</f>
        <v>9433.332000000002</v>
      </c>
      <c r="AE132">
        <f>AB132-P132-Q132-AC132</f>
        <v>12176.532</v>
      </c>
      <c r="AF132">
        <f>AD132/U132</f>
        <v>0.26647830508474585</v>
      </c>
      <c r="AG132">
        <f>AE132/V132</f>
        <v>0.3036541645885287</v>
      </c>
      <c r="AH132">
        <v>8000</v>
      </c>
      <c r="AI132">
        <f>U132-AH132</f>
        <v>27400</v>
      </c>
    </row>
    <row r="133">
      <c r="F133" t="str">
        <v>레인보우</v>
      </c>
      <c r="G133" t="str">
        <f>HYPERLINK("https://item.taobao.com/item.htm?spm=a230r.1.999.1.9b6d523cd2IGi5&amp;id=590743813901&amp;ns=1#detail","A")</f>
        <v>A</v>
      </c>
      <c r="I133">
        <v>96</v>
      </c>
      <c r="J133">
        <f>IF(K133&gt;0,K133*0.0625,IF(L133&gt;0,L133*2.204623,))</f>
        <v>2.1875</v>
      </c>
      <c r="K133">
        <v>35</v>
      </c>
      <c r="L133">
        <f>IF(J133&gt;0,J133*0.453592,IF(K133&gt;0,K133*0.02835,))</f>
        <v>0.9922325</v>
      </c>
      <c r="M133">
        <v>0</v>
      </c>
      <c r="N133">
        <v>0</v>
      </c>
      <c r="O133">
        <f>I133+N133+M133</f>
        <v>96</v>
      </c>
      <c r="P133">
        <f>O133*C$3</f>
        <v>18240</v>
      </c>
      <c r="Q133">
        <f>ROUNDUP(HLOOKUP(IF(CEILING(L133,0.5)&lt;1,1,CEILING(L133,0.5)),'배송비 조회'!A$32:AY$36,2,0),-2)</f>
        <v>8000</v>
      </c>
      <c r="R133">
        <v>0</v>
      </c>
      <c r="S133">
        <f>ROUND((P133+Q133)*0.5,-2)</f>
        <v>13100</v>
      </c>
      <c r="T133">
        <f>ROUND((P133+Q133)*0.7,-2)</f>
        <v>18400</v>
      </c>
      <c r="U133">
        <f>ROUND(SUM(P133+Q133+R133+S133), -2)</f>
        <v>39300</v>
      </c>
      <c r="V133">
        <f>ROUND(P133+Q133+R133+T133, -2)</f>
        <v>44600</v>
      </c>
      <c r="W133">
        <v>0</v>
      </c>
      <c r="X133">
        <f>U133*0.038</f>
        <v>1493.3999999999999</v>
      </c>
      <c r="Y133">
        <f>U133*0.02</f>
        <v>786</v>
      </c>
      <c r="Z133">
        <f>V133*0.1</f>
        <v>4460</v>
      </c>
      <c r="AA133">
        <f>U133-X133-Y133</f>
        <v>37020.6</v>
      </c>
      <c r="AB133">
        <f>V133-Z133</f>
        <v>40140</v>
      </c>
      <c r="AC133">
        <f>AA133*0.01</f>
        <v>370.206</v>
      </c>
      <c r="AD133">
        <f>AA133-P133-AC133-Q133</f>
        <v>10410.394</v>
      </c>
      <c r="AE133">
        <f>AB133-P133-Q133-AC133</f>
        <v>13529.794</v>
      </c>
      <c r="AF133">
        <f>AD133/U133</f>
        <v>0.2648955216284987</v>
      </c>
      <c r="AG133">
        <f>AE133/V133</f>
        <v>0.30335860986547086</v>
      </c>
      <c r="AH133">
        <v>8000</v>
      </c>
      <c r="AI133">
        <f>U133-AH133</f>
        <v>31300</v>
      </c>
    </row>
    <row r="134">
      <c r="A134" t="str">
        <f>HYPERLINK("https://smartstore.naver.com/brickstore2019/products/4762210986","4762210986")</f>
        <v>4762210986</v>
      </c>
      <c r="C134" t="str">
        <v>타다 체어 지팡이겸의자 TADA chair</v>
      </c>
      <c r="F134" t="str">
        <v>블랙</v>
      </c>
      <c r="G134" t="str">
        <f>HYPERLINK("https://item.taobao.com/item.htm?spm=a230r.1.999.38.2d67523c6OlzIG&amp;id=574999743437&amp;ns=1#detail","A")</f>
        <v>A</v>
      </c>
      <c r="I134">
        <v>872.34</v>
      </c>
      <c r="J134">
        <f>IF(K134&gt;0,K134*0.0625,IF(L134&gt;0,L134*2.204623,))</f>
        <v>4.40924525</v>
      </c>
      <c r="K134">
        <f>IF(L134&gt;0,L134*35.273962,IF(J134&gt;0,J134*16,))</f>
        <v>70.547924</v>
      </c>
      <c r="L134">
        <v>2</v>
      </c>
      <c r="O134">
        <f>I134+N134+M134</f>
        <v>872.34</v>
      </c>
      <c r="P134">
        <f>O134*C$3</f>
        <v>165744.6</v>
      </c>
      <c r="Q134">
        <f>ROUNDUP(HLOOKUP(IF(CEILING(L134,0.5)&lt;1,1,CEILING(L134,0.5)),'배송비 조회'!A$32:AY$36,2,0),-2)</f>
        <v>9600</v>
      </c>
      <c r="R134">
        <v>0</v>
      </c>
      <c r="S134">
        <f>ROUND((P134+Q134)*0.15,-2)</f>
        <v>26300</v>
      </c>
      <c r="T134">
        <f>ROUND((P134+Q134)*0.4,-2)</f>
        <v>70100</v>
      </c>
      <c r="U134">
        <f>ROUND(SUM(P134+Q134+R134+S134), -2)</f>
        <v>201600</v>
      </c>
      <c r="V134">
        <f>ROUND(P134+Q134+R134+T134, -2)</f>
        <v>245400</v>
      </c>
      <c r="W134">
        <v>0</v>
      </c>
      <c r="X134">
        <f>U134*0.038</f>
        <v>7660.8</v>
      </c>
      <c r="Y134">
        <f>U134*0.02</f>
        <v>4032</v>
      </c>
      <c r="Z134">
        <f>V134*0.1</f>
        <v>24540</v>
      </c>
      <c r="AA134">
        <f>U134-X134-Y134</f>
        <v>189907.2</v>
      </c>
      <c r="AB134">
        <f>V134-Z134</f>
        <v>220860</v>
      </c>
      <c r="AC134">
        <f>AA134*0.01</f>
        <v>1899.0720000000001</v>
      </c>
      <c r="AD134">
        <f>AA134-P134-AC134-Q134</f>
        <v>12663.528000000006</v>
      </c>
      <c r="AE134">
        <f>AB134-P134-Q134-AC134</f>
        <v>43616.327999999994</v>
      </c>
      <c r="AF134">
        <f>AD134/U134</f>
        <v>0.06281511904761908</v>
      </c>
      <c r="AG134">
        <f>AE134/V134</f>
        <v>0.17773564792176036</v>
      </c>
      <c r="AH134">
        <f>U134-25000</f>
        <v>176600</v>
      </c>
    </row>
    <row r="135">
      <c r="F135" t="str">
        <v>핑크</v>
      </c>
      <c r="G135" t="str">
        <f>HYPERLINK("https://item.taobao.com/item.htm?spm=a230r.1.999.38.2d67523c6OlzIG&amp;id=574999743437&amp;ns=1#detail","A")</f>
        <v>A</v>
      </c>
      <c r="I135">
        <v>872.34</v>
      </c>
      <c r="J135">
        <f>IF(K135&gt;0,K135*0.0625,IF(L135&gt;0,L135*2.204623,))</f>
        <v>4.40924525</v>
      </c>
      <c r="K135">
        <f>IF(L135&gt;0,L135*35.273962,IF(J135&gt;0,J135*16,))</f>
        <v>70.547924</v>
      </c>
      <c r="L135">
        <v>2</v>
      </c>
      <c r="O135">
        <f>I135+N135+M135</f>
        <v>872.34</v>
      </c>
      <c r="P135">
        <f>O135*C$3</f>
        <v>165744.6</v>
      </c>
      <c r="Q135">
        <f>ROUNDUP(HLOOKUP(IF(CEILING(L135,0.5)&lt;1,1,CEILING(L135,0.5)),'배송비 조회'!A$32:AY$36,2,0),-2)</f>
        <v>9600</v>
      </c>
      <c r="R135">
        <v>0</v>
      </c>
      <c r="S135">
        <f>ROUND((P135+Q135)*0.15,-2)</f>
        <v>26300</v>
      </c>
      <c r="T135">
        <f>ROUND((P135+Q135)*0.4,-2)</f>
        <v>70100</v>
      </c>
      <c r="U135">
        <f>ROUND(SUM(P135+Q135+R135+S135), -2)</f>
        <v>201600</v>
      </c>
      <c r="V135">
        <f>ROUND(P135+Q135+R135+T135, -2)</f>
        <v>245400</v>
      </c>
      <c r="W135">
        <v>0</v>
      </c>
      <c r="X135">
        <f>U135*0.038</f>
        <v>7660.8</v>
      </c>
      <c r="Y135">
        <f>U135*0.02</f>
        <v>4032</v>
      </c>
      <c r="Z135">
        <f>V135*0.1</f>
        <v>24540</v>
      </c>
      <c r="AA135">
        <f>U135-X135-Y135</f>
        <v>189907.2</v>
      </c>
      <c r="AB135">
        <f>V135-Z135</f>
        <v>220860</v>
      </c>
      <c r="AC135">
        <f>AA135*0.01</f>
        <v>1899.0720000000001</v>
      </c>
      <c r="AD135">
        <f>AA135-P135-AC135-Q135</f>
        <v>12663.528000000006</v>
      </c>
      <c r="AE135">
        <f>AB135-P135-Q135-AC135</f>
        <v>43616.327999999994</v>
      </c>
      <c r="AF135">
        <f>AD135/U135</f>
        <v>0.06281511904761908</v>
      </c>
      <c r="AG135">
        <f>AE135/V135</f>
        <v>0.17773564792176036</v>
      </c>
    </row>
    <row r="136">
      <c r="F136" t="str">
        <v>라임</v>
      </c>
      <c r="G136" t="str">
        <f>HYPERLINK("https://item.taobao.com/item.htm?spm=a230r.1.999.38.2d67523c6OlzIG&amp;id=574999743437&amp;ns=1#detail","A")</f>
        <v>A</v>
      </c>
      <c r="I136">
        <v>872.34</v>
      </c>
      <c r="J136">
        <f>IF(K136&gt;0,K136*0.0625,IF(L136&gt;0,L136*2.204623,))</f>
        <v>4.40924525</v>
      </c>
      <c r="K136">
        <f>IF(L136&gt;0,L136*35.273962,IF(J136&gt;0,J136*16,))</f>
        <v>70.547924</v>
      </c>
      <c r="L136">
        <v>2</v>
      </c>
      <c r="O136">
        <f>I136+N136+M136</f>
        <v>872.34</v>
      </c>
      <c r="P136">
        <f>O136*C$3</f>
        <v>165744.6</v>
      </c>
      <c r="Q136">
        <f>ROUNDUP(HLOOKUP(IF(CEILING(L136,0.5)&lt;1,1,CEILING(L136,0.5)),'배송비 조회'!A$32:AY$36,2,0),-2)</f>
        <v>9600</v>
      </c>
      <c r="R136">
        <v>0</v>
      </c>
      <c r="S136">
        <f>ROUND((P136+Q136)*0.15,-2)</f>
        <v>26300</v>
      </c>
      <c r="T136">
        <f>ROUND((P136+Q136)*0.4,-2)</f>
        <v>70100</v>
      </c>
      <c r="U136">
        <f>ROUND(SUM(P136+Q136+R136+S136), -2)</f>
        <v>201600</v>
      </c>
      <c r="V136">
        <f>ROUND(P136+Q136+R136+T136, -2)</f>
        <v>245400</v>
      </c>
      <c r="W136">
        <v>0</v>
      </c>
      <c r="X136">
        <f>U136*0.038</f>
        <v>7660.8</v>
      </c>
      <c r="Y136">
        <f>U136*0.02</f>
        <v>4032</v>
      </c>
      <c r="Z136">
        <f>V136*0.1</f>
        <v>24540</v>
      </c>
      <c r="AA136">
        <f>U136-X136-Y136</f>
        <v>189907.2</v>
      </c>
      <c r="AB136">
        <f>V136-Z136</f>
        <v>220860</v>
      </c>
      <c r="AC136">
        <f>AA136*0.01</f>
        <v>1899.0720000000001</v>
      </c>
      <c r="AD136">
        <f>AA136-P136-AC136-Q136</f>
        <v>12663.528000000006</v>
      </c>
      <c r="AE136">
        <f>AB136-P136-Q136-AC136</f>
        <v>43616.327999999994</v>
      </c>
      <c r="AF136">
        <f>AD136/U136</f>
        <v>0.06281511904761908</v>
      </c>
      <c r="AG136">
        <f>AE136/V136</f>
        <v>0.17773564792176036</v>
      </c>
    </row>
    <row r="137">
      <c r="F137" t="str">
        <v>블루</v>
      </c>
      <c r="G137" t="str">
        <f>HYPERLINK("https://item.taobao.com/item.htm?spm=a230r.1.999.38.2d67523c6OlzIG&amp;id=574999743437&amp;ns=1#detail","A")</f>
        <v>A</v>
      </c>
      <c r="I137">
        <v>872.34</v>
      </c>
      <c r="J137">
        <f>IF(K137&gt;0,K137*0.0625,IF(L137&gt;0,L137*2.204623,))</f>
        <v>4.40924525</v>
      </c>
      <c r="K137">
        <f>IF(L137&gt;0,L137*35.273962,IF(J137&gt;0,J137*16,))</f>
        <v>70.547924</v>
      </c>
      <c r="L137">
        <v>2</v>
      </c>
      <c r="O137">
        <f>I137+N137+M137</f>
        <v>872.34</v>
      </c>
      <c r="P137">
        <f>O137*C$3</f>
        <v>165744.6</v>
      </c>
      <c r="Q137">
        <f>ROUNDUP(HLOOKUP(IF(CEILING(L137,0.5)&lt;1,1,CEILING(L137,0.5)),'배송비 조회'!A$32:AY$36,2,0),-2)</f>
        <v>9600</v>
      </c>
      <c r="R137">
        <v>0</v>
      </c>
      <c r="S137">
        <f>ROUND((P137+Q137)*0.15,-2)</f>
        <v>26300</v>
      </c>
      <c r="T137">
        <f>ROUND((P137+Q137)*0.4,-2)</f>
        <v>70100</v>
      </c>
      <c r="U137">
        <f>ROUND(SUM(P137+Q137+R137+S137), -2)</f>
        <v>201600</v>
      </c>
      <c r="V137">
        <f>ROUND(P137+Q137+R137+T137, -2)</f>
        <v>245400</v>
      </c>
      <c r="W137">
        <v>0</v>
      </c>
      <c r="X137">
        <f>U137*0.038</f>
        <v>7660.8</v>
      </c>
      <c r="Y137">
        <f>U137*0.02</f>
        <v>4032</v>
      </c>
      <c r="Z137">
        <f>V137*0.1</f>
        <v>24540</v>
      </c>
      <c r="AA137">
        <f>U137-X137-Y137</f>
        <v>189907.2</v>
      </c>
      <c r="AB137">
        <f>V137-Z137</f>
        <v>220860</v>
      </c>
      <c r="AC137">
        <f>AA137*0.01</f>
        <v>1899.0720000000001</v>
      </c>
      <c r="AD137">
        <f>AA137-P137-AC137-Q137</f>
        <v>12663.528000000006</v>
      </c>
      <c r="AE137">
        <f>AB137-P137-Q137-AC137</f>
        <v>43616.327999999994</v>
      </c>
      <c r="AF137">
        <f>AD137/U137</f>
        <v>0.06281511904761908</v>
      </c>
      <c r="AG137">
        <f>AE137/V137</f>
        <v>0.17773564792176036</v>
      </c>
    </row>
    <row r="138">
      <c r="A138" t="str">
        <f>HYPERLINK("https://smartstore.naver.com/brickstore2019/products/4749026802","4749026802")</f>
        <v>4749026802</v>
      </c>
      <c r="C138" t="str">
        <v>씨투써밋클로스라인 캠핑 배낭여행 튼튼한 빨랫줄</v>
      </c>
      <c r="G138" t="str">
        <f>HYPERLINK("https://item.taobao.com/item.htm?spm=a230r.1.14.86.715e7a524fghF8&amp;id=42751683623&amp;ns=1&amp;abbucket=13#detail","T")</f>
        <v>T</v>
      </c>
      <c r="I138">
        <v>70</v>
      </c>
      <c r="J138">
        <f>IF(K138&gt;0,K138*0.0625,IF(L138&gt;0,L138*2.204623,))</f>
        <v>2.1875</v>
      </c>
      <c r="K138">
        <v>35</v>
      </c>
      <c r="L138">
        <f>IF(J138&gt;0,J138*0.453592,IF(K138&gt;0,K138*0.02835,))</f>
        <v>0.9922325</v>
      </c>
      <c r="M138">
        <v>0</v>
      </c>
      <c r="N138">
        <v>0</v>
      </c>
      <c r="O138">
        <f>I138+N138+M138</f>
        <v>70</v>
      </c>
      <c r="P138">
        <f>O138*C$3</f>
        <v>13300</v>
      </c>
      <c r="Q138">
        <f>ROUNDUP(HLOOKUP(IF(CEILING(L138,0.5)&lt;1,1,CEILING(L138,0.5)),'배송비 조회'!A$32:AY$36,2,0),-2)</f>
        <v>8000</v>
      </c>
      <c r="R138">
        <v>0</v>
      </c>
      <c r="S138">
        <f>ROUND((P138+Q138)*0.32,-2)</f>
        <v>6800</v>
      </c>
      <c r="T138">
        <f>ROUND((P138+Q138)*0.7,-2)</f>
        <v>14900</v>
      </c>
      <c r="U138">
        <f>ROUND(SUM(P138+Q138+R138+S138), -2)</f>
        <v>28100</v>
      </c>
      <c r="V138">
        <f>ROUND(P138+Q138+R138+T138, -2)</f>
        <v>36200</v>
      </c>
      <c r="W138">
        <v>0</v>
      </c>
      <c r="X138">
        <f>U138*0.038</f>
        <v>1067.8</v>
      </c>
      <c r="Y138">
        <f>U138*0.02</f>
        <v>562</v>
      </c>
      <c r="Z138">
        <f>V138*0.1</f>
        <v>3620</v>
      </c>
      <c r="AA138">
        <f>U138-X138-Y138</f>
        <v>26470.2</v>
      </c>
      <c r="AB138">
        <f>V138-Z138</f>
        <v>32580</v>
      </c>
      <c r="AC138">
        <f>AA138*0.01</f>
        <v>264.702</v>
      </c>
      <c r="AD138">
        <f>AA138-P138-AC138-Q138</f>
        <v>4905.498000000001</v>
      </c>
      <c r="AE138">
        <f>AB138-P138-Q138-AC138</f>
        <v>11015.298</v>
      </c>
      <c r="AF138">
        <f>AD138/U138</f>
        <v>0.17457288256227763</v>
      </c>
      <c r="AG138">
        <f>AE138/V138</f>
        <v>0.30429</v>
      </c>
      <c r="AH138">
        <v>10000</v>
      </c>
      <c r="AI138">
        <f>U138-AH138</f>
        <v>18100</v>
      </c>
    </row>
    <row r="139">
      <c r="A139" t="str">
        <f>HYPERLINK("https://smartstore.naver.com/brickstore2019/products/4763555885","4763555885")</f>
        <v>4763555885</v>
      </c>
      <c r="C139" t="str">
        <v>샤오미 포켓 포토 스마트폰 사진 인화 휴대용 포토프린터</v>
      </c>
      <c r="F139" t="str">
        <v>프린터</v>
      </c>
      <c r="G139" t="str">
        <f>HYPERLINK("https://detail.tmall.com/item.htm?spm=a230r.1.14.20.1fe449ecnz9iCf&amp;id=604357934536&amp;ns=1&amp;abbucket=7&amp;skuId=4404521139055","A")</f>
        <v>A</v>
      </c>
      <c r="I139">
        <v>300</v>
      </c>
      <c r="J139">
        <f>IF(K139&gt;0,K139*0.0625,IF(L139&gt;0,L139*2.204623,))</f>
        <v>2.1875</v>
      </c>
      <c r="K139">
        <v>35</v>
      </c>
      <c r="L139">
        <f>IF(J139&gt;0,J139*0.453592,IF(K139&gt;0,K139*0.02835,))</f>
        <v>0.9922325</v>
      </c>
      <c r="M139">
        <v>0</v>
      </c>
      <c r="N139">
        <v>0</v>
      </c>
      <c r="O139">
        <f>I139+N139+M139</f>
        <v>300</v>
      </c>
      <c r="P139">
        <f>O139*C$3</f>
        <v>57000</v>
      </c>
      <c r="Q139">
        <f>ROUNDUP(HLOOKUP(IF(CEILING(L139,0.5)&lt;1,1,CEILING(L139,0.5)),'배송비 조회'!A$32:AY$36,2,0),-2)</f>
        <v>8000</v>
      </c>
      <c r="R139">
        <v>0</v>
      </c>
      <c r="S139">
        <f>ROUND((P139+Q139)*0.2,-2)</f>
        <v>13000</v>
      </c>
      <c r="T139">
        <f>ROUND((P139+Q139)*0.7,-2)</f>
        <v>45500</v>
      </c>
      <c r="U139">
        <f>ROUND(SUM(P139+Q139+R139+S139), -2)</f>
        <v>78000</v>
      </c>
      <c r="V139">
        <f>ROUND(P139+Q139+R139+T139, -2)</f>
        <v>110500</v>
      </c>
      <c r="W139">
        <v>0</v>
      </c>
      <c r="X139">
        <f>U139*0.038</f>
        <v>2964</v>
      </c>
      <c r="Y139">
        <f>U139*0.02</f>
        <v>1560</v>
      </c>
      <c r="Z139">
        <f>V139*0.1</f>
        <v>11050</v>
      </c>
      <c r="AA139">
        <f>U139-X139-Y139</f>
        <v>73476</v>
      </c>
      <c r="AB139">
        <f>V139-Z139</f>
        <v>99450</v>
      </c>
      <c r="AC139">
        <f>AA139*0.01</f>
        <v>734.76</v>
      </c>
      <c r="AD139">
        <f>AA139-P139-AC139-Q139</f>
        <v>7741.24</v>
      </c>
      <c r="AE139">
        <f>AB139-P139-Q139-AC139</f>
        <v>33715.24</v>
      </c>
      <c r="AF139">
        <f>AD139/U139</f>
        <v>0.09924666666666666</v>
      </c>
      <c r="AG139">
        <f>AE139/V139</f>
        <v>0.30511529411764704</v>
      </c>
      <c r="AH139">
        <v>15000</v>
      </c>
      <c r="AI139">
        <f>U139-AH139</f>
        <v>63000</v>
      </c>
    </row>
    <row r="140">
      <c r="F140" t="str">
        <v>프린터+인화지20매</v>
      </c>
      <c r="G140" t="str">
        <f>HYPERLINK("https://detail.tmall.com/item.htm?spm=a230r.1.14.20.1fe449ecnz9iCf&amp;id=604357934536&amp;ns=1&amp;abbucket=7&amp;skuId=4404521139056","A")</f>
        <v>A</v>
      </c>
      <c r="I140">
        <v>350</v>
      </c>
      <c r="J140">
        <f>IF(K140&gt;0,K140*0.0625,IF(L140&gt;0,L140*2.204623,))</f>
        <v>2.1875</v>
      </c>
      <c r="K140">
        <v>35</v>
      </c>
      <c r="L140">
        <f>IF(J140&gt;0,J140*0.453592,IF(K140&gt;0,K140*0.02835,))</f>
        <v>0.9922325</v>
      </c>
      <c r="M140">
        <v>0</v>
      </c>
      <c r="N140">
        <v>0</v>
      </c>
      <c r="O140">
        <f>I140+N140+M140</f>
        <v>350</v>
      </c>
      <c r="P140">
        <f>O140*C$3</f>
        <v>66500</v>
      </c>
      <c r="Q140">
        <f>ROUNDUP(HLOOKUP(IF(CEILING(L140,0.5)&lt;1,1,CEILING(L140,0.5)),'배송비 조회'!A$32:AY$36,2,0),-2)</f>
        <v>8000</v>
      </c>
      <c r="R140">
        <v>0</v>
      </c>
      <c r="S140">
        <f>ROUND((P140+Q140)*0.2,-2)</f>
        <v>14900</v>
      </c>
      <c r="T140">
        <f>ROUND((P140+Q140)*0.7,-2)</f>
        <v>52200</v>
      </c>
      <c r="U140">
        <f>ROUND(SUM(P140+Q140+R140+S140), -2)</f>
        <v>89400</v>
      </c>
      <c r="V140">
        <f>ROUND(P140+Q140+R140+T140, -2)</f>
        <v>126700</v>
      </c>
      <c r="W140">
        <v>0</v>
      </c>
      <c r="X140">
        <f>U140*0.038</f>
        <v>3397.2</v>
      </c>
      <c r="Y140">
        <f>U140*0.02</f>
        <v>1788</v>
      </c>
      <c r="Z140">
        <f>V140*0.1</f>
        <v>12670</v>
      </c>
      <c r="AA140">
        <f>U140-X140-Y140</f>
        <v>84214.8</v>
      </c>
      <c r="AB140">
        <f>V140-Z140</f>
        <v>114030</v>
      </c>
      <c r="AC140">
        <f>AA140*0.01</f>
        <v>842.148</v>
      </c>
      <c r="AD140">
        <f>AA140-P140-AC140-Q140</f>
        <v>8872.652000000002</v>
      </c>
      <c r="AE140">
        <f>AB140-P140-Q140-AC140</f>
        <v>38687.852</v>
      </c>
      <c r="AF140">
        <f>AD140/U140</f>
        <v>0.09924666666666669</v>
      </c>
      <c r="AG140">
        <f>AE140/V140</f>
        <v>0.3053500552486188</v>
      </c>
      <c r="AH140">
        <v>15000</v>
      </c>
      <c r="AI140">
        <f>U140-AH140</f>
        <v>74400</v>
      </c>
      <c r="AJ140">
        <f>AI140-AI139</f>
        <v>11400</v>
      </c>
    </row>
    <row r="141">
      <c r="A141" t="str">
        <f>HYPERLINK("https://smartstore.naver.com/brickstore2019/products/4764764662","4764764662")</f>
        <v>4764764662</v>
      </c>
      <c r="C141" t="str">
        <v>숫자틀 숫자케이크틀 생일케이크만들기</v>
      </c>
      <c r="F141" t="str">
        <v>6인치</v>
      </c>
      <c r="G141" t="str">
        <f>HYPERLINK("https://item.taobao.com/item.htm?spm=a230r.1.999.1.66f4523cDscmoV&amp;id=566303899120&amp;ns=1#detail","A")</f>
        <v>A</v>
      </c>
      <c r="I141">
        <v>240</v>
      </c>
      <c r="J141">
        <f>IF(K141&gt;0,K141*0.0625,IF(L141&gt;0,L141*2.204623,))</f>
        <v>2.1875</v>
      </c>
      <c r="K141">
        <v>35</v>
      </c>
      <c r="L141">
        <f>IF(J141&gt;0,J141*0.453592,IF(K141&gt;0,K141*0.02835,))</f>
        <v>0.9922325</v>
      </c>
      <c r="M141">
        <v>0</v>
      </c>
      <c r="N141">
        <v>0</v>
      </c>
      <c r="O141">
        <f>I141+N141+M141</f>
        <v>240</v>
      </c>
      <c r="P141">
        <f>O141*C$3</f>
        <v>45600</v>
      </c>
      <c r="Q141">
        <f>ROUNDUP(HLOOKUP(IF(CEILING(L141,0.5)&lt;1,1,CEILING(L141,0.5)),'배송비 조회'!A$32:AY$36,2,0),-2)</f>
        <v>8000</v>
      </c>
      <c r="R141">
        <v>0</v>
      </c>
      <c r="S141">
        <f>ROUND((P141+Q141)*0.2,-2)</f>
        <v>10700</v>
      </c>
      <c r="T141">
        <f>ROUND((P141+Q141)*0.7,-2)</f>
        <v>37500</v>
      </c>
      <c r="U141">
        <f>ROUND(SUM(P141+Q141+R141+S141), -2)</f>
        <v>64300</v>
      </c>
      <c r="V141">
        <f>ROUND(P141+Q141+R141+T141, -2)</f>
        <v>91100</v>
      </c>
      <c r="W141">
        <v>0</v>
      </c>
      <c r="X141">
        <f>U141*0.038</f>
        <v>2443.4</v>
      </c>
      <c r="Y141">
        <f>U141*0.02</f>
        <v>1286</v>
      </c>
      <c r="Z141">
        <f>V141*0.1</f>
        <v>9110</v>
      </c>
      <c r="AA141">
        <f>U141-X141-Y141</f>
        <v>60570.6</v>
      </c>
      <c r="AB141">
        <f>V141-Z141</f>
        <v>81990</v>
      </c>
      <c r="AC141">
        <f>AA141*0.01</f>
        <v>605.706</v>
      </c>
      <c r="AD141">
        <f>AA141-P141-AC141-Q141</f>
        <v>6364.893999999998</v>
      </c>
      <c r="AE141">
        <f>AB141-P141-Q141-AC141</f>
        <v>27784.294</v>
      </c>
      <c r="AF141">
        <f>AD141/U141</f>
        <v>0.09898746500777603</v>
      </c>
      <c r="AG141">
        <f>AE141/V141</f>
        <v>0.30498676180021955</v>
      </c>
      <c r="AH141">
        <v>10000</v>
      </c>
      <c r="AI141">
        <f>U141-AH141</f>
        <v>54300</v>
      </c>
    </row>
    <row r="142">
      <c r="F142" t="str">
        <v>8인치</v>
      </c>
      <c r="G142" t="str">
        <f>HYPERLINK("https://item.taobao.com/item.htm?spm=a230r.1.999.1.66f4523cDscmoV&amp;id=566303899120&amp;ns=1#detail","A")</f>
        <v>A</v>
      </c>
      <c r="I142">
        <v>255</v>
      </c>
      <c r="J142">
        <f>IF(K142&gt;0,K142*0.0625,IF(L142&gt;0,L142*2.204623,))</f>
        <v>2.1875</v>
      </c>
      <c r="K142">
        <v>35</v>
      </c>
      <c r="L142">
        <f>IF(J142&gt;0,J142*0.453592,IF(K142&gt;0,K142*0.02835,))</f>
        <v>0.9922325</v>
      </c>
      <c r="M142">
        <v>0</v>
      </c>
      <c r="N142">
        <v>0</v>
      </c>
      <c r="O142">
        <f>I142+N142+M142</f>
        <v>255</v>
      </c>
      <c r="P142">
        <f>O142*C$3</f>
        <v>48450</v>
      </c>
      <c r="Q142">
        <f>ROUNDUP(HLOOKUP(IF(CEILING(L142,0.5)&lt;1,1,CEILING(L142,0.5)),'배송비 조회'!A$32:AY$36,2,0),-2)</f>
        <v>8000</v>
      </c>
      <c r="R142">
        <v>0</v>
      </c>
      <c r="S142">
        <f>ROUND((P142+Q142)*0.25,-2)</f>
        <v>14100</v>
      </c>
      <c r="T142">
        <f>ROUND((P142+Q142)*0.7,-2)</f>
        <v>39500</v>
      </c>
      <c r="U142">
        <f>ROUND(SUM(P142+Q142+R142+S142), -2)</f>
        <v>70600</v>
      </c>
      <c r="V142">
        <f>ROUND(P142+Q142+R142+T142, -2)</f>
        <v>96000</v>
      </c>
      <c r="W142">
        <v>0</v>
      </c>
      <c r="X142">
        <f>U142*0.038</f>
        <v>2682.7999999999997</v>
      </c>
      <c r="Y142">
        <f>U142*0.02</f>
        <v>1412</v>
      </c>
      <c r="Z142">
        <f>V142*0.1</f>
        <v>9600</v>
      </c>
      <c r="AA142">
        <f>U142-X142-Y142</f>
        <v>66505.2</v>
      </c>
      <c r="AB142">
        <f>V142-Z142</f>
        <v>86400</v>
      </c>
      <c r="AC142">
        <f>AA142*0.01</f>
        <v>665.052</v>
      </c>
      <c r="AD142">
        <f>AA142-P142-AC142-Q142</f>
        <v>9390.147999999997</v>
      </c>
      <c r="AE142">
        <f>AB142-P142-Q142-AC142</f>
        <v>29284.948</v>
      </c>
      <c r="AF142">
        <f>AD142/U142</f>
        <v>0.1330049291784702</v>
      </c>
      <c r="AG142">
        <f>AE142/V142</f>
        <v>0.30505154166666665</v>
      </c>
      <c r="AH142">
        <v>10000</v>
      </c>
      <c r="AI142">
        <f>U142-AH142</f>
        <v>60600</v>
      </c>
      <c r="AJ142">
        <f>AI142-AI141</f>
        <v>6300</v>
      </c>
    </row>
    <row r="143">
      <c r="F143" t="str">
        <v>10인치</v>
      </c>
      <c r="G143" t="str">
        <f>HYPERLINK("https://item.taobao.com/item.htm?spm=a230r.1.999.1.66f4523cDscmoV&amp;id=566303899120&amp;ns=1#detail","A")</f>
        <v>A</v>
      </c>
      <c r="I143">
        <v>290</v>
      </c>
      <c r="J143">
        <f>IF(K143&gt;0,K143*0.0625,IF(L143&gt;0,L143*2.204623,))</f>
        <v>2.1875</v>
      </c>
      <c r="K143">
        <v>35</v>
      </c>
      <c r="L143">
        <f>IF(J143&gt;0,J143*0.453592,IF(K143&gt;0,K143*0.02835,))</f>
        <v>0.9922325</v>
      </c>
      <c r="M143">
        <v>0</v>
      </c>
      <c r="N143">
        <v>0</v>
      </c>
      <c r="O143">
        <f>I143+N143+M143</f>
        <v>290</v>
      </c>
      <c r="P143">
        <f>O143*C$3</f>
        <v>55100</v>
      </c>
      <c r="Q143">
        <f>ROUNDUP(HLOOKUP(IF(CEILING(L143,0.5)&lt;1,1,CEILING(L143,0.5)),'배송비 조회'!A$32:AY$36,2,0),-2)</f>
        <v>8000</v>
      </c>
      <c r="R143">
        <v>0</v>
      </c>
      <c r="S143">
        <f>ROUND((P143+Q143)*0.25,-2)</f>
        <v>15800</v>
      </c>
      <c r="T143">
        <f>ROUND((P143+Q143)*0.7,-2)</f>
        <v>44200</v>
      </c>
      <c r="U143">
        <f>ROUND(SUM(P143+Q143+R143+S143), -2)</f>
        <v>78900</v>
      </c>
      <c r="V143">
        <f>ROUND(P143+Q143+R143+T143, -2)</f>
        <v>107300</v>
      </c>
      <c r="W143">
        <v>0</v>
      </c>
      <c r="X143">
        <f>U143*0.038</f>
        <v>2998.2</v>
      </c>
      <c r="Y143">
        <f>U143*0.02</f>
        <v>1578</v>
      </c>
      <c r="Z143">
        <f>V143*0.1</f>
        <v>10730</v>
      </c>
      <c r="AA143">
        <f>U143-X143-Y143</f>
        <v>74323.8</v>
      </c>
      <c r="AB143">
        <f>V143-Z143</f>
        <v>96570</v>
      </c>
      <c r="AC143">
        <f>AA143*0.01</f>
        <v>743.238</v>
      </c>
      <c r="AD143">
        <f>AA143-P143-AC143-Q143</f>
        <v>10480.562000000002</v>
      </c>
      <c r="AE143">
        <f>AB143-P143-Q143-AC143</f>
        <v>32726.762</v>
      </c>
      <c r="AF143">
        <f>AD143/U143</f>
        <v>0.13283348542458812</v>
      </c>
      <c r="AG143">
        <f>AE143/V143</f>
        <v>0.3050024417520969</v>
      </c>
      <c r="AH143">
        <v>10000</v>
      </c>
      <c r="AI143">
        <f>U143-AH143</f>
        <v>68900</v>
      </c>
      <c r="AJ143">
        <f>AI143-AI141</f>
        <v>14600</v>
      </c>
    </row>
    <row r="144">
      <c r="F144" t="str">
        <v>12인치</v>
      </c>
      <c r="G144" t="str">
        <f>HYPERLINK("https://item.taobao.com/item.htm?spm=a230r.1.999.1.66f4523cDscmoV&amp;id=566303899120&amp;ns=1#detail","A")</f>
        <v>A</v>
      </c>
      <c r="I144">
        <v>300</v>
      </c>
      <c r="J144">
        <f>IF(K144&gt;0,K144*0.0625,IF(L144&gt;0,L144*2.204623,))</f>
        <v>2.1875</v>
      </c>
      <c r="K144">
        <v>35</v>
      </c>
      <c r="L144">
        <f>IF(J144&gt;0,J144*0.453592,IF(K144&gt;0,K144*0.02835,))</f>
        <v>0.9922325</v>
      </c>
      <c r="M144">
        <v>0</v>
      </c>
      <c r="N144">
        <v>0</v>
      </c>
      <c r="O144">
        <f>I144+N144+M144</f>
        <v>300</v>
      </c>
      <c r="P144">
        <f>O144*C$3</f>
        <v>57000</v>
      </c>
      <c r="Q144">
        <f>ROUNDUP(HLOOKUP(IF(CEILING(L144,0.5)&lt;1,1,CEILING(L144,0.5)),'배송비 조회'!A$32:AY$36,2,0),-2)</f>
        <v>8000</v>
      </c>
      <c r="R144">
        <v>0</v>
      </c>
      <c r="S144">
        <f>ROUND((P144+Q144)*0.25,-2)</f>
        <v>16300</v>
      </c>
      <c r="T144">
        <f>ROUND((P144+Q144)*0.7,-2)</f>
        <v>45500</v>
      </c>
      <c r="U144">
        <f>ROUND(SUM(P144+Q144+R144+S144), -2)</f>
        <v>81300</v>
      </c>
      <c r="V144">
        <f>ROUND(P144+Q144+R144+T144, -2)</f>
        <v>110500</v>
      </c>
      <c r="W144">
        <v>0</v>
      </c>
      <c r="X144">
        <f>U144*0.038</f>
        <v>3089.4</v>
      </c>
      <c r="Y144">
        <f>U144*0.02</f>
        <v>1626</v>
      </c>
      <c r="Z144">
        <f>V144*0.1</f>
        <v>11050</v>
      </c>
      <c r="AA144">
        <f>U144-X144-Y144</f>
        <v>76584.6</v>
      </c>
      <c r="AB144">
        <f>V144-Z144</f>
        <v>99450</v>
      </c>
      <c r="AC144">
        <f>AA144*0.01</f>
        <v>765.8460000000001</v>
      </c>
      <c r="AD144">
        <f>AA144-P144-AC144-Q144</f>
        <v>10818.754000000004</v>
      </c>
      <c r="AE144">
        <f>AB144-P144-Q144-AC144</f>
        <v>33684.154</v>
      </c>
      <c r="AF144">
        <f>AD144/U144</f>
        <v>0.13307200492004925</v>
      </c>
      <c r="AG144">
        <f>AE144/V144</f>
        <v>0.30483397285067876</v>
      </c>
      <c r="AH144">
        <v>10000</v>
      </c>
      <c r="AI144">
        <f>U144-AH144</f>
        <v>71300</v>
      </c>
      <c r="AJ144">
        <f>AI144-AI141</f>
        <v>17000</v>
      </c>
    </row>
    <row r="145">
      <c r="F145" t="str">
        <v>14인치</v>
      </c>
      <c r="G145" t="str">
        <f>HYPERLINK("https://item.taobao.com/item.htm?spm=a230r.1.999.1.66f4523cDscmoV&amp;id=566303899120&amp;ns=1#detail","A")</f>
        <v>A</v>
      </c>
      <c r="I145">
        <v>320</v>
      </c>
      <c r="J145">
        <f>IF(K145&gt;0,K145*0.0625,IF(L145&gt;0,L145*2.204623,))</f>
        <v>2.1875</v>
      </c>
      <c r="K145">
        <v>35</v>
      </c>
      <c r="L145">
        <f>IF(J145&gt;0,J145*0.453592,IF(K145&gt;0,K145*0.02835,))</f>
        <v>0.9922325</v>
      </c>
      <c r="M145">
        <v>0</v>
      </c>
      <c r="N145">
        <v>0</v>
      </c>
      <c r="O145">
        <f>I145+N145+M145</f>
        <v>320</v>
      </c>
      <c r="P145">
        <f>O145*C$3</f>
        <v>60800</v>
      </c>
      <c r="Q145">
        <f>ROUNDUP(HLOOKUP(IF(CEILING(L145,0.5)&lt;1,1,CEILING(L145,0.5)),'배송비 조회'!A$32:AY$36,2,0),-2)</f>
        <v>8000</v>
      </c>
      <c r="R145">
        <v>0</v>
      </c>
      <c r="S145">
        <f>ROUND((P145+Q145)*0.25,-2)</f>
        <v>17200</v>
      </c>
      <c r="T145">
        <f>ROUND((P145+Q145)*0.7,-2)</f>
        <v>48200</v>
      </c>
      <c r="U145">
        <f>ROUND(SUM(P145+Q145+R145+S145), -2)</f>
        <v>86000</v>
      </c>
      <c r="V145">
        <f>ROUND(P145+Q145+R145+T145, -2)</f>
        <v>117000</v>
      </c>
      <c r="W145">
        <v>0</v>
      </c>
      <c r="X145">
        <f>U145*0.038</f>
        <v>3268</v>
      </c>
      <c r="Y145">
        <f>U145*0.02</f>
        <v>1720</v>
      </c>
      <c r="Z145">
        <f>V145*0.1</f>
        <v>11700</v>
      </c>
      <c r="AA145">
        <f>U145-X145-Y145</f>
        <v>81012</v>
      </c>
      <c r="AB145">
        <f>V145-Z145</f>
        <v>105300</v>
      </c>
      <c r="AC145">
        <f>AA145*0.01</f>
        <v>810.12</v>
      </c>
      <c r="AD145">
        <f>AA145-P145-AC145-Q145</f>
        <v>11401.880000000001</v>
      </c>
      <c r="AE145">
        <f>AB145-P145-Q145-AC145</f>
        <v>35689.88</v>
      </c>
      <c r="AF145">
        <f>AD145/U145</f>
        <v>0.13258</v>
      </c>
      <c r="AG145">
        <f>AE145/V145</f>
        <v>0.3050417094017094</v>
      </c>
      <c r="AH145">
        <v>10000</v>
      </c>
      <c r="AI145">
        <f>U145-AH145</f>
        <v>76000</v>
      </c>
      <c r="AJ145">
        <f>AI145-AI141</f>
        <v>21700</v>
      </c>
    </row>
    <row r="146">
      <c r="A146" t="str">
        <f>HYPERLINK("https://smartstore.naver.com/brickstore2019/products/4765955770","4765955770")</f>
        <v>4765955770</v>
      </c>
      <c r="C146" t="str">
        <v>로미아스깍지 2세트 모양깍지 꽃잎 모양 쿠키만들기</v>
      </c>
      <c r="G146" t="str">
        <f>HYPERLINK("https://detail.tmall.com/item.htm?spm=a230r.1.999.1.3021523cBrJGfJ&amp;id=551113051104&amp;ns=1","A")</f>
        <v>A</v>
      </c>
      <c r="I146">
        <v>15</v>
      </c>
      <c r="J146">
        <f>IF(K146&gt;0,K146*0.0625,IF(L146&gt;0,L146*2.204623,))</f>
        <v>2.1875</v>
      </c>
      <c r="K146">
        <v>35</v>
      </c>
      <c r="L146">
        <f>IF(J146&gt;0,J146*0.453592,IF(K146&gt;0,K146*0.02835,))</f>
        <v>0.9922325</v>
      </c>
      <c r="M146">
        <v>0</v>
      </c>
      <c r="N146">
        <v>0</v>
      </c>
      <c r="O146">
        <f>I146+N146+M146</f>
        <v>15</v>
      </c>
      <c r="P146">
        <f>O146*C$3</f>
        <v>2850</v>
      </c>
      <c r="Q146">
        <f>ROUNDUP(HLOOKUP(IF(CEILING(L146,0.5)&lt;1,1,CEILING(L146,0.5)),'배송비 조회'!A$32:AY$36,2,0),-2)</f>
        <v>8000</v>
      </c>
      <c r="R146">
        <v>0</v>
      </c>
      <c r="S146">
        <f>ROUND((P146+Q146)*0.4,-2)</f>
        <v>4300</v>
      </c>
      <c r="T146">
        <f>ROUND((P146+Q146)*0.7,-2)</f>
        <v>7600</v>
      </c>
      <c r="U146">
        <f>ROUND(SUM(P146+Q146+R146+S146), -2)</f>
        <v>15200</v>
      </c>
      <c r="V146">
        <f>ROUND(P146+Q146+R146+T146, -2)</f>
        <v>18500</v>
      </c>
      <c r="W146">
        <v>0</v>
      </c>
      <c r="X146">
        <f>U146*0.038</f>
        <v>577.6</v>
      </c>
      <c r="Y146">
        <f>U146*0.02</f>
        <v>304</v>
      </c>
      <c r="Z146">
        <f>V146*0.1</f>
        <v>1850</v>
      </c>
      <c r="AA146">
        <f>U146-X146-Y146</f>
        <v>14318.4</v>
      </c>
      <c r="AB146">
        <f>V146-Z146</f>
        <v>16650</v>
      </c>
      <c r="AC146">
        <f>AA146*0.01</f>
        <v>143.184</v>
      </c>
      <c r="AD146">
        <f>AA146-P146-AC146-Q146</f>
        <v>3325.2160000000003</v>
      </c>
      <c r="AE146">
        <f>AB146-P146-Q146-AC146</f>
        <v>5656.816</v>
      </c>
      <c r="AF146">
        <f>AD146/U146</f>
        <v>0.2187642105263158</v>
      </c>
      <c r="AG146">
        <f>AE146/V146</f>
        <v>0.30577383783783785</v>
      </c>
      <c r="AH146">
        <v>10000</v>
      </c>
      <c r="AI146">
        <f>U146-AH146</f>
        <v>5200</v>
      </c>
    </row>
    <row r="147">
      <c r="A147" t="str">
        <f>HYPERLINK("https://smartstore.naver.com/brickstore2019/products/4769701292","4769701292")</f>
        <v>4769701292</v>
      </c>
      <c r="C147" t="str">
        <v>롱부츠흘러내림 방지 부츠 미끄럼 고정 스티커</v>
      </c>
      <c r="F147" t="str">
        <v>스티커 8개</v>
      </c>
      <c r="G147" t="str">
        <f>HYPERLINK("https://detail.tmall.com/item.htm?spm=a230r.1.14.6.5cdf1ae7shIjM8&amp;id=586101427815&amp;cm_id=140105335569ed55e27b&amp;abbucket=7&amp;skuId=3974024429620","A")</f>
        <v>A</v>
      </c>
      <c r="I147">
        <v>20</v>
      </c>
      <c r="J147">
        <f>IF(K147&gt;0,K147*0.0625,IF(L147&gt;0,L147*2.204623,))</f>
        <v>2.1875</v>
      </c>
      <c r="K147">
        <v>35</v>
      </c>
      <c r="L147">
        <f>IF(J147&gt;0,J147*0.453592,IF(K147&gt;0,K147*0.02835,))</f>
        <v>0.9922325</v>
      </c>
      <c r="M147">
        <v>0</v>
      </c>
      <c r="N147">
        <v>0</v>
      </c>
      <c r="O147">
        <f>I147+N147+M147</f>
        <v>20</v>
      </c>
      <c r="P147">
        <f>O147*C$3</f>
        <v>3800</v>
      </c>
      <c r="Q147">
        <f>ROUNDUP(HLOOKUP(IF(CEILING(L147,0.5)&lt;1,1,CEILING(L147,0.5)),'배송비 조회'!A$32:AY$36,2,0),-2)</f>
        <v>8000</v>
      </c>
      <c r="R147">
        <v>0</v>
      </c>
      <c r="S147">
        <f>ROUND((P147+Q147)*0.5,-2)</f>
        <v>5900</v>
      </c>
      <c r="T147">
        <f>ROUND((P147+Q147)*0.7,-2)</f>
        <v>8300</v>
      </c>
      <c r="U147">
        <f>ROUND(SUM(P147+Q147+R147+S147), -2)</f>
        <v>17700</v>
      </c>
      <c r="V147">
        <f>ROUND(P147+Q147+R147+T147, -2)</f>
        <v>20100</v>
      </c>
      <c r="W147">
        <v>0</v>
      </c>
      <c r="X147">
        <f>U147*0.038</f>
        <v>672.6</v>
      </c>
      <c r="Y147">
        <f>U147*0.02</f>
        <v>354</v>
      </c>
      <c r="Z147">
        <f>V147*0.1</f>
        <v>2010</v>
      </c>
      <c r="AA147">
        <f>U147-X147-Y147</f>
        <v>16673.4</v>
      </c>
      <c r="AB147">
        <f>V147-Z147</f>
        <v>18090</v>
      </c>
      <c r="AC147">
        <f>AA147*0.01</f>
        <v>166.734</v>
      </c>
      <c r="AD147">
        <f>AA147-P147-AC147-Q147</f>
        <v>4706.666000000001</v>
      </c>
      <c r="AE147">
        <f>AB147-P147-Q147-AC147</f>
        <v>6123.266</v>
      </c>
      <c r="AF147">
        <f>AD147/U147</f>
        <v>0.2659133333333334</v>
      </c>
      <c r="AG147">
        <f>AE147/V147</f>
        <v>0.30464009950248755</v>
      </c>
      <c r="AH147">
        <v>10000</v>
      </c>
      <c r="AI147">
        <f>U147-AH147</f>
        <v>7700</v>
      </c>
    </row>
    <row r="148">
      <c r="F148" t="str">
        <v>스티커 18개</v>
      </c>
      <c r="G148" t="str">
        <f>HYPERLINK("https://detail.tmall.com/item.htm?spm=a230r.1.14.6.5cdf1ae7shIjM8&amp;id=586101427815&amp;cm_id=140105335569ed55e27b&amp;abbucket=7&amp;skuId=3974024429621","A")</f>
        <v>A</v>
      </c>
      <c r="I148">
        <v>25</v>
      </c>
      <c r="J148">
        <f>IF(K148&gt;0,K148*0.0625,IF(L148&gt;0,L148*2.204623,))</f>
        <v>2.1875</v>
      </c>
      <c r="K148">
        <v>35</v>
      </c>
      <c r="L148">
        <f>IF(J148&gt;0,J148*0.453592,IF(K148&gt;0,K148*0.02835,))</f>
        <v>0.9922325</v>
      </c>
      <c r="M148">
        <v>0</v>
      </c>
      <c r="N148">
        <v>0</v>
      </c>
      <c r="O148">
        <f>I148+N148+M148</f>
        <v>25</v>
      </c>
      <c r="P148">
        <f>O148*C$3</f>
        <v>4750</v>
      </c>
      <c r="Q148">
        <f>ROUNDUP(HLOOKUP(IF(CEILING(L148,0.5)&lt;1,1,CEILING(L148,0.5)),'배송비 조회'!A$32:AY$36,2,0),-2)</f>
        <v>8000</v>
      </c>
      <c r="R148">
        <v>0</v>
      </c>
      <c r="S148">
        <f>ROUND((P148+Q148)*0.5,-2)</f>
        <v>6400</v>
      </c>
      <c r="T148">
        <f>ROUND((P148+Q148)*0.7,-2)</f>
        <v>8900</v>
      </c>
      <c r="U148">
        <f>ROUND(SUM(P148+Q148+R148+S148), -2)</f>
        <v>19200</v>
      </c>
      <c r="V148">
        <f>ROUND(P148+Q148+R148+T148, -2)</f>
        <v>21700</v>
      </c>
      <c r="W148">
        <v>0</v>
      </c>
      <c r="X148">
        <f>U148*0.038</f>
        <v>729.6</v>
      </c>
      <c r="Y148">
        <f>U148*0.02</f>
        <v>384</v>
      </c>
      <c r="Z148">
        <f>V148*0.1</f>
        <v>2170</v>
      </c>
      <c r="AA148">
        <f>U148-X148-Y148</f>
        <v>18086.4</v>
      </c>
      <c r="AB148">
        <f>V148-Z148</f>
        <v>19530</v>
      </c>
      <c r="AC148">
        <f>AA148*0.01</f>
        <v>180.864</v>
      </c>
      <c r="AD148">
        <f>AA148-P148-AC148-Q148</f>
        <v>5155.536000000002</v>
      </c>
      <c r="AE148">
        <f>AB148-P148-Q148-AC148</f>
        <v>6599.136</v>
      </c>
      <c r="AF148">
        <f>AD148/U148</f>
        <v>0.2685175000000001</v>
      </c>
      <c r="AG148">
        <f>AE148/V148</f>
        <v>0.30410764976958526</v>
      </c>
      <c r="AH148">
        <v>10000</v>
      </c>
      <c r="AI148">
        <f>U148-AH148</f>
        <v>9200</v>
      </c>
      <c r="AJ148">
        <f>AI148-AI147</f>
        <v>1500</v>
      </c>
    </row>
    <row r="149">
      <c r="F149" t="str">
        <v>스티커 28개</v>
      </c>
      <c r="G149" t="str">
        <f>HYPERLINK("https://detail.tmall.com/item.htm?spm=a230r.1.14.6.5cdf1ae7shIjM8&amp;id=586101427815&amp;cm_id=140105335569ed55e27b&amp;abbucket=7&amp;skuId=3974024429622","A")</f>
        <v>A</v>
      </c>
      <c r="I149">
        <v>30</v>
      </c>
      <c r="J149">
        <f>IF(K149&gt;0,K149*0.0625,IF(L149&gt;0,L149*2.204623,))</f>
        <v>2.1875</v>
      </c>
      <c r="K149">
        <v>35</v>
      </c>
      <c r="L149">
        <f>IF(J149&gt;0,J149*0.453592,IF(K149&gt;0,K149*0.02835,))</f>
        <v>0.9922325</v>
      </c>
      <c r="M149">
        <v>0</v>
      </c>
      <c r="N149">
        <v>0</v>
      </c>
      <c r="O149">
        <f>I149+N149+M149</f>
        <v>30</v>
      </c>
      <c r="P149">
        <f>O149*C$3</f>
        <v>5700</v>
      </c>
      <c r="Q149">
        <f>ROUNDUP(HLOOKUP(IF(CEILING(L149,0.5)&lt;1,1,CEILING(L149,0.5)),'배송비 조회'!A$32:AY$36,2,0),-2)</f>
        <v>8000</v>
      </c>
      <c r="R149">
        <v>0</v>
      </c>
      <c r="S149">
        <f>ROUND((P149+Q149)*0.5,-2)</f>
        <v>6900</v>
      </c>
      <c r="T149">
        <f>ROUND((P149+Q149)*0.7,-2)</f>
        <v>9600</v>
      </c>
      <c r="U149">
        <f>ROUND(SUM(P149+Q149+R149+S149), -2)</f>
        <v>20600</v>
      </c>
      <c r="V149">
        <f>ROUND(P149+Q149+R149+T149, -2)</f>
        <v>23300</v>
      </c>
      <c r="W149">
        <v>0</v>
      </c>
      <c r="X149">
        <f>U149*0.038</f>
        <v>782.8</v>
      </c>
      <c r="Y149">
        <f>U149*0.02</f>
        <v>412</v>
      </c>
      <c r="Z149">
        <f>V149*0.1</f>
        <v>2330</v>
      </c>
      <c r="AA149">
        <f>U149-X149-Y149</f>
        <v>19405.2</v>
      </c>
      <c r="AB149">
        <f>V149-Z149</f>
        <v>20970</v>
      </c>
      <c r="AC149">
        <f>AA149*0.01</f>
        <v>194.05200000000002</v>
      </c>
      <c r="AD149">
        <f>AA149-P149-AC149-Q149</f>
        <v>5511.148000000001</v>
      </c>
      <c r="AE149">
        <f>AB149-P149-Q149-AC149</f>
        <v>7075.948</v>
      </c>
      <c r="AF149">
        <f>AD149/U149</f>
        <v>0.26753145631067965</v>
      </c>
      <c r="AG149">
        <f>AE149/V149</f>
        <v>0.3036887553648069</v>
      </c>
      <c r="AH149">
        <v>10000</v>
      </c>
      <c r="AI149">
        <f>U149-AH149</f>
        <v>10600</v>
      </c>
      <c r="AJ149">
        <f>AI149-AI147</f>
        <v>2900</v>
      </c>
    </row>
    <row r="150">
      <c r="A150" t="str">
        <f>HYPERLINK("https://smartstore.naver.com/brickstore2019/products/4770728203","4770728203")</f>
        <v>4770728203</v>
      </c>
      <c r="C150" t="str">
        <v>후리스 공룡 파자마 공룡잠옷 여성실내복 수면잠옷</v>
      </c>
      <c r="F150" t="str">
        <v>White</v>
      </c>
      <c r="G150" t="str">
        <f>HYPERLINK("https://item.taobao.com/item.htm?spm=a230r.1.999.6.23bd523cn71ysr&amp;id=608066244730&amp;ns=1#detail","A")</f>
        <v>A</v>
      </c>
      <c r="I150">
        <v>66</v>
      </c>
      <c r="J150">
        <f>IF(K150&gt;0,K150*0.0625,IF(L150&gt;0,L150*2.204623,))</f>
        <v>2.1875</v>
      </c>
      <c r="K150">
        <v>35</v>
      </c>
      <c r="L150">
        <f>IF(J150&gt;0,J150*0.453592,IF(K150&gt;0,K150*0.02835,))</f>
        <v>0.9922325</v>
      </c>
      <c r="M150">
        <v>0</v>
      </c>
      <c r="N150">
        <v>0</v>
      </c>
      <c r="O150">
        <f>I150+N150+M150</f>
        <v>66</v>
      </c>
      <c r="P150">
        <f>O150*C$3</f>
        <v>12540</v>
      </c>
      <c r="Q150">
        <f>ROUNDUP(HLOOKUP(IF(CEILING(L150,0.5)&lt;1,1,CEILING(L150,0.5)),'배송비 조회'!A$32:AY$36,2,0),-2)</f>
        <v>8000</v>
      </c>
      <c r="R150">
        <v>0</v>
      </c>
      <c r="S150">
        <f>ROUND((P150+Q150)*0.5,-2)</f>
        <v>10300</v>
      </c>
      <c r="T150">
        <f>ROUND((P150+Q150)*0.7,-2)</f>
        <v>14400</v>
      </c>
      <c r="U150">
        <f>ROUND(SUM(P150+Q150+R150+S150), -2)</f>
        <v>30800</v>
      </c>
      <c r="V150">
        <f>ROUND(P150+Q150+R150+T150, -2)</f>
        <v>34900</v>
      </c>
      <c r="W150">
        <v>0</v>
      </c>
      <c r="X150">
        <f>U150*0.038</f>
        <v>1170.3999999999999</v>
      </c>
      <c r="Y150">
        <f>U150*0.02</f>
        <v>616</v>
      </c>
      <c r="Z150">
        <f>V150*0.1</f>
        <v>3490</v>
      </c>
      <c r="AA150">
        <f>U150-X150-Y150</f>
        <v>29013.6</v>
      </c>
      <c r="AB150">
        <f>V150-Z150</f>
        <v>31410</v>
      </c>
      <c r="AC150">
        <f>AA150*0.01</f>
        <v>290.13599999999997</v>
      </c>
      <c r="AD150">
        <f>AA150-P150-AC150-Q150</f>
        <v>8183.463999999998</v>
      </c>
      <c r="AE150">
        <f>AB150-P150-Q150-AC150</f>
        <v>10579.864</v>
      </c>
      <c r="AF150">
        <f>AD150/U150</f>
        <v>0.26569688311688305</v>
      </c>
      <c r="AG150">
        <f>AE150/V150</f>
        <v>0.30314796561604584</v>
      </c>
      <c r="AH150">
        <v>10000</v>
      </c>
      <c r="AI150">
        <f>U150-AH150</f>
        <v>20800</v>
      </c>
    </row>
    <row r="151">
      <c r="F151" t="str">
        <v>Pink</v>
      </c>
      <c r="G151" t="str">
        <f>HYPERLINK("https://item.taobao.com/item.htm?spm=a230r.1.999.6.23bd523cn71ysr&amp;id=608066244730&amp;ns=1#detail","A")</f>
        <v>A</v>
      </c>
      <c r="I151">
        <v>66</v>
      </c>
      <c r="J151">
        <f>IF(K151&gt;0,K151*0.0625,IF(L151&gt;0,L151*2.204623,))</f>
        <v>2.1875</v>
      </c>
      <c r="K151">
        <v>35</v>
      </c>
      <c r="L151">
        <f>IF(J151&gt;0,J151*0.453592,IF(K151&gt;0,K151*0.02835,))</f>
        <v>0.9922325</v>
      </c>
      <c r="M151">
        <v>0</v>
      </c>
      <c r="N151">
        <v>0</v>
      </c>
      <c r="O151">
        <f>I151+N151+M151</f>
        <v>66</v>
      </c>
      <c r="P151">
        <f>O151*C$3</f>
        <v>12540</v>
      </c>
      <c r="Q151">
        <f>ROUNDUP(HLOOKUP(IF(CEILING(L151,0.5)&lt;1,1,CEILING(L151,0.5)),'배송비 조회'!A$32:AY$36,2,0),-2)</f>
        <v>8000</v>
      </c>
      <c r="R151">
        <v>0</v>
      </c>
      <c r="S151">
        <f>ROUND((P151+Q151)*0.5,-2)</f>
        <v>10300</v>
      </c>
      <c r="T151">
        <f>ROUND((P151+Q151)*0.7,-2)</f>
        <v>14400</v>
      </c>
      <c r="U151">
        <f>ROUND(SUM(P151+Q151+R151+S151), -2)</f>
        <v>30800</v>
      </c>
      <c r="V151">
        <f>ROUND(P151+Q151+R151+T151, -2)</f>
        <v>34900</v>
      </c>
      <c r="W151">
        <v>0</v>
      </c>
      <c r="X151">
        <f>U151*0.038</f>
        <v>1170.3999999999999</v>
      </c>
      <c r="Y151">
        <f>U151*0.02</f>
        <v>616</v>
      </c>
      <c r="Z151">
        <f>V151*0.1</f>
        <v>3490</v>
      </c>
      <c r="AA151">
        <f>U151-X151-Y151</f>
        <v>29013.6</v>
      </c>
      <c r="AB151">
        <f>V151-Z151</f>
        <v>31410</v>
      </c>
      <c r="AC151">
        <f>AA151*0.01</f>
        <v>290.13599999999997</v>
      </c>
      <c r="AD151">
        <f>AA151-P151-AC151-Q151</f>
        <v>8183.463999999998</v>
      </c>
      <c r="AE151">
        <f>AB151-P151-Q151-AC151</f>
        <v>10579.864</v>
      </c>
      <c r="AF151">
        <f>AD151/U151</f>
        <v>0.26569688311688305</v>
      </c>
      <c r="AG151">
        <f>AE151/V151</f>
        <v>0.30314796561604584</v>
      </c>
      <c r="AH151">
        <v>10000</v>
      </c>
      <c r="AI151">
        <f>U151-AH151</f>
        <v>20800</v>
      </c>
    </row>
    <row r="152">
      <c r="F152" t="str">
        <v>Cream</v>
      </c>
      <c r="G152" t="str">
        <f>HYPERLINK("https://item.taobao.com/item.htm?spm=a230r.1.999.6.23bd523cn71ysr&amp;id=608066244730&amp;ns=1#detail","A")</f>
        <v>A</v>
      </c>
      <c r="I152">
        <v>66</v>
      </c>
      <c r="J152">
        <f>IF(K152&gt;0,K152*0.0625,IF(L152&gt;0,L152*2.204623,))</f>
        <v>2.1875</v>
      </c>
      <c r="K152">
        <v>35</v>
      </c>
      <c r="L152">
        <f>IF(J152&gt;0,J152*0.453592,IF(K152&gt;0,K152*0.02835,))</f>
        <v>0.9922325</v>
      </c>
      <c r="M152">
        <v>0</v>
      </c>
      <c r="N152">
        <v>0</v>
      </c>
      <c r="O152">
        <f>I152+N152+M152</f>
        <v>66</v>
      </c>
      <c r="P152">
        <f>O152*C$3</f>
        <v>12540</v>
      </c>
      <c r="Q152">
        <f>ROUNDUP(HLOOKUP(IF(CEILING(L152,0.5)&lt;1,1,CEILING(L152,0.5)),'배송비 조회'!A$32:AY$36,2,0),-2)</f>
        <v>8000</v>
      </c>
      <c r="R152">
        <v>0</v>
      </c>
      <c r="S152">
        <f>ROUND((P152+Q152)*0.5,-2)</f>
        <v>10300</v>
      </c>
      <c r="T152">
        <f>ROUND((P152+Q152)*0.7,-2)</f>
        <v>14400</v>
      </c>
      <c r="U152">
        <f>ROUND(SUM(P152+Q152+R152+S152), -2)</f>
        <v>30800</v>
      </c>
      <c r="V152">
        <f>ROUND(P152+Q152+R152+T152, -2)</f>
        <v>34900</v>
      </c>
      <c r="W152">
        <v>0</v>
      </c>
      <c r="X152">
        <f>U152*0.038</f>
        <v>1170.3999999999999</v>
      </c>
      <c r="Y152">
        <f>U152*0.02</f>
        <v>616</v>
      </c>
      <c r="Z152">
        <f>V152*0.1</f>
        <v>3490</v>
      </c>
      <c r="AA152">
        <f>U152-X152-Y152</f>
        <v>29013.6</v>
      </c>
      <c r="AB152">
        <f>V152-Z152</f>
        <v>31410</v>
      </c>
      <c r="AC152">
        <f>AA152*0.01</f>
        <v>290.13599999999997</v>
      </c>
      <c r="AD152">
        <f>AA152-P152-AC152-Q152</f>
        <v>8183.463999999998</v>
      </c>
      <c r="AE152">
        <f>AB152-P152-Q152-AC152</f>
        <v>10579.864</v>
      </c>
      <c r="AF152">
        <f>AD152/U152</f>
        <v>0.26569688311688305</v>
      </c>
      <c r="AG152">
        <f>AE152/V152</f>
        <v>0.30314796561604584</v>
      </c>
      <c r="AH152">
        <v>10000</v>
      </c>
      <c r="AI152">
        <f>U152-AH152</f>
        <v>20800</v>
      </c>
    </row>
    <row r="153">
      <c r="F153" t="str">
        <v>Blue</v>
      </c>
      <c r="G153" t="str">
        <f>HYPERLINK("https://item.taobao.com/item.htm?spm=a230r.1.999.6.23bd523cn71ysr&amp;id=608066244730&amp;ns=1#detail","A")</f>
        <v>A</v>
      </c>
      <c r="I153">
        <v>66</v>
      </c>
      <c r="J153">
        <f>IF(K153&gt;0,K153*0.0625,IF(L153&gt;0,L153*2.204623,))</f>
        <v>2.1875</v>
      </c>
      <c r="K153">
        <v>35</v>
      </c>
      <c r="L153">
        <f>IF(J153&gt;0,J153*0.453592,IF(K153&gt;0,K153*0.02835,))</f>
        <v>0.9922325</v>
      </c>
      <c r="M153">
        <v>0</v>
      </c>
      <c r="N153">
        <v>0</v>
      </c>
      <c r="O153">
        <f>I153+N153+M153</f>
        <v>66</v>
      </c>
      <c r="P153">
        <f>O153*C$3</f>
        <v>12540</v>
      </c>
      <c r="Q153">
        <f>ROUNDUP(HLOOKUP(IF(CEILING(L153,0.5)&lt;1,1,CEILING(L153,0.5)),'배송비 조회'!A$32:AY$36,2,0),-2)</f>
        <v>8000</v>
      </c>
      <c r="R153">
        <v>0</v>
      </c>
      <c r="S153">
        <f>ROUND((P153+Q153)*0.5,-2)</f>
        <v>10300</v>
      </c>
      <c r="T153">
        <f>ROUND((P153+Q153)*0.7,-2)</f>
        <v>14400</v>
      </c>
      <c r="U153">
        <f>ROUND(SUM(P153+Q153+R153+S153), -2)</f>
        <v>30800</v>
      </c>
      <c r="V153">
        <f>ROUND(P153+Q153+R153+T153, -2)</f>
        <v>34900</v>
      </c>
      <c r="W153">
        <v>0</v>
      </c>
      <c r="X153">
        <f>U153*0.038</f>
        <v>1170.3999999999999</v>
      </c>
      <c r="Y153">
        <f>U153*0.02</f>
        <v>616</v>
      </c>
      <c r="Z153">
        <f>V153*0.1</f>
        <v>3490</v>
      </c>
      <c r="AA153">
        <f>U153-X153-Y153</f>
        <v>29013.6</v>
      </c>
      <c r="AB153">
        <f>V153-Z153</f>
        <v>31410</v>
      </c>
      <c r="AC153">
        <f>AA153*0.01</f>
        <v>290.13599999999997</v>
      </c>
      <c r="AD153">
        <f>AA153-P153-AC153-Q153</f>
        <v>8183.463999999998</v>
      </c>
      <c r="AE153">
        <f>AB153-P153-Q153-AC153</f>
        <v>10579.864</v>
      </c>
      <c r="AF153">
        <f>AD153/U153</f>
        <v>0.26569688311688305</v>
      </c>
      <c r="AG153">
        <f>AE153/V153</f>
        <v>0.30314796561604584</v>
      </c>
      <c r="AH153">
        <v>10000</v>
      </c>
      <c r="AI153">
        <f>U153-AH153</f>
        <v>20800</v>
      </c>
    </row>
    <row r="154">
      <c r="F154" t="str">
        <v>Purple</v>
      </c>
      <c r="G154" t="str">
        <f>HYPERLINK("https://item.taobao.com/item.htm?spm=a230r.1.999.6.23bd523cn71ysr&amp;id=608066244730&amp;ns=1#detail","A")</f>
        <v>A</v>
      </c>
      <c r="I154">
        <v>66</v>
      </c>
      <c r="J154">
        <f>IF(K154&gt;0,K154*0.0625,IF(L154&gt;0,L154*2.204623,))</f>
        <v>2.1875</v>
      </c>
      <c r="K154">
        <v>35</v>
      </c>
      <c r="L154">
        <f>IF(J154&gt;0,J154*0.453592,IF(K154&gt;0,K154*0.02835,))</f>
        <v>0.9922325</v>
      </c>
      <c r="M154">
        <v>0</v>
      </c>
      <c r="N154">
        <v>0</v>
      </c>
      <c r="O154">
        <f>I154+N154+M154</f>
        <v>66</v>
      </c>
      <c r="P154">
        <f>O154*C$3</f>
        <v>12540</v>
      </c>
      <c r="Q154">
        <f>ROUNDUP(HLOOKUP(IF(CEILING(L154,0.5)&lt;1,1,CEILING(L154,0.5)),'배송비 조회'!A$32:AY$36,2,0),-2)</f>
        <v>8000</v>
      </c>
      <c r="R154">
        <v>0</v>
      </c>
      <c r="S154">
        <f>ROUND((P154+Q154)*0.5,-2)</f>
        <v>10300</v>
      </c>
      <c r="T154">
        <f>ROUND((P154+Q154)*0.7,-2)</f>
        <v>14400</v>
      </c>
      <c r="U154">
        <f>ROUND(SUM(P154+Q154+R154+S154), -2)</f>
        <v>30800</v>
      </c>
      <c r="V154">
        <f>ROUND(P154+Q154+R154+T154, -2)</f>
        <v>34900</v>
      </c>
      <c r="W154">
        <v>0</v>
      </c>
      <c r="X154">
        <f>U154*0.038</f>
        <v>1170.3999999999999</v>
      </c>
      <c r="Y154">
        <f>U154*0.02</f>
        <v>616</v>
      </c>
      <c r="Z154">
        <f>V154*0.1</f>
        <v>3490</v>
      </c>
      <c r="AA154">
        <f>U154-X154-Y154</f>
        <v>29013.6</v>
      </c>
      <c r="AB154">
        <f>V154-Z154</f>
        <v>31410</v>
      </c>
      <c r="AC154">
        <f>AA154*0.01</f>
        <v>290.13599999999997</v>
      </c>
      <c r="AD154">
        <f>AA154-P154-AC154-Q154</f>
        <v>8183.463999999998</v>
      </c>
      <c r="AE154">
        <f>AB154-P154-Q154-AC154</f>
        <v>10579.864</v>
      </c>
      <c r="AF154">
        <f>AD154/U154</f>
        <v>0.26569688311688305</v>
      </c>
      <c r="AG154">
        <f>AE154/V154</f>
        <v>0.30314796561604584</v>
      </c>
      <c r="AH154">
        <v>10000</v>
      </c>
      <c r="AI154">
        <f>U154-AH154</f>
        <v>20800</v>
      </c>
    </row>
    <row r="155">
      <c r="A155" t="str">
        <f>HYPERLINK("https://smartstore.naver.com/brickstore2019/products/4771251862","4771251862")</f>
        <v>4771251862</v>
      </c>
      <c r="C155" t="str">
        <v>신발 커스텀 물감 운동화 물감 12색 18색 24색 36색 세트</v>
      </c>
      <c r="F155" t="str">
        <v>12색</v>
      </c>
      <c r="G155" t="str">
        <f>HYPERLINK("https://detail.tmall.com/item.htm?spm=a230r.1.14.6.68323579tHZksD&amp;id=569823069064&amp;cm_id=140105335569ed55e27b&amp;abbucket=7&amp;skuId=3665090460807","A")</f>
        <v>A</v>
      </c>
      <c r="I155">
        <v>24</v>
      </c>
      <c r="J155">
        <f>IF(K155&gt;0,K155*0.0625,IF(L155&gt;0,L155*2.204623,))</f>
        <v>2.1875</v>
      </c>
      <c r="K155">
        <v>35</v>
      </c>
      <c r="L155">
        <f>IF(J155&gt;0,J155*0.453592,IF(K155&gt;0,K155*0.02835,))</f>
        <v>0.9922325</v>
      </c>
      <c r="M155">
        <v>0</v>
      </c>
      <c r="N155">
        <v>0</v>
      </c>
      <c r="O155">
        <f>I155+N155+M155</f>
        <v>24</v>
      </c>
      <c r="P155">
        <f>O155*C$3</f>
        <v>4560</v>
      </c>
      <c r="Q155">
        <f>ROUNDUP(HLOOKUP(IF(CEILING(L155,0.5)&lt;1,1,CEILING(L155,0.5)),'배송비 조회'!A$32:AY$36,2,0),-2)</f>
        <v>8000</v>
      </c>
      <c r="R155">
        <v>0</v>
      </c>
      <c r="S155">
        <f>ROUND((P155+Q155)*0.6,-2)</f>
        <v>7500</v>
      </c>
      <c r="T155">
        <f>ROUND((P155+Q155)*0.7,-2)</f>
        <v>8800</v>
      </c>
      <c r="U155">
        <f>ROUND(SUM(P155+Q155+R155+S155), -2)</f>
        <v>20100</v>
      </c>
      <c r="V155">
        <f>ROUND(P155+Q155+R155+T155, -2)</f>
        <v>21400</v>
      </c>
      <c r="W155">
        <v>0</v>
      </c>
      <c r="X155">
        <f>U155*0.038</f>
        <v>763.8</v>
      </c>
      <c r="Y155">
        <f>U155*0.02</f>
        <v>402</v>
      </c>
      <c r="Z155">
        <f>V155*0.1</f>
        <v>2140</v>
      </c>
      <c r="AA155">
        <f>U155-X155-Y155</f>
        <v>18934.2</v>
      </c>
      <c r="AB155">
        <f>V155-Z155</f>
        <v>19260</v>
      </c>
      <c r="AC155">
        <f>AA155*0.01</f>
        <v>189.342</v>
      </c>
      <c r="AD155">
        <f>AA155-P155-AC155-Q155</f>
        <v>6184.858</v>
      </c>
      <c r="AE155">
        <f>AB155-P155-Q155-AC155</f>
        <v>6510.658</v>
      </c>
      <c r="AF155">
        <f>AD155/U155</f>
        <v>0.3077043781094527</v>
      </c>
      <c r="AG155">
        <f>AE155/V155</f>
        <v>0.30423635514018693</v>
      </c>
      <c r="AH155">
        <v>5000</v>
      </c>
      <c r="AI155">
        <f>U155-AH155</f>
        <v>15100</v>
      </c>
      <c r="AJ155">
        <f>AI156-AI155</f>
        <v>2400</v>
      </c>
    </row>
    <row r="156">
      <c r="F156" t="str">
        <v>18색</v>
      </c>
      <c r="G156" t="str">
        <f>HYPERLINK("https://detail.tmall.com/item.htm?spm=a230r.1.14.6.68323579tHZksD&amp;id=569823069064&amp;cm_id=140105335569ed55e27b&amp;abbucket=7&amp;skuId=3665090460810","A")</f>
        <v>A</v>
      </c>
      <c r="I156">
        <v>32</v>
      </c>
      <c r="J156">
        <f>IF(K156&gt;0,K156*0.0625,IF(L156&gt;0,L156*2.204623,))</f>
        <v>2.1875</v>
      </c>
      <c r="K156">
        <v>35</v>
      </c>
      <c r="L156">
        <f>IF(J156&gt;0,J156*0.453592,IF(K156&gt;0,K156*0.02835,))</f>
        <v>0.9922325</v>
      </c>
      <c r="M156">
        <v>0</v>
      </c>
      <c r="N156">
        <v>0</v>
      </c>
      <c r="O156">
        <f>I156+N156+M156</f>
        <v>32</v>
      </c>
      <c r="P156">
        <f>O156*C$3</f>
        <v>6080</v>
      </c>
      <c r="Q156">
        <f>ROUNDUP(HLOOKUP(IF(CEILING(L156,0.5)&lt;1,1,CEILING(L156,0.5)),'배송비 조회'!A$32:AY$36,2,0),-2)</f>
        <v>8000</v>
      </c>
      <c r="R156">
        <v>0</v>
      </c>
      <c r="S156">
        <f>ROUND((P156+Q156)*0.6,-2)</f>
        <v>8400</v>
      </c>
      <c r="T156">
        <f>ROUND((P156+Q156)*0.7,-2)</f>
        <v>9900</v>
      </c>
      <c r="U156">
        <f>ROUND(SUM(P156+Q156+R156+S156), -2)</f>
        <v>22500</v>
      </c>
      <c r="V156">
        <f>ROUND(P156+Q156+R156+T156, -2)</f>
        <v>24000</v>
      </c>
      <c r="W156">
        <v>0</v>
      </c>
      <c r="X156">
        <f>U156*0.038</f>
        <v>855</v>
      </c>
      <c r="Y156">
        <f>U156*0.02</f>
        <v>450</v>
      </c>
      <c r="Z156">
        <f>V156*0.1</f>
        <v>2400</v>
      </c>
      <c r="AA156">
        <f>U156-X156-Y156</f>
        <v>21195</v>
      </c>
      <c r="AB156">
        <f>V156-Z156</f>
        <v>21600</v>
      </c>
      <c r="AC156">
        <f>AA156*0.01</f>
        <v>211.95000000000002</v>
      </c>
      <c r="AD156">
        <f>AA156-P156-AC156-Q156</f>
        <v>6903.049999999999</v>
      </c>
      <c r="AE156">
        <f>AB156-P156-Q156-AC156</f>
        <v>7308.05</v>
      </c>
      <c r="AF156">
        <f>AD156/U156</f>
        <v>0.3068022222222222</v>
      </c>
      <c r="AG156">
        <f>AE156/V156</f>
        <v>0.30450208333333334</v>
      </c>
      <c r="AH156">
        <v>5000</v>
      </c>
      <c r="AI156">
        <f>U156-AH156</f>
        <v>17500</v>
      </c>
      <c r="AJ156">
        <v>0</v>
      </c>
    </row>
    <row r="157">
      <c r="F157" t="str">
        <v>24색</v>
      </c>
      <c r="G157" t="str">
        <f>HYPERLINK("https://detail.tmall.com/item.htm?spm=a230r.1.14.6.68323579tHZksD&amp;id=569823069064&amp;cm_id=140105335569ed55e27b&amp;abbucket=7&amp;skuId=3808390025726","A")</f>
        <v>A</v>
      </c>
      <c r="I157">
        <v>48</v>
      </c>
      <c r="J157">
        <f>IF(K157&gt;0,K157*0.0625,IF(L157&gt;0,L157*2.204623,))</f>
        <v>2.1875</v>
      </c>
      <c r="K157">
        <v>35</v>
      </c>
      <c r="L157">
        <f>IF(J157&gt;0,J157*0.453592,IF(K157&gt;0,K157*0.02835,))</f>
        <v>0.9922325</v>
      </c>
      <c r="M157">
        <v>0</v>
      </c>
      <c r="N157">
        <v>0</v>
      </c>
      <c r="O157">
        <f>I157+N157+M157</f>
        <v>48</v>
      </c>
      <c r="P157">
        <f>O157*C$3</f>
        <v>9120</v>
      </c>
      <c r="Q157">
        <f>ROUNDUP(HLOOKUP(IF(CEILING(L157,0.5)&lt;1,1,CEILING(L157,0.5)),'배송비 조회'!A$32:AY$36,2,0),-2)</f>
        <v>8000</v>
      </c>
      <c r="R157">
        <v>0</v>
      </c>
      <c r="S157">
        <f>ROUND((P157+Q157)*0.6,-2)</f>
        <v>10300</v>
      </c>
      <c r="T157">
        <f>ROUND((P157+Q157)*0.7,-2)</f>
        <v>12000</v>
      </c>
      <c r="U157">
        <f>ROUND(SUM(P157+Q157+R157+S157), -2)</f>
        <v>27400</v>
      </c>
      <c r="V157">
        <f>ROUND(P157+Q157+R157+T157, -2)</f>
        <v>29100</v>
      </c>
      <c r="W157">
        <v>0</v>
      </c>
      <c r="X157">
        <f>U157*0.038</f>
        <v>1041.2</v>
      </c>
      <c r="Y157">
        <f>U157*0.02</f>
        <v>548</v>
      </c>
      <c r="Z157">
        <f>V157*0.1</f>
        <v>2910</v>
      </c>
      <c r="AA157">
        <f>U157-X157-Y157</f>
        <v>25810.8</v>
      </c>
      <c r="AB157">
        <f>V157-Z157</f>
        <v>26190</v>
      </c>
      <c r="AC157">
        <f>AA157*0.01</f>
        <v>258.108</v>
      </c>
      <c r="AD157">
        <f>AA157-P157-AC157-Q157</f>
        <v>8432.692</v>
      </c>
      <c r="AE157">
        <f>AB157-P157-Q157-AC157</f>
        <v>8811.892</v>
      </c>
      <c r="AF157">
        <f>AD157/U157</f>
        <v>0.3077624817518248</v>
      </c>
      <c r="AG157">
        <f>AE157/V157</f>
        <v>0.30281415807560136</v>
      </c>
      <c r="AH157">
        <v>5000</v>
      </c>
      <c r="AI157">
        <f>U157-AH157</f>
        <v>22400</v>
      </c>
      <c r="AJ157">
        <f>AI157-AI156</f>
        <v>4900</v>
      </c>
    </row>
    <row r="158">
      <c r="F158" t="str">
        <v>36색</v>
      </c>
      <c r="G158" t="str">
        <f>HYPERLINK("https://detail.tmall.com/item.htm?spm=a230r.1.14.6.68323579tHZksD&amp;id=569823069064&amp;cm_id=140105335569ed55e27b&amp;abbucket=7&amp;skuId=3808390025727","A")</f>
        <v>A</v>
      </c>
      <c r="I158">
        <v>68</v>
      </c>
      <c r="J158">
        <f>IF(K158&gt;0,K158*0.0625,IF(L158&gt;0,L158*2.204623,))</f>
        <v>2.1875</v>
      </c>
      <c r="K158">
        <v>35</v>
      </c>
      <c r="L158">
        <f>IF(J158&gt;0,J158*0.453592,IF(K158&gt;0,K158*0.02835,))</f>
        <v>0.9922325</v>
      </c>
      <c r="M158">
        <v>0</v>
      </c>
      <c r="N158">
        <v>0</v>
      </c>
      <c r="O158">
        <f>I158+N158+M158</f>
        <v>68</v>
      </c>
      <c r="P158">
        <f>O158*C$3</f>
        <v>12920</v>
      </c>
      <c r="Q158">
        <f>ROUNDUP(HLOOKUP(IF(CEILING(L158,0.5)&lt;1,1,CEILING(L158,0.5)),'배송비 조회'!A$32:AY$36,2,0),-2)</f>
        <v>8000</v>
      </c>
      <c r="R158">
        <v>0</v>
      </c>
      <c r="S158">
        <f>ROUND((P158+Q158)*0.5,-2)</f>
        <v>10500</v>
      </c>
      <c r="T158">
        <f>ROUND((P158+Q158)*0.7,-2)</f>
        <v>14600</v>
      </c>
      <c r="U158">
        <f>ROUND(SUM(P158+Q158+R158+S158), -2)</f>
        <v>31400</v>
      </c>
      <c r="V158">
        <f>ROUND(P158+Q158+R158+T158, -2)</f>
        <v>35500</v>
      </c>
      <c r="W158">
        <v>0</v>
      </c>
      <c r="X158">
        <f>U158*0.038</f>
        <v>1193.2</v>
      </c>
      <c r="Y158">
        <f>U158*0.02</f>
        <v>628</v>
      </c>
      <c r="Z158">
        <f>V158*0.1</f>
        <v>3550</v>
      </c>
      <c r="AA158">
        <f>U158-X158-Y158</f>
        <v>29578.8</v>
      </c>
      <c r="AB158">
        <f>V158-Z158</f>
        <v>31950</v>
      </c>
      <c r="AC158">
        <f>AA158*0.01</f>
        <v>295.788</v>
      </c>
      <c r="AD158">
        <f>AA158-P158-AC158-Q158</f>
        <v>8363.011999999999</v>
      </c>
      <c r="AE158">
        <f>AB158-P158-Q158-AC158</f>
        <v>10734.212</v>
      </c>
      <c r="AF158">
        <f>AD158/U158</f>
        <v>0.26633796178343944</v>
      </c>
      <c r="AG158">
        <f>AE158/V158</f>
        <v>0.3023721690140845</v>
      </c>
      <c r="AH158">
        <v>5000</v>
      </c>
      <c r="AI158">
        <f>U158-AH158</f>
        <v>26400</v>
      </c>
      <c r="AJ158">
        <f>AI158-AI156</f>
        <v>8900</v>
      </c>
    </row>
    <row r="159">
      <c r="A159" t="str">
        <f>HYPERLINK("https://smartstore.naver.com/brickstore2019/products/4772219967","4772219967")</f>
        <v>4772219967</v>
      </c>
      <c r="C159" t="str">
        <v>남자다운펌기계 구렛나루다운펌 옆머리 누르기</v>
      </c>
      <c r="G159" t="str">
        <f>HYPERLINK("https://item.taobao.com/item.htm?spm=a230r.1.14.201.bb09656bHoLvQf&amp;id=575042382382&amp;ns=1&amp;abbucket=7#detail","A")</f>
        <v>A</v>
      </c>
      <c r="I159">
        <v>108</v>
      </c>
      <c r="J159">
        <f>IF(K159&gt;0,K159*0.0625,IF(L159&gt;0,L159*2.204623,))</f>
        <v>2.1875</v>
      </c>
      <c r="K159">
        <v>35</v>
      </c>
      <c r="L159">
        <f>IF(J159&gt;0,J159*0.453592,IF(K159&gt;0,K159*0.02835,))</f>
        <v>0.9922325</v>
      </c>
      <c r="M159">
        <v>0</v>
      </c>
      <c r="N159">
        <v>0</v>
      </c>
      <c r="O159">
        <f>I159+N159+M159</f>
        <v>108</v>
      </c>
      <c r="P159">
        <f>O159*C$3</f>
        <v>20520</v>
      </c>
      <c r="Q159">
        <f>ROUNDUP(HLOOKUP(IF(CEILING(L159,0.5)&lt;1,1,CEILING(L159,0.5)),'배송비 조회'!A$32:AY$36,2,0),-2)</f>
        <v>8000</v>
      </c>
      <c r="R159">
        <v>0</v>
      </c>
      <c r="S159">
        <f>ROUND((P159+Q159)*0.4,-2)</f>
        <v>11400</v>
      </c>
      <c r="T159">
        <f>ROUND((P159+Q159)*0.7,-2)</f>
        <v>20000</v>
      </c>
      <c r="U159">
        <f>ROUND(SUM(P159+Q159+R159+S159), -2)</f>
        <v>39900</v>
      </c>
      <c r="V159">
        <f>ROUND(P159+Q159+R159+T159, -2)</f>
        <v>48500</v>
      </c>
      <c r="W159">
        <v>0</v>
      </c>
      <c r="X159">
        <f>U159*0.038</f>
        <v>1516.2</v>
      </c>
      <c r="Y159">
        <f>U159*0.02</f>
        <v>798</v>
      </c>
      <c r="Z159">
        <f>V159*0.1</f>
        <v>4850</v>
      </c>
      <c r="AA159">
        <f>U159-X159-Y159</f>
        <v>37585.8</v>
      </c>
      <c r="AB159">
        <f>V159-Z159</f>
        <v>43650</v>
      </c>
      <c r="AC159">
        <f>AA159*0.01</f>
        <v>375.85800000000006</v>
      </c>
      <c r="AD159">
        <f>AA159-P159-AC159-Q159</f>
        <v>8689.942000000003</v>
      </c>
      <c r="AE159">
        <f>AB159-P159-Q159-AC159</f>
        <v>14754.142</v>
      </c>
      <c r="AF159">
        <f>AD159/U159</f>
        <v>0.21779303258145372</v>
      </c>
      <c r="AG159">
        <f>AE159/V159</f>
        <v>0.30420911340206186</v>
      </c>
      <c r="AH159">
        <v>10000</v>
      </c>
      <c r="AI159">
        <f>U159-AH159</f>
        <v>29900</v>
      </c>
    </row>
    <row r="160">
      <c r="A160" t="str">
        <f>HYPERLINK("https://smartstore.naver.com/brickstore2019/products/4772244297","4772244297")</f>
        <v>4772244297</v>
      </c>
      <c r="C160" t="str">
        <v xml:space="preserve">남자다운펌기계 옆머리눌러주는 구레나룻다운펌 </v>
      </c>
      <c r="G160" t="str">
        <f>HYPERLINK("https://detail.tmall.com/item.htm?spm=a230r.1.999.152.10b9523cUhxPBk&amp;id=606138490677&amp;ns=1","A")</f>
        <v>A</v>
      </c>
      <c r="I160">
        <v>33</v>
      </c>
      <c r="J160">
        <f>IF(K160&gt;0,K160*0.0625,IF(L160&gt;0,L160*2.204623,))</f>
        <v>2.1875</v>
      </c>
      <c r="K160">
        <v>35</v>
      </c>
      <c r="L160">
        <f>IF(J160&gt;0,J160*0.453592,IF(K160&gt;0,K160*0.02835,))</f>
        <v>0.9922325</v>
      </c>
      <c r="M160">
        <v>0</v>
      </c>
      <c r="N160">
        <v>0</v>
      </c>
      <c r="O160">
        <f>I160+N160+M160</f>
        <v>33</v>
      </c>
      <c r="P160">
        <f>O160*C$3</f>
        <v>6270</v>
      </c>
      <c r="Q160">
        <f>ROUNDUP(HLOOKUP(IF(CEILING(L160,0.5)&lt;1,1,CEILING(L160,0.5)),'배송비 조회'!A$32:AY$36,2,0),-2)</f>
        <v>8000</v>
      </c>
      <c r="R160">
        <v>0</v>
      </c>
      <c r="S160">
        <f>ROUND((P160+Q160)*0.9,-2)</f>
        <v>12800</v>
      </c>
      <c r="T160">
        <f>ROUND((P160+Q160)*0.7,-2)</f>
        <v>10000</v>
      </c>
      <c r="U160">
        <f>ROUND(SUM(P160+Q160+R160+S160), -2)</f>
        <v>27100</v>
      </c>
      <c r="V160">
        <f>ROUND(P160+Q160+R160+T160, -2)</f>
        <v>24300</v>
      </c>
      <c r="W160">
        <v>0</v>
      </c>
      <c r="X160">
        <f>U160*0.038</f>
        <v>1029.8</v>
      </c>
      <c r="Y160">
        <f>U160*0.02</f>
        <v>542</v>
      </c>
      <c r="Z160">
        <f>V160*0.1</f>
        <v>2430</v>
      </c>
      <c r="AA160">
        <f>U160-X160-Y160</f>
        <v>25528.2</v>
      </c>
      <c r="AB160">
        <f>V160-Z160</f>
        <v>21870</v>
      </c>
      <c r="AC160">
        <f>AA160*0.01</f>
        <v>255.282</v>
      </c>
      <c r="AD160">
        <f>AA160-P160-AC160-Q160</f>
        <v>11002.918000000001</v>
      </c>
      <c r="AE160">
        <f>AB160-P160-Q160-AC160</f>
        <v>7344.718</v>
      </c>
      <c r="AF160">
        <f>AD160/U160</f>
        <v>0.4060117343173432</v>
      </c>
      <c r="AG160">
        <f>AE160/V160</f>
        <v>0.3022517695473251</v>
      </c>
      <c r="AH160">
        <v>10000</v>
      </c>
      <c r="AI160">
        <f>U160-AH160</f>
        <v>17100</v>
      </c>
    </row>
    <row r="161">
      <c r="A161" t="str">
        <f>HYPERLINK("https://smartstore.naver.com/brickstore2019/products/4774679982","4774679982")</f>
        <v>4774679982</v>
      </c>
      <c r="C161" t="str">
        <v>네이처하이크우모바지 겨울 캠핑 백패킹우모바지</v>
      </c>
      <c r="F161" t="str">
        <v>250g S</v>
      </c>
      <c r="G161" t="str">
        <f>HYPERLINK("https://detail.tmall.com/item.htm?id=579859968159&amp;ali_refid=a3_430620_1006:1108495286:N:Yf%205Z/qxFLJR5NH/SUj1NQGoNARXvv33:ee98f171ce51f6769dbee18f6dfe6791&amp;ali_trackid=1_ee98f171ce51f6769dbee18f6dfe6791&amp;spm=a230r.1.14.1&amp;skuId=4251610853507","A")</f>
        <v>A</v>
      </c>
      <c r="I161">
        <v>268</v>
      </c>
      <c r="J161">
        <f>IF(K161&gt;0,K161*0.0625,IF(L161&gt;0,L161*2.204623,))</f>
        <v>2.1875</v>
      </c>
      <c r="K161">
        <v>35</v>
      </c>
      <c r="L161">
        <f>IF(J161&gt;0,J161*0.453592,IF(K161&gt;0,K161*0.02835,))</f>
        <v>0.9922325</v>
      </c>
      <c r="M161">
        <v>0</v>
      </c>
      <c r="N161">
        <v>0</v>
      </c>
      <c r="O161">
        <f>I161+N161+M161</f>
        <v>268</v>
      </c>
      <c r="P161">
        <f>O161*C$3</f>
        <v>50920</v>
      </c>
      <c r="Q161">
        <f>ROUNDUP(HLOOKUP(IF(CEILING(L161,0.5)&lt;1,1,CEILING(L161,0.5)),'배송비 조회'!A$32:AY$36,2,0),-2)</f>
        <v>8000</v>
      </c>
      <c r="R161">
        <v>0</v>
      </c>
      <c r="S161">
        <f>ROUND((P161+Q161)*0.3,-2)</f>
        <v>17700</v>
      </c>
      <c r="T161">
        <f>ROUND((P161+Q161)*0.7,-2)</f>
        <v>41200</v>
      </c>
      <c r="U161">
        <f>ROUND(SUM(P161+Q161+R161+S161), -2)</f>
        <v>76600</v>
      </c>
      <c r="V161">
        <f>ROUND(P161+Q161+R161+T161, -2)</f>
        <v>100100</v>
      </c>
      <c r="W161">
        <v>0</v>
      </c>
      <c r="X161">
        <f>U161*0.038</f>
        <v>2910.7999999999997</v>
      </c>
      <c r="Y161">
        <f>U161*0.02</f>
        <v>1532</v>
      </c>
      <c r="Z161">
        <f>V161*0.1</f>
        <v>10010</v>
      </c>
      <c r="AA161">
        <f>U161-X161-Y161</f>
        <v>72157.2</v>
      </c>
      <c r="AB161">
        <f>V161-Z161</f>
        <v>90090</v>
      </c>
      <c r="AC161">
        <f>AA161*0.01</f>
        <v>721.572</v>
      </c>
      <c r="AD161">
        <f>AA161-P161-AC161-Q161</f>
        <v>12515.627999999997</v>
      </c>
      <c r="AE161">
        <f>AB161-P161-Q161-AC161</f>
        <v>30448.428</v>
      </c>
      <c r="AF161">
        <f>AD161/U161</f>
        <v>0.16338939947780676</v>
      </c>
      <c r="AG161">
        <f>AE161/V161</f>
        <v>0.3041800999000999</v>
      </c>
      <c r="AH161">
        <v>15000</v>
      </c>
      <c r="AI161">
        <f>U161-AH161</f>
        <v>61600</v>
      </c>
    </row>
    <row r="162">
      <c r="F162" t="str">
        <v>250g M</v>
      </c>
      <c r="I162">
        <v>268</v>
      </c>
      <c r="J162">
        <f>IF(K162&gt;0,K162*0.0625,IF(L162&gt;0,L162*2.204623,))</f>
        <v>2.1875</v>
      </c>
      <c r="K162">
        <v>35</v>
      </c>
      <c r="L162">
        <f>IF(J162&gt;0,J162*0.453592,IF(K162&gt;0,K162*0.02835,))</f>
        <v>0.9922325</v>
      </c>
      <c r="M162">
        <v>0</v>
      </c>
      <c r="N162">
        <v>0</v>
      </c>
      <c r="O162">
        <f>I162+N162+M162</f>
        <v>268</v>
      </c>
      <c r="P162">
        <f>O162*C$3</f>
        <v>50920</v>
      </c>
      <c r="Q162">
        <f>ROUNDUP(HLOOKUP(IF(CEILING(L162,0.5)&lt;1,1,CEILING(L162,0.5)),'배송비 조회'!A$32:AY$36,2,0),-2)</f>
        <v>8000</v>
      </c>
      <c r="R162">
        <v>0</v>
      </c>
      <c r="S162">
        <f>ROUND((P162+Q162)*0.3,-2)</f>
        <v>17700</v>
      </c>
      <c r="T162">
        <f>ROUND((P162+Q162)*0.7,-2)</f>
        <v>41200</v>
      </c>
      <c r="U162">
        <f>ROUND(SUM(P162+Q162+R162+S162), -2)</f>
        <v>76600</v>
      </c>
      <c r="V162">
        <f>ROUND(P162+Q162+R162+T162, -2)</f>
        <v>100100</v>
      </c>
      <c r="W162">
        <v>0</v>
      </c>
      <c r="X162">
        <f>U162*0.038</f>
        <v>2910.7999999999997</v>
      </c>
      <c r="Y162">
        <f>U162*0.02</f>
        <v>1532</v>
      </c>
      <c r="Z162">
        <f>V162*0.1</f>
        <v>10010</v>
      </c>
      <c r="AA162">
        <f>U162-X162-Y162</f>
        <v>72157.2</v>
      </c>
      <c r="AB162">
        <f>V162-Z162</f>
        <v>90090</v>
      </c>
      <c r="AC162">
        <f>AA162*0.01</f>
        <v>721.572</v>
      </c>
      <c r="AD162">
        <f>AA162-P162-AC162-Q162</f>
        <v>12515.627999999997</v>
      </c>
      <c r="AE162">
        <f>AB162-P162-Q162-AC162</f>
        <v>30448.428</v>
      </c>
      <c r="AF162">
        <f>AD162/U162</f>
        <v>0.16338939947780676</v>
      </c>
      <c r="AG162">
        <f>AE162/V162</f>
        <v>0.3041800999000999</v>
      </c>
      <c r="AH162">
        <v>15000</v>
      </c>
      <c r="AI162">
        <f>U162-AH162</f>
        <v>61600</v>
      </c>
    </row>
    <row r="163">
      <c r="F163" t="str">
        <v>250g L</v>
      </c>
      <c r="I163">
        <v>268</v>
      </c>
      <c r="J163">
        <f>IF(K163&gt;0,K163*0.0625,IF(L163&gt;0,L163*2.204623,))</f>
        <v>2.1875</v>
      </c>
      <c r="K163">
        <v>35</v>
      </c>
      <c r="L163">
        <f>IF(J163&gt;0,J163*0.453592,IF(K163&gt;0,K163*0.02835,))</f>
        <v>0.9922325</v>
      </c>
      <c r="M163">
        <v>0</v>
      </c>
      <c r="N163">
        <v>0</v>
      </c>
      <c r="O163">
        <f>I163+N163+M163</f>
        <v>268</v>
      </c>
      <c r="P163">
        <f>O163*C$3</f>
        <v>50920</v>
      </c>
      <c r="Q163">
        <f>ROUNDUP(HLOOKUP(IF(CEILING(L163,0.5)&lt;1,1,CEILING(L163,0.5)),'배송비 조회'!A$32:AY$36,2,0),-2)</f>
        <v>8000</v>
      </c>
      <c r="R163">
        <v>0</v>
      </c>
      <c r="S163">
        <f>ROUND((P163+Q163)*0.3,-2)</f>
        <v>17700</v>
      </c>
      <c r="T163">
        <f>ROUND((P163+Q163)*0.7,-2)</f>
        <v>41200</v>
      </c>
      <c r="U163">
        <f>ROUND(SUM(P163+Q163+R163+S163), -2)</f>
        <v>76600</v>
      </c>
      <c r="V163">
        <f>ROUND(P163+Q163+R163+T163, -2)</f>
        <v>100100</v>
      </c>
      <c r="W163">
        <v>0</v>
      </c>
      <c r="X163">
        <f>U163*0.038</f>
        <v>2910.7999999999997</v>
      </c>
      <c r="Y163">
        <f>U163*0.02</f>
        <v>1532</v>
      </c>
      <c r="Z163">
        <f>V163*0.1</f>
        <v>10010</v>
      </c>
      <c r="AA163">
        <f>U163-X163-Y163</f>
        <v>72157.2</v>
      </c>
      <c r="AB163">
        <f>V163-Z163</f>
        <v>90090</v>
      </c>
      <c r="AC163">
        <f>AA163*0.01</f>
        <v>721.572</v>
      </c>
      <c r="AD163">
        <f>AA163-P163-AC163-Q163</f>
        <v>12515.627999999997</v>
      </c>
      <c r="AE163">
        <f>AB163-P163-Q163-AC163</f>
        <v>30448.428</v>
      </c>
      <c r="AF163">
        <f>AD163/U163</f>
        <v>0.16338939947780676</v>
      </c>
      <c r="AG163">
        <f>AE163/V163</f>
        <v>0.3041800999000999</v>
      </c>
      <c r="AH163">
        <v>15000</v>
      </c>
      <c r="AI163">
        <f>U163-AH163</f>
        <v>61600</v>
      </c>
    </row>
    <row r="164">
      <c r="F164" t="str">
        <v>250g XL</v>
      </c>
      <c r="I164">
        <v>268</v>
      </c>
      <c r="J164">
        <f>IF(K164&gt;0,K164*0.0625,IF(L164&gt;0,L164*2.204623,))</f>
        <v>2.1875</v>
      </c>
      <c r="K164">
        <v>35</v>
      </c>
      <c r="L164">
        <f>IF(J164&gt;0,J164*0.453592,IF(K164&gt;0,K164*0.02835,))</f>
        <v>0.9922325</v>
      </c>
      <c r="M164">
        <v>0</v>
      </c>
      <c r="N164">
        <v>0</v>
      </c>
      <c r="O164">
        <f>I164+N164+M164</f>
        <v>268</v>
      </c>
      <c r="P164">
        <f>O164*C$3</f>
        <v>50920</v>
      </c>
      <c r="Q164">
        <f>ROUNDUP(HLOOKUP(IF(CEILING(L164,0.5)&lt;1,1,CEILING(L164,0.5)),'배송비 조회'!A$32:AY$36,2,0),-2)</f>
        <v>8000</v>
      </c>
      <c r="R164">
        <v>0</v>
      </c>
      <c r="S164">
        <f>ROUND((P164+Q164)*0.3,-2)</f>
        <v>17700</v>
      </c>
      <c r="T164">
        <f>ROUND((P164+Q164)*0.7,-2)</f>
        <v>41200</v>
      </c>
      <c r="U164">
        <f>ROUND(SUM(P164+Q164+R164+S164), -2)</f>
        <v>76600</v>
      </c>
      <c r="V164">
        <f>ROUND(P164+Q164+R164+T164, -2)</f>
        <v>100100</v>
      </c>
      <c r="W164">
        <v>0</v>
      </c>
      <c r="X164">
        <f>U164*0.038</f>
        <v>2910.7999999999997</v>
      </c>
      <c r="Y164">
        <f>U164*0.02</f>
        <v>1532</v>
      </c>
      <c r="Z164">
        <f>V164*0.1</f>
        <v>10010</v>
      </c>
      <c r="AA164">
        <f>U164-X164-Y164</f>
        <v>72157.2</v>
      </c>
      <c r="AB164">
        <f>V164-Z164</f>
        <v>90090</v>
      </c>
      <c r="AC164">
        <f>AA164*0.01</f>
        <v>721.572</v>
      </c>
      <c r="AD164">
        <f>AA164-P164-AC164-Q164</f>
        <v>12515.627999999997</v>
      </c>
      <c r="AE164">
        <f>AB164-P164-Q164-AC164</f>
        <v>30448.428</v>
      </c>
      <c r="AF164">
        <f>AD164/U164</f>
        <v>0.16338939947780676</v>
      </c>
      <c r="AG164">
        <f>AE164/V164</f>
        <v>0.3041800999000999</v>
      </c>
      <c r="AH164">
        <v>15000</v>
      </c>
      <c r="AI164">
        <f>U164-AH164</f>
        <v>61600</v>
      </c>
    </row>
    <row r="165">
      <c r="F165" t="str">
        <v>250g XXL</v>
      </c>
      <c r="I165">
        <v>268</v>
      </c>
      <c r="J165">
        <f>IF(K165&gt;0,K165*0.0625,IF(L165&gt;0,L165*2.204623,))</f>
        <v>2.1875</v>
      </c>
      <c r="K165">
        <v>35</v>
      </c>
      <c r="L165">
        <f>IF(J165&gt;0,J165*0.453592,IF(K165&gt;0,K165*0.02835,))</f>
        <v>0.9922325</v>
      </c>
      <c r="M165">
        <v>0</v>
      </c>
      <c r="N165">
        <v>0</v>
      </c>
      <c r="O165">
        <f>I165+N165+M165</f>
        <v>268</v>
      </c>
      <c r="P165">
        <f>O165*C$3</f>
        <v>50920</v>
      </c>
      <c r="Q165">
        <f>ROUNDUP(HLOOKUP(IF(CEILING(L165,0.5)&lt;1,1,CEILING(L165,0.5)),'배송비 조회'!A$32:AY$36,2,0),-2)</f>
        <v>8000</v>
      </c>
      <c r="R165">
        <v>0</v>
      </c>
      <c r="S165">
        <f>ROUND((P165+Q165)*0.3,-2)</f>
        <v>17700</v>
      </c>
      <c r="T165">
        <f>ROUND((P165+Q165)*0.7,-2)</f>
        <v>41200</v>
      </c>
      <c r="U165">
        <f>ROUND(SUM(P165+Q165+R165+S165), -2)</f>
        <v>76600</v>
      </c>
      <c r="V165">
        <f>ROUND(P165+Q165+R165+T165, -2)</f>
        <v>100100</v>
      </c>
      <c r="W165">
        <v>0</v>
      </c>
      <c r="X165">
        <f>U165*0.038</f>
        <v>2910.7999999999997</v>
      </c>
      <c r="Y165">
        <f>U165*0.02</f>
        <v>1532</v>
      </c>
      <c r="Z165">
        <f>V165*0.1</f>
        <v>10010</v>
      </c>
      <c r="AA165">
        <f>U165-X165-Y165</f>
        <v>72157.2</v>
      </c>
      <c r="AB165">
        <f>V165-Z165</f>
        <v>90090</v>
      </c>
      <c r="AC165">
        <f>AA165*0.01</f>
        <v>721.572</v>
      </c>
      <c r="AD165">
        <f>AA165-P165-AC165-Q165</f>
        <v>12515.627999999997</v>
      </c>
      <c r="AE165">
        <f>AB165-P165-Q165-AC165</f>
        <v>30448.428</v>
      </c>
      <c r="AF165">
        <f>AD165/U165</f>
        <v>0.16338939947780676</v>
      </c>
      <c r="AG165">
        <f>AE165/V165</f>
        <v>0.3041800999000999</v>
      </c>
      <c r="AH165">
        <v>15000</v>
      </c>
      <c r="AI165">
        <f>U165-AH165</f>
        <v>61600</v>
      </c>
    </row>
    <row r="166">
      <c r="F166" t="str">
        <v>340g S</v>
      </c>
      <c r="I166">
        <v>429</v>
      </c>
      <c r="J166">
        <f>IF(K166&gt;0,K166*0.0625,IF(L166&gt;0,L166*2.204623,))</f>
        <v>2.1875</v>
      </c>
      <c r="K166">
        <v>35</v>
      </c>
      <c r="L166">
        <f>IF(J166&gt;0,J166*0.453592,IF(K166&gt;0,K166*0.02835,))</f>
        <v>0.9922325</v>
      </c>
      <c r="M166">
        <v>0</v>
      </c>
      <c r="N166">
        <v>0</v>
      </c>
      <c r="O166">
        <f>I166+N166+M166</f>
        <v>429</v>
      </c>
      <c r="P166">
        <f>O166*C$3</f>
        <v>81510</v>
      </c>
      <c r="Q166">
        <f>ROUNDUP(HLOOKUP(IF(CEILING(L166,0.5)&lt;1,1,CEILING(L166,0.5)),'배송비 조회'!A$32:AY$36,2,0),-2)</f>
        <v>8000</v>
      </c>
      <c r="R166">
        <v>0</v>
      </c>
      <c r="S166">
        <f>ROUND((P166+Q166)*0.2,-2)</f>
        <v>17900</v>
      </c>
      <c r="T166">
        <f>ROUND((P166+Q166)*0.7,-2)</f>
        <v>62700</v>
      </c>
      <c r="U166">
        <f>ROUND(SUM(P166+Q166+R166+S166), -2)</f>
        <v>107400</v>
      </c>
      <c r="V166">
        <f>ROUND(P166+Q166+R166+T166, -2)</f>
        <v>152200</v>
      </c>
      <c r="W166">
        <v>0</v>
      </c>
      <c r="X166">
        <f>U166*0.038</f>
        <v>4081.2</v>
      </c>
      <c r="Y166">
        <f>U166*0.02</f>
        <v>2148</v>
      </c>
      <c r="Z166">
        <f>V166*0.1</f>
        <v>15220</v>
      </c>
      <c r="AA166">
        <f>U166-X166-Y166</f>
        <v>101170.8</v>
      </c>
      <c r="AB166">
        <f>V166-Z166</f>
        <v>136980</v>
      </c>
      <c r="AC166">
        <f>AA166*0.01</f>
        <v>1011.7080000000001</v>
      </c>
      <c r="AD166">
        <f>AA166-P166-AC166-Q166</f>
        <v>10649.092000000004</v>
      </c>
      <c r="AE166">
        <f>AB166-P166-Q166-AC166</f>
        <v>46458.292</v>
      </c>
      <c r="AF166">
        <f>AD166/U166</f>
        <v>0.09915355679702052</v>
      </c>
      <c r="AG166">
        <f>AE166/V166</f>
        <v>0.30524501971090673</v>
      </c>
      <c r="AH166">
        <v>15000</v>
      </c>
      <c r="AI166">
        <f>U166-AH166</f>
        <v>92400</v>
      </c>
      <c r="AJ166">
        <f>AI166-AI165</f>
        <v>30800</v>
      </c>
    </row>
    <row r="167">
      <c r="F167" t="str">
        <v>340g M</v>
      </c>
      <c r="I167">
        <v>429</v>
      </c>
      <c r="J167">
        <f>IF(K167&gt;0,K167*0.0625,IF(L167&gt;0,L167*2.204623,))</f>
        <v>2.1875</v>
      </c>
      <c r="K167">
        <v>35</v>
      </c>
      <c r="L167">
        <f>IF(J167&gt;0,J167*0.453592,IF(K167&gt;0,K167*0.02835,))</f>
        <v>0.9922325</v>
      </c>
      <c r="M167">
        <v>0</v>
      </c>
      <c r="N167">
        <v>0</v>
      </c>
      <c r="O167">
        <f>I167+N167+M167</f>
        <v>429</v>
      </c>
      <c r="P167">
        <f>O167*C$3</f>
        <v>81510</v>
      </c>
      <c r="Q167">
        <f>ROUNDUP(HLOOKUP(IF(CEILING(L167,0.5)&lt;1,1,CEILING(L167,0.5)),'배송비 조회'!A$32:AY$36,2,0),-2)</f>
        <v>8000</v>
      </c>
      <c r="R167">
        <v>0</v>
      </c>
      <c r="S167">
        <f>ROUND((P167+Q167)*0.2,-2)</f>
        <v>17900</v>
      </c>
      <c r="T167">
        <f>ROUND((P167+Q167)*0.7,-2)</f>
        <v>62700</v>
      </c>
      <c r="U167">
        <f>ROUND(SUM(P167+Q167+R167+S167), -2)</f>
        <v>107400</v>
      </c>
      <c r="V167">
        <f>ROUND(P167+Q167+R167+T167, -2)</f>
        <v>152200</v>
      </c>
      <c r="W167">
        <v>0</v>
      </c>
      <c r="X167">
        <f>U167*0.038</f>
        <v>4081.2</v>
      </c>
      <c r="Y167">
        <f>U167*0.02</f>
        <v>2148</v>
      </c>
      <c r="Z167">
        <f>V167*0.1</f>
        <v>15220</v>
      </c>
      <c r="AA167">
        <f>U167-X167-Y167</f>
        <v>101170.8</v>
      </c>
      <c r="AB167">
        <f>V167-Z167</f>
        <v>136980</v>
      </c>
      <c r="AC167">
        <f>AA167*0.01</f>
        <v>1011.7080000000001</v>
      </c>
      <c r="AD167">
        <f>AA167-P167-AC167-Q167</f>
        <v>10649.092000000004</v>
      </c>
      <c r="AE167">
        <f>AB167-P167-Q167-AC167</f>
        <v>46458.292</v>
      </c>
      <c r="AF167">
        <f>AD167/U167</f>
        <v>0.09915355679702052</v>
      </c>
      <c r="AG167">
        <f>AE167/V167</f>
        <v>0.30524501971090673</v>
      </c>
      <c r="AH167">
        <v>15000</v>
      </c>
      <c r="AI167">
        <f>U167-AH167</f>
        <v>92400</v>
      </c>
    </row>
    <row r="168">
      <c r="F168" t="str">
        <v>340g L</v>
      </c>
      <c r="I168">
        <v>429</v>
      </c>
      <c r="J168">
        <f>IF(K168&gt;0,K168*0.0625,IF(L168&gt;0,L168*2.204623,))</f>
        <v>2.1875</v>
      </c>
      <c r="K168">
        <v>35</v>
      </c>
      <c r="L168">
        <f>IF(J168&gt;0,J168*0.453592,IF(K168&gt;0,K168*0.02835,))</f>
        <v>0.9922325</v>
      </c>
      <c r="M168">
        <v>0</v>
      </c>
      <c r="N168">
        <v>0</v>
      </c>
      <c r="O168">
        <f>I168+N168+M168</f>
        <v>429</v>
      </c>
      <c r="P168">
        <f>O168*C$3</f>
        <v>81510</v>
      </c>
      <c r="Q168">
        <f>ROUNDUP(HLOOKUP(IF(CEILING(L168,0.5)&lt;1,1,CEILING(L168,0.5)),'배송비 조회'!A$32:AY$36,2,0),-2)</f>
        <v>8000</v>
      </c>
      <c r="R168">
        <v>0</v>
      </c>
      <c r="S168">
        <f>ROUND((P168+Q168)*0.2,-2)</f>
        <v>17900</v>
      </c>
      <c r="T168">
        <f>ROUND((P168+Q168)*0.7,-2)</f>
        <v>62700</v>
      </c>
      <c r="U168">
        <f>ROUND(SUM(P168+Q168+R168+S168), -2)</f>
        <v>107400</v>
      </c>
      <c r="V168">
        <f>ROUND(P168+Q168+R168+T168, -2)</f>
        <v>152200</v>
      </c>
      <c r="W168">
        <v>0</v>
      </c>
      <c r="X168">
        <f>U168*0.038</f>
        <v>4081.2</v>
      </c>
      <c r="Y168">
        <f>U168*0.02</f>
        <v>2148</v>
      </c>
      <c r="Z168">
        <f>V168*0.1</f>
        <v>15220</v>
      </c>
      <c r="AA168">
        <f>U168-X168-Y168</f>
        <v>101170.8</v>
      </c>
      <c r="AB168">
        <f>V168-Z168</f>
        <v>136980</v>
      </c>
      <c r="AC168">
        <f>AA168*0.01</f>
        <v>1011.7080000000001</v>
      </c>
      <c r="AD168">
        <f>AA168-P168-AC168-Q168</f>
        <v>10649.092000000004</v>
      </c>
      <c r="AE168">
        <f>AB168-P168-Q168-AC168</f>
        <v>46458.292</v>
      </c>
      <c r="AF168">
        <f>AD168/U168</f>
        <v>0.09915355679702052</v>
      </c>
      <c r="AG168">
        <f>AE168/V168</f>
        <v>0.30524501971090673</v>
      </c>
      <c r="AH168">
        <v>15000</v>
      </c>
      <c r="AI168">
        <f>U168-AH168</f>
        <v>92400</v>
      </c>
    </row>
    <row r="169">
      <c r="F169" t="str">
        <v>340g XL</v>
      </c>
      <c r="I169">
        <v>429</v>
      </c>
      <c r="J169">
        <f>IF(K169&gt;0,K169*0.0625,IF(L169&gt;0,L169*2.204623,))</f>
        <v>2.1875</v>
      </c>
      <c r="K169">
        <v>35</v>
      </c>
      <c r="L169">
        <f>IF(J169&gt;0,J169*0.453592,IF(K169&gt;0,K169*0.02835,))</f>
        <v>0.9922325</v>
      </c>
      <c r="M169">
        <v>0</v>
      </c>
      <c r="N169">
        <v>0</v>
      </c>
      <c r="O169">
        <f>I169+N169+M169</f>
        <v>429</v>
      </c>
      <c r="P169">
        <f>O169*C$3</f>
        <v>81510</v>
      </c>
      <c r="Q169">
        <f>ROUNDUP(HLOOKUP(IF(CEILING(L169,0.5)&lt;1,1,CEILING(L169,0.5)),'배송비 조회'!A$32:AY$36,2,0),-2)</f>
        <v>8000</v>
      </c>
      <c r="R169">
        <v>0</v>
      </c>
      <c r="S169">
        <f>ROUND((P169+Q169)*0.2,-2)</f>
        <v>17900</v>
      </c>
      <c r="T169">
        <f>ROUND((P169+Q169)*0.7,-2)</f>
        <v>62700</v>
      </c>
      <c r="U169">
        <f>ROUND(SUM(P169+Q169+R169+S169), -2)</f>
        <v>107400</v>
      </c>
      <c r="V169">
        <f>ROUND(P169+Q169+R169+T169, -2)</f>
        <v>152200</v>
      </c>
      <c r="W169">
        <v>0</v>
      </c>
      <c r="X169">
        <f>U169*0.038</f>
        <v>4081.2</v>
      </c>
      <c r="Y169">
        <f>U169*0.02</f>
        <v>2148</v>
      </c>
      <c r="Z169">
        <f>V169*0.1</f>
        <v>15220</v>
      </c>
      <c r="AA169">
        <f>U169-X169-Y169</f>
        <v>101170.8</v>
      </c>
      <c r="AB169">
        <f>V169-Z169</f>
        <v>136980</v>
      </c>
      <c r="AC169">
        <f>AA169*0.01</f>
        <v>1011.7080000000001</v>
      </c>
      <c r="AD169">
        <f>AA169-P169-AC169-Q169</f>
        <v>10649.092000000004</v>
      </c>
      <c r="AE169">
        <f>AB169-P169-Q169-AC169</f>
        <v>46458.292</v>
      </c>
      <c r="AF169">
        <f>AD169/U169</f>
        <v>0.09915355679702052</v>
      </c>
      <c r="AG169">
        <f>AE169/V169</f>
        <v>0.30524501971090673</v>
      </c>
      <c r="AH169">
        <v>15000</v>
      </c>
      <c r="AI169">
        <f>U169-AH169</f>
        <v>92400</v>
      </c>
    </row>
    <row r="170">
      <c r="F170" t="str">
        <v>340g XXL</v>
      </c>
      <c r="I170">
        <v>429</v>
      </c>
      <c r="J170">
        <f>IF(K170&gt;0,K170*0.0625,IF(L170&gt;0,L170*2.204623,))</f>
        <v>2.1875</v>
      </c>
      <c r="K170">
        <v>35</v>
      </c>
      <c r="L170">
        <f>IF(J170&gt;0,J170*0.453592,IF(K170&gt;0,K170*0.02835,))</f>
        <v>0.9922325</v>
      </c>
      <c r="M170">
        <v>0</v>
      </c>
      <c r="N170">
        <v>0</v>
      </c>
      <c r="O170">
        <f>I170+N170+M170</f>
        <v>429</v>
      </c>
      <c r="P170">
        <f>O170*C$3</f>
        <v>81510</v>
      </c>
      <c r="Q170">
        <f>ROUNDUP(HLOOKUP(IF(CEILING(L170,0.5)&lt;1,1,CEILING(L170,0.5)),'배송비 조회'!A$32:AY$36,2,0),-2)</f>
        <v>8000</v>
      </c>
      <c r="R170">
        <v>0</v>
      </c>
      <c r="S170">
        <f>ROUND((P170+Q170)*0.2,-2)</f>
        <v>17900</v>
      </c>
      <c r="T170">
        <f>ROUND((P170+Q170)*0.7,-2)</f>
        <v>62700</v>
      </c>
      <c r="U170">
        <f>ROUND(SUM(P170+Q170+R170+S170), -2)</f>
        <v>107400</v>
      </c>
      <c r="V170">
        <f>ROUND(P170+Q170+R170+T170, -2)</f>
        <v>152200</v>
      </c>
      <c r="W170">
        <v>0</v>
      </c>
      <c r="X170">
        <f>U170*0.038</f>
        <v>4081.2</v>
      </c>
      <c r="Y170">
        <f>U170*0.02</f>
        <v>2148</v>
      </c>
      <c r="Z170">
        <f>V170*0.1</f>
        <v>15220</v>
      </c>
      <c r="AA170">
        <f>U170-X170-Y170</f>
        <v>101170.8</v>
      </c>
      <c r="AB170">
        <f>V170-Z170</f>
        <v>136980</v>
      </c>
      <c r="AC170">
        <f>AA170*0.01</f>
        <v>1011.7080000000001</v>
      </c>
      <c r="AD170">
        <f>AA170-P170-AC170-Q170</f>
        <v>10649.092000000004</v>
      </c>
      <c r="AE170">
        <f>AB170-P170-Q170-AC170</f>
        <v>46458.292</v>
      </c>
      <c r="AF170">
        <f>AD170/U170</f>
        <v>0.09915355679702052</v>
      </c>
      <c r="AG170">
        <f>AE170/V170</f>
        <v>0.30524501971090673</v>
      </c>
      <c r="AH170">
        <v>15000</v>
      </c>
      <c r="AI170">
        <f>U170-AH170</f>
        <v>92400</v>
      </c>
    </row>
    <row r="171">
      <c r="A171" t="str">
        <f>HYPERLINK("https://smartstore.naver.com/brickstore2019/products/4775731651","4775731651")</f>
        <v>4775731651</v>
      </c>
      <c r="C171" t="str">
        <v xml:space="preserve">캉골 푸들 버킷백 뽀글이가방 양털가방 블랙 화이트 </v>
      </c>
      <c r="F171" t="str">
        <v>블랙</v>
      </c>
      <c r="G171" t="str">
        <f>HYPERLINK("https://item.taobao.com/item.htm?spm=a230r.1.999.8.70f2523cRNf2Vs&amp;id=605126230592&amp;ns=1#detail","A")</f>
        <v>A</v>
      </c>
      <c r="I171">
        <v>103</v>
      </c>
      <c r="J171">
        <f>IF(K171&gt;0,K171*0.0625,IF(L171&gt;0,L171*2.204623,))</f>
        <v>2.1875</v>
      </c>
      <c r="K171">
        <v>35</v>
      </c>
      <c r="L171">
        <f>IF(J171&gt;0,J171*0.453592,IF(K171&gt;0,K171*0.02835,))</f>
        <v>0.9922325</v>
      </c>
      <c r="M171">
        <v>0</v>
      </c>
      <c r="N171">
        <v>0</v>
      </c>
      <c r="O171">
        <f>I171+N171+M171</f>
        <v>103</v>
      </c>
      <c r="P171">
        <f>O171*C$3</f>
        <v>19570</v>
      </c>
      <c r="Q171">
        <v>8000</v>
      </c>
      <c r="R171">
        <v>0</v>
      </c>
      <c r="S171">
        <f>ROUND((P171+Q171)*0.3,-2)</f>
        <v>8300</v>
      </c>
      <c r="T171">
        <f>ROUND((P171+Q171)*0.7,-2)</f>
        <v>19300</v>
      </c>
      <c r="U171">
        <f>ROUND(SUM(P171+Q171+R171+S171), -2)</f>
        <v>35900</v>
      </c>
      <c r="V171">
        <f>ROUND(P171+Q171+R171+T171, -2)</f>
        <v>46900</v>
      </c>
      <c r="W171">
        <v>0</v>
      </c>
      <c r="X171">
        <f>U171*0.038</f>
        <v>1364.2</v>
      </c>
      <c r="Y171">
        <f>U171*0.02</f>
        <v>718</v>
      </c>
      <c r="Z171">
        <f>V171*0.1</f>
        <v>4690</v>
      </c>
      <c r="AA171">
        <f>U171-X171-Y171</f>
        <v>33817.8</v>
      </c>
      <c r="AB171">
        <f>V171-Z171</f>
        <v>42210</v>
      </c>
      <c r="AC171">
        <f>AA171*0.01</f>
        <v>338.17800000000005</v>
      </c>
      <c r="AD171">
        <f>AA171-P171-AC171-Q171</f>
        <v>5909.622000000003</v>
      </c>
      <c r="AE171">
        <f>AB171-P171-Q171-AC171</f>
        <v>14301.822</v>
      </c>
      <c r="AF171">
        <f>AD171/U171</f>
        <v>0.16461342618384409</v>
      </c>
      <c r="AG171">
        <f>AE171/V171</f>
        <v>0.3049428997867804</v>
      </c>
      <c r="AH171">
        <v>10000</v>
      </c>
      <c r="AI171">
        <f>U171-AH171</f>
        <v>25900</v>
      </c>
    </row>
    <row r="172">
      <c r="F172" t="str">
        <v>화이트</v>
      </c>
      <c r="G172" t="str">
        <f>HYPERLINK("https://item.taobao.com/item.htm?spm=a230r.1.999.8.70f2523cRNf2Vs&amp;id=605126230592&amp;ns=1#detail","A")</f>
        <v>A</v>
      </c>
      <c r="I172">
        <v>103</v>
      </c>
      <c r="J172">
        <f>IF(K172&gt;0,K172*0.0625,IF(L172&gt;0,L172*2.204623,))</f>
        <v>2.1875</v>
      </c>
      <c r="K172">
        <v>35</v>
      </c>
      <c r="L172">
        <f>IF(J172&gt;0,J172*0.453592,IF(K172&gt;0,K172*0.02835,))</f>
        <v>0.9922325</v>
      </c>
      <c r="M172">
        <v>0</v>
      </c>
      <c r="N172">
        <v>0</v>
      </c>
      <c r="O172">
        <f>I172+N172+M172</f>
        <v>103</v>
      </c>
      <c r="P172">
        <f>O172*C$3</f>
        <v>19570</v>
      </c>
      <c r="Q172">
        <f>ROUNDUP(HLOOKUP(IF(CEILING(L172,0.5)&lt;1,1,CEILING(L172,0.5)),'배송비 조회'!A$32:AY$36,2,0),-2)</f>
        <v>8000</v>
      </c>
      <c r="R172">
        <v>0</v>
      </c>
      <c r="S172">
        <f>ROUND((P172+Q172)*0.3,-2)</f>
        <v>8300</v>
      </c>
      <c r="T172">
        <f>ROUND((P172+Q172)*0.7,-2)</f>
        <v>19300</v>
      </c>
      <c r="U172">
        <f>ROUND(SUM(P172+Q172+R172+S172), -2)</f>
        <v>35900</v>
      </c>
      <c r="V172">
        <f>ROUND(P172+Q172+R172+T172, -2)</f>
        <v>46900</v>
      </c>
      <c r="W172">
        <v>0</v>
      </c>
      <c r="X172">
        <f>U172*0.038</f>
        <v>1364.2</v>
      </c>
      <c r="Y172">
        <f>U172*0.02</f>
        <v>718</v>
      </c>
      <c r="Z172">
        <f>V172*0.1</f>
        <v>4690</v>
      </c>
      <c r="AA172">
        <f>U172-X172-Y172</f>
        <v>33817.8</v>
      </c>
      <c r="AB172">
        <f>V172-Z172</f>
        <v>42210</v>
      </c>
      <c r="AC172">
        <f>AA172*0.01</f>
        <v>338.17800000000005</v>
      </c>
      <c r="AD172">
        <f>AA172-P172-AC172-Q172</f>
        <v>5909.622000000003</v>
      </c>
      <c r="AE172">
        <f>AB172-P172-Q172-AC172</f>
        <v>14301.822</v>
      </c>
      <c r="AF172">
        <f>AD172/U172</f>
        <v>0.16461342618384409</v>
      </c>
      <c r="AG172">
        <f>AE172/V172</f>
        <v>0.3049428997867804</v>
      </c>
      <c r="AH172">
        <v>10000</v>
      </c>
      <c r="AI172">
        <f>U172-AH172</f>
        <v>25900</v>
      </c>
    </row>
    <row r="173">
      <c r="A173" t="str">
        <f>HYPERLINK("https://smartstore.naver.com/brickstore2019/products/4775762067","4775762067")</f>
        <v>4775762067</v>
      </c>
      <c r="C173" t="str">
        <v>캉골 테디 버킷백 뽀글이가방 3772 베이지 블랙</v>
      </c>
      <c r="F173" t="str">
        <v>베이지</v>
      </c>
      <c r="G173" t="str">
        <f>HYPERLINK("https://item.taobao.com/item.htm?spm=a230r.1.999.19.738c523chYkYGM&amp;id=608972426087&amp;ns=1#detail","A")</f>
        <v>A</v>
      </c>
      <c r="I173">
        <v>108</v>
      </c>
      <c r="J173">
        <f>IF(K173&gt;0,K173*0.0625,IF(L173&gt;0,L173*2.204623,))</f>
        <v>2.1875</v>
      </c>
      <c r="K173">
        <v>35</v>
      </c>
      <c r="L173">
        <f>IF(J173&gt;0,J173*0.453592,IF(K173&gt;0,K173*0.02835,))</f>
        <v>0.9922325</v>
      </c>
      <c r="M173">
        <v>0</v>
      </c>
      <c r="N173">
        <v>0</v>
      </c>
      <c r="O173">
        <f>I173+N173+M173</f>
        <v>108</v>
      </c>
      <c r="P173">
        <f>O173*C$3</f>
        <v>20520</v>
      </c>
      <c r="Q173">
        <f>ROUNDUP(HLOOKUP(IF(CEILING(L173,0.5)&lt;1,1,CEILING(L173,0.5)),'배송비 조회'!A$32:AY$36,2,0),-2)</f>
        <v>8000</v>
      </c>
      <c r="R173">
        <v>0</v>
      </c>
      <c r="S173">
        <f>ROUND((P173+Q173)*0.3,-2)</f>
        <v>8600</v>
      </c>
      <c r="T173">
        <f>ROUND((P173+Q173)*0.7,-2)</f>
        <v>20000</v>
      </c>
      <c r="U173">
        <f>ROUND(SUM(P173+Q173+R173+S173), -2)</f>
        <v>37100</v>
      </c>
      <c r="V173">
        <f>ROUND(P173+Q173+R173+T173, -2)</f>
        <v>48500</v>
      </c>
      <c r="W173">
        <v>0</v>
      </c>
      <c r="X173">
        <f>U173*0.038</f>
        <v>1409.8</v>
      </c>
      <c r="Y173">
        <f>U173*0.02</f>
        <v>742</v>
      </c>
      <c r="Z173">
        <f>V173*0.1</f>
        <v>4850</v>
      </c>
      <c r="AA173">
        <f>U173-X173-Y173</f>
        <v>34948.2</v>
      </c>
      <c r="AB173">
        <f>V173-Z173</f>
        <v>43650</v>
      </c>
      <c r="AC173">
        <f>AA173*0.01</f>
        <v>349.48199999999997</v>
      </c>
      <c r="AD173">
        <f>AA173-P173-AC173-Q173</f>
        <v>6078.717999999997</v>
      </c>
      <c r="AE173">
        <f>AB173-P173-Q173-AC173</f>
        <v>14780.518</v>
      </c>
      <c r="AF173">
        <f>AD173/U173</f>
        <v>0.1638468463611859</v>
      </c>
      <c r="AG173">
        <f>AE173/V173</f>
        <v>0.30475294845360823</v>
      </c>
      <c r="AH173">
        <v>10000</v>
      </c>
      <c r="AI173">
        <f>U173-AH173</f>
        <v>27100</v>
      </c>
    </row>
    <row r="174">
      <c r="F174" t="str">
        <v>블랙</v>
      </c>
      <c r="G174" t="str">
        <f>HYPERLINK("https://item.taobao.com/item.htm?spm=a230r.1.999.19.738c523chYkYGM&amp;id=608972426087&amp;ns=1#detail","A")</f>
        <v>A</v>
      </c>
      <c r="I174">
        <v>108</v>
      </c>
      <c r="J174">
        <f>IF(K174&gt;0,K174*0.0625,IF(L174&gt;0,L174*2.204623,))</f>
        <v>2.1875</v>
      </c>
      <c r="K174">
        <v>35</v>
      </c>
      <c r="L174">
        <f>IF(J174&gt;0,J174*0.453592,IF(K174&gt;0,K174*0.02835,))</f>
        <v>0.9922325</v>
      </c>
      <c r="M174">
        <v>0</v>
      </c>
      <c r="N174">
        <v>0</v>
      </c>
      <c r="O174">
        <f>I174+N174+M174</f>
        <v>108</v>
      </c>
      <c r="P174">
        <f>O174*C$3</f>
        <v>20520</v>
      </c>
      <c r="Q174">
        <f>ROUNDUP(HLOOKUP(IF(CEILING(L174,0.5)&lt;1,1,CEILING(L174,0.5)),'배송비 조회'!A$32:AY$36,2,0),-2)</f>
        <v>8000</v>
      </c>
      <c r="R174">
        <v>0</v>
      </c>
      <c r="S174">
        <f>ROUND((P174+Q174)*0.3,-2)</f>
        <v>8600</v>
      </c>
      <c r="T174">
        <f>ROUND((P174+Q174)*0.7,-2)</f>
        <v>20000</v>
      </c>
      <c r="U174">
        <f>ROUND(SUM(P174+Q174+R174+S174), -2)</f>
        <v>37100</v>
      </c>
      <c r="V174">
        <f>ROUND(P174+Q174+R174+T174, -2)</f>
        <v>48500</v>
      </c>
      <c r="W174">
        <v>0</v>
      </c>
      <c r="X174">
        <f>U174*0.038</f>
        <v>1409.8</v>
      </c>
      <c r="Y174">
        <f>U174*0.02</f>
        <v>742</v>
      </c>
      <c r="Z174">
        <f>V174*0.1</f>
        <v>4850</v>
      </c>
      <c r="AA174">
        <f>U174-X174-Y174</f>
        <v>34948.2</v>
      </c>
      <c r="AB174">
        <f>V174-Z174</f>
        <v>43650</v>
      </c>
      <c r="AC174">
        <f>AA174*0.01</f>
        <v>349.48199999999997</v>
      </c>
      <c r="AD174">
        <f>AA174-P174-AC174-Q174</f>
        <v>6078.717999999997</v>
      </c>
      <c r="AE174">
        <f>AB174-P174-Q174-AC174</f>
        <v>14780.518</v>
      </c>
      <c r="AF174">
        <f>AD174/U174</f>
        <v>0.1638468463611859</v>
      </c>
      <c r="AG174">
        <f>AE174/V174</f>
        <v>0.30475294845360823</v>
      </c>
      <c r="AH174">
        <v>10000</v>
      </c>
      <c r="AI174">
        <f>U174-AH174</f>
        <v>27100</v>
      </c>
    </row>
    <row r="175">
      <c r="A175" t="str">
        <f>HYPERLINK("https://smartstore.naver.com/brickstore2019/products/4776935975","4776935975")</f>
        <v>4776935975</v>
      </c>
      <c r="C175" t="str">
        <v>뷰큐브디스펜서 네스프레소 돌체구스토 커피캡슐 보관함 홀더</v>
      </c>
      <c r="G175" t="str">
        <f>HYPERLINK("https://item.taobao.com/item.htm?spm=a230r.1.14.6.7bc11ec2CqG7QU&amp;id=609908804229&amp;ns=1&amp;abbucket=7#detail","A")</f>
        <v>A</v>
      </c>
      <c r="I175">
        <v>70</v>
      </c>
      <c r="J175">
        <f>IF(K175&gt;0,K175*0.0625,IF(L175&gt;0,L175*2.204623,))</f>
        <v>2.1875</v>
      </c>
      <c r="K175">
        <v>35</v>
      </c>
      <c r="L175">
        <f>IF(J175&gt;0,J175*0.453592,IF(K175&gt;0,K175*0.02835,))</f>
        <v>0.9922325</v>
      </c>
      <c r="M175">
        <v>0</v>
      </c>
      <c r="N175">
        <v>0</v>
      </c>
      <c r="O175">
        <f>I175+N175+M175</f>
        <v>70</v>
      </c>
      <c r="P175">
        <f>O175*C$3</f>
        <v>13300</v>
      </c>
      <c r="Q175">
        <f>ROUNDUP(HLOOKUP(IF(CEILING(L175,0.5)&lt;1,1,CEILING(L175,0.5)),'배송비 조회'!A$32:AY$36,2,0),-2)</f>
        <v>8000</v>
      </c>
      <c r="R175">
        <v>0</v>
      </c>
      <c r="S175">
        <f>ROUND((P175+Q175)*0.6,-2)</f>
        <v>12800</v>
      </c>
      <c r="T175">
        <f>ROUND((P175+Q175)*0.7,-2)</f>
        <v>14900</v>
      </c>
      <c r="U175">
        <f>ROUND(SUM(P175+Q175+R175+S175), -2)</f>
        <v>34100</v>
      </c>
      <c r="V175">
        <f>ROUND(P175+Q175+R175+T175, -2)</f>
        <v>36200</v>
      </c>
      <c r="W175">
        <v>0</v>
      </c>
      <c r="X175">
        <f>U175*0.038</f>
        <v>1295.8</v>
      </c>
      <c r="Y175">
        <f>U175*0.02</f>
        <v>682</v>
      </c>
      <c r="Z175">
        <f>V175*0.1</f>
        <v>3620</v>
      </c>
      <c r="AA175">
        <f>U175-X175-Y175</f>
        <v>32122.199999999997</v>
      </c>
      <c r="AB175">
        <f>V175-Z175</f>
        <v>32580</v>
      </c>
      <c r="AC175">
        <f>AA175*0.01</f>
        <v>321.222</v>
      </c>
      <c r="AD175">
        <f>AA175-P175-AC175-Q175</f>
        <v>10500.977999999996</v>
      </c>
      <c r="AE175">
        <f>AB175-P175-Q175-AC175</f>
        <v>10958.778</v>
      </c>
      <c r="AF175">
        <f>AD175/U175</f>
        <v>0.30794656891495586</v>
      </c>
      <c r="AG175">
        <f>AE175/V175</f>
        <v>0.3027286740331492</v>
      </c>
      <c r="AH175">
        <v>10000</v>
      </c>
      <c r="AI175">
        <f>U175-AH175</f>
        <v>24100</v>
      </c>
    </row>
    <row r="176">
      <c r="A176" t="str">
        <f>HYPERLINK("https://smartstore.naver.com/brickstore2019/products/4777235445","4777235445")</f>
        <v>4777235445</v>
      </c>
      <c r="C176" t="str">
        <v>딸기 우유 보틀 플라밍고 밀크보틀 우유곽 우유병</v>
      </c>
      <c r="F176" t="str">
        <v>하트</v>
      </c>
      <c r="G176" t="str">
        <f>HYPERLINK("https://item.taobao.com/item.htm?spm=a230r.1.999.21.a798523cjzxQ6r&amp;id=566804269266&amp;ns=1#detail","A")</f>
        <v>A</v>
      </c>
      <c r="I176">
        <v>19</v>
      </c>
      <c r="J176">
        <f>IF(K176&gt;0,K176*0.0625,IF(L176&gt;0,L176*2.204623,))</f>
        <v>2.1875</v>
      </c>
      <c r="K176">
        <v>35</v>
      </c>
      <c r="L176">
        <f>IF(J176&gt;0,J176*0.453592,IF(K176&gt;0,K176*0.02835,))</f>
        <v>0.9922325</v>
      </c>
      <c r="M176">
        <v>0</v>
      </c>
      <c r="N176">
        <v>0</v>
      </c>
      <c r="O176">
        <f>I176+N176+M176</f>
        <v>19</v>
      </c>
      <c r="P176">
        <f>O176*C$3</f>
        <v>3610</v>
      </c>
      <c r="Q176">
        <f>ROUNDUP(HLOOKUP(IF(CEILING(L176,0.5)&lt;1,1,CEILING(L176,0.5)),'배송비 조회'!A$32:AY$36,2,0),-2)</f>
        <v>8000</v>
      </c>
      <c r="R176">
        <v>0</v>
      </c>
      <c r="S176">
        <f>ROUND((P176+Q176)*0.6,-2)</f>
        <v>7000</v>
      </c>
      <c r="T176">
        <f>ROUND((P176+Q176)*0.7,-2)</f>
        <v>8100</v>
      </c>
      <c r="U176">
        <f>ROUND(SUM(P176+Q176+R176+S176), -2)</f>
        <v>18600</v>
      </c>
      <c r="V176">
        <f>ROUND(P176+Q176+R176+T176, -2)</f>
        <v>19700</v>
      </c>
      <c r="W176">
        <v>0</v>
      </c>
      <c r="X176">
        <f>U176*0.038</f>
        <v>706.8</v>
      </c>
      <c r="Y176">
        <f>U176*0.02</f>
        <v>372</v>
      </c>
      <c r="Z176">
        <f>V176*0.1</f>
        <v>1970</v>
      </c>
      <c r="AA176">
        <f>U176-X176-Y176</f>
        <v>17521.2</v>
      </c>
      <c r="AB176">
        <f>V176-Z176</f>
        <v>17730</v>
      </c>
      <c r="AC176">
        <f>AA176*0.01</f>
        <v>175.21200000000002</v>
      </c>
      <c r="AD176">
        <f>AA176-P176-AC176-Q176</f>
        <v>5735.988000000001</v>
      </c>
      <c r="AE176">
        <f>AB176-P176-Q176-AC176</f>
        <v>5944.788</v>
      </c>
      <c r="AF176">
        <f>AD176/U176</f>
        <v>0.3083864516129033</v>
      </c>
      <c r="AG176">
        <f>AE176/V176</f>
        <v>0.30176588832487306</v>
      </c>
      <c r="AH176">
        <v>10000</v>
      </c>
      <c r="AI176">
        <f>U176-AH176</f>
        <v>8600</v>
      </c>
    </row>
    <row r="177">
      <c r="F177" t="str">
        <v>딸기</v>
      </c>
      <c r="I177">
        <v>19</v>
      </c>
      <c r="J177">
        <f>IF(K177&gt;0,K177*0.0625,IF(L177&gt;0,L177*2.204623,))</f>
        <v>2.1875</v>
      </c>
      <c r="K177">
        <v>35</v>
      </c>
      <c r="L177">
        <f>IF(J177&gt;0,J177*0.453592,IF(K177&gt;0,K177*0.02835,))</f>
        <v>0.9922325</v>
      </c>
      <c r="M177">
        <v>0</v>
      </c>
      <c r="N177">
        <v>0</v>
      </c>
      <c r="O177">
        <f>I177+N177+M177</f>
        <v>19</v>
      </c>
      <c r="P177">
        <f>O177*C$3</f>
        <v>3610</v>
      </c>
      <c r="Q177">
        <f>ROUNDUP(HLOOKUP(IF(CEILING(L177,0.5)&lt;1,1,CEILING(L177,0.5)),'배송비 조회'!A$32:AY$36,2,0),-2)</f>
        <v>8000</v>
      </c>
      <c r="R177">
        <v>0</v>
      </c>
      <c r="S177">
        <f>ROUND((P177+Q177)*0.6,-2)</f>
        <v>7000</v>
      </c>
      <c r="T177">
        <f>ROUND((P177+Q177)*0.7,-2)</f>
        <v>8100</v>
      </c>
      <c r="U177">
        <f>ROUND(SUM(P177+Q177+R177+S177), -2)</f>
        <v>18600</v>
      </c>
      <c r="V177">
        <f>ROUND(P177+Q177+R177+T177, -2)</f>
        <v>19700</v>
      </c>
      <c r="W177">
        <v>0</v>
      </c>
      <c r="X177">
        <f>U177*0.038</f>
        <v>706.8</v>
      </c>
      <c r="Y177">
        <f>U177*0.02</f>
        <v>372</v>
      </c>
      <c r="Z177">
        <f>V177*0.1</f>
        <v>1970</v>
      </c>
      <c r="AA177">
        <f>U177-X177-Y177</f>
        <v>17521.2</v>
      </c>
      <c r="AB177">
        <f>V177-Z177</f>
        <v>17730</v>
      </c>
      <c r="AC177">
        <f>AA177*0.01</f>
        <v>175.21200000000002</v>
      </c>
      <c r="AD177">
        <f>AA177-P177-AC177-Q177</f>
        <v>5735.988000000001</v>
      </c>
      <c r="AE177">
        <f>AB177-P177-Q177-AC177</f>
        <v>5944.788</v>
      </c>
      <c r="AF177">
        <f>AD177/U177</f>
        <v>0.3083864516129033</v>
      </c>
      <c r="AG177">
        <f>AE177/V177</f>
        <v>0.30176588832487306</v>
      </c>
      <c r="AH177">
        <v>10000</v>
      </c>
      <c r="AI177">
        <f>U177-AH177</f>
        <v>8600</v>
      </c>
    </row>
    <row r="178">
      <c r="F178" t="str">
        <v>플라밍고1</v>
      </c>
      <c r="I178">
        <v>19</v>
      </c>
      <c r="J178">
        <f>IF(K178&gt;0,K178*0.0625,IF(L178&gt;0,L178*2.204623,))</f>
        <v>2.1875</v>
      </c>
      <c r="K178">
        <v>35</v>
      </c>
      <c r="L178">
        <f>IF(J178&gt;0,J178*0.453592,IF(K178&gt;0,K178*0.02835,))</f>
        <v>0.9922325</v>
      </c>
      <c r="M178">
        <v>0</v>
      </c>
      <c r="N178">
        <v>0</v>
      </c>
      <c r="O178">
        <f>I178+N178+M178</f>
        <v>19</v>
      </c>
      <c r="P178">
        <f>O178*C$3</f>
        <v>3610</v>
      </c>
      <c r="Q178">
        <f>ROUNDUP(HLOOKUP(IF(CEILING(L178,0.5)&lt;1,1,CEILING(L178,0.5)),'배송비 조회'!A$32:AY$36,2,0),-2)</f>
        <v>8000</v>
      </c>
      <c r="R178">
        <v>0</v>
      </c>
      <c r="S178">
        <f>ROUND((P178+Q178)*0.6,-2)</f>
        <v>7000</v>
      </c>
      <c r="T178">
        <f>ROUND((P178+Q178)*0.7,-2)</f>
        <v>8100</v>
      </c>
      <c r="U178">
        <f>ROUND(SUM(P178+Q178+R178+S178), -2)</f>
        <v>18600</v>
      </c>
      <c r="V178">
        <f>ROUND(P178+Q178+R178+T178, -2)</f>
        <v>19700</v>
      </c>
      <c r="W178">
        <v>0</v>
      </c>
      <c r="X178">
        <f>U178*0.038</f>
        <v>706.8</v>
      </c>
      <c r="Y178">
        <f>U178*0.02</f>
        <v>372</v>
      </c>
      <c r="Z178">
        <f>V178*0.1</f>
        <v>1970</v>
      </c>
      <c r="AA178">
        <f>U178-X178-Y178</f>
        <v>17521.2</v>
      </c>
      <c r="AB178">
        <f>V178-Z178</f>
        <v>17730</v>
      </c>
      <c r="AC178">
        <f>AA178*0.01</f>
        <v>175.21200000000002</v>
      </c>
      <c r="AD178">
        <f>AA178-P178-AC178-Q178</f>
        <v>5735.988000000001</v>
      </c>
      <c r="AE178">
        <f>AB178-P178-Q178-AC178</f>
        <v>5944.788</v>
      </c>
      <c r="AF178">
        <f>AD178/U178</f>
        <v>0.3083864516129033</v>
      </c>
      <c r="AG178">
        <f>AE178/V178</f>
        <v>0.30176588832487306</v>
      </c>
      <c r="AH178">
        <v>10000</v>
      </c>
      <c r="AI178">
        <f>U178-AH178</f>
        <v>8600</v>
      </c>
    </row>
    <row r="179">
      <c r="F179" t="str">
        <v>플라밍고2</v>
      </c>
      <c r="I179">
        <v>19</v>
      </c>
      <c r="J179">
        <f>IF(K179&gt;0,K179*0.0625,IF(L179&gt;0,L179*2.204623,))</f>
        <v>2.1875</v>
      </c>
      <c r="K179">
        <v>35</v>
      </c>
      <c r="L179">
        <f>IF(J179&gt;0,J179*0.453592,IF(K179&gt;0,K179*0.02835,))</f>
        <v>0.9922325</v>
      </c>
      <c r="M179">
        <v>0</v>
      </c>
      <c r="N179">
        <v>0</v>
      </c>
      <c r="O179">
        <f>I179+N179+M179</f>
        <v>19</v>
      </c>
      <c r="P179">
        <f>O179*C$3</f>
        <v>3610</v>
      </c>
      <c r="Q179">
        <f>ROUNDUP(HLOOKUP(IF(CEILING(L179,0.5)&lt;1,1,CEILING(L179,0.5)),'배송비 조회'!A$32:AY$36,2,0),-2)</f>
        <v>8000</v>
      </c>
      <c r="R179">
        <v>0</v>
      </c>
      <c r="S179">
        <f>ROUND((P179+Q179)*0.6,-2)</f>
        <v>7000</v>
      </c>
      <c r="T179">
        <f>ROUND((P179+Q179)*0.7,-2)</f>
        <v>8100</v>
      </c>
      <c r="U179">
        <f>ROUND(SUM(P179+Q179+R179+S179), -2)</f>
        <v>18600</v>
      </c>
      <c r="V179">
        <f>ROUND(P179+Q179+R179+T179, -2)</f>
        <v>19700</v>
      </c>
      <c r="W179">
        <v>0</v>
      </c>
      <c r="X179">
        <f>U179*0.038</f>
        <v>706.8</v>
      </c>
      <c r="Y179">
        <f>U179*0.02</f>
        <v>372</v>
      </c>
      <c r="Z179">
        <f>V179*0.1</f>
        <v>1970</v>
      </c>
      <c r="AA179">
        <f>U179-X179-Y179</f>
        <v>17521.2</v>
      </c>
      <c r="AB179">
        <f>V179-Z179</f>
        <v>17730</v>
      </c>
      <c r="AC179">
        <f>AA179*0.01</f>
        <v>175.21200000000002</v>
      </c>
      <c r="AD179">
        <f>AA179-P179-AC179-Q179</f>
        <v>5735.988000000001</v>
      </c>
      <c r="AE179">
        <f>AB179-P179-Q179-AC179</f>
        <v>5944.788</v>
      </c>
      <c r="AF179">
        <f>AD179/U179</f>
        <v>0.3083864516129033</v>
      </c>
      <c r="AG179">
        <f>AE179/V179</f>
        <v>0.30176588832487306</v>
      </c>
      <c r="AH179">
        <v>10000</v>
      </c>
      <c r="AI179">
        <f>U179-AH179</f>
        <v>8600</v>
      </c>
    </row>
    <row r="180">
      <c r="G180" t="str">
        <v>A</v>
      </c>
      <c r="J180" t="str">
        <f>IF(K180&gt;0,K180*0.0625,IF(L180&gt;0,L180*2.204623,))</f>
        <v>#REF!</v>
      </c>
      <c r="K180" t="str">
        <f>IF(L180&gt;0,L180*35.273962,IF(J180&gt;0,J180*16,))</f>
        <v>#REF!</v>
      </c>
      <c r="L180" t="str">
        <f>IF(J180&gt;0,J180*0.453592,IF(K180&gt;0,K180*0.02835,))</f>
        <v>#REF!</v>
      </c>
      <c r="O180">
        <f>I180+N180+M180</f>
        <v>0</v>
      </c>
      <c r="P180">
        <f>O180*C$3</f>
        <v>0</v>
      </c>
      <c r="Q180" t="str">
        <f>ROUNDUP(HLOOKUP(IF(CEILING(L180,0.5)&lt;1,1,CEILING(L180,0.5)),'배송비 조회'!A$32:AY$36,2,0),-2)</f>
        <v>#REF!</v>
      </c>
      <c r="R180">
        <v>0</v>
      </c>
      <c r="S180" t="str">
        <f>ROUND((P180+Q180)*0.6,-2)</f>
        <v>#REF!</v>
      </c>
      <c r="T180" t="str">
        <f>ROUND((P180+Q180)*0.7,-2)</f>
        <v>#REF!</v>
      </c>
      <c r="U180" t="str">
        <f>ROUND(SUM(P180+Q180+R180+S180), -2)</f>
        <v>#REF!</v>
      </c>
      <c r="V180" t="str">
        <f>ROUND(P180+Q180+R180+T180, -2)</f>
        <v>#REF!</v>
      </c>
      <c r="W180">
        <v>0</v>
      </c>
      <c r="X180" t="str">
        <f>U180*0.038</f>
        <v>#REF!</v>
      </c>
      <c r="Y180" t="str">
        <f>U180*0.02</f>
        <v>#REF!</v>
      </c>
      <c r="Z180" t="str">
        <f>V180*0.1</f>
        <v>#REF!</v>
      </c>
      <c r="AA180" t="str">
        <f>U180-X180-Y180</f>
        <v>#REF!</v>
      </c>
      <c r="AB180" t="str">
        <f>V180-Z180</f>
        <v>#REF!</v>
      </c>
      <c r="AC180" t="str">
        <f>AA180*0.01</f>
        <v>#REF!</v>
      </c>
      <c r="AD180" t="str">
        <f>AA180-P180-AC180-Q180</f>
        <v>#REF!</v>
      </c>
      <c r="AE180" t="str">
        <f>AB180-P180-Q180-AC180</f>
        <v>#REF!</v>
      </c>
      <c r="AF180" t="str">
        <f>AD180/U180</f>
        <v>#REF!</v>
      </c>
      <c r="AG180" t="str">
        <f>AE180/V180</f>
        <v>#REF!</v>
      </c>
    </row>
    <row r="181">
      <c r="G181" t="str">
        <v>A</v>
      </c>
      <c r="J181" t="str">
        <f>IF(K181&gt;0,K181*0.0625,IF(L181&gt;0,L181*2.204623,))</f>
        <v>#REF!</v>
      </c>
      <c r="K181" t="str">
        <f>IF(L181&gt;0,L181*35.273962,IF(J181&gt;0,J181*16,))</f>
        <v>#REF!</v>
      </c>
      <c r="L181" t="str">
        <f>IF(J181&gt;0,J181*0.453592,IF(K181&gt;0,K181*0.02835,))</f>
        <v>#REF!</v>
      </c>
      <c r="O181">
        <f>I181+N181+M181</f>
        <v>0</v>
      </c>
      <c r="P181">
        <f>O181*C$3</f>
        <v>0</v>
      </c>
      <c r="Q181" t="str">
        <f>ROUNDUP(HLOOKUP(IF(CEILING(L181,0.5)&lt;1,1,CEILING(L181,0.5)),'배송비 조회'!A$32:AY$36,2,0),-2)</f>
        <v>#REF!</v>
      </c>
      <c r="R181">
        <v>0</v>
      </c>
      <c r="S181" t="str">
        <f>ROUND((P181+Q181)*0.6,-2)</f>
        <v>#REF!</v>
      </c>
      <c r="T181" t="str">
        <f>ROUND((P181+Q181)*0.7,-2)</f>
        <v>#REF!</v>
      </c>
      <c r="U181" t="str">
        <f>ROUND(SUM(P181+Q181+R181+S181), -2)</f>
        <v>#REF!</v>
      </c>
      <c r="V181" t="str">
        <f>ROUND(P181+Q181+R181+T181, -2)</f>
        <v>#REF!</v>
      </c>
      <c r="W181">
        <v>0</v>
      </c>
      <c r="X181" t="str">
        <f>U181*0.038</f>
        <v>#REF!</v>
      </c>
      <c r="Y181" t="str">
        <f>U181*0.02</f>
        <v>#REF!</v>
      </c>
      <c r="Z181" t="str">
        <f>V181*0.1</f>
        <v>#REF!</v>
      </c>
      <c r="AA181" t="str">
        <f>U181-X181-Y181</f>
        <v>#REF!</v>
      </c>
      <c r="AB181" t="str">
        <f>V181-Z181</f>
        <v>#REF!</v>
      </c>
      <c r="AC181" t="str">
        <f>AA181*0.01</f>
        <v>#REF!</v>
      </c>
      <c r="AD181" t="str">
        <f>AA181-P181-AC181-Q181</f>
        <v>#REF!</v>
      </c>
      <c r="AE181" t="str">
        <f>AB181-P181-Q181-AC181</f>
        <v>#REF!</v>
      </c>
      <c r="AF181" t="str">
        <f>AD181/U181</f>
        <v>#REF!</v>
      </c>
      <c r="AG181" t="str">
        <f>AE181/V181</f>
        <v>#REF!</v>
      </c>
    </row>
    <row r="182">
      <c r="G182" t="str">
        <v>A</v>
      </c>
      <c r="J182" t="str">
        <f>IF(K182&gt;0,K182*0.0625,IF(L182&gt;0,L182*2.204623,))</f>
        <v>#REF!</v>
      </c>
      <c r="K182" t="str">
        <f>IF(L182&gt;0,L182*35.273962,IF(J182&gt;0,J182*16,))</f>
        <v>#REF!</v>
      </c>
      <c r="L182" t="str">
        <f>IF(J182&gt;0,J182*0.453592,IF(K182&gt;0,K182*0.02835,))</f>
        <v>#REF!</v>
      </c>
      <c r="O182">
        <f>I182+N182+M182</f>
        <v>0</v>
      </c>
      <c r="P182">
        <f>O182*C$3</f>
        <v>0</v>
      </c>
      <c r="Q182" t="str">
        <f>ROUNDUP(HLOOKUP(IF(CEILING(L182,0.5)&lt;1,1,CEILING(L182,0.5)),'배송비 조회'!A$32:AY$36,2,0),-2)</f>
        <v>#REF!</v>
      </c>
      <c r="R182">
        <v>0</v>
      </c>
      <c r="S182" t="str">
        <f>ROUND((P182+Q182)*0.6,-2)</f>
        <v>#REF!</v>
      </c>
      <c r="T182" t="str">
        <f>ROUND((P182+Q182)*0.7,-2)</f>
        <v>#REF!</v>
      </c>
      <c r="U182" t="str">
        <f>ROUND(SUM(P182+Q182+R182+S182), -2)</f>
        <v>#REF!</v>
      </c>
      <c r="V182" t="str">
        <f>ROUND(P182+Q182+R182+T182, -2)</f>
        <v>#REF!</v>
      </c>
      <c r="W182">
        <v>0</v>
      </c>
      <c r="X182" t="str">
        <f>U182*0.038</f>
        <v>#REF!</v>
      </c>
      <c r="Y182" t="str">
        <f>U182*0.02</f>
        <v>#REF!</v>
      </c>
      <c r="Z182" t="str">
        <f>V182*0.1</f>
        <v>#REF!</v>
      </c>
      <c r="AA182" t="str">
        <f>U182-X182-Y182</f>
        <v>#REF!</v>
      </c>
      <c r="AB182" t="str">
        <f>V182-Z182</f>
        <v>#REF!</v>
      </c>
      <c r="AC182" t="str">
        <f>AA182*0.01</f>
        <v>#REF!</v>
      </c>
      <c r="AD182" t="str">
        <f>AA182-P182-AC182-Q182</f>
        <v>#REF!</v>
      </c>
      <c r="AE182" t="str">
        <f>AB182-P182-Q182-AC182</f>
        <v>#REF!</v>
      </c>
      <c r="AF182" t="str">
        <f>AD182/U182</f>
        <v>#REF!</v>
      </c>
      <c r="AG182" t="str">
        <f>AE182/V182</f>
        <v>#REF!</v>
      </c>
    </row>
    <row r="183">
      <c r="G183" t="str">
        <v>A</v>
      </c>
      <c r="J183" t="str">
        <f>IF(K183&gt;0,K183*0.0625,IF(L183&gt;0,L183*2.204623,))</f>
        <v>#REF!</v>
      </c>
      <c r="K183" t="str">
        <f>IF(L183&gt;0,L183*35.273962,IF(J183&gt;0,J183*16,))</f>
        <v>#REF!</v>
      </c>
      <c r="L183" t="str">
        <f>IF(J183&gt;0,J183*0.453592,IF(K183&gt;0,K183*0.02835,))</f>
        <v>#REF!</v>
      </c>
      <c r="O183">
        <f>I183+N183+M183</f>
        <v>0</v>
      </c>
      <c r="P183">
        <f>O183*C$3</f>
        <v>0</v>
      </c>
      <c r="Q183" t="str">
        <f>ROUNDUP(HLOOKUP(IF(CEILING(L183,0.5)&lt;1,1,CEILING(L183,0.5)),'배송비 조회'!A$32:AY$36,2,0),-2)</f>
        <v>#REF!</v>
      </c>
      <c r="R183">
        <v>0</v>
      </c>
      <c r="S183" t="str">
        <f>ROUND((P183+Q183)*0.6,-2)</f>
        <v>#REF!</v>
      </c>
      <c r="T183" t="str">
        <f>ROUND((P183+Q183)*0.7,-2)</f>
        <v>#REF!</v>
      </c>
      <c r="U183" t="str">
        <f>ROUND(SUM(P183+Q183+R183+S183), -2)</f>
        <v>#REF!</v>
      </c>
      <c r="V183" t="str">
        <f>ROUND(P183+Q183+R183+T183, -2)</f>
        <v>#REF!</v>
      </c>
      <c r="W183">
        <v>0</v>
      </c>
      <c r="X183" t="str">
        <f>U183*0.038</f>
        <v>#REF!</v>
      </c>
      <c r="Y183" t="str">
        <f>U183*0.02</f>
        <v>#REF!</v>
      </c>
      <c r="Z183" t="str">
        <f>V183*0.1</f>
        <v>#REF!</v>
      </c>
      <c r="AA183" t="str">
        <f>U183-X183-Y183</f>
        <v>#REF!</v>
      </c>
      <c r="AB183" t="str">
        <f>V183-Z183</f>
        <v>#REF!</v>
      </c>
      <c r="AC183" t="str">
        <f>AA183*0.01</f>
        <v>#REF!</v>
      </c>
      <c r="AD183" t="str">
        <f>AA183-P183-AC183-Q183</f>
        <v>#REF!</v>
      </c>
      <c r="AE183" t="str">
        <f>AB183-P183-Q183-AC183</f>
        <v>#REF!</v>
      </c>
      <c r="AF183" t="str">
        <f>AD183/U183</f>
        <v>#REF!</v>
      </c>
      <c r="AG183" t="str">
        <f>AE183/V183</f>
        <v>#REF!</v>
      </c>
    </row>
    <row r="184">
      <c r="G184" t="str">
        <v>A</v>
      </c>
      <c r="J184" t="str">
        <f>IF(K184&gt;0,K184*0.0625,IF(L184&gt;0,L184*2.204623,))</f>
        <v>#REF!</v>
      </c>
      <c r="K184" t="str">
        <f>IF(L184&gt;0,L184*35.273962,IF(J184&gt;0,J184*16,))</f>
        <v>#REF!</v>
      </c>
      <c r="L184" t="str">
        <f>IF(J184&gt;0,J184*0.453592,IF(K184&gt;0,K184*0.02835,))</f>
        <v>#REF!</v>
      </c>
      <c r="O184">
        <f>I184+N184+M184</f>
        <v>0</v>
      </c>
      <c r="P184">
        <f>O184*C$3</f>
        <v>0</v>
      </c>
      <c r="Q184" t="str">
        <f>ROUNDUP(HLOOKUP(IF(CEILING(L184,0.5)&lt;1,1,CEILING(L184,0.5)),'배송비 조회'!A$32:AY$36,2,0),-2)</f>
        <v>#REF!</v>
      </c>
      <c r="R184">
        <v>0</v>
      </c>
      <c r="S184" t="str">
        <f>ROUND((P184+Q184)*0.6,-2)</f>
        <v>#REF!</v>
      </c>
      <c r="T184" t="str">
        <f>ROUND((P184+Q184)*0.7,-2)</f>
        <v>#REF!</v>
      </c>
      <c r="U184" t="str">
        <f>ROUND(SUM(P184+Q184+R184+S184), -2)</f>
        <v>#REF!</v>
      </c>
      <c r="V184" t="str">
        <f>ROUND(P184+Q184+R184+T184, -2)</f>
        <v>#REF!</v>
      </c>
      <c r="W184">
        <v>0</v>
      </c>
      <c r="X184" t="str">
        <f>U184*0.038</f>
        <v>#REF!</v>
      </c>
      <c r="Y184" t="str">
        <f>U184*0.02</f>
        <v>#REF!</v>
      </c>
      <c r="Z184" t="str">
        <f>V184*0.1</f>
        <v>#REF!</v>
      </c>
      <c r="AA184" t="str">
        <f>U184-X184-Y184</f>
        <v>#REF!</v>
      </c>
      <c r="AB184" t="str">
        <f>V184-Z184</f>
        <v>#REF!</v>
      </c>
      <c r="AC184" t="str">
        <f>AA184*0.01</f>
        <v>#REF!</v>
      </c>
      <c r="AD184" t="str">
        <f>AA184-P184-AC184-Q184</f>
        <v>#REF!</v>
      </c>
      <c r="AE184" t="str">
        <f>AB184-P184-Q184-AC184</f>
        <v>#REF!</v>
      </c>
      <c r="AF184" t="str">
        <f>AD184/U184</f>
        <v>#REF!</v>
      </c>
      <c r="AG184" t="str">
        <f>AE184/V184</f>
        <v>#REF!</v>
      </c>
    </row>
    <row r="185">
      <c r="G185" t="str">
        <v>A</v>
      </c>
      <c r="J185" t="str">
        <f>IF(K185&gt;0,K185*0.0625,IF(L185&gt;0,L185*2.204623,))</f>
        <v>#REF!</v>
      </c>
      <c r="K185" t="str">
        <f>IF(L185&gt;0,L185*35.273962,IF(J185&gt;0,J185*16,))</f>
        <v>#REF!</v>
      </c>
      <c r="L185" t="str">
        <f>IF(J185&gt;0,J185*0.453592,IF(K185&gt;0,K185*0.02835,))</f>
        <v>#REF!</v>
      </c>
      <c r="O185">
        <f>I185+N185+M185</f>
        <v>0</v>
      </c>
      <c r="P185">
        <f>O185*C$3</f>
        <v>0</v>
      </c>
      <c r="Q185" t="str">
        <f>ROUNDUP(HLOOKUP(IF(CEILING(L185,0.5)&lt;1,1,CEILING(L185,0.5)),'배송비 조회'!A$32:AY$36,2,0),-2)</f>
        <v>#REF!</v>
      </c>
      <c r="R185">
        <v>0</v>
      </c>
      <c r="S185" t="str">
        <f>ROUND((P185+Q185)*0.6,-2)</f>
        <v>#REF!</v>
      </c>
      <c r="T185" t="str">
        <f>ROUND((P185+Q185)*0.7,-2)</f>
        <v>#REF!</v>
      </c>
      <c r="U185" t="str">
        <f>ROUND(SUM(P185+Q185+R185+S185), -2)</f>
        <v>#REF!</v>
      </c>
      <c r="V185" t="str">
        <f>ROUND(P185+Q185+R185+T185, -2)</f>
        <v>#REF!</v>
      </c>
      <c r="W185">
        <v>0</v>
      </c>
      <c r="X185" t="str">
        <f>U185*0.038</f>
        <v>#REF!</v>
      </c>
      <c r="Y185" t="str">
        <f>U185*0.02</f>
        <v>#REF!</v>
      </c>
      <c r="Z185" t="str">
        <f>V185*0.1</f>
        <v>#REF!</v>
      </c>
      <c r="AA185" t="str">
        <f>U185-X185-Y185</f>
        <v>#REF!</v>
      </c>
      <c r="AB185" t="str">
        <f>V185-Z185</f>
        <v>#REF!</v>
      </c>
      <c r="AC185" t="str">
        <f>AA185*0.01</f>
        <v>#REF!</v>
      </c>
      <c r="AD185" t="str">
        <f>AA185-P185-AC185-Q185</f>
        <v>#REF!</v>
      </c>
      <c r="AE185" t="str">
        <f>AB185-P185-Q185-AC185</f>
        <v>#REF!</v>
      </c>
      <c r="AF185" t="str">
        <f>AD185/U185</f>
        <v>#REF!</v>
      </c>
      <c r="AG185" t="str">
        <f>AE185/V185</f>
        <v>#REF!</v>
      </c>
    </row>
    <row r="186">
      <c r="G186" t="str">
        <v>A</v>
      </c>
      <c r="J186" t="str">
        <f>IF(K186&gt;0,K186*0.0625,IF(L186&gt;0,L186*2.204623,))</f>
        <v>#REF!</v>
      </c>
      <c r="K186" t="str">
        <f>IF(L186&gt;0,L186*35.273962,IF(J186&gt;0,J186*16,))</f>
        <v>#REF!</v>
      </c>
      <c r="L186" t="str">
        <f>IF(J186&gt;0,J186*0.453592,IF(K186&gt;0,K186*0.02835,))</f>
        <v>#REF!</v>
      </c>
      <c r="O186">
        <f>I186+N186+M186</f>
        <v>0</v>
      </c>
      <c r="P186">
        <f>O186*C$3</f>
        <v>0</v>
      </c>
      <c r="Q186" t="str">
        <f>ROUNDUP(HLOOKUP(IF(CEILING(L186,0.5)&lt;1,1,CEILING(L186,0.5)),'배송비 조회'!A$32:AY$36,2,0),-2)</f>
        <v>#REF!</v>
      </c>
      <c r="R186">
        <v>0</v>
      </c>
      <c r="S186" t="str">
        <f>ROUND((P186+Q186)*0.6,-2)</f>
        <v>#REF!</v>
      </c>
      <c r="T186" t="str">
        <f>ROUND((P186+Q186)*0.7,-2)</f>
        <v>#REF!</v>
      </c>
      <c r="U186" t="str">
        <f>ROUND(SUM(P186+Q186+R186+S186), -2)</f>
        <v>#REF!</v>
      </c>
      <c r="V186" t="str">
        <f>ROUND(P186+Q186+R186+T186, -2)</f>
        <v>#REF!</v>
      </c>
      <c r="W186">
        <v>0</v>
      </c>
      <c r="X186" t="str">
        <f>U186*0.038</f>
        <v>#REF!</v>
      </c>
      <c r="Y186" t="str">
        <f>U186*0.02</f>
        <v>#REF!</v>
      </c>
      <c r="Z186" t="str">
        <f>V186*0.1</f>
        <v>#REF!</v>
      </c>
      <c r="AA186" t="str">
        <f>U186-X186-Y186</f>
        <v>#REF!</v>
      </c>
      <c r="AB186" t="str">
        <f>V186-Z186</f>
        <v>#REF!</v>
      </c>
      <c r="AC186" t="str">
        <f>AA186*0.01</f>
        <v>#REF!</v>
      </c>
      <c r="AD186" t="str">
        <f>AA186-P186-AC186-Q186</f>
        <v>#REF!</v>
      </c>
      <c r="AE186" t="str">
        <f>AB186-P186-Q186-AC186</f>
        <v>#REF!</v>
      </c>
      <c r="AF186" t="str">
        <f>AD186/U186</f>
        <v>#REF!</v>
      </c>
      <c r="AG186" t="str">
        <f>AE186/V186</f>
        <v>#REF!</v>
      </c>
    </row>
    <row r="187">
      <c r="G187" t="str">
        <v>A</v>
      </c>
      <c r="J187" t="str">
        <f>IF(K187&gt;0,K187*0.0625,IF(L187&gt;0,L187*2.204623,))</f>
        <v>#REF!</v>
      </c>
      <c r="K187" t="str">
        <f>IF(L187&gt;0,L187*35.273962,IF(J187&gt;0,J187*16,))</f>
        <v>#REF!</v>
      </c>
      <c r="L187" t="str">
        <f>IF(J187&gt;0,J187*0.453592,IF(K187&gt;0,K187*0.02835,))</f>
        <v>#REF!</v>
      </c>
      <c r="O187">
        <f>I187+N187+M187</f>
        <v>0</v>
      </c>
      <c r="P187">
        <f>O187*C$3</f>
        <v>0</v>
      </c>
      <c r="Q187" t="str">
        <f>ROUNDUP(HLOOKUP(IF(CEILING(L187,0.5)&lt;1,1,CEILING(L187,0.5)),'배송비 조회'!A$32:AY$36,2,0),-2)</f>
        <v>#REF!</v>
      </c>
      <c r="R187">
        <v>0</v>
      </c>
      <c r="S187" t="str">
        <f>ROUND((P187+Q187)*0.6,-2)</f>
        <v>#REF!</v>
      </c>
      <c r="T187" t="str">
        <f>ROUND((P187+Q187)*0.7,-2)</f>
        <v>#REF!</v>
      </c>
      <c r="U187" t="str">
        <f>ROUND(SUM(P187+Q187+R187+S187), -2)</f>
        <v>#REF!</v>
      </c>
      <c r="V187" t="str">
        <f>ROUND(P187+Q187+R187+T187, -2)</f>
        <v>#REF!</v>
      </c>
      <c r="W187">
        <v>0</v>
      </c>
      <c r="X187" t="str">
        <f>U187*0.038</f>
        <v>#REF!</v>
      </c>
      <c r="Y187" t="str">
        <f>U187*0.02</f>
        <v>#REF!</v>
      </c>
      <c r="Z187" t="str">
        <f>V187*0.1</f>
        <v>#REF!</v>
      </c>
      <c r="AA187" t="str">
        <f>U187-X187-Y187</f>
        <v>#REF!</v>
      </c>
      <c r="AB187" t="str">
        <f>V187-Z187</f>
        <v>#REF!</v>
      </c>
      <c r="AC187" t="str">
        <f>AA187*0.01</f>
        <v>#REF!</v>
      </c>
      <c r="AD187" t="str">
        <f>AA187-P187-AC187-Q187</f>
        <v>#REF!</v>
      </c>
      <c r="AE187" t="str">
        <f>AB187-P187-Q187-AC187</f>
        <v>#REF!</v>
      </c>
      <c r="AF187" t="str">
        <f>AD187/U187</f>
        <v>#REF!</v>
      </c>
      <c r="AG187" t="str">
        <f>AE187/V187</f>
        <v>#REF!</v>
      </c>
    </row>
    <row r="188">
      <c r="G188" t="str">
        <v>A</v>
      </c>
      <c r="J188" t="str">
        <f>IF(K188&gt;0,K188*0.0625,IF(L188&gt;0,L188*2.204623,))</f>
        <v>#REF!</v>
      </c>
      <c r="K188" t="str">
        <f>IF(L188&gt;0,L188*35.273962,IF(J188&gt;0,J188*16,))</f>
        <v>#REF!</v>
      </c>
      <c r="L188" t="str">
        <f>IF(J188&gt;0,J188*0.453592,IF(K188&gt;0,K188*0.02835,))</f>
        <v>#REF!</v>
      </c>
      <c r="O188">
        <f>I188+N188+M188</f>
        <v>0</v>
      </c>
      <c r="P188">
        <f>O188*C$3</f>
        <v>0</v>
      </c>
      <c r="Q188" t="str">
        <f>ROUNDUP(HLOOKUP(IF(CEILING(L188,0.5)&lt;1,1,CEILING(L188,0.5)),'배송비 조회'!A$32:AY$36,2,0),-2)</f>
        <v>#REF!</v>
      </c>
      <c r="R188">
        <v>0</v>
      </c>
      <c r="S188" t="str">
        <f>ROUND((P188+Q188)*0.6,-2)</f>
        <v>#REF!</v>
      </c>
      <c r="T188" t="str">
        <f>ROUND((P188+Q188)*0.7,-2)</f>
        <v>#REF!</v>
      </c>
      <c r="U188" t="str">
        <f>ROUND(SUM(P188+Q188+R188+S188), -2)</f>
        <v>#REF!</v>
      </c>
      <c r="V188" t="str">
        <f>ROUND(P188+Q188+R188+T188, -2)</f>
        <v>#REF!</v>
      </c>
      <c r="W188">
        <v>0</v>
      </c>
      <c r="X188" t="str">
        <f>U188*0.038</f>
        <v>#REF!</v>
      </c>
      <c r="Y188" t="str">
        <f>U188*0.02</f>
        <v>#REF!</v>
      </c>
      <c r="Z188" t="str">
        <f>V188*0.1</f>
        <v>#REF!</v>
      </c>
      <c r="AA188" t="str">
        <f>U188-X188-Y188</f>
        <v>#REF!</v>
      </c>
      <c r="AB188" t="str">
        <f>V188-Z188</f>
        <v>#REF!</v>
      </c>
      <c r="AC188" t="str">
        <f>AA188*0.01</f>
        <v>#REF!</v>
      </c>
      <c r="AD188" t="str">
        <f>AA188-P188-AC188-Q188</f>
        <v>#REF!</v>
      </c>
      <c r="AE188" t="str">
        <f>AB188-P188-Q188-AC188</f>
        <v>#REF!</v>
      </c>
      <c r="AF188" t="str">
        <f>AD188/U188</f>
        <v>#REF!</v>
      </c>
      <c r="AG188" t="str">
        <f>AE188/V188</f>
        <v>#REF!</v>
      </c>
    </row>
    <row r="189">
      <c r="G189" t="str">
        <v>A</v>
      </c>
      <c r="J189" t="str">
        <f>IF(K189&gt;0,K189*0.0625,IF(L189&gt;0,L189*2.204623,))</f>
        <v>#REF!</v>
      </c>
      <c r="K189" t="str">
        <f>IF(L189&gt;0,L189*35.273962,IF(J189&gt;0,J189*16,))</f>
        <v>#REF!</v>
      </c>
      <c r="L189" t="str">
        <f>IF(J189&gt;0,J189*0.453592,IF(K189&gt;0,K189*0.02835,))</f>
        <v>#REF!</v>
      </c>
      <c r="O189">
        <f>I189+N189+M189</f>
        <v>0</v>
      </c>
      <c r="P189">
        <f>O189*C$3</f>
        <v>0</v>
      </c>
      <c r="Q189" t="str">
        <f>ROUNDUP(HLOOKUP(IF(CEILING(L189,0.5)&lt;1,1,CEILING(L189,0.5)),'배송비 조회'!A$32:AY$36,2,0),-2)</f>
        <v>#REF!</v>
      </c>
      <c r="R189">
        <v>0</v>
      </c>
      <c r="S189" t="str">
        <f>ROUND((P189+Q189)*0.6,-2)</f>
        <v>#REF!</v>
      </c>
      <c r="T189" t="str">
        <f>ROUND((P189+Q189)*0.7,-2)</f>
        <v>#REF!</v>
      </c>
      <c r="U189" t="str">
        <f>ROUND(SUM(P189+Q189+R189+S189), -2)</f>
        <v>#REF!</v>
      </c>
      <c r="V189" t="str">
        <f>ROUND(P189+Q189+R189+T189, -2)</f>
        <v>#REF!</v>
      </c>
      <c r="W189">
        <v>0</v>
      </c>
      <c r="X189" t="str">
        <f>U189*0.038</f>
        <v>#REF!</v>
      </c>
      <c r="Y189" t="str">
        <f>U189*0.02</f>
        <v>#REF!</v>
      </c>
      <c r="Z189" t="str">
        <f>V189*0.1</f>
        <v>#REF!</v>
      </c>
      <c r="AA189" t="str">
        <f>U189-X189-Y189</f>
        <v>#REF!</v>
      </c>
      <c r="AB189" t="str">
        <f>V189-Z189</f>
        <v>#REF!</v>
      </c>
      <c r="AC189" t="str">
        <f>AA189*0.01</f>
        <v>#REF!</v>
      </c>
      <c r="AD189" t="str">
        <f>AA189-P189-AC189-Q189</f>
        <v>#REF!</v>
      </c>
      <c r="AE189" t="str">
        <f>AB189-P189-Q189-AC189</f>
        <v>#REF!</v>
      </c>
      <c r="AF189" t="str">
        <f>AD189/U189</f>
        <v>#REF!</v>
      </c>
      <c r="AG189" t="str">
        <f>AE189/V189</f>
        <v>#REF!</v>
      </c>
    </row>
    <row r="190">
      <c r="G190" t="str">
        <v>A</v>
      </c>
      <c r="J190" t="str">
        <f>IF(K190&gt;0,K190*0.0625,IF(L190&gt;0,L190*2.204623,))</f>
        <v>#REF!</v>
      </c>
      <c r="K190" t="str">
        <f>IF(L190&gt;0,L190*35.273962,IF(J190&gt;0,J190*16,))</f>
        <v>#REF!</v>
      </c>
      <c r="L190" t="str">
        <f>IF(J190&gt;0,J190*0.453592,IF(K190&gt;0,K190*0.02835,))</f>
        <v>#REF!</v>
      </c>
      <c r="O190">
        <f>I190+N190+M190</f>
        <v>0</v>
      </c>
      <c r="P190">
        <f>O190*C$3</f>
        <v>0</v>
      </c>
      <c r="Q190" t="str">
        <f>ROUNDUP(HLOOKUP(IF(CEILING(L190,0.5)&lt;1,1,CEILING(L190,0.5)),'배송비 조회'!A$32:AY$36,2,0),-2)</f>
        <v>#REF!</v>
      </c>
      <c r="R190">
        <v>0</v>
      </c>
      <c r="S190" t="str">
        <f>ROUND((P190+Q190)*0.6,-2)</f>
        <v>#REF!</v>
      </c>
      <c r="T190" t="str">
        <f>ROUND((P190+Q190)*0.7,-2)</f>
        <v>#REF!</v>
      </c>
      <c r="U190" t="str">
        <f>ROUND(SUM(P190+Q190+R190+S190), -2)</f>
        <v>#REF!</v>
      </c>
      <c r="V190" t="str">
        <f>ROUND(P190+Q190+R190+T190, -2)</f>
        <v>#REF!</v>
      </c>
      <c r="W190">
        <v>0</v>
      </c>
      <c r="X190" t="str">
        <f>U190*0.038</f>
        <v>#REF!</v>
      </c>
      <c r="Y190" t="str">
        <f>U190*0.02</f>
        <v>#REF!</v>
      </c>
      <c r="Z190" t="str">
        <f>V190*0.1</f>
        <v>#REF!</v>
      </c>
      <c r="AA190" t="str">
        <f>U190-X190-Y190</f>
        <v>#REF!</v>
      </c>
      <c r="AB190" t="str">
        <f>V190-Z190</f>
        <v>#REF!</v>
      </c>
      <c r="AC190" t="str">
        <f>AA190*0.01</f>
        <v>#REF!</v>
      </c>
      <c r="AD190" t="str">
        <f>AA190-P190-AC190-Q190</f>
        <v>#REF!</v>
      </c>
      <c r="AE190" t="str">
        <f>AB190-P190-Q190-AC190</f>
        <v>#REF!</v>
      </c>
      <c r="AF190" t="str">
        <f>AD190/U190</f>
        <v>#REF!</v>
      </c>
      <c r="AG190" t="str">
        <f>AE190/V190</f>
        <v>#REF!</v>
      </c>
    </row>
    <row r="191">
      <c r="G191" t="str">
        <v>A</v>
      </c>
      <c r="J191" t="str">
        <f>IF(K191&gt;0,K191*0.0625,IF(L191&gt;0,L191*2.204623,))</f>
        <v>#REF!</v>
      </c>
      <c r="K191" t="str">
        <f>IF(L191&gt;0,L191*35.273962,IF(J191&gt;0,J191*16,))</f>
        <v>#REF!</v>
      </c>
      <c r="L191" t="str">
        <f>IF(J191&gt;0,J191*0.453592,IF(K191&gt;0,K191*0.02835,))</f>
        <v>#REF!</v>
      </c>
      <c r="O191">
        <f>I191+N191+M191</f>
        <v>0</v>
      </c>
      <c r="P191">
        <f>O191*C$3</f>
        <v>0</v>
      </c>
      <c r="Q191" t="str">
        <f>ROUNDUP(HLOOKUP(IF(CEILING(L191,0.5)&lt;1,1,CEILING(L191,0.5)),'배송비 조회'!A$32:AY$36,2,0),-2)</f>
        <v>#REF!</v>
      </c>
      <c r="R191">
        <v>0</v>
      </c>
      <c r="S191" t="str">
        <f>ROUND((P191+Q191)*0.6,-2)</f>
        <v>#REF!</v>
      </c>
      <c r="T191" t="str">
        <f>ROUND((P191+Q191)*0.7,-2)</f>
        <v>#REF!</v>
      </c>
      <c r="U191" t="str">
        <f>ROUND(SUM(P191+Q191+R191+S191), -2)</f>
        <v>#REF!</v>
      </c>
      <c r="V191" t="str">
        <f>ROUND(P191+Q191+R191+T191, -2)</f>
        <v>#REF!</v>
      </c>
      <c r="W191">
        <v>0</v>
      </c>
      <c r="X191" t="str">
        <f>U191*0.038</f>
        <v>#REF!</v>
      </c>
      <c r="Y191" t="str">
        <f>U191*0.02</f>
        <v>#REF!</v>
      </c>
      <c r="Z191" t="str">
        <f>V191*0.1</f>
        <v>#REF!</v>
      </c>
      <c r="AA191" t="str">
        <f>U191-X191-Y191</f>
        <v>#REF!</v>
      </c>
      <c r="AB191" t="str">
        <f>V191-Z191</f>
        <v>#REF!</v>
      </c>
      <c r="AC191" t="str">
        <f>AA191*0.01</f>
        <v>#REF!</v>
      </c>
      <c r="AD191" t="str">
        <f>AA191-P191-AC191-Q191</f>
        <v>#REF!</v>
      </c>
      <c r="AE191" t="str">
        <f>AB191-P191-Q191-AC191</f>
        <v>#REF!</v>
      </c>
      <c r="AF191" t="str">
        <f>AD191/U191</f>
        <v>#REF!</v>
      </c>
      <c r="AG191" t="str">
        <f>AE191/V191</f>
        <v>#REF!</v>
      </c>
    </row>
    <row r="192">
      <c r="G192" t="str">
        <v>A</v>
      </c>
      <c r="J192" t="str">
        <f>IF(K192&gt;0,K192*0.0625,IF(L192&gt;0,L192*2.204623,))</f>
        <v>#REF!</v>
      </c>
      <c r="K192" t="str">
        <f>IF(L192&gt;0,L192*35.273962,IF(J192&gt;0,J192*16,))</f>
        <v>#REF!</v>
      </c>
      <c r="L192" t="str">
        <f>IF(J192&gt;0,J192*0.453592,IF(K192&gt;0,K192*0.02835,))</f>
        <v>#REF!</v>
      </c>
      <c r="O192">
        <f>I192+N192+M192</f>
        <v>0</v>
      </c>
      <c r="P192">
        <f>O192*C$3</f>
        <v>0</v>
      </c>
      <c r="Q192" t="str">
        <f>ROUNDUP(HLOOKUP(IF(CEILING(L192,0.5)&lt;1,1,CEILING(L192,0.5)),'배송비 조회'!A$32:AY$36,2,0),-2)</f>
        <v>#REF!</v>
      </c>
      <c r="R192">
        <v>0</v>
      </c>
      <c r="S192" t="str">
        <f>ROUND((P192+Q192)*0.6,-2)</f>
        <v>#REF!</v>
      </c>
      <c r="T192" t="str">
        <f>ROUND((P192+Q192)*0.7,-2)</f>
        <v>#REF!</v>
      </c>
      <c r="U192" t="str">
        <f>ROUND(SUM(P192+Q192+R192+S192), -2)</f>
        <v>#REF!</v>
      </c>
      <c r="V192" t="str">
        <f>ROUND(P192+Q192+R192+T192, -2)</f>
        <v>#REF!</v>
      </c>
      <c r="W192">
        <v>0</v>
      </c>
      <c r="X192" t="str">
        <f>U192*0.038</f>
        <v>#REF!</v>
      </c>
      <c r="Y192" t="str">
        <f>U192*0.02</f>
        <v>#REF!</v>
      </c>
      <c r="Z192" t="str">
        <f>V192*0.1</f>
        <v>#REF!</v>
      </c>
      <c r="AA192" t="str">
        <f>U192-X192-Y192</f>
        <v>#REF!</v>
      </c>
      <c r="AB192" t="str">
        <f>V192-Z192</f>
        <v>#REF!</v>
      </c>
      <c r="AC192" t="str">
        <f>AA192*0.01</f>
        <v>#REF!</v>
      </c>
      <c r="AD192" t="str">
        <f>AA192-P192-AC192-Q192</f>
        <v>#REF!</v>
      </c>
      <c r="AE192" t="str">
        <f>AB192-P192-Q192-AC192</f>
        <v>#REF!</v>
      </c>
      <c r="AF192" t="str">
        <f>AD192/U192</f>
        <v>#REF!</v>
      </c>
      <c r="AG192" t="str">
        <f>AE192/V192</f>
        <v>#REF!</v>
      </c>
    </row>
    <row r="193">
      <c r="G193" t="str">
        <v>A</v>
      </c>
      <c r="J193" t="str">
        <f>IF(K193&gt;0,K193*0.0625,IF(L193&gt;0,L193*2.204623,))</f>
        <v>#REF!</v>
      </c>
      <c r="K193" t="str">
        <f>IF(L193&gt;0,L193*35.273962,IF(J193&gt;0,J193*16,))</f>
        <v>#REF!</v>
      </c>
      <c r="L193" t="str">
        <f>IF(J193&gt;0,J193*0.453592,IF(K193&gt;0,K193*0.02835,))</f>
        <v>#REF!</v>
      </c>
      <c r="O193">
        <f>I193+N193+M193</f>
        <v>0</v>
      </c>
      <c r="P193">
        <f>O193*C$3</f>
        <v>0</v>
      </c>
      <c r="Q193" t="str">
        <f>ROUNDUP(HLOOKUP(IF(CEILING(L193,0.5)&lt;1,1,CEILING(L193,0.5)),'배송비 조회'!A$32:AY$36,2,0),-2)</f>
        <v>#REF!</v>
      </c>
      <c r="R193">
        <v>0</v>
      </c>
      <c r="S193" t="str">
        <f>ROUND((P193+Q193)*0.6,-2)</f>
        <v>#REF!</v>
      </c>
      <c r="T193" t="str">
        <f>ROUND((P193+Q193)*0.7,-2)</f>
        <v>#REF!</v>
      </c>
      <c r="U193" t="str">
        <f>ROUND(SUM(P193+Q193+R193+S193), -2)</f>
        <v>#REF!</v>
      </c>
      <c r="V193" t="str">
        <f>ROUND(P193+Q193+R193+T193, -2)</f>
        <v>#REF!</v>
      </c>
      <c r="W193">
        <v>0</v>
      </c>
      <c r="X193" t="str">
        <f>U193*0.038</f>
        <v>#REF!</v>
      </c>
      <c r="Y193" t="str">
        <f>U193*0.02</f>
        <v>#REF!</v>
      </c>
      <c r="Z193" t="str">
        <f>V193*0.1</f>
        <v>#REF!</v>
      </c>
      <c r="AA193" t="str">
        <f>U193-X193-Y193</f>
        <v>#REF!</v>
      </c>
      <c r="AB193" t="str">
        <f>V193-Z193</f>
        <v>#REF!</v>
      </c>
      <c r="AC193" t="str">
        <f>AA193*0.01</f>
        <v>#REF!</v>
      </c>
      <c r="AD193" t="str">
        <f>AA193-P193-AC193-Q193</f>
        <v>#REF!</v>
      </c>
      <c r="AE193" t="str">
        <f>AB193-P193-Q193-AC193</f>
        <v>#REF!</v>
      </c>
      <c r="AF193" t="str">
        <f>AD193/U193</f>
        <v>#REF!</v>
      </c>
      <c r="AG193" t="str">
        <f>AE193/V193</f>
        <v>#REF!</v>
      </c>
    </row>
    <row r="194">
      <c r="G194" t="str">
        <v>A</v>
      </c>
      <c r="J194" t="str">
        <f>IF(K194&gt;0,K194*0.0625,IF(L194&gt;0,L194*2.204623,))</f>
        <v>#REF!</v>
      </c>
      <c r="K194" t="str">
        <f>IF(L194&gt;0,L194*35.273962,IF(J194&gt;0,J194*16,))</f>
        <v>#REF!</v>
      </c>
      <c r="L194" t="str">
        <f>IF(J194&gt;0,J194*0.453592,IF(K194&gt;0,K194*0.02835,))</f>
        <v>#REF!</v>
      </c>
      <c r="O194">
        <f>I194+N194+M194</f>
        <v>0</v>
      </c>
      <c r="P194">
        <f>O194*C$3</f>
        <v>0</v>
      </c>
      <c r="Q194" t="str">
        <f>ROUNDUP(HLOOKUP(IF(CEILING(L194,0.5)&lt;1,1,CEILING(L194,0.5)),'배송비 조회'!A$32:AY$36,2,0),-2)</f>
        <v>#REF!</v>
      </c>
      <c r="R194">
        <v>0</v>
      </c>
      <c r="S194" t="str">
        <f>ROUND((P194+Q194)*0.6,-2)</f>
        <v>#REF!</v>
      </c>
      <c r="T194" t="str">
        <f>ROUND((P194+Q194)*0.7,-2)</f>
        <v>#REF!</v>
      </c>
      <c r="U194" t="str">
        <f>ROUND(SUM(P194+Q194+R194+S194), -2)</f>
        <v>#REF!</v>
      </c>
      <c r="V194" t="str">
        <f>ROUND(P194+Q194+R194+T194, -2)</f>
        <v>#REF!</v>
      </c>
      <c r="W194">
        <v>0</v>
      </c>
      <c r="X194" t="str">
        <f>U194*0.038</f>
        <v>#REF!</v>
      </c>
      <c r="Y194" t="str">
        <f>U194*0.02</f>
        <v>#REF!</v>
      </c>
      <c r="Z194" t="str">
        <f>V194*0.1</f>
        <v>#REF!</v>
      </c>
      <c r="AA194" t="str">
        <f>U194-X194-Y194</f>
        <v>#REF!</v>
      </c>
      <c r="AB194" t="str">
        <f>V194-Z194</f>
        <v>#REF!</v>
      </c>
      <c r="AC194" t="str">
        <f>AA194*0.01</f>
        <v>#REF!</v>
      </c>
      <c r="AD194" t="str">
        <f>AA194-P194-AC194-Q194</f>
        <v>#REF!</v>
      </c>
      <c r="AE194" t="str">
        <f>AB194-P194-Q194-AC194</f>
        <v>#REF!</v>
      </c>
      <c r="AF194" t="str">
        <f>AD194/U194</f>
        <v>#REF!</v>
      </c>
      <c r="AG194" t="str">
        <f>AE194/V194</f>
        <v>#REF!</v>
      </c>
    </row>
    <row r="195">
      <c r="G195" t="str">
        <v>A</v>
      </c>
      <c r="J195" t="str">
        <f>IF(K195&gt;0,K195*0.0625,IF(L195&gt;0,L195*2.204623,))</f>
        <v>#REF!</v>
      </c>
      <c r="K195" t="str">
        <f>IF(L195&gt;0,L195*35.273962,IF(J195&gt;0,J195*16,))</f>
        <v>#REF!</v>
      </c>
      <c r="L195" t="str">
        <f>IF(J195&gt;0,J195*0.453592,IF(K195&gt;0,K195*0.02835,))</f>
        <v>#REF!</v>
      </c>
      <c r="O195">
        <f>I195+N195+M195</f>
        <v>0</v>
      </c>
      <c r="P195">
        <f>O195*C$3</f>
        <v>0</v>
      </c>
      <c r="Q195" t="str">
        <f>ROUNDUP(HLOOKUP(IF(CEILING(L195,0.5)&lt;1,1,CEILING(L195,0.5)),'배송비 조회'!A$32:AY$36,2,0),-2)</f>
        <v>#REF!</v>
      </c>
      <c r="R195">
        <v>0</v>
      </c>
      <c r="S195" t="str">
        <f>ROUND((P195+Q195)*0.6,-2)</f>
        <v>#REF!</v>
      </c>
      <c r="T195" t="str">
        <f>ROUND((P195+Q195)*0.7,-2)</f>
        <v>#REF!</v>
      </c>
      <c r="U195" t="str">
        <f>ROUND(SUM(P195+Q195+R195+S195), -2)</f>
        <v>#REF!</v>
      </c>
      <c r="V195" t="str">
        <f>ROUND(P195+Q195+R195+T195, -2)</f>
        <v>#REF!</v>
      </c>
      <c r="W195">
        <v>0</v>
      </c>
      <c r="X195" t="str">
        <f>U195*0.038</f>
        <v>#REF!</v>
      </c>
      <c r="Y195" t="str">
        <f>U195*0.02</f>
        <v>#REF!</v>
      </c>
      <c r="Z195" t="str">
        <f>V195*0.1</f>
        <v>#REF!</v>
      </c>
      <c r="AA195" t="str">
        <f>U195-X195-Y195</f>
        <v>#REF!</v>
      </c>
      <c r="AB195" t="str">
        <f>V195-Z195</f>
        <v>#REF!</v>
      </c>
      <c r="AC195" t="str">
        <f>AA195*0.01</f>
        <v>#REF!</v>
      </c>
      <c r="AD195" t="str">
        <f>AA195-P195-AC195-Q195</f>
        <v>#REF!</v>
      </c>
      <c r="AE195" t="str">
        <f>AB195-P195-Q195-AC195</f>
        <v>#REF!</v>
      </c>
      <c r="AF195" t="str">
        <f>AD195/U195</f>
        <v>#REF!</v>
      </c>
      <c r="AG195" t="str">
        <f>AE195/V195</f>
        <v>#REF!</v>
      </c>
    </row>
    <row r="196">
      <c r="G196" t="str">
        <v>A</v>
      </c>
      <c r="J196" t="str">
        <f>IF(K196&gt;0,K196*0.0625,IF(L196&gt;0,L196*2.204623,))</f>
        <v>#REF!</v>
      </c>
      <c r="K196" t="str">
        <f>IF(L196&gt;0,L196*35.273962,IF(J196&gt;0,J196*16,))</f>
        <v>#REF!</v>
      </c>
      <c r="L196" t="str">
        <f>IF(J196&gt;0,J196*0.453592,IF(K196&gt;0,K196*0.02835,))</f>
        <v>#REF!</v>
      </c>
      <c r="O196">
        <f>I196+N196+M196</f>
        <v>0</v>
      </c>
      <c r="P196">
        <f>O196*C$3</f>
        <v>0</v>
      </c>
      <c r="Q196" t="str">
        <f>ROUNDUP(HLOOKUP(IF(CEILING(L196,0.5)&lt;1,1,CEILING(L196,0.5)),'배송비 조회'!A$32:AY$36,2,0),-2)</f>
        <v>#REF!</v>
      </c>
      <c r="R196">
        <v>0</v>
      </c>
      <c r="S196" t="str">
        <f>ROUND((P196+Q196)*0.6,-2)</f>
        <v>#REF!</v>
      </c>
      <c r="T196" t="str">
        <f>ROUND((P196+Q196)*0.7,-2)</f>
        <v>#REF!</v>
      </c>
      <c r="U196" t="str">
        <f>ROUND(SUM(P196+Q196+R196+S196), -2)</f>
        <v>#REF!</v>
      </c>
      <c r="V196" t="str">
        <f>ROUND(P196+Q196+R196+T196, -2)</f>
        <v>#REF!</v>
      </c>
      <c r="W196">
        <v>0</v>
      </c>
      <c r="X196" t="str">
        <f>U196*0.038</f>
        <v>#REF!</v>
      </c>
      <c r="Y196" t="str">
        <f>U196*0.02</f>
        <v>#REF!</v>
      </c>
      <c r="Z196" t="str">
        <f>V196*0.1</f>
        <v>#REF!</v>
      </c>
      <c r="AA196" t="str">
        <f>U196-X196-Y196</f>
        <v>#REF!</v>
      </c>
      <c r="AB196" t="str">
        <f>V196-Z196</f>
        <v>#REF!</v>
      </c>
      <c r="AC196" t="str">
        <f>AA196*0.01</f>
        <v>#REF!</v>
      </c>
      <c r="AD196" t="str">
        <f>AA196-P196-AC196-Q196</f>
        <v>#REF!</v>
      </c>
      <c r="AE196" t="str">
        <f>AB196-P196-Q196-AC196</f>
        <v>#REF!</v>
      </c>
      <c r="AF196" t="str">
        <f>AD196/U196</f>
        <v>#REF!</v>
      </c>
      <c r="AG196" t="str">
        <f>AE196/V196</f>
        <v>#REF!</v>
      </c>
    </row>
    <row r="197">
      <c r="G197" t="str">
        <v>A</v>
      </c>
      <c r="J197" t="str">
        <f>IF(K197&gt;0,K197*0.0625,IF(L197&gt;0,L197*2.204623,))</f>
        <v>#REF!</v>
      </c>
      <c r="K197" t="str">
        <f>IF(L197&gt;0,L197*35.273962,IF(J197&gt;0,J197*16,))</f>
        <v>#REF!</v>
      </c>
      <c r="L197" t="str">
        <f>IF(J197&gt;0,J197*0.453592,IF(K197&gt;0,K197*0.02835,))</f>
        <v>#REF!</v>
      </c>
      <c r="O197">
        <f>I197+N197+M197</f>
        <v>0</v>
      </c>
      <c r="P197">
        <f>O197*C$3</f>
        <v>0</v>
      </c>
      <c r="Q197" t="str">
        <f>ROUNDUP(HLOOKUP(IF(CEILING(L197,0.5)&lt;1,1,CEILING(L197,0.5)),'배송비 조회'!A$32:AY$36,2,0),-2)</f>
        <v>#REF!</v>
      </c>
      <c r="R197">
        <v>0</v>
      </c>
      <c r="S197" t="str">
        <f>ROUND((P197+Q197)*0.6,-2)</f>
        <v>#REF!</v>
      </c>
      <c r="T197" t="str">
        <f>ROUND((P197+Q197)*0.7,-2)</f>
        <v>#REF!</v>
      </c>
      <c r="U197" t="str">
        <f>ROUND(SUM(P197+Q197+R197+S197), -2)</f>
        <v>#REF!</v>
      </c>
      <c r="V197" t="str">
        <f>ROUND(P197+Q197+R197+T197, -2)</f>
        <v>#REF!</v>
      </c>
      <c r="W197">
        <v>0</v>
      </c>
      <c r="X197" t="str">
        <f>U197*0.038</f>
        <v>#REF!</v>
      </c>
      <c r="Y197" t="str">
        <f>U197*0.02</f>
        <v>#REF!</v>
      </c>
      <c r="Z197" t="str">
        <f>V197*0.1</f>
        <v>#REF!</v>
      </c>
      <c r="AA197" t="str">
        <f>U197-X197-Y197</f>
        <v>#REF!</v>
      </c>
      <c r="AB197" t="str">
        <f>V197-Z197</f>
        <v>#REF!</v>
      </c>
      <c r="AC197" t="str">
        <f>AA197*0.01</f>
        <v>#REF!</v>
      </c>
      <c r="AD197" t="str">
        <f>AA197-P197-AC197-Q197</f>
        <v>#REF!</v>
      </c>
      <c r="AE197" t="str">
        <f>AB197-P197-Q197-AC197</f>
        <v>#REF!</v>
      </c>
      <c r="AF197" t="str">
        <f>AD197/U197</f>
        <v>#REF!</v>
      </c>
      <c r="AG197" t="str">
        <f>AE197/V197</f>
        <v>#REF!</v>
      </c>
    </row>
    <row r="198">
      <c r="G198" t="str">
        <v>A</v>
      </c>
      <c r="J198" t="str">
        <f>IF(K198&gt;0,K198*0.0625,IF(L198&gt;0,L198*2.204623,))</f>
        <v>#REF!</v>
      </c>
      <c r="K198" t="str">
        <f>IF(L198&gt;0,L198*35.273962,IF(J198&gt;0,J198*16,))</f>
        <v>#REF!</v>
      </c>
      <c r="L198" t="str">
        <f>IF(J198&gt;0,J198*0.453592,IF(K198&gt;0,K198*0.02835,))</f>
        <v>#REF!</v>
      </c>
      <c r="O198">
        <f>I198+N198+M198</f>
        <v>0</v>
      </c>
      <c r="P198">
        <f>O198*C$3</f>
        <v>0</v>
      </c>
      <c r="Q198" t="str">
        <f>ROUNDUP(HLOOKUP(IF(CEILING(L198,0.5)&lt;1,1,CEILING(L198,0.5)),'배송비 조회'!A$32:AY$36,2,0),-2)</f>
        <v>#REF!</v>
      </c>
      <c r="R198">
        <v>0</v>
      </c>
      <c r="S198" t="str">
        <f>ROUND((P198+Q198)*0.6,-2)</f>
        <v>#REF!</v>
      </c>
      <c r="T198" t="str">
        <f>ROUND((P198+Q198)*0.7,-2)</f>
        <v>#REF!</v>
      </c>
      <c r="U198" t="str">
        <f>ROUND(SUM(P198+Q198+R198+S198), -2)</f>
        <v>#REF!</v>
      </c>
      <c r="V198" t="str">
        <f>ROUND(P198+Q198+R198+T198, -2)</f>
        <v>#REF!</v>
      </c>
      <c r="W198">
        <v>0</v>
      </c>
      <c r="X198" t="str">
        <f>U198*0.038</f>
        <v>#REF!</v>
      </c>
      <c r="Y198" t="str">
        <f>U198*0.02</f>
        <v>#REF!</v>
      </c>
      <c r="Z198" t="str">
        <f>V198*0.1</f>
        <v>#REF!</v>
      </c>
      <c r="AA198" t="str">
        <f>U198-X198-Y198</f>
        <v>#REF!</v>
      </c>
      <c r="AB198" t="str">
        <f>V198-Z198</f>
        <v>#REF!</v>
      </c>
      <c r="AC198" t="str">
        <f>AA198*0.01</f>
        <v>#REF!</v>
      </c>
      <c r="AD198" t="str">
        <f>AA198-P198-AC198-Q198</f>
        <v>#REF!</v>
      </c>
      <c r="AE198" t="str">
        <f>AB198-P198-Q198-AC198</f>
        <v>#REF!</v>
      </c>
      <c r="AF198" t="str">
        <f>AD198/U198</f>
        <v>#REF!</v>
      </c>
      <c r="AG198" t="str">
        <f>AE198/V198</f>
        <v>#REF!</v>
      </c>
    </row>
    <row r="199">
      <c r="G199" t="str">
        <v>A</v>
      </c>
      <c r="J199" t="str">
        <f>IF(K199&gt;0,K199*0.0625,IF(L199&gt;0,L199*2.204623,))</f>
        <v>#REF!</v>
      </c>
      <c r="K199" t="str">
        <f>IF(L199&gt;0,L199*35.273962,IF(J199&gt;0,J199*16,))</f>
        <v>#REF!</v>
      </c>
      <c r="L199" t="str">
        <f>IF(J199&gt;0,J199*0.453592,IF(K199&gt;0,K199*0.02835,))</f>
        <v>#REF!</v>
      </c>
      <c r="O199">
        <f>I199+N199+M199</f>
        <v>0</v>
      </c>
      <c r="P199">
        <f>O199*C$3</f>
        <v>0</v>
      </c>
      <c r="Q199" t="str">
        <f>ROUNDUP(HLOOKUP(IF(CEILING(L199,0.5)&lt;1,1,CEILING(L199,0.5)),'배송비 조회'!A$32:AY$36,2,0),-2)</f>
        <v>#REF!</v>
      </c>
      <c r="R199">
        <v>0</v>
      </c>
      <c r="S199" t="str">
        <f>ROUND((P199+Q199)*0.6,-2)</f>
        <v>#REF!</v>
      </c>
      <c r="T199" t="str">
        <f>ROUND((P199+Q199)*0.7,-2)</f>
        <v>#REF!</v>
      </c>
      <c r="U199" t="str">
        <f>ROUND(SUM(P199+Q199+R199+S199), -2)</f>
        <v>#REF!</v>
      </c>
      <c r="V199" t="str">
        <f>ROUND(P199+Q199+R199+T199, -2)</f>
        <v>#REF!</v>
      </c>
      <c r="W199">
        <v>0</v>
      </c>
      <c r="X199" t="str">
        <f>U199*0.038</f>
        <v>#REF!</v>
      </c>
      <c r="Y199" t="str">
        <f>U199*0.02</f>
        <v>#REF!</v>
      </c>
      <c r="Z199" t="str">
        <f>V199*0.1</f>
        <v>#REF!</v>
      </c>
      <c r="AA199" t="str">
        <f>U199-X199-Y199</f>
        <v>#REF!</v>
      </c>
      <c r="AB199" t="str">
        <f>V199-Z199</f>
        <v>#REF!</v>
      </c>
      <c r="AC199" t="str">
        <f>AA199*0.01</f>
        <v>#REF!</v>
      </c>
      <c r="AD199" t="str">
        <f>AA199-P199-AC199-Q199</f>
        <v>#REF!</v>
      </c>
      <c r="AE199" t="str">
        <f>AB199-P199-Q199-AC199</f>
        <v>#REF!</v>
      </c>
      <c r="AF199" t="str">
        <f>AD199/U199</f>
        <v>#REF!</v>
      </c>
      <c r="AG199" t="str">
        <f>AE199/V199</f>
        <v>#REF!</v>
      </c>
    </row>
    <row r="200">
      <c r="G200" t="str">
        <v>A</v>
      </c>
      <c r="J200" t="str">
        <f>IF(K200&gt;0,K200*0.0625,IF(L200&gt;0,L200*2.204623,))</f>
        <v>#REF!</v>
      </c>
      <c r="K200" t="str">
        <f>IF(L200&gt;0,L200*35.273962,IF(J200&gt;0,J200*16,))</f>
        <v>#REF!</v>
      </c>
      <c r="L200" t="str">
        <f>IF(J200&gt;0,J200*0.453592,IF(K200&gt;0,K200*0.02835,))</f>
        <v>#REF!</v>
      </c>
      <c r="O200">
        <f>I200+N200+M200</f>
        <v>0</v>
      </c>
      <c r="P200">
        <f>O200*C$3</f>
        <v>0</v>
      </c>
      <c r="Q200" t="str">
        <f>ROUNDUP(HLOOKUP(IF(CEILING(L200,0.5)&lt;1,1,CEILING(L200,0.5)),'배송비 조회'!A$32:AY$36,2,0),-2)</f>
        <v>#REF!</v>
      </c>
      <c r="R200">
        <v>0</v>
      </c>
      <c r="S200" t="str">
        <f>ROUND((P200+Q200)*0.6,-2)</f>
        <v>#REF!</v>
      </c>
      <c r="T200" t="str">
        <f>ROUND((P200+Q200)*0.7,-2)</f>
        <v>#REF!</v>
      </c>
      <c r="U200" t="str">
        <f>ROUND(SUM(P200+Q200+R200+S200), -2)</f>
        <v>#REF!</v>
      </c>
      <c r="V200" t="str">
        <f>ROUND(P200+Q200+R200+T200, -2)</f>
        <v>#REF!</v>
      </c>
      <c r="W200">
        <v>0</v>
      </c>
      <c r="X200" t="str">
        <f>U200*0.038</f>
        <v>#REF!</v>
      </c>
      <c r="Y200" t="str">
        <f>U200*0.02</f>
        <v>#REF!</v>
      </c>
      <c r="Z200" t="str">
        <f>V200*0.1</f>
        <v>#REF!</v>
      </c>
      <c r="AA200" t="str">
        <f>U200-X200-Y200</f>
        <v>#REF!</v>
      </c>
      <c r="AB200" t="str">
        <f>V200-Z200</f>
        <v>#REF!</v>
      </c>
      <c r="AC200" t="str">
        <f>AA200*0.01</f>
        <v>#REF!</v>
      </c>
      <c r="AD200" t="str">
        <f>AA200-P200-AC200-Q200</f>
        <v>#REF!</v>
      </c>
      <c r="AE200" t="str">
        <f>AB200-P200-Q200-AC200</f>
        <v>#REF!</v>
      </c>
      <c r="AF200" t="str">
        <f>AD200/U200</f>
        <v>#REF!</v>
      </c>
      <c r="AG200" t="str">
        <f>AE200/V200</f>
        <v>#REF!</v>
      </c>
    </row>
    <row r="201">
      <c r="G201" t="str">
        <v>A</v>
      </c>
      <c r="J201" t="str">
        <f>IF(K201&gt;0,K201*0.0625,IF(L201&gt;0,L201*2.204623,))</f>
        <v>#REF!</v>
      </c>
      <c r="K201" t="str">
        <f>IF(L201&gt;0,L201*35.273962,IF(J201&gt;0,J201*16,))</f>
        <v>#REF!</v>
      </c>
      <c r="L201" t="str">
        <f>IF(J201&gt;0,J201*0.453592,IF(K201&gt;0,K201*0.02835,))</f>
        <v>#REF!</v>
      </c>
      <c r="O201">
        <f>I201+N201+M201</f>
        <v>0</v>
      </c>
      <c r="P201">
        <f>O201*C$3</f>
        <v>0</v>
      </c>
      <c r="Q201" t="str">
        <f>ROUNDUP(HLOOKUP(IF(CEILING(L201,0.5)&lt;1,1,CEILING(L201,0.5)),'배송비 조회'!A$32:AY$36,2,0),-2)</f>
        <v>#REF!</v>
      </c>
      <c r="R201">
        <v>0</v>
      </c>
      <c r="S201" t="str">
        <f>ROUND((P201+Q201)*0.6,-2)</f>
        <v>#REF!</v>
      </c>
      <c r="T201" t="str">
        <f>ROUND((P201+Q201)*0.7,-2)</f>
        <v>#REF!</v>
      </c>
      <c r="U201" t="str">
        <f>ROUND(SUM(P201+Q201+R201+S201), -2)</f>
        <v>#REF!</v>
      </c>
      <c r="V201" t="str">
        <f>ROUND(P201+Q201+R201+T201, -2)</f>
        <v>#REF!</v>
      </c>
      <c r="W201">
        <v>0</v>
      </c>
      <c r="X201" t="str">
        <f>U201*0.038</f>
        <v>#REF!</v>
      </c>
      <c r="Y201" t="str">
        <f>U201*0.02</f>
        <v>#REF!</v>
      </c>
      <c r="Z201" t="str">
        <f>V201*0.1</f>
        <v>#REF!</v>
      </c>
      <c r="AA201" t="str">
        <f>U201-X201-Y201</f>
        <v>#REF!</v>
      </c>
      <c r="AB201" t="str">
        <f>V201-Z201</f>
        <v>#REF!</v>
      </c>
      <c r="AC201" t="str">
        <f>AA201*0.01</f>
        <v>#REF!</v>
      </c>
      <c r="AD201" t="str">
        <f>AA201-P201-AC201-Q201</f>
        <v>#REF!</v>
      </c>
      <c r="AE201" t="str">
        <f>AB201-P201-Q201-AC201</f>
        <v>#REF!</v>
      </c>
      <c r="AF201" t="str">
        <f>AD201/U201</f>
        <v>#REF!</v>
      </c>
      <c r="AG201" t="str">
        <f>AE201/V201</f>
        <v>#REF!</v>
      </c>
    </row>
    <row r="202">
      <c r="G202" t="str">
        <v>A</v>
      </c>
      <c r="J202" t="str">
        <f>IF(K202&gt;0,K202*0.0625,IF(L202&gt;0,L202*2.204623,))</f>
        <v>#REF!</v>
      </c>
      <c r="K202" t="str">
        <f>IF(L202&gt;0,L202*35.273962,IF(J202&gt;0,J202*16,))</f>
        <v>#REF!</v>
      </c>
      <c r="L202" t="str">
        <f>IF(J202&gt;0,J202*0.453592,IF(K202&gt;0,K202*0.02835,))</f>
        <v>#REF!</v>
      </c>
      <c r="O202">
        <f>I202+N202+M202</f>
        <v>0</v>
      </c>
      <c r="P202">
        <f>O202*C$3</f>
        <v>0</v>
      </c>
      <c r="Q202" t="str">
        <f>ROUNDUP(HLOOKUP(IF(CEILING(L202,0.5)&lt;1,1,CEILING(L202,0.5)),'배송비 조회'!A$32:AY$36,2,0),-2)</f>
        <v>#REF!</v>
      </c>
      <c r="R202">
        <v>0</v>
      </c>
      <c r="S202" t="str">
        <f>ROUND((P202+Q202)*0.6,-2)</f>
        <v>#REF!</v>
      </c>
      <c r="T202" t="str">
        <f>ROUND((P202+Q202)*0.7,-2)</f>
        <v>#REF!</v>
      </c>
      <c r="U202" t="str">
        <f>ROUND(SUM(P202+Q202+R202+S202), -2)</f>
        <v>#REF!</v>
      </c>
      <c r="V202" t="str">
        <f>ROUND(P202+Q202+R202+T202, -2)</f>
        <v>#REF!</v>
      </c>
      <c r="W202">
        <v>0</v>
      </c>
      <c r="X202" t="str">
        <f>U202*0.038</f>
        <v>#REF!</v>
      </c>
      <c r="Y202" t="str">
        <f>U202*0.02</f>
        <v>#REF!</v>
      </c>
      <c r="Z202" t="str">
        <f>V202*0.1</f>
        <v>#REF!</v>
      </c>
      <c r="AA202" t="str">
        <f>U202-X202-Y202</f>
        <v>#REF!</v>
      </c>
      <c r="AB202" t="str">
        <f>V202-Z202</f>
        <v>#REF!</v>
      </c>
      <c r="AC202" t="str">
        <f>AA202*0.01</f>
        <v>#REF!</v>
      </c>
      <c r="AD202" t="str">
        <f>AA202-P202-AC202-Q202</f>
        <v>#REF!</v>
      </c>
      <c r="AE202" t="str">
        <f>AB202-P202-Q202-AC202</f>
        <v>#REF!</v>
      </c>
      <c r="AF202" t="str">
        <f>AD202/U202</f>
        <v>#REF!</v>
      </c>
      <c r="AG202" t="str">
        <f>AE202/V202</f>
        <v>#REF!</v>
      </c>
    </row>
    <row r="203">
      <c r="G203" t="str">
        <v>A</v>
      </c>
      <c r="J203" t="str">
        <f>IF(K203&gt;0,K203*0.0625,IF(L203&gt;0,L203*2.204623,))</f>
        <v>#REF!</v>
      </c>
      <c r="K203" t="str">
        <f>IF(L203&gt;0,L203*35.273962,IF(J203&gt;0,J203*16,))</f>
        <v>#REF!</v>
      </c>
      <c r="L203" t="str">
        <f>IF(J203&gt;0,J203*0.453592,IF(K203&gt;0,K203*0.02835,))</f>
        <v>#REF!</v>
      </c>
      <c r="O203">
        <f>I203+N203+M203</f>
        <v>0</v>
      </c>
      <c r="P203">
        <f>O203*C$3</f>
        <v>0</v>
      </c>
      <c r="Q203" t="str">
        <f>ROUNDUP(HLOOKUP(IF(CEILING(L203,0.5)&lt;1,1,CEILING(L203,0.5)),'배송비 조회'!A$32:AY$36,2,0),-2)</f>
        <v>#REF!</v>
      </c>
      <c r="R203">
        <v>0</v>
      </c>
      <c r="S203" t="str">
        <f>ROUND((P203+Q203)*0.6,-2)</f>
        <v>#REF!</v>
      </c>
      <c r="T203" t="str">
        <f>ROUND((P203+Q203)*0.7,-2)</f>
        <v>#REF!</v>
      </c>
      <c r="U203" t="str">
        <f>ROUND(SUM(P203+Q203+R203+S203), -2)</f>
        <v>#REF!</v>
      </c>
      <c r="V203" t="str">
        <f>ROUND(P203+Q203+R203+T203, -2)</f>
        <v>#REF!</v>
      </c>
      <c r="W203">
        <v>0</v>
      </c>
      <c r="X203" t="str">
        <f>U203*0.038</f>
        <v>#REF!</v>
      </c>
      <c r="Y203" t="str">
        <f>U203*0.02</f>
        <v>#REF!</v>
      </c>
      <c r="Z203" t="str">
        <f>V203*0.1</f>
        <v>#REF!</v>
      </c>
      <c r="AA203" t="str">
        <f>U203-X203-Y203</f>
        <v>#REF!</v>
      </c>
      <c r="AB203" t="str">
        <f>V203-Z203</f>
        <v>#REF!</v>
      </c>
      <c r="AC203" t="str">
        <f>AA203*0.01</f>
        <v>#REF!</v>
      </c>
      <c r="AD203" t="str">
        <f>AA203-P203-AC203-Q203</f>
        <v>#REF!</v>
      </c>
      <c r="AE203" t="str">
        <f>AB203-P203-Q203-AC203</f>
        <v>#REF!</v>
      </c>
      <c r="AF203" t="str">
        <f>AD203/U203</f>
        <v>#REF!</v>
      </c>
      <c r="AG203" t="str">
        <f>AE203/V203</f>
        <v>#REF!</v>
      </c>
    </row>
    <row r="204">
      <c r="G204" t="str">
        <v>A</v>
      </c>
      <c r="J204" t="str">
        <f>IF(K204&gt;0,K204*0.0625,IF(L204&gt;0,L204*2.204623,))</f>
        <v>#REF!</v>
      </c>
      <c r="K204" t="str">
        <f>IF(L204&gt;0,L204*35.273962,IF(J204&gt;0,J204*16,))</f>
        <v>#REF!</v>
      </c>
      <c r="L204" t="str">
        <f>IF(J204&gt;0,J204*0.453592,IF(K204&gt;0,K204*0.02835,))</f>
        <v>#REF!</v>
      </c>
      <c r="O204">
        <f>I204+N204+M204</f>
        <v>0</v>
      </c>
      <c r="P204">
        <f>O204*C$3</f>
        <v>0</v>
      </c>
      <c r="Q204" t="str">
        <f>ROUNDUP(HLOOKUP(IF(CEILING(L204,0.5)&lt;1,1,CEILING(L204,0.5)),'배송비 조회'!A$32:AY$36,2,0),-2)</f>
        <v>#REF!</v>
      </c>
      <c r="R204">
        <v>0</v>
      </c>
      <c r="S204" t="str">
        <f>ROUND((P204+Q204)*0.6,-2)</f>
        <v>#REF!</v>
      </c>
      <c r="T204" t="str">
        <f>ROUND((P204+Q204)*0.7,-2)</f>
        <v>#REF!</v>
      </c>
      <c r="U204" t="str">
        <f>ROUND(SUM(P204+Q204+R204+S204), -2)</f>
        <v>#REF!</v>
      </c>
      <c r="V204" t="str">
        <f>ROUND(P204+Q204+R204+T204, -2)</f>
        <v>#REF!</v>
      </c>
      <c r="W204">
        <v>0</v>
      </c>
      <c r="X204" t="str">
        <f>U204*0.038</f>
        <v>#REF!</v>
      </c>
      <c r="Y204" t="str">
        <f>U204*0.02</f>
        <v>#REF!</v>
      </c>
      <c r="Z204" t="str">
        <f>V204*0.1</f>
        <v>#REF!</v>
      </c>
      <c r="AA204" t="str">
        <f>U204-X204-Y204</f>
        <v>#REF!</v>
      </c>
      <c r="AB204" t="str">
        <f>V204-Z204</f>
        <v>#REF!</v>
      </c>
      <c r="AC204" t="str">
        <f>AA204*0.01</f>
        <v>#REF!</v>
      </c>
      <c r="AD204" t="str">
        <f>AA204-P204-AC204-Q204</f>
        <v>#REF!</v>
      </c>
      <c r="AE204" t="str">
        <f>AB204-P204-Q204-AC204</f>
        <v>#REF!</v>
      </c>
      <c r="AF204" t="str">
        <f>AD204/U204</f>
        <v>#REF!</v>
      </c>
      <c r="AG204" t="str">
        <f>AE204/V204</f>
        <v>#REF!</v>
      </c>
    </row>
    <row r="205">
      <c r="G205" t="str">
        <v>A</v>
      </c>
      <c r="J205" t="str">
        <f>IF(K205&gt;0,K205*0.0625,IF(L205&gt;0,L205*2.204623,))</f>
        <v>#REF!</v>
      </c>
      <c r="K205" t="str">
        <f>IF(L205&gt;0,L205*35.273962,IF(J205&gt;0,J205*16,))</f>
        <v>#REF!</v>
      </c>
      <c r="L205" t="str">
        <f>IF(J205&gt;0,J205*0.453592,IF(K205&gt;0,K205*0.02835,))</f>
        <v>#REF!</v>
      </c>
      <c r="O205">
        <f>I205+N205+M205</f>
        <v>0</v>
      </c>
      <c r="P205">
        <f>O205*C$3</f>
        <v>0</v>
      </c>
      <c r="Q205" t="str">
        <f>ROUNDUP(HLOOKUP(IF(CEILING(L205,0.5)&lt;1,1,CEILING(L205,0.5)),'배송비 조회'!A$32:AY$36,2,0),-2)</f>
        <v>#REF!</v>
      </c>
      <c r="R205">
        <v>0</v>
      </c>
      <c r="S205" t="str">
        <f>ROUND((P205+Q205)*0.6,-2)</f>
        <v>#REF!</v>
      </c>
      <c r="T205" t="str">
        <f>ROUND((P205+Q205)*0.7,-2)</f>
        <v>#REF!</v>
      </c>
      <c r="U205" t="str">
        <f>ROUND(SUM(P205+Q205+R205+S205), -2)</f>
        <v>#REF!</v>
      </c>
      <c r="V205" t="str">
        <f>ROUND(P205+Q205+R205+T205, -2)</f>
        <v>#REF!</v>
      </c>
      <c r="W205">
        <v>0</v>
      </c>
      <c r="X205" t="str">
        <f>U205*0.038</f>
        <v>#REF!</v>
      </c>
      <c r="Y205" t="str">
        <f>U205*0.02</f>
        <v>#REF!</v>
      </c>
      <c r="Z205" t="str">
        <f>V205*0.1</f>
        <v>#REF!</v>
      </c>
      <c r="AA205" t="str">
        <f>U205-X205-Y205</f>
        <v>#REF!</v>
      </c>
      <c r="AB205" t="str">
        <f>V205-Z205</f>
        <v>#REF!</v>
      </c>
      <c r="AC205" t="str">
        <f>AA205*0.01</f>
        <v>#REF!</v>
      </c>
      <c r="AD205" t="str">
        <f>AA205-P205-AC205-Q205</f>
        <v>#REF!</v>
      </c>
      <c r="AE205" t="str">
        <f>AB205-P205-Q205-AC205</f>
        <v>#REF!</v>
      </c>
      <c r="AF205" t="str">
        <f>AD205/U205</f>
        <v>#REF!</v>
      </c>
      <c r="AG205" t="str">
        <f>AE205/V205</f>
        <v>#REF!</v>
      </c>
    </row>
    <row r="206">
      <c r="G206" t="str">
        <v>A</v>
      </c>
      <c r="J206" t="str">
        <f>IF(K206&gt;0,K206*0.0625,IF(L206&gt;0,L206*2.204623,))</f>
        <v>#REF!</v>
      </c>
      <c r="K206" t="str">
        <f>IF(L206&gt;0,L206*35.273962,IF(J206&gt;0,J206*16,))</f>
        <v>#REF!</v>
      </c>
      <c r="L206" t="str">
        <f>IF(J206&gt;0,J206*0.453592,IF(K206&gt;0,K206*0.02835,))</f>
        <v>#REF!</v>
      </c>
      <c r="O206">
        <f>I206+N206+M206</f>
        <v>0</v>
      </c>
      <c r="P206">
        <f>O206*C$3</f>
        <v>0</v>
      </c>
      <c r="Q206" t="str">
        <f>ROUNDUP(HLOOKUP(IF(CEILING(L206,0.5)&lt;1,1,CEILING(L206,0.5)),'배송비 조회'!A$32:AY$36,2,0),-2)</f>
        <v>#REF!</v>
      </c>
      <c r="R206">
        <v>0</v>
      </c>
      <c r="S206" t="str">
        <f>ROUND((P206+Q206)*0.6,-2)</f>
        <v>#REF!</v>
      </c>
      <c r="T206" t="str">
        <f>ROUND((P206+Q206)*0.7,-2)</f>
        <v>#REF!</v>
      </c>
      <c r="U206" t="str">
        <f>ROUND(SUM(P206+Q206+R206+S206), -2)</f>
        <v>#REF!</v>
      </c>
      <c r="V206" t="str">
        <f>ROUND(P206+Q206+R206+T206, -2)</f>
        <v>#REF!</v>
      </c>
      <c r="W206">
        <v>0</v>
      </c>
      <c r="X206" t="str">
        <f>U206*0.038</f>
        <v>#REF!</v>
      </c>
      <c r="Y206" t="str">
        <f>U206*0.02</f>
        <v>#REF!</v>
      </c>
      <c r="Z206" t="str">
        <f>V206*0.1</f>
        <v>#REF!</v>
      </c>
      <c r="AA206" t="str">
        <f>U206-X206-Y206</f>
        <v>#REF!</v>
      </c>
      <c r="AB206" t="str">
        <f>V206-Z206</f>
        <v>#REF!</v>
      </c>
      <c r="AC206" t="str">
        <f>AA206*0.01</f>
        <v>#REF!</v>
      </c>
      <c r="AD206" t="str">
        <f>AA206-P206-AC206-Q206</f>
        <v>#REF!</v>
      </c>
      <c r="AE206" t="str">
        <f>AB206-P206-Q206-AC206</f>
        <v>#REF!</v>
      </c>
      <c r="AF206" t="str">
        <f>AD206/U206</f>
        <v>#REF!</v>
      </c>
      <c r="AG206" t="str">
        <f>AE206/V206</f>
        <v>#REF!</v>
      </c>
    </row>
    <row r="207">
      <c r="G207" t="str">
        <v>A</v>
      </c>
      <c r="J207" t="str">
        <f>IF(K207&gt;0,K207*0.0625,IF(L207&gt;0,L207*2.204623,))</f>
        <v>#REF!</v>
      </c>
      <c r="K207" t="str">
        <f>IF(L207&gt;0,L207*35.273962,IF(J207&gt;0,J207*16,))</f>
        <v>#REF!</v>
      </c>
      <c r="L207" t="str">
        <f>IF(J207&gt;0,J207*0.453592,IF(K207&gt;0,K207*0.02835,))</f>
        <v>#REF!</v>
      </c>
      <c r="O207">
        <f>I207+N207+M207</f>
        <v>0</v>
      </c>
      <c r="P207">
        <f>O207*C$3</f>
        <v>0</v>
      </c>
      <c r="Q207" t="str">
        <f>ROUNDUP(HLOOKUP(IF(CEILING(L207,0.5)&lt;1,1,CEILING(L207,0.5)),'배송비 조회'!A$32:AY$36,2,0),-2)</f>
        <v>#REF!</v>
      </c>
      <c r="R207">
        <v>0</v>
      </c>
      <c r="S207" t="str">
        <f>ROUND((P207+Q207)*0.6,-2)</f>
        <v>#REF!</v>
      </c>
      <c r="T207" t="str">
        <f>ROUND((P207+Q207)*0.7,-2)</f>
        <v>#REF!</v>
      </c>
      <c r="U207" t="str">
        <f>ROUND(SUM(P207+Q207+R207+S207), -2)</f>
        <v>#REF!</v>
      </c>
      <c r="V207" t="str">
        <f>ROUND(P207+Q207+R207+T207, -2)</f>
        <v>#REF!</v>
      </c>
      <c r="W207">
        <v>0</v>
      </c>
      <c r="X207" t="str">
        <f>U207*0.038</f>
        <v>#REF!</v>
      </c>
      <c r="Y207" t="str">
        <f>U207*0.02</f>
        <v>#REF!</v>
      </c>
      <c r="Z207" t="str">
        <f>V207*0.1</f>
        <v>#REF!</v>
      </c>
      <c r="AA207" t="str">
        <f>U207-X207-Y207</f>
        <v>#REF!</v>
      </c>
      <c r="AB207" t="str">
        <f>V207-Z207</f>
        <v>#REF!</v>
      </c>
      <c r="AC207" t="str">
        <f>AA207*0.01</f>
        <v>#REF!</v>
      </c>
      <c r="AD207" t="str">
        <f>AA207-P207-AC207-Q207</f>
        <v>#REF!</v>
      </c>
      <c r="AE207" t="str">
        <f>AB207-P207-Q207-AC207</f>
        <v>#REF!</v>
      </c>
      <c r="AF207" t="str">
        <f>AD207/U207</f>
        <v>#REF!</v>
      </c>
      <c r="AG207" t="str">
        <f>AE207/V207</f>
        <v>#REF!</v>
      </c>
    </row>
    <row r="208">
      <c r="G208" t="str">
        <v>A</v>
      </c>
      <c r="J208" t="str">
        <f>IF(K208&gt;0,K208*0.0625,IF(L208&gt;0,L208*2.204623,))</f>
        <v>#REF!</v>
      </c>
      <c r="K208" t="str">
        <f>IF(L208&gt;0,L208*35.273962,IF(J208&gt;0,J208*16,))</f>
        <v>#REF!</v>
      </c>
      <c r="L208" t="str">
        <f>IF(J208&gt;0,J208*0.453592,IF(K208&gt;0,K208*0.02835,))</f>
        <v>#REF!</v>
      </c>
      <c r="O208">
        <f>I208+N208+M208</f>
        <v>0</v>
      </c>
      <c r="P208">
        <f>O208*C$3</f>
        <v>0</v>
      </c>
      <c r="Q208" t="str">
        <f>ROUNDUP(HLOOKUP(IF(CEILING(L208,0.5)&lt;1,1,CEILING(L208,0.5)),'배송비 조회'!A$32:AY$36,2,0),-2)</f>
        <v>#REF!</v>
      </c>
      <c r="R208">
        <v>0</v>
      </c>
      <c r="S208" t="str">
        <f>ROUND((P208+Q208)*0.6,-2)</f>
        <v>#REF!</v>
      </c>
      <c r="T208" t="str">
        <f>ROUND((P208+Q208)*0.7,-2)</f>
        <v>#REF!</v>
      </c>
      <c r="U208" t="str">
        <f>ROUND(SUM(P208+Q208+R208+S208), -2)</f>
        <v>#REF!</v>
      </c>
      <c r="V208" t="str">
        <f>ROUND(P208+Q208+R208+T208, -2)</f>
        <v>#REF!</v>
      </c>
      <c r="W208">
        <v>0</v>
      </c>
      <c r="X208" t="str">
        <f>U208*0.038</f>
        <v>#REF!</v>
      </c>
      <c r="Y208" t="str">
        <f>U208*0.02</f>
        <v>#REF!</v>
      </c>
      <c r="Z208" t="str">
        <f>V208*0.1</f>
        <v>#REF!</v>
      </c>
      <c r="AA208" t="str">
        <f>U208-X208-Y208</f>
        <v>#REF!</v>
      </c>
      <c r="AB208" t="str">
        <f>V208-Z208</f>
        <v>#REF!</v>
      </c>
      <c r="AC208" t="str">
        <f>AA208*0.01</f>
        <v>#REF!</v>
      </c>
      <c r="AD208" t="str">
        <f>AA208-P208-AC208-Q208</f>
        <v>#REF!</v>
      </c>
      <c r="AE208" t="str">
        <f>AB208-P208-Q208-AC208</f>
        <v>#REF!</v>
      </c>
      <c r="AF208" t="str">
        <f>AD208/U208</f>
        <v>#REF!</v>
      </c>
      <c r="AG208" t="str">
        <f>AE208/V208</f>
        <v>#REF!</v>
      </c>
    </row>
    <row r="209">
      <c r="G209" t="str">
        <v>A</v>
      </c>
      <c r="J209" t="str">
        <f>IF(K209&gt;0,K209*0.0625,IF(L209&gt;0,L209*2.204623,))</f>
        <v>#REF!</v>
      </c>
      <c r="K209" t="str">
        <f>IF(L209&gt;0,L209*35.273962,IF(J209&gt;0,J209*16,))</f>
        <v>#REF!</v>
      </c>
      <c r="L209" t="str">
        <f>IF(J209&gt;0,J209*0.453592,IF(K209&gt;0,K209*0.02835,))</f>
        <v>#REF!</v>
      </c>
      <c r="O209">
        <f>I209+N209+M209</f>
        <v>0</v>
      </c>
      <c r="P209">
        <f>O209*C$3</f>
        <v>0</v>
      </c>
      <c r="Q209" t="str">
        <f>ROUNDUP(HLOOKUP(IF(CEILING(L209,0.5)&lt;1,1,CEILING(L209,0.5)),'배송비 조회'!A$32:AY$36,2,0),-2)</f>
        <v>#REF!</v>
      </c>
      <c r="R209">
        <v>0</v>
      </c>
      <c r="S209" t="str">
        <f>ROUND((P209+Q209)*0.6,-2)</f>
        <v>#REF!</v>
      </c>
      <c r="T209" t="str">
        <f>ROUND((P209+Q209)*0.7,-2)</f>
        <v>#REF!</v>
      </c>
      <c r="U209" t="str">
        <f>ROUND(SUM(P209+Q209+R209+S209), -2)</f>
        <v>#REF!</v>
      </c>
      <c r="V209" t="str">
        <f>ROUND(P209+Q209+R209+T209, -2)</f>
        <v>#REF!</v>
      </c>
      <c r="W209">
        <v>0</v>
      </c>
      <c r="X209" t="str">
        <f>U209*0.038</f>
        <v>#REF!</v>
      </c>
      <c r="Y209" t="str">
        <f>U209*0.02</f>
        <v>#REF!</v>
      </c>
      <c r="Z209" t="str">
        <f>V209*0.1</f>
        <v>#REF!</v>
      </c>
      <c r="AA209" t="str">
        <f>U209-X209-Y209</f>
        <v>#REF!</v>
      </c>
      <c r="AB209" t="str">
        <f>V209-Z209</f>
        <v>#REF!</v>
      </c>
      <c r="AC209" t="str">
        <f>AA209*0.01</f>
        <v>#REF!</v>
      </c>
      <c r="AD209" t="str">
        <f>AA209-P209-AC209-Q209</f>
        <v>#REF!</v>
      </c>
      <c r="AE209" t="str">
        <f>AB209-P209-Q209-AC209</f>
        <v>#REF!</v>
      </c>
      <c r="AF209" t="str">
        <f>AD209/U209</f>
        <v>#REF!</v>
      </c>
      <c r="AG209" t="str">
        <f>AE209/V209</f>
        <v>#REF!</v>
      </c>
    </row>
    <row r="210">
      <c r="G210" t="str">
        <v>A</v>
      </c>
      <c r="J210" t="str">
        <f>IF(K210&gt;0,K210*0.0625,IF(L210&gt;0,L210*2.204623,))</f>
        <v>#REF!</v>
      </c>
      <c r="K210" t="str">
        <f>IF(L210&gt;0,L210*35.273962,IF(J210&gt;0,J210*16,))</f>
        <v>#REF!</v>
      </c>
      <c r="L210" t="str">
        <f>IF(J210&gt;0,J210*0.453592,IF(K210&gt;0,K210*0.02835,))</f>
        <v>#REF!</v>
      </c>
      <c r="O210">
        <f>I210+N210+M210</f>
        <v>0</v>
      </c>
      <c r="P210">
        <f>O210*C$3</f>
        <v>0</v>
      </c>
      <c r="Q210" t="str">
        <f>ROUNDUP(HLOOKUP(IF(CEILING(L210,0.5)&lt;1,1,CEILING(L210,0.5)),'배송비 조회'!A$32:AY$36,2,0),-2)</f>
        <v>#REF!</v>
      </c>
      <c r="R210">
        <v>0</v>
      </c>
      <c r="S210" t="str">
        <f>ROUND((P210+Q210)*0.6,-2)</f>
        <v>#REF!</v>
      </c>
      <c r="T210" t="str">
        <f>ROUND((P210+Q210)*0.7,-2)</f>
        <v>#REF!</v>
      </c>
      <c r="U210" t="str">
        <f>ROUND(SUM(P210+Q210+R210+S210), -2)</f>
        <v>#REF!</v>
      </c>
      <c r="V210" t="str">
        <f>ROUND(P210+Q210+R210+T210, -2)</f>
        <v>#REF!</v>
      </c>
      <c r="W210">
        <v>0</v>
      </c>
      <c r="X210" t="str">
        <f>U210*0.038</f>
        <v>#REF!</v>
      </c>
      <c r="Y210" t="str">
        <f>U210*0.02</f>
        <v>#REF!</v>
      </c>
      <c r="Z210" t="str">
        <f>V210*0.1</f>
        <v>#REF!</v>
      </c>
      <c r="AA210" t="str">
        <f>U210-X210-Y210</f>
        <v>#REF!</v>
      </c>
      <c r="AB210" t="str">
        <f>V210-Z210</f>
        <v>#REF!</v>
      </c>
      <c r="AC210" t="str">
        <f>AA210*0.01</f>
        <v>#REF!</v>
      </c>
      <c r="AD210" t="str">
        <f>AA210-P210-AC210-Q210</f>
        <v>#REF!</v>
      </c>
      <c r="AE210" t="str">
        <f>AB210-P210-Q210-AC210</f>
        <v>#REF!</v>
      </c>
      <c r="AF210" t="str">
        <f>AD210/U210</f>
        <v>#REF!</v>
      </c>
      <c r="AG210" t="str">
        <f>AE210/V210</f>
        <v>#REF!</v>
      </c>
    </row>
    <row r="211">
      <c r="G211" t="str">
        <v>A</v>
      </c>
      <c r="J211" t="str">
        <f>IF(K211&gt;0,K211*0.0625,IF(L211&gt;0,L211*2.204623,))</f>
        <v>#REF!</v>
      </c>
      <c r="K211" t="str">
        <f>IF(L211&gt;0,L211*35.273962,IF(J211&gt;0,J211*16,))</f>
        <v>#REF!</v>
      </c>
      <c r="L211" t="str">
        <f>IF(J211&gt;0,J211*0.453592,IF(K211&gt;0,K211*0.02835,))</f>
        <v>#REF!</v>
      </c>
      <c r="O211">
        <f>I211+N211+M211</f>
        <v>0</v>
      </c>
      <c r="P211">
        <f>O211*C$3</f>
        <v>0</v>
      </c>
      <c r="Q211" t="str">
        <f>ROUNDUP(HLOOKUP(IF(CEILING(L211,0.5)&lt;1,1,CEILING(L211,0.5)),'배송비 조회'!A$32:AY$36,2,0),-2)</f>
        <v>#REF!</v>
      </c>
      <c r="R211">
        <v>0</v>
      </c>
      <c r="S211" t="str">
        <f>ROUND((P211+Q211)*0.6,-2)</f>
        <v>#REF!</v>
      </c>
      <c r="T211" t="str">
        <f>ROUND((P211+Q211)*0.7,-2)</f>
        <v>#REF!</v>
      </c>
      <c r="U211" t="str">
        <f>ROUND(SUM(P211+Q211+R211+S211), -2)</f>
        <v>#REF!</v>
      </c>
      <c r="V211" t="str">
        <f>ROUND(P211+Q211+R211+T211, -2)</f>
        <v>#REF!</v>
      </c>
      <c r="W211">
        <v>0</v>
      </c>
      <c r="X211" t="str">
        <f>U211*0.038</f>
        <v>#REF!</v>
      </c>
      <c r="Y211" t="str">
        <f>U211*0.02</f>
        <v>#REF!</v>
      </c>
      <c r="Z211" t="str">
        <f>V211*0.1</f>
        <v>#REF!</v>
      </c>
      <c r="AA211" t="str">
        <f>U211-X211-Y211</f>
        <v>#REF!</v>
      </c>
      <c r="AB211" t="str">
        <f>V211-Z211</f>
        <v>#REF!</v>
      </c>
      <c r="AC211" t="str">
        <f>AA211*0.01</f>
        <v>#REF!</v>
      </c>
      <c r="AD211" t="str">
        <f>AA211-P211-AC211-Q211</f>
        <v>#REF!</v>
      </c>
      <c r="AE211" t="str">
        <f>AB211-P211-Q211-AC211</f>
        <v>#REF!</v>
      </c>
      <c r="AF211" t="str">
        <f>AD211/U211</f>
        <v>#REF!</v>
      </c>
      <c r="AG211" t="str">
        <f>AE211/V211</f>
        <v>#REF!</v>
      </c>
    </row>
    <row r="212">
      <c r="G212" t="str">
        <v>A</v>
      </c>
      <c r="J212" t="str">
        <f>IF(K212&gt;0,K212*0.0625,IF(L212&gt;0,L212*2.204623,))</f>
        <v>#REF!</v>
      </c>
      <c r="K212" t="str">
        <f>IF(L212&gt;0,L212*35.273962,IF(J212&gt;0,J212*16,))</f>
        <v>#REF!</v>
      </c>
      <c r="L212" t="str">
        <f>IF(J212&gt;0,J212*0.453592,IF(K212&gt;0,K212*0.02835,))</f>
        <v>#REF!</v>
      </c>
      <c r="O212">
        <f>I212+N212+M212</f>
        <v>0</v>
      </c>
      <c r="P212">
        <f>O212*C$3</f>
        <v>0</v>
      </c>
      <c r="Q212" t="str">
        <f>ROUNDUP(HLOOKUP(IF(CEILING(L212,0.5)&lt;1,1,CEILING(L212,0.5)),'배송비 조회'!A$32:AY$36,2,0),-2)</f>
        <v>#REF!</v>
      </c>
      <c r="R212">
        <v>0</v>
      </c>
      <c r="S212" t="str">
        <f>ROUND((P212+Q212)*0.6,-2)</f>
        <v>#REF!</v>
      </c>
      <c r="T212" t="str">
        <f>ROUND((P212+Q212)*0.7,-2)</f>
        <v>#REF!</v>
      </c>
      <c r="U212" t="str">
        <f>ROUND(SUM(P212+Q212+R212+S212), -2)</f>
        <v>#REF!</v>
      </c>
      <c r="V212" t="str">
        <f>ROUND(P212+Q212+R212+T212, -2)</f>
        <v>#REF!</v>
      </c>
      <c r="W212">
        <v>0</v>
      </c>
      <c r="X212" t="str">
        <f>U212*0.038</f>
        <v>#REF!</v>
      </c>
      <c r="Y212" t="str">
        <f>U212*0.02</f>
        <v>#REF!</v>
      </c>
      <c r="Z212" t="str">
        <f>V212*0.1</f>
        <v>#REF!</v>
      </c>
      <c r="AA212" t="str">
        <f>U212-X212-Y212</f>
        <v>#REF!</v>
      </c>
      <c r="AB212" t="str">
        <f>V212-Z212</f>
        <v>#REF!</v>
      </c>
      <c r="AC212" t="str">
        <f>AA212*0.01</f>
        <v>#REF!</v>
      </c>
      <c r="AD212" t="str">
        <f>AA212-P212-AC212-Q212</f>
        <v>#REF!</v>
      </c>
      <c r="AE212" t="str">
        <f>AB212-P212-Q212-AC212</f>
        <v>#REF!</v>
      </c>
      <c r="AF212" t="str">
        <f>AD212/U212</f>
        <v>#REF!</v>
      </c>
      <c r="AG212" t="str">
        <f>AE212/V212</f>
        <v>#REF!</v>
      </c>
    </row>
    <row r="213">
      <c r="G213" t="str">
        <v>A</v>
      </c>
      <c r="J213" t="str">
        <f>IF(K213&gt;0,K213*0.0625,IF(L213&gt;0,L213*2.204623,))</f>
        <v>#REF!</v>
      </c>
      <c r="K213" t="str">
        <f>IF(L213&gt;0,L213*35.273962,IF(J213&gt;0,J213*16,))</f>
        <v>#REF!</v>
      </c>
      <c r="L213" t="str">
        <f>IF(J213&gt;0,J213*0.453592,IF(K213&gt;0,K213*0.02835,))</f>
        <v>#REF!</v>
      </c>
      <c r="O213">
        <f>I213+N213+M213</f>
        <v>0</v>
      </c>
      <c r="P213">
        <f>O213*C$3</f>
        <v>0</v>
      </c>
      <c r="Q213" t="str">
        <f>ROUNDUP(HLOOKUP(IF(CEILING(L213,0.5)&lt;1,1,CEILING(L213,0.5)),'배송비 조회'!A$32:AY$36,2,0),-2)</f>
        <v>#REF!</v>
      </c>
      <c r="R213">
        <v>0</v>
      </c>
      <c r="S213" t="str">
        <f>ROUND((P213+Q213)*0.6,-2)</f>
        <v>#REF!</v>
      </c>
      <c r="T213" t="str">
        <f>ROUND((P213+Q213)*0.7,-2)</f>
        <v>#REF!</v>
      </c>
      <c r="U213" t="str">
        <f>ROUND(SUM(P213+Q213+R213+S213), -2)</f>
        <v>#REF!</v>
      </c>
      <c r="V213" t="str">
        <f>ROUND(P213+Q213+R213+T213, -2)</f>
        <v>#REF!</v>
      </c>
      <c r="W213">
        <v>0</v>
      </c>
      <c r="X213" t="str">
        <f>U213*0.038</f>
        <v>#REF!</v>
      </c>
      <c r="Y213" t="str">
        <f>U213*0.02</f>
        <v>#REF!</v>
      </c>
      <c r="Z213" t="str">
        <f>V213*0.1</f>
        <v>#REF!</v>
      </c>
      <c r="AA213" t="str">
        <f>U213-X213-Y213</f>
        <v>#REF!</v>
      </c>
      <c r="AB213" t="str">
        <f>V213-Z213</f>
        <v>#REF!</v>
      </c>
      <c r="AC213" t="str">
        <f>AA213*0.01</f>
        <v>#REF!</v>
      </c>
      <c r="AD213" t="str">
        <f>AA213-P213-AC213-Q213</f>
        <v>#REF!</v>
      </c>
      <c r="AE213" t="str">
        <f>AB213-P213-Q213-AC213</f>
        <v>#REF!</v>
      </c>
      <c r="AF213" t="str">
        <f>AD213/U213</f>
        <v>#REF!</v>
      </c>
      <c r="AG213" t="str">
        <f>AE213/V213</f>
        <v>#REF!</v>
      </c>
    </row>
    <row r="214">
      <c r="G214" t="str">
        <v>A</v>
      </c>
      <c r="J214" t="str">
        <f>IF(K214&gt;0,K214*0.0625,IF(L214&gt;0,L214*2.204623,))</f>
        <v>#REF!</v>
      </c>
      <c r="K214" t="str">
        <f>IF(L214&gt;0,L214*35.273962,IF(J214&gt;0,J214*16,))</f>
        <v>#REF!</v>
      </c>
      <c r="L214" t="str">
        <f>IF(J214&gt;0,J214*0.453592,IF(K214&gt;0,K214*0.02835,))</f>
        <v>#REF!</v>
      </c>
      <c r="O214">
        <f>I214+N214+M214</f>
        <v>0</v>
      </c>
      <c r="P214">
        <f>O214*C$3</f>
        <v>0</v>
      </c>
      <c r="Q214" t="str">
        <f>ROUNDUP(HLOOKUP(IF(CEILING(L214,0.5)&lt;1,1,CEILING(L214,0.5)),'배송비 조회'!A$32:AY$36,2,0),-2)</f>
        <v>#REF!</v>
      </c>
      <c r="R214">
        <v>0</v>
      </c>
      <c r="S214" t="str">
        <f>ROUND((P214+Q214)*0.6,-2)</f>
        <v>#REF!</v>
      </c>
      <c r="T214" t="str">
        <f>ROUND((P214+Q214)*0.7,-2)</f>
        <v>#REF!</v>
      </c>
      <c r="U214" t="str">
        <f>ROUND(SUM(P214+Q214+R214+S214), -2)</f>
        <v>#REF!</v>
      </c>
      <c r="V214" t="str">
        <f>ROUND(P214+Q214+R214+T214, -2)</f>
        <v>#REF!</v>
      </c>
      <c r="W214">
        <v>0</v>
      </c>
      <c r="X214" t="str">
        <f>U214*0.038</f>
        <v>#REF!</v>
      </c>
      <c r="Y214" t="str">
        <f>U214*0.02</f>
        <v>#REF!</v>
      </c>
      <c r="Z214" t="str">
        <f>V214*0.1</f>
        <v>#REF!</v>
      </c>
      <c r="AA214" t="str">
        <f>U214-X214-Y214</f>
        <v>#REF!</v>
      </c>
      <c r="AB214" t="str">
        <f>V214-Z214</f>
        <v>#REF!</v>
      </c>
      <c r="AC214" t="str">
        <f>AA214*0.01</f>
        <v>#REF!</v>
      </c>
      <c r="AD214" t="str">
        <f>AA214-P214-AC214-Q214</f>
        <v>#REF!</v>
      </c>
      <c r="AE214" t="str">
        <f>AB214-P214-Q214-AC214</f>
        <v>#REF!</v>
      </c>
      <c r="AF214" t="str">
        <f>AD214/U214</f>
        <v>#REF!</v>
      </c>
      <c r="AG214" t="str">
        <f>AE214/V214</f>
        <v>#REF!</v>
      </c>
    </row>
    <row r="215">
      <c r="G215" t="str">
        <v>A</v>
      </c>
      <c r="J215" t="str">
        <f>IF(K215&gt;0,K215*0.0625,IF(L215&gt;0,L215*2.204623,))</f>
        <v>#REF!</v>
      </c>
      <c r="K215" t="str">
        <f>IF(L215&gt;0,L215*35.273962,IF(J215&gt;0,J215*16,))</f>
        <v>#REF!</v>
      </c>
      <c r="L215" t="str">
        <f>IF(J215&gt;0,J215*0.453592,IF(K215&gt;0,K215*0.02835,))</f>
        <v>#REF!</v>
      </c>
      <c r="O215">
        <f>I215+N215+M215</f>
        <v>0</v>
      </c>
      <c r="P215">
        <f>O215*C$3</f>
        <v>0</v>
      </c>
      <c r="Q215" t="str">
        <f>ROUNDUP(HLOOKUP(IF(CEILING(L215,0.5)&lt;1,1,CEILING(L215,0.5)),'배송비 조회'!A$32:AY$36,2,0),-2)</f>
        <v>#REF!</v>
      </c>
      <c r="R215">
        <v>0</v>
      </c>
      <c r="S215" t="str">
        <f>ROUND((P215+Q215)*0.6,-2)</f>
        <v>#REF!</v>
      </c>
      <c r="T215" t="str">
        <f>ROUND((P215+Q215)*0.7,-2)</f>
        <v>#REF!</v>
      </c>
      <c r="U215" t="str">
        <f>ROUND(SUM(P215+Q215+R215+S215), -2)</f>
        <v>#REF!</v>
      </c>
      <c r="V215" t="str">
        <f>ROUND(P215+Q215+R215+T215, -2)</f>
        <v>#REF!</v>
      </c>
      <c r="W215">
        <v>0</v>
      </c>
      <c r="X215" t="str">
        <f>U215*0.038</f>
        <v>#REF!</v>
      </c>
      <c r="Y215" t="str">
        <f>U215*0.02</f>
        <v>#REF!</v>
      </c>
      <c r="Z215" t="str">
        <f>V215*0.1</f>
        <v>#REF!</v>
      </c>
      <c r="AA215" t="str">
        <f>U215-X215-Y215</f>
        <v>#REF!</v>
      </c>
      <c r="AB215" t="str">
        <f>V215-Z215</f>
        <v>#REF!</v>
      </c>
      <c r="AC215" t="str">
        <f>AA215*0.01</f>
        <v>#REF!</v>
      </c>
      <c r="AD215" t="str">
        <f>AA215-P215-AC215-Q215</f>
        <v>#REF!</v>
      </c>
      <c r="AE215" t="str">
        <f>AB215-P215-Q215-AC215</f>
        <v>#REF!</v>
      </c>
      <c r="AF215" t="str">
        <f>AD215/U215</f>
        <v>#REF!</v>
      </c>
      <c r="AG215" t="str">
        <f>AE215/V215</f>
        <v>#REF!</v>
      </c>
    </row>
    <row r="216">
      <c r="G216" t="str">
        <v>A</v>
      </c>
      <c r="J216" t="str">
        <f>IF(K216&gt;0,K216*0.0625,IF(L216&gt;0,L216*2.204623,))</f>
        <v>#REF!</v>
      </c>
      <c r="K216" t="str">
        <f>IF(L216&gt;0,L216*35.273962,IF(J216&gt;0,J216*16,))</f>
        <v>#REF!</v>
      </c>
      <c r="L216" t="str">
        <f>IF(J216&gt;0,J216*0.453592,IF(K216&gt;0,K216*0.02835,))</f>
        <v>#REF!</v>
      </c>
      <c r="O216">
        <f>I216+N216+M216</f>
        <v>0</v>
      </c>
      <c r="P216">
        <f>O216*C$3</f>
        <v>0</v>
      </c>
      <c r="Q216" t="str">
        <f>ROUNDUP(HLOOKUP(IF(CEILING(L216,0.5)&lt;1,1,CEILING(L216,0.5)),'배송비 조회'!A$32:AY$36,2,0),-2)</f>
        <v>#REF!</v>
      </c>
      <c r="R216">
        <v>0</v>
      </c>
      <c r="S216" t="str">
        <f>ROUND((P216+Q216)*0.6,-2)</f>
        <v>#REF!</v>
      </c>
      <c r="T216" t="str">
        <f>ROUND((P216+Q216)*0.7,-2)</f>
        <v>#REF!</v>
      </c>
      <c r="U216" t="str">
        <f>ROUND(SUM(P216+Q216+R216+S216), -2)</f>
        <v>#REF!</v>
      </c>
      <c r="V216" t="str">
        <f>ROUND(P216+Q216+R216+T216, -2)</f>
        <v>#REF!</v>
      </c>
      <c r="W216">
        <v>0</v>
      </c>
      <c r="X216" t="str">
        <f>U216*0.038</f>
        <v>#REF!</v>
      </c>
      <c r="Y216" t="str">
        <f>U216*0.02</f>
        <v>#REF!</v>
      </c>
      <c r="Z216" t="str">
        <f>V216*0.1</f>
        <v>#REF!</v>
      </c>
      <c r="AA216" t="str">
        <f>U216-X216-Y216</f>
        <v>#REF!</v>
      </c>
      <c r="AB216" t="str">
        <f>V216-Z216</f>
        <v>#REF!</v>
      </c>
      <c r="AC216" t="str">
        <f>AA216*0.01</f>
        <v>#REF!</v>
      </c>
      <c r="AD216" t="str">
        <f>AA216-P216-AC216-Q216</f>
        <v>#REF!</v>
      </c>
      <c r="AE216" t="str">
        <f>AB216-P216-Q216-AC216</f>
        <v>#REF!</v>
      </c>
      <c r="AF216" t="str">
        <f>AD216/U216</f>
        <v>#REF!</v>
      </c>
      <c r="AG216" t="str">
        <f>AE216/V216</f>
        <v>#REF!</v>
      </c>
    </row>
    <row r="217">
      <c r="G217" t="str">
        <v>A</v>
      </c>
      <c r="J217" t="str">
        <f>IF(K217&gt;0,K217*0.0625,IF(L217&gt;0,L217*2.204623,))</f>
        <v>#REF!</v>
      </c>
      <c r="K217" t="str">
        <f>IF(L217&gt;0,L217*35.273962,IF(J217&gt;0,J217*16,))</f>
        <v>#REF!</v>
      </c>
      <c r="L217" t="str">
        <f>IF(J217&gt;0,J217*0.453592,IF(K217&gt;0,K217*0.02835,))</f>
        <v>#REF!</v>
      </c>
      <c r="O217">
        <f>I217+N217+M217</f>
        <v>0</v>
      </c>
      <c r="P217">
        <f>O217*C$3</f>
        <v>0</v>
      </c>
      <c r="Q217" t="str">
        <f>ROUNDUP(HLOOKUP(IF(CEILING(L217,0.5)&lt;1,1,CEILING(L217,0.5)),'배송비 조회'!A$32:AY$36,2,0),-2)</f>
        <v>#REF!</v>
      </c>
      <c r="R217">
        <v>0</v>
      </c>
      <c r="S217" t="str">
        <f>ROUND((P217+Q217)*0.6,-2)</f>
        <v>#REF!</v>
      </c>
      <c r="T217" t="str">
        <f>ROUND((P217+Q217)*0.7,-2)</f>
        <v>#REF!</v>
      </c>
      <c r="U217" t="str">
        <f>ROUND(SUM(P217+Q217+R217+S217), -2)</f>
        <v>#REF!</v>
      </c>
      <c r="V217" t="str">
        <f>ROUND(P217+Q217+R217+T217, -2)</f>
        <v>#REF!</v>
      </c>
      <c r="W217">
        <v>0</v>
      </c>
      <c r="X217" t="str">
        <f>U217*0.038</f>
        <v>#REF!</v>
      </c>
      <c r="Y217" t="str">
        <f>U217*0.02</f>
        <v>#REF!</v>
      </c>
      <c r="Z217" t="str">
        <f>V217*0.1</f>
        <v>#REF!</v>
      </c>
      <c r="AA217" t="str">
        <f>U217-X217-Y217</f>
        <v>#REF!</v>
      </c>
      <c r="AB217" t="str">
        <f>V217-Z217</f>
        <v>#REF!</v>
      </c>
      <c r="AC217" t="str">
        <f>AA217*0.01</f>
        <v>#REF!</v>
      </c>
      <c r="AD217" t="str">
        <f>AA217-P217-AC217-Q217</f>
        <v>#REF!</v>
      </c>
      <c r="AE217" t="str">
        <f>AB217-P217-Q217-AC217</f>
        <v>#REF!</v>
      </c>
      <c r="AF217" t="str">
        <f>AD217/U217</f>
        <v>#REF!</v>
      </c>
      <c r="AG217" t="str">
        <f>AE217/V217</f>
        <v>#REF!</v>
      </c>
    </row>
    <row r="218">
      <c r="G218" t="str">
        <v>A</v>
      </c>
      <c r="J218" t="str">
        <f>IF(K218&gt;0,K218*0.0625,IF(L218&gt;0,L218*2.204623,))</f>
        <v>#REF!</v>
      </c>
      <c r="K218" t="str">
        <f>IF(L218&gt;0,L218*35.273962,IF(J218&gt;0,J218*16,))</f>
        <v>#REF!</v>
      </c>
      <c r="L218" t="str">
        <f>IF(J218&gt;0,J218*0.453592,IF(K218&gt;0,K218*0.02835,))</f>
        <v>#REF!</v>
      </c>
      <c r="O218">
        <f>I218+N218+M218</f>
        <v>0</v>
      </c>
      <c r="P218">
        <f>O218*C$3</f>
        <v>0</v>
      </c>
      <c r="Q218" t="str">
        <f>ROUNDUP(HLOOKUP(IF(CEILING(L218,0.5)&lt;1,1,CEILING(L218,0.5)),'배송비 조회'!A$32:AY$36,2,0),-2)</f>
        <v>#REF!</v>
      </c>
      <c r="R218">
        <v>0</v>
      </c>
      <c r="S218" t="str">
        <f>ROUND((P218+Q218)*0.6,-2)</f>
        <v>#REF!</v>
      </c>
      <c r="T218" t="str">
        <f>ROUND((P218+Q218)*0.7,-2)</f>
        <v>#REF!</v>
      </c>
      <c r="U218" t="str">
        <f>ROUND(SUM(P218+Q218+R218+S218), -2)</f>
        <v>#REF!</v>
      </c>
      <c r="V218" t="str">
        <f>ROUND(P218+Q218+R218+T218, -2)</f>
        <v>#REF!</v>
      </c>
      <c r="W218">
        <v>0</v>
      </c>
      <c r="X218" t="str">
        <f>U218*0.038</f>
        <v>#REF!</v>
      </c>
      <c r="Y218" t="str">
        <f>U218*0.02</f>
        <v>#REF!</v>
      </c>
      <c r="Z218" t="str">
        <f>V218*0.1</f>
        <v>#REF!</v>
      </c>
      <c r="AA218" t="str">
        <f>U218-X218-Y218</f>
        <v>#REF!</v>
      </c>
      <c r="AB218" t="str">
        <f>V218-Z218</f>
        <v>#REF!</v>
      </c>
      <c r="AC218" t="str">
        <f>AA218*0.01</f>
        <v>#REF!</v>
      </c>
      <c r="AD218" t="str">
        <f>AA218-P218-AC218-Q218</f>
        <v>#REF!</v>
      </c>
      <c r="AE218" t="str">
        <f>AB218-P218-Q218-AC218</f>
        <v>#REF!</v>
      </c>
      <c r="AF218" t="str">
        <f>AD218/U218</f>
        <v>#REF!</v>
      </c>
      <c r="AG218" t="str">
        <f>AE218/V218</f>
        <v>#REF!</v>
      </c>
    </row>
    <row r="219">
      <c r="G219" t="str">
        <v>A</v>
      </c>
      <c r="J219" t="str">
        <f>IF(K219&gt;0,K219*0.0625,IF(L219&gt;0,L219*2.204623,))</f>
        <v>#REF!</v>
      </c>
      <c r="K219" t="str">
        <f>IF(L219&gt;0,L219*35.273962,IF(J219&gt;0,J219*16,))</f>
        <v>#REF!</v>
      </c>
      <c r="L219" t="str">
        <f>IF(J219&gt;0,J219*0.453592,IF(K219&gt;0,K219*0.02835,))</f>
        <v>#REF!</v>
      </c>
      <c r="O219">
        <f>I219+N219+M219</f>
        <v>0</v>
      </c>
      <c r="P219">
        <f>O219*C$3</f>
        <v>0</v>
      </c>
      <c r="Q219" t="str">
        <f>ROUNDUP(HLOOKUP(IF(CEILING(L219,0.5)&lt;1,1,CEILING(L219,0.5)),'배송비 조회'!A$32:AY$36,2,0),-2)</f>
        <v>#REF!</v>
      </c>
      <c r="R219">
        <v>0</v>
      </c>
      <c r="S219" t="str">
        <f>ROUND((P219+Q219)*0.6,-2)</f>
        <v>#REF!</v>
      </c>
      <c r="T219" t="str">
        <f>ROUND((P219+Q219)*0.7,-2)</f>
        <v>#REF!</v>
      </c>
      <c r="U219" t="str">
        <f>ROUND(SUM(P219+Q219+R219+S219), -2)</f>
        <v>#REF!</v>
      </c>
      <c r="V219" t="str">
        <f>ROUND(P219+Q219+R219+T219, -2)</f>
        <v>#REF!</v>
      </c>
      <c r="W219">
        <v>0</v>
      </c>
      <c r="X219" t="str">
        <f>U219*0.038</f>
        <v>#REF!</v>
      </c>
      <c r="Y219" t="str">
        <f>U219*0.02</f>
        <v>#REF!</v>
      </c>
      <c r="Z219" t="str">
        <f>V219*0.1</f>
        <v>#REF!</v>
      </c>
      <c r="AA219" t="str">
        <f>U219-X219-Y219</f>
        <v>#REF!</v>
      </c>
      <c r="AB219" t="str">
        <f>V219-Z219</f>
        <v>#REF!</v>
      </c>
      <c r="AC219" t="str">
        <f>AA219*0.01</f>
        <v>#REF!</v>
      </c>
      <c r="AD219" t="str">
        <f>AA219-P219-AC219-Q219</f>
        <v>#REF!</v>
      </c>
      <c r="AE219" t="str">
        <f>AB219-P219-Q219-AC219</f>
        <v>#REF!</v>
      </c>
      <c r="AF219" t="str">
        <f>AD219/U219</f>
        <v>#REF!</v>
      </c>
      <c r="AG219" t="str">
        <f>AE219/V219</f>
        <v>#REF!</v>
      </c>
    </row>
    <row r="220">
      <c r="G220" t="str">
        <v>A</v>
      </c>
      <c r="J220" t="str">
        <f>IF(K220&gt;0,K220*0.0625,IF(L220&gt;0,L220*2.204623,))</f>
        <v>#REF!</v>
      </c>
      <c r="K220" t="str">
        <f>IF(L220&gt;0,L220*35.273962,IF(J220&gt;0,J220*16,))</f>
        <v>#REF!</v>
      </c>
      <c r="L220" t="str">
        <f>IF(J220&gt;0,J220*0.453592,IF(K220&gt;0,K220*0.02835,))</f>
        <v>#REF!</v>
      </c>
      <c r="O220">
        <f>I220+N220+M220</f>
        <v>0</v>
      </c>
      <c r="P220">
        <f>O220*C$3</f>
        <v>0</v>
      </c>
      <c r="Q220" t="str">
        <f>ROUNDUP(HLOOKUP(IF(CEILING(L220,0.5)&lt;1,1,CEILING(L220,0.5)),'배송비 조회'!A$32:AY$36,2,0),-2)</f>
        <v>#REF!</v>
      </c>
      <c r="R220">
        <v>0</v>
      </c>
      <c r="S220" t="str">
        <f>ROUND((P220+Q220)*0.6,-2)</f>
        <v>#REF!</v>
      </c>
      <c r="T220" t="str">
        <f>ROUND((P220+Q220)*0.7,-2)</f>
        <v>#REF!</v>
      </c>
      <c r="U220" t="str">
        <f>ROUND(SUM(P220+Q220+R220+S220), -2)</f>
        <v>#REF!</v>
      </c>
      <c r="V220" t="str">
        <f>ROUND(P220+Q220+R220+T220, -2)</f>
        <v>#REF!</v>
      </c>
      <c r="W220">
        <v>0</v>
      </c>
      <c r="X220" t="str">
        <f>U220*0.038</f>
        <v>#REF!</v>
      </c>
      <c r="Y220" t="str">
        <f>U220*0.02</f>
        <v>#REF!</v>
      </c>
      <c r="Z220" t="str">
        <f>V220*0.1</f>
        <v>#REF!</v>
      </c>
      <c r="AA220" t="str">
        <f>U220-X220-Y220</f>
        <v>#REF!</v>
      </c>
      <c r="AB220" t="str">
        <f>V220-Z220</f>
        <v>#REF!</v>
      </c>
      <c r="AC220" t="str">
        <f>AA220*0.01</f>
        <v>#REF!</v>
      </c>
      <c r="AD220" t="str">
        <f>AA220-P220-AC220-Q220</f>
        <v>#REF!</v>
      </c>
      <c r="AE220" t="str">
        <f>AB220-P220-Q220-AC220</f>
        <v>#REF!</v>
      </c>
      <c r="AF220" t="str">
        <f>AD220/U220</f>
        <v>#REF!</v>
      </c>
      <c r="AG220" t="str">
        <f>AE220/V220</f>
        <v>#REF!</v>
      </c>
    </row>
    <row r="221">
      <c r="G221" t="str">
        <v>A</v>
      </c>
      <c r="J221" t="str">
        <f>IF(K221&gt;0,K221*0.0625,IF(L221&gt;0,L221*2.204623,))</f>
        <v>#REF!</v>
      </c>
      <c r="K221" t="str">
        <f>IF(L221&gt;0,L221*35.273962,IF(J221&gt;0,J221*16,))</f>
        <v>#REF!</v>
      </c>
      <c r="L221" t="str">
        <f>IF(J221&gt;0,J221*0.453592,IF(K221&gt;0,K221*0.02835,))</f>
        <v>#REF!</v>
      </c>
      <c r="O221">
        <f>I221+N221+M221</f>
        <v>0</v>
      </c>
      <c r="P221">
        <f>O221*C$3</f>
        <v>0</v>
      </c>
      <c r="Q221" t="str">
        <f>ROUNDUP(HLOOKUP(IF(CEILING(L221,0.5)&lt;1,1,CEILING(L221,0.5)),'배송비 조회'!A$32:AY$36,2,0),-2)</f>
        <v>#REF!</v>
      </c>
      <c r="R221">
        <v>0</v>
      </c>
      <c r="S221" t="str">
        <f>ROUND((P221+Q221)*0.6,-2)</f>
        <v>#REF!</v>
      </c>
      <c r="T221" t="str">
        <f>ROUND((P221+Q221)*0.7,-2)</f>
        <v>#REF!</v>
      </c>
      <c r="U221" t="str">
        <f>ROUND(SUM(P221+Q221+R221+S221), -2)</f>
        <v>#REF!</v>
      </c>
      <c r="V221" t="str">
        <f>ROUND(P221+Q221+R221+T221, -2)</f>
        <v>#REF!</v>
      </c>
      <c r="W221">
        <v>0</v>
      </c>
      <c r="X221" t="str">
        <f>U221*0.038</f>
        <v>#REF!</v>
      </c>
      <c r="Y221" t="str">
        <f>U221*0.02</f>
        <v>#REF!</v>
      </c>
      <c r="Z221" t="str">
        <f>V221*0.1</f>
        <v>#REF!</v>
      </c>
      <c r="AA221" t="str">
        <f>U221-X221-Y221</f>
        <v>#REF!</v>
      </c>
      <c r="AB221" t="str">
        <f>V221-Z221</f>
        <v>#REF!</v>
      </c>
      <c r="AC221" t="str">
        <f>AA221*0.01</f>
        <v>#REF!</v>
      </c>
      <c r="AD221" t="str">
        <f>AA221-P221-AC221-Q221</f>
        <v>#REF!</v>
      </c>
      <c r="AE221" t="str">
        <f>AB221-P221-Q221-AC221</f>
        <v>#REF!</v>
      </c>
      <c r="AF221" t="str">
        <f>AD221/U221</f>
        <v>#REF!</v>
      </c>
      <c r="AG221" t="str">
        <f>AE221/V221</f>
        <v>#REF!</v>
      </c>
    </row>
    <row r="222">
      <c r="G222" t="str">
        <v>A</v>
      </c>
      <c r="J222" t="str">
        <f>IF(K222&gt;0,K222*0.0625,IF(L222&gt;0,L222*2.204623,))</f>
        <v>#REF!</v>
      </c>
      <c r="K222" t="str">
        <f>IF(L222&gt;0,L222*35.273962,IF(J222&gt;0,J222*16,))</f>
        <v>#REF!</v>
      </c>
      <c r="L222" t="str">
        <f>IF(J222&gt;0,J222*0.453592,IF(K222&gt;0,K222*0.02835,))</f>
        <v>#REF!</v>
      </c>
      <c r="O222">
        <f>I222+N222+M222</f>
        <v>0</v>
      </c>
      <c r="P222">
        <f>O222*C$3</f>
        <v>0</v>
      </c>
      <c r="Q222" t="str">
        <f>ROUNDUP(HLOOKUP(IF(CEILING(L222,0.5)&lt;1,1,CEILING(L222,0.5)),'배송비 조회'!A$32:AY$36,2,0),-2)</f>
        <v>#REF!</v>
      </c>
      <c r="R222">
        <v>0</v>
      </c>
      <c r="S222" t="str">
        <f>ROUND((P222+Q222)*0.6,-2)</f>
        <v>#REF!</v>
      </c>
      <c r="T222" t="str">
        <f>ROUND((P222+Q222)*0.7,-2)</f>
        <v>#REF!</v>
      </c>
      <c r="U222" t="str">
        <f>ROUND(SUM(P222+Q222+R222+S222), -2)</f>
        <v>#REF!</v>
      </c>
      <c r="V222" t="str">
        <f>ROUND(P222+Q222+R222+T222, -2)</f>
        <v>#REF!</v>
      </c>
      <c r="W222">
        <v>0</v>
      </c>
      <c r="X222" t="str">
        <f>U222*0.038</f>
        <v>#REF!</v>
      </c>
      <c r="Y222" t="str">
        <f>U222*0.02</f>
        <v>#REF!</v>
      </c>
      <c r="Z222" t="str">
        <f>V222*0.1</f>
        <v>#REF!</v>
      </c>
      <c r="AA222" t="str">
        <f>U222-X222-Y222</f>
        <v>#REF!</v>
      </c>
      <c r="AB222" t="str">
        <f>V222-Z222</f>
        <v>#REF!</v>
      </c>
      <c r="AC222" t="str">
        <f>AA222*0.01</f>
        <v>#REF!</v>
      </c>
      <c r="AD222" t="str">
        <f>AA222-P222-AC222-Q222</f>
        <v>#REF!</v>
      </c>
      <c r="AE222" t="str">
        <f>AB222-P222-Q222-AC222</f>
        <v>#REF!</v>
      </c>
      <c r="AF222" t="str">
        <f>AD222/U222</f>
        <v>#REF!</v>
      </c>
      <c r="AG222" t="str">
        <f>AE222/V222</f>
        <v>#REF!</v>
      </c>
    </row>
    <row r="223">
      <c r="G223" t="str">
        <v>A</v>
      </c>
      <c r="J223" t="str">
        <f>IF(K223&gt;0,K223*0.0625,IF(L223&gt;0,L223*2.204623,))</f>
        <v>#REF!</v>
      </c>
      <c r="K223" t="str">
        <f>IF(L223&gt;0,L223*35.273962,IF(J223&gt;0,J223*16,))</f>
        <v>#REF!</v>
      </c>
      <c r="L223" t="str">
        <f>IF(J223&gt;0,J223*0.453592,IF(K223&gt;0,K223*0.02835,))</f>
        <v>#REF!</v>
      </c>
      <c r="O223">
        <f>I223+N223+M223</f>
        <v>0</v>
      </c>
      <c r="P223">
        <f>O223*C$3</f>
        <v>0</v>
      </c>
      <c r="Q223" t="str">
        <f>ROUNDUP(HLOOKUP(IF(CEILING(L223,0.5)&lt;1,1,CEILING(L223,0.5)),'배송비 조회'!A$32:AY$36,2,0),-2)</f>
        <v>#REF!</v>
      </c>
      <c r="R223">
        <v>0</v>
      </c>
      <c r="S223" t="str">
        <f>ROUND((P223+Q223)*0.6,-2)</f>
        <v>#REF!</v>
      </c>
      <c r="T223" t="str">
        <f>ROUND((P223+Q223)*0.7,-2)</f>
        <v>#REF!</v>
      </c>
      <c r="U223" t="str">
        <f>ROUND(SUM(P223+Q223+R223+S223), -2)</f>
        <v>#REF!</v>
      </c>
      <c r="V223" t="str">
        <f>ROUND(P223+Q223+R223+T223, -2)</f>
        <v>#REF!</v>
      </c>
      <c r="W223">
        <v>0</v>
      </c>
      <c r="X223" t="str">
        <f>U223*0.038</f>
        <v>#REF!</v>
      </c>
      <c r="Y223" t="str">
        <f>U223*0.02</f>
        <v>#REF!</v>
      </c>
      <c r="Z223" t="str">
        <f>V223*0.1</f>
        <v>#REF!</v>
      </c>
      <c r="AA223" t="str">
        <f>U223-X223-Y223</f>
        <v>#REF!</v>
      </c>
      <c r="AB223" t="str">
        <f>V223-Z223</f>
        <v>#REF!</v>
      </c>
      <c r="AC223" t="str">
        <f>AA223*0.01</f>
        <v>#REF!</v>
      </c>
      <c r="AD223" t="str">
        <f>AA223-P223-AC223-Q223</f>
        <v>#REF!</v>
      </c>
      <c r="AE223" t="str">
        <f>AB223-P223-Q223-AC223</f>
        <v>#REF!</v>
      </c>
      <c r="AF223" t="str">
        <f>AD223/U223</f>
        <v>#REF!</v>
      </c>
      <c r="AG223" t="str">
        <f>AE223/V223</f>
        <v>#REF!</v>
      </c>
    </row>
    <row r="224">
      <c r="G224" t="str">
        <v>A</v>
      </c>
      <c r="J224" t="str">
        <f>IF(K224&gt;0,K224*0.0625,IF(L224&gt;0,L224*2.204623,))</f>
        <v>#REF!</v>
      </c>
      <c r="K224" t="str">
        <f>IF(L224&gt;0,L224*35.273962,IF(J224&gt;0,J224*16,))</f>
        <v>#REF!</v>
      </c>
      <c r="L224" t="str">
        <f>IF(J224&gt;0,J224*0.453592,IF(K224&gt;0,K224*0.02835,))</f>
        <v>#REF!</v>
      </c>
      <c r="O224">
        <f>I224+N224+M224</f>
        <v>0</v>
      </c>
      <c r="P224">
        <f>O224*C$3</f>
        <v>0</v>
      </c>
      <c r="Q224" t="str">
        <f>ROUNDUP(HLOOKUP(IF(CEILING(L224,0.5)&lt;1,1,CEILING(L224,0.5)),'배송비 조회'!A$32:AY$36,2,0),-2)</f>
        <v>#REF!</v>
      </c>
      <c r="R224">
        <v>0</v>
      </c>
      <c r="S224" t="str">
        <f>ROUND((P224+Q224)*0.6,-2)</f>
        <v>#REF!</v>
      </c>
      <c r="T224" t="str">
        <f>ROUND((P224+Q224)*0.7,-2)</f>
        <v>#REF!</v>
      </c>
      <c r="U224" t="str">
        <f>ROUND(SUM(P224+Q224+R224+S224), -2)</f>
        <v>#REF!</v>
      </c>
      <c r="V224" t="str">
        <f>ROUND(P224+Q224+R224+T224, -2)</f>
        <v>#REF!</v>
      </c>
      <c r="W224">
        <v>0</v>
      </c>
      <c r="X224" t="str">
        <f>U224*0.038</f>
        <v>#REF!</v>
      </c>
      <c r="Y224" t="str">
        <f>U224*0.02</f>
        <v>#REF!</v>
      </c>
      <c r="Z224" t="str">
        <f>V224*0.1</f>
        <v>#REF!</v>
      </c>
      <c r="AA224" t="str">
        <f>U224-X224-Y224</f>
        <v>#REF!</v>
      </c>
      <c r="AB224" t="str">
        <f>V224-Z224</f>
        <v>#REF!</v>
      </c>
      <c r="AC224" t="str">
        <f>AA224*0.01</f>
        <v>#REF!</v>
      </c>
      <c r="AD224" t="str">
        <f>AA224-P224-AC224-Q224</f>
        <v>#REF!</v>
      </c>
      <c r="AE224" t="str">
        <f>AB224-P224-Q224-AC224</f>
        <v>#REF!</v>
      </c>
      <c r="AF224" t="str">
        <f>AD224/U224</f>
        <v>#REF!</v>
      </c>
      <c r="AG224" t="str">
        <f>AE224/V224</f>
        <v>#REF!</v>
      </c>
    </row>
    <row r="225">
      <c r="G225" t="str">
        <v>A</v>
      </c>
      <c r="J225" t="str">
        <f>IF(K225&gt;0,K225*0.0625,IF(L225&gt;0,L225*2.204623,))</f>
        <v>#REF!</v>
      </c>
      <c r="K225" t="str">
        <f>IF(L225&gt;0,L225*35.273962,IF(J225&gt;0,J225*16,))</f>
        <v>#REF!</v>
      </c>
      <c r="L225" t="str">
        <f>IF(J225&gt;0,J225*0.453592,IF(K225&gt;0,K225*0.02835,))</f>
        <v>#REF!</v>
      </c>
      <c r="O225">
        <f>I225+N225+M225</f>
        <v>0</v>
      </c>
      <c r="P225">
        <f>O225*C$3</f>
        <v>0</v>
      </c>
      <c r="Q225" t="str">
        <f>ROUNDUP(HLOOKUP(IF(CEILING(L225,0.5)&lt;1,1,CEILING(L225,0.5)),'배송비 조회'!A$32:AY$36,2,0),-2)</f>
        <v>#REF!</v>
      </c>
      <c r="R225">
        <v>0</v>
      </c>
      <c r="S225" t="str">
        <f>ROUND((P225+Q225)*0.6,-2)</f>
        <v>#REF!</v>
      </c>
      <c r="T225" t="str">
        <f>ROUND((P225+Q225)*0.7,-2)</f>
        <v>#REF!</v>
      </c>
      <c r="U225" t="str">
        <f>ROUND(SUM(P225+Q225+R225+S225), -2)</f>
        <v>#REF!</v>
      </c>
      <c r="V225" t="str">
        <f>ROUND(P225+Q225+R225+T225, -2)</f>
        <v>#REF!</v>
      </c>
      <c r="W225">
        <v>0</v>
      </c>
      <c r="X225" t="str">
        <f>U225*0.038</f>
        <v>#REF!</v>
      </c>
      <c r="Y225" t="str">
        <f>U225*0.02</f>
        <v>#REF!</v>
      </c>
      <c r="Z225" t="str">
        <f>V225*0.1</f>
        <v>#REF!</v>
      </c>
      <c r="AA225" t="str">
        <f>U225-X225-Y225</f>
        <v>#REF!</v>
      </c>
      <c r="AB225" t="str">
        <f>V225-Z225</f>
        <v>#REF!</v>
      </c>
      <c r="AC225" t="str">
        <f>AA225*0.01</f>
        <v>#REF!</v>
      </c>
      <c r="AD225" t="str">
        <f>AA225-P225-AC225-Q225</f>
        <v>#REF!</v>
      </c>
      <c r="AE225" t="str">
        <f>AB225-P225-Q225-AC225</f>
        <v>#REF!</v>
      </c>
      <c r="AF225" t="str">
        <f>AD225/U225</f>
        <v>#REF!</v>
      </c>
      <c r="AG225" t="str">
        <f>AE225/V225</f>
        <v>#REF!</v>
      </c>
    </row>
    <row r="226">
      <c r="G226" t="str">
        <v>A</v>
      </c>
      <c r="J226" t="str">
        <f>IF(K226&gt;0,K226*0.0625,IF(L226&gt;0,L226*2.204623,))</f>
        <v>#REF!</v>
      </c>
      <c r="K226" t="str">
        <f>IF(L226&gt;0,L226*35.273962,IF(J226&gt;0,J226*16,))</f>
        <v>#REF!</v>
      </c>
      <c r="L226" t="str">
        <f>IF(J226&gt;0,J226*0.453592,IF(K226&gt;0,K226*0.02835,))</f>
        <v>#REF!</v>
      </c>
      <c r="O226">
        <f>I226+N226+M226</f>
        <v>0</v>
      </c>
      <c r="P226">
        <f>O226*C$3</f>
        <v>0</v>
      </c>
      <c r="Q226" t="str">
        <f>ROUNDUP(HLOOKUP(IF(CEILING(L226,0.5)&lt;1,1,CEILING(L226,0.5)),'배송비 조회'!A$32:AY$36,2,0),-2)</f>
        <v>#REF!</v>
      </c>
      <c r="R226">
        <v>0</v>
      </c>
      <c r="S226" t="str">
        <f>ROUND((P226+Q226)*0.6,-2)</f>
        <v>#REF!</v>
      </c>
      <c r="T226" t="str">
        <f>ROUND((P226+Q226)*0.7,-2)</f>
        <v>#REF!</v>
      </c>
      <c r="U226" t="str">
        <f>ROUND(SUM(P226+Q226+R226+S226), -2)</f>
        <v>#REF!</v>
      </c>
      <c r="V226" t="str">
        <f>ROUND(P226+Q226+R226+T226, -2)</f>
        <v>#REF!</v>
      </c>
      <c r="W226">
        <v>0</v>
      </c>
      <c r="X226" t="str">
        <f>U226*0.038</f>
        <v>#REF!</v>
      </c>
      <c r="Y226" t="str">
        <f>U226*0.02</f>
        <v>#REF!</v>
      </c>
      <c r="Z226" t="str">
        <f>V226*0.1</f>
        <v>#REF!</v>
      </c>
      <c r="AA226" t="str">
        <f>U226-X226-Y226</f>
        <v>#REF!</v>
      </c>
      <c r="AB226" t="str">
        <f>V226-Z226</f>
        <v>#REF!</v>
      </c>
      <c r="AC226" t="str">
        <f>AA226*0.01</f>
        <v>#REF!</v>
      </c>
      <c r="AD226" t="str">
        <f>AA226-P226-AC226-Q226</f>
        <v>#REF!</v>
      </c>
      <c r="AE226" t="str">
        <f>AB226-P226-Q226-AC226</f>
        <v>#REF!</v>
      </c>
      <c r="AF226" t="str">
        <f>AD226/U226</f>
        <v>#REF!</v>
      </c>
      <c r="AG226" t="str">
        <f>AE226/V226</f>
        <v>#REF!</v>
      </c>
    </row>
    <row r="227">
      <c r="G227" t="str">
        <v>A</v>
      </c>
      <c r="J227" t="str">
        <f>IF(K227&gt;0,K227*0.0625,IF(L227&gt;0,L227*2.204623,))</f>
        <v>#REF!</v>
      </c>
      <c r="K227" t="str">
        <f>IF(L227&gt;0,L227*35.273962,IF(J227&gt;0,J227*16,))</f>
        <v>#REF!</v>
      </c>
      <c r="L227" t="str">
        <f>IF(J227&gt;0,J227*0.453592,IF(K227&gt;0,K227*0.02835,))</f>
        <v>#REF!</v>
      </c>
      <c r="O227">
        <f>I227+N227+M227</f>
        <v>0</v>
      </c>
      <c r="P227">
        <f>O227*C$3</f>
        <v>0</v>
      </c>
      <c r="Q227" t="str">
        <f>ROUNDUP(HLOOKUP(IF(CEILING(L227,0.5)&lt;1,1,CEILING(L227,0.5)),'배송비 조회'!A$32:AY$36,2,0),-2)</f>
        <v>#REF!</v>
      </c>
      <c r="R227">
        <v>0</v>
      </c>
      <c r="S227" t="str">
        <f>ROUND((P227+Q227)*0.6,-2)</f>
        <v>#REF!</v>
      </c>
      <c r="T227" t="str">
        <f>ROUND((P227+Q227)*0.7,-2)</f>
        <v>#REF!</v>
      </c>
      <c r="U227" t="str">
        <f>ROUND(SUM(P227+Q227+R227+S227), -2)</f>
        <v>#REF!</v>
      </c>
      <c r="V227" t="str">
        <f>ROUND(P227+Q227+R227+T227, -2)</f>
        <v>#REF!</v>
      </c>
      <c r="W227">
        <v>0</v>
      </c>
      <c r="X227" t="str">
        <f>U227*0.038</f>
        <v>#REF!</v>
      </c>
      <c r="Y227" t="str">
        <f>U227*0.02</f>
        <v>#REF!</v>
      </c>
      <c r="Z227" t="str">
        <f>V227*0.1</f>
        <v>#REF!</v>
      </c>
      <c r="AA227" t="str">
        <f>U227-X227-Y227</f>
        <v>#REF!</v>
      </c>
      <c r="AB227" t="str">
        <f>V227-Z227</f>
        <v>#REF!</v>
      </c>
      <c r="AC227" t="str">
        <f>AA227*0.01</f>
        <v>#REF!</v>
      </c>
      <c r="AD227" t="str">
        <f>AA227-P227-AC227-Q227</f>
        <v>#REF!</v>
      </c>
      <c r="AE227" t="str">
        <f>AB227-P227-Q227-AC227</f>
        <v>#REF!</v>
      </c>
      <c r="AF227" t="str">
        <f>AD227/U227</f>
        <v>#REF!</v>
      </c>
      <c r="AG227" t="str">
        <f>AE227/V227</f>
        <v>#REF!</v>
      </c>
    </row>
    <row r="228">
      <c r="G228" t="str">
        <v>A</v>
      </c>
      <c r="J228" t="str">
        <f>IF(K228&gt;0,K228*0.0625,IF(L228&gt;0,L228*2.204623,))</f>
        <v>#REF!</v>
      </c>
      <c r="K228" t="str">
        <f>IF(L228&gt;0,L228*35.273962,IF(J228&gt;0,J228*16,))</f>
        <v>#REF!</v>
      </c>
      <c r="L228" t="str">
        <f>IF(J228&gt;0,J228*0.453592,IF(K228&gt;0,K228*0.02835,))</f>
        <v>#REF!</v>
      </c>
      <c r="O228">
        <f>I228+N228+M228</f>
        <v>0</v>
      </c>
      <c r="P228">
        <f>O228*C$3</f>
        <v>0</v>
      </c>
      <c r="Q228" t="str">
        <f>ROUNDUP(HLOOKUP(IF(CEILING(L228,0.5)&lt;1,1,CEILING(L228,0.5)),'배송비 조회'!A$32:AY$36,2,0),-2)</f>
        <v>#REF!</v>
      </c>
      <c r="R228">
        <v>0</v>
      </c>
      <c r="S228" t="str">
        <f>ROUND((P228+Q228)*0.6,-2)</f>
        <v>#REF!</v>
      </c>
      <c r="T228" t="str">
        <f>ROUND((P228+Q228)*0.7,-2)</f>
        <v>#REF!</v>
      </c>
      <c r="U228" t="str">
        <f>ROUND(SUM(P228+Q228+R228+S228), -2)</f>
        <v>#REF!</v>
      </c>
      <c r="V228" t="str">
        <f>ROUND(P228+Q228+R228+T228, -2)</f>
        <v>#REF!</v>
      </c>
      <c r="W228">
        <v>0</v>
      </c>
      <c r="X228" t="str">
        <f>U228*0.038</f>
        <v>#REF!</v>
      </c>
      <c r="Y228" t="str">
        <f>U228*0.02</f>
        <v>#REF!</v>
      </c>
      <c r="Z228" t="str">
        <f>V228*0.1</f>
        <v>#REF!</v>
      </c>
      <c r="AA228" t="str">
        <f>U228-X228-Y228</f>
        <v>#REF!</v>
      </c>
      <c r="AB228" t="str">
        <f>V228-Z228</f>
        <v>#REF!</v>
      </c>
      <c r="AC228" t="str">
        <f>AA228*0.01</f>
        <v>#REF!</v>
      </c>
      <c r="AD228" t="str">
        <f>AA228-P228-AC228-Q228</f>
        <v>#REF!</v>
      </c>
      <c r="AE228" t="str">
        <f>AB228-P228-Q228-AC228</f>
        <v>#REF!</v>
      </c>
      <c r="AF228" t="str">
        <f>AD228/U228</f>
        <v>#REF!</v>
      </c>
      <c r="AG228" t="str">
        <f>AE228/V228</f>
        <v>#REF!</v>
      </c>
    </row>
    <row r="229">
      <c r="G229" t="str">
        <v>A</v>
      </c>
      <c r="J229" t="str">
        <f>IF(K229&gt;0,K229*0.0625,IF(L229&gt;0,L229*2.204623,))</f>
        <v>#REF!</v>
      </c>
      <c r="K229" t="str">
        <f>IF(L229&gt;0,L229*35.273962,IF(J229&gt;0,J229*16,))</f>
        <v>#REF!</v>
      </c>
      <c r="L229" t="str">
        <f>IF(J229&gt;0,J229*0.453592,IF(K229&gt;0,K229*0.02835,))</f>
        <v>#REF!</v>
      </c>
      <c r="O229">
        <f>I229+N229+M229</f>
        <v>0</v>
      </c>
      <c r="P229">
        <f>O229*C$3</f>
        <v>0</v>
      </c>
      <c r="Q229" t="str">
        <f>ROUNDUP(HLOOKUP(IF(CEILING(L229,0.5)&lt;1,1,CEILING(L229,0.5)),'배송비 조회'!A$32:AY$36,2,0),-2)</f>
        <v>#REF!</v>
      </c>
      <c r="R229">
        <v>0</v>
      </c>
      <c r="S229" t="str">
        <f>ROUND((P229+Q229)*0.6,-2)</f>
        <v>#REF!</v>
      </c>
      <c r="T229" t="str">
        <f>ROUND((P229+Q229)*0.7,-2)</f>
        <v>#REF!</v>
      </c>
      <c r="U229" t="str">
        <f>ROUND(SUM(P229+Q229+R229+S229), -2)</f>
        <v>#REF!</v>
      </c>
      <c r="V229" t="str">
        <f>ROUND(P229+Q229+R229+T229, -2)</f>
        <v>#REF!</v>
      </c>
      <c r="W229">
        <v>0</v>
      </c>
      <c r="X229" t="str">
        <f>U229*0.038</f>
        <v>#REF!</v>
      </c>
      <c r="Y229" t="str">
        <f>U229*0.02</f>
        <v>#REF!</v>
      </c>
      <c r="Z229" t="str">
        <f>V229*0.1</f>
        <v>#REF!</v>
      </c>
      <c r="AA229" t="str">
        <f>U229-X229-Y229</f>
        <v>#REF!</v>
      </c>
      <c r="AB229" t="str">
        <f>V229-Z229</f>
        <v>#REF!</v>
      </c>
      <c r="AC229" t="str">
        <f>AA229*0.01</f>
        <v>#REF!</v>
      </c>
      <c r="AD229" t="str">
        <f>AA229-P229-AC229-Q229</f>
        <v>#REF!</v>
      </c>
      <c r="AE229" t="str">
        <f>AB229-P229-Q229-AC229</f>
        <v>#REF!</v>
      </c>
      <c r="AF229" t="str">
        <f>AD229/U229</f>
        <v>#REF!</v>
      </c>
      <c r="AG229" t="str">
        <f>AE229/V229</f>
        <v>#REF!</v>
      </c>
    </row>
    <row r="230">
      <c r="G230" t="str">
        <v>A</v>
      </c>
      <c r="J230" t="str">
        <f>IF(K230&gt;0,K230*0.0625,IF(L230&gt;0,L230*2.204623,))</f>
        <v>#REF!</v>
      </c>
      <c r="K230" t="str">
        <f>IF(L230&gt;0,L230*35.273962,IF(J230&gt;0,J230*16,))</f>
        <v>#REF!</v>
      </c>
      <c r="L230" t="str">
        <f>IF(J230&gt;0,J230*0.453592,IF(K230&gt;0,K230*0.02835,))</f>
        <v>#REF!</v>
      </c>
      <c r="O230">
        <f>I230+N230+M230</f>
        <v>0</v>
      </c>
      <c r="P230">
        <f>O230*C$3</f>
        <v>0</v>
      </c>
      <c r="Q230" t="str">
        <f>ROUNDUP(HLOOKUP(IF(CEILING(L230,0.5)&lt;1,1,CEILING(L230,0.5)),'배송비 조회'!A$32:AY$36,2,0),-2)</f>
        <v>#REF!</v>
      </c>
      <c r="R230">
        <v>0</v>
      </c>
      <c r="S230" t="str">
        <f>ROUND((P230+Q230)*0.6,-2)</f>
        <v>#REF!</v>
      </c>
      <c r="T230" t="str">
        <f>ROUND((P230+Q230)*0.7,-2)</f>
        <v>#REF!</v>
      </c>
      <c r="U230" t="str">
        <f>ROUND(SUM(P230+Q230+R230+S230), -2)</f>
        <v>#REF!</v>
      </c>
      <c r="V230" t="str">
        <f>ROUND(P230+Q230+R230+T230, -2)</f>
        <v>#REF!</v>
      </c>
      <c r="W230">
        <v>0</v>
      </c>
      <c r="X230" t="str">
        <f>U230*0.038</f>
        <v>#REF!</v>
      </c>
      <c r="Y230" t="str">
        <f>U230*0.02</f>
        <v>#REF!</v>
      </c>
      <c r="Z230" t="str">
        <f>V230*0.1</f>
        <v>#REF!</v>
      </c>
      <c r="AA230" t="str">
        <f>U230-X230-Y230</f>
        <v>#REF!</v>
      </c>
      <c r="AB230" t="str">
        <f>V230-Z230</f>
        <v>#REF!</v>
      </c>
      <c r="AC230" t="str">
        <f>AA230*0.01</f>
        <v>#REF!</v>
      </c>
      <c r="AD230" t="str">
        <f>AA230-P230-AC230-Q230</f>
        <v>#REF!</v>
      </c>
      <c r="AE230" t="str">
        <f>AB230-P230-Q230-AC230</f>
        <v>#REF!</v>
      </c>
      <c r="AF230" t="str">
        <f>AD230/U230</f>
        <v>#REF!</v>
      </c>
      <c r="AG230" t="str">
        <f>AE230/V230</f>
        <v>#REF!</v>
      </c>
    </row>
    <row r="231">
      <c r="G231" t="str">
        <v>A</v>
      </c>
      <c r="J231" t="str">
        <f>IF(K231&gt;0,K231*0.0625,IF(L231&gt;0,L231*2.204623,))</f>
        <v>#REF!</v>
      </c>
      <c r="K231" t="str">
        <f>IF(L231&gt;0,L231*35.273962,IF(J231&gt;0,J231*16,))</f>
        <v>#REF!</v>
      </c>
      <c r="L231" t="str">
        <f>IF(J231&gt;0,J231*0.453592,IF(K231&gt;0,K231*0.02835,))</f>
        <v>#REF!</v>
      </c>
      <c r="O231">
        <f>I231+N231+M231</f>
        <v>0</v>
      </c>
      <c r="P231">
        <f>O231*C$3</f>
        <v>0</v>
      </c>
      <c r="Q231" t="str">
        <f>ROUNDUP(HLOOKUP(IF(CEILING(L231,0.5)&lt;1,1,CEILING(L231,0.5)),'배송비 조회'!A$32:AY$36,2,0),-2)</f>
        <v>#REF!</v>
      </c>
      <c r="R231">
        <v>0</v>
      </c>
      <c r="S231" t="str">
        <f>ROUND((P231+Q231)*0.6,-2)</f>
        <v>#REF!</v>
      </c>
      <c r="T231" t="str">
        <f>ROUND((P231+Q231)*0.7,-2)</f>
        <v>#REF!</v>
      </c>
      <c r="U231" t="str">
        <f>ROUND(SUM(P231+Q231+R231+S231), -2)</f>
        <v>#REF!</v>
      </c>
      <c r="V231" t="str">
        <f>ROUND(P231+Q231+R231+T231, -2)</f>
        <v>#REF!</v>
      </c>
      <c r="W231">
        <v>0</v>
      </c>
      <c r="X231" t="str">
        <f>U231*0.038</f>
        <v>#REF!</v>
      </c>
      <c r="Y231" t="str">
        <f>U231*0.02</f>
        <v>#REF!</v>
      </c>
      <c r="Z231" t="str">
        <f>V231*0.1</f>
        <v>#REF!</v>
      </c>
      <c r="AA231" t="str">
        <f>U231-X231-Y231</f>
        <v>#REF!</v>
      </c>
      <c r="AB231" t="str">
        <f>V231-Z231</f>
        <v>#REF!</v>
      </c>
      <c r="AC231" t="str">
        <f>AA231*0.01</f>
        <v>#REF!</v>
      </c>
      <c r="AD231" t="str">
        <f>AA231-P231-AC231-Q231</f>
        <v>#REF!</v>
      </c>
      <c r="AE231" t="str">
        <f>AB231-P231-Q231-AC231</f>
        <v>#REF!</v>
      </c>
      <c r="AF231" t="str">
        <f>AD231/U231</f>
        <v>#REF!</v>
      </c>
      <c r="AG231" t="str">
        <f>AE231/V231</f>
        <v>#REF!</v>
      </c>
    </row>
    <row r="232">
      <c r="G232" t="str">
        <v>A</v>
      </c>
      <c r="J232" t="str">
        <f>IF(K232&gt;0,K232*0.0625,IF(L232&gt;0,L232*2.204623,))</f>
        <v>#REF!</v>
      </c>
      <c r="K232" t="str">
        <f>IF(L232&gt;0,L232*35.273962,IF(J232&gt;0,J232*16,))</f>
        <v>#REF!</v>
      </c>
      <c r="L232" t="str">
        <f>IF(J232&gt;0,J232*0.453592,IF(K232&gt;0,K232*0.02835,))</f>
        <v>#REF!</v>
      </c>
      <c r="O232">
        <f>I232+N232+M232</f>
        <v>0</v>
      </c>
      <c r="P232">
        <f>O232*C$3</f>
        <v>0</v>
      </c>
      <c r="Q232" t="str">
        <f>ROUNDUP(HLOOKUP(IF(CEILING(L232,0.5)&lt;1,1,CEILING(L232,0.5)),'배송비 조회'!A$32:AY$36,2,0),-2)</f>
        <v>#REF!</v>
      </c>
      <c r="R232">
        <v>0</v>
      </c>
      <c r="S232" t="str">
        <f>ROUND((P232+Q232)*0.6,-2)</f>
        <v>#REF!</v>
      </c>
      <c r="T232" t="str">
        <f>ROUND((P232+Q232)*0.7,-2)</f>
        <v>#REF!</v>
      </c>
      <c r="U232" t="str">
        <f>ROUND(SUM(P232+Q232+R232+S232), -2)</f>
        <v>#REF!</v>
      </c>
      <c r="V232" t="str">
        <f>ROUND(P232+Q232+R232+T232, -2)</f>
        <v>#REF!</v>
      </c>
      <c r="W232">
        <v>0</v>
      </c>
      <c r="X232" t="str">
        <f>U232*0.038</f>
        <v>#REF!</v>
      </c>
      <c r="Y232" t="str">
        <f>U232*0.02</f>
        <v>#REF!</v>
      </c>
      <c r="Z232" t="str">
        <f>V232*0.1</f>
        <v>#REF!</v>
      </c>
      <c r="AA232" t="str">
        <f>U232-X232-Y232</f>
        <v>#REF!</v>
      </c>
      <c r="AB232" t="str">
        <f>V232-Z232</f>
        <v>#REF!</v>
      </c>
      <c r="AC232" t="str">
        <f>AA232*0.01</f>
        <v>#REF!</v>
      </c>
      <c r="AD232" t="str">
        <f>AA232-P232-AC232-Q232</f>
        <v>#REF!</v>
      </c>
      <c r="AE232" t="str">
        <f>AB232-P232-Q232-AC232</f>
        <v>#REF!</v>
      </c>
      <c r="AF232" t="str">
        <f>AD232/U232</f>
        <v>#REF!</v>
      </c>
      <c r="AG232" t="str">
        <f>AE232/V232</f>
        <v>#REF!</v>
      </c>
    </row>
    <row r="233">
      <c r="G233" t="str">
        <v>A</v>
      </c>
      <c r="J233" t="str">
        <f>IF(K233&gt;0,K233*0.0625,IF(L233&gt;0,L233*2.204623,))</f>
        <v>#REF!</v>
      </c>
      <c r="K233" t="str">
        <f>IF(L233&gt;0,L233*35.273962,IF(J233&gt;0,J233*16,))</f>
        <v>#REF!</v>
      </c>
      <c r="L233" t="str">
        <f>IF(J233&gt;0,J233*0.453592,IF(K233&gt;0,K233*0.02835,))</f>
        <v>#REF!</v>
      </c>
      <c r="O233">
        <f>I233+N233+M233</f>
        <v>0</v>
      </c>
      <c r="P233">
        <f>O233*C$3</f>
        <v>0</v>
      </c>
      <c r="Q233" t="str">
        <f>ROUNDUP(HLOOKUP(IF(CEILING(L233,0.5)&lt;1,1,CEILING(L233,0.5)),'배송비 조회'!A$32:AY$36,2,0),-2)</f>
        <v>#REF!</v>
      </c>
      <c r="R233">
        <v>0</v>
      </c>
      <c r="S233" t="str">
        <f>ROUND((P233+Q233)*0.6,-2)</f>
        <v>#REF!</v>
      </c>
      <c r="T233" t="str">
        <f>ROUND((P233+Q233)*0.7,-2)</f>
        <v>#REF!</v>
      </c>
      <c r="U233" t="str">
        <f>ROUND(SUM(P233+Q233+R233+S233), -2)</f>
        <v>#REF!</v>
      </c>
      <c r="V233" t="str">
        <f>ROUND(P233+Q233+R233+T233, -2)</f>
        <v>#REF!</v>
      </c>
      <c r="W233">
        <v>0</v>
      </c>
      <c r="X233" t="str">
        <f>U233*0.038</f>
        <v>#REF!</v>
      </c>
      <c r="Y233" t="str">
        <f>U233*0.02</f>
        <v>#REF!</v>
      </c>
      <c r="Z233" t="str">
        <f>V233*0.1</f>
        <v>#REF!</v>
      </c>
      <c r="AA233" t="str">
        <f>U233-X233-Y233</f>
        <v>#REF!</v>
      </c>
      <c r="AB233" t="str">
        <f>V233-Z233</f>
        <v>#REF!</v>
      </c>
      <c r="AC233" t="str">
        <f>AA233*0.01</f>
        <v>#REF!</v>
      </c>
      <c r="AD233" t="str">
        <f>AA233-P233-AC233-Q233</f>
        <v>#REF!</v>
      </c>
      <c r="AE233" t="str">
        <f>AB233-P233-Q233-AC233</f>
        <v>#REF!</v>
      </c>
      <c r="AF233" t="str">
        <f>AD233/U233</f>
        <v>#REF!</v>
      </c>
      <c r="AG233" t="str">
        <f>AE233/V233</f>
        <v>#REF!</v>
      </c>
    </row>
    <row r="234">
      <c r="G234" t="str">
        <v>A</v>
      </c>
      <c r="J234" t="str">
        <f>IF(K234&gt;0,K234*0.0625,IF(L234&gt;0,L234*2.204623,))</f>
        <v>#REF!</v>
      </c>
      <c r="K234" t="str">
        <f>IF(L234&gt;0,L234*35.273962,IF(J234&gt;0,J234*16,))</f>
        <v>#REF!</v>
      </c>
      <c r="L234" t="str">
        <f>IF(J234&gt;0,J234*0.453592,IF(K234&gt;0,K234*0.02835,))</f>
        <v>#REF!</v>
      </c>
      <c r="O234">
        <f>I234+N234+M234</f>
        <v>0</v>
      </c>
      <c r="P234">
        <f>O234*C$3</f>
        <v>0</v>
      </c>
      <c r="Q234" t="str">
        <f>ROUNDUP(HLOOKUP(IF(CEILING(L234,0.5)&lt;1,1,CEILING(L234,0.5)),'배송비 조회'!A$32:AY$36,2,0),-2)</f>
        <v>#REF!</v>
      </c>
      <c r="R234">
        <v>0</v>
      </c>
      <c r="S234" t="str">
        <f>ROUND((P234+Q234)*0.6,-2)</f>
        <v>#REF!</v>
      </c>
      <c r="T234" t="str">
        <f>ROUND((P234+Q234)*0.7,-2)</f>
        <v>#REF!</v>
      </c>
      <c r="U234" t="str">
        <f>ROUND(SUM(P234+Q234+R234+S234), -2)</f>
        <v>#REF!</v>
      </c>
      <c r="V234" t="str">
        <f>ROUND(P234+Q234+R234+T234, -2)</f>
        <v>#REF!</v>
      </c>
      <c r="W234">
        <v>0</v>
      </c>
      <c r="X234" t="str">
        <f>U234*0.038</f>
        <v>#REF!</v>
      </c>
      <c r="Y234" t="str">
        <f>U234*0.02</f>
        <v>#REF!</v>
      </c>
      <c r="Z234" t="str">
        <f>V234*0.1</f>
        <v>#REF!</v>
      </c>
      <c r="AA234" t="str">
        <f>U234-X234-Y234</f>
        <v>#REF!</v>
      </c>
      <c r="AB234" t="str">
        <f>V234-Z234</f>
        <v>#REF!</v>
      </c>
      <c r="AC234" t="str">
        <f>AA234*0.01</f>
        <v>#REF!</v>
      </c>
      <c r="AD234" t="str">
        <f>AA234-P234-AC234-Q234</f>
        <v>#REF!</v>
      </c>
      <c r="AE234" t="str">
        <f>AB234-P234-Q234-AC234</f>
        <v>#REF!</v>
      </c>
      <c r="AF234" t="str">
        <f>AD234/U234</f>
        <v>#REF!</v>
      </c>
      <c r="AG234" t="str">
        <f>AE234/V234</f>
        <v>#REF!</v>
      </c>
    </row>
    <row r="235">
      <c r="G235" t="str">
        <v>A</v>
      </c>
      <c r="J235" t="str">
        <f>IF(K235&gt;0,K235*0.0625,IF(L235&gt;0,L235*2.204623,))</f>
        <v>#REF!</v>
      </c>
      <c r="K235" t="str">
        <f>IF(L235&gt;0,L235*35.273962,IF(J235&gt;0,J235*16,))</f>
        <v>#REF!</v>
      </c>
      <c r="L235" t="str">
        <f>IF(J235&gt;0,J235*0.453592,IF(K235&gt;0,K235*0.02835,))</f>
        <v>#REF!</v>
      </c>
      <c r="O235">
        <f>I235+N235+M235</f>
        <v>0</v>
      </c>
      <c r="P235">
        <f>O235*C$3</f>
        <v>0</v>
      </c>
      <c r="Q235" t="str">
        <f>ROUNDUP(HLOOKUP(IF(CEILING(L235,0.5)&lt;1,1,CEILING(L235,0.5)),'배송비 조회'!A$32:AY$36,2,0),-2)</f>
        <v>#REF!</v>
      </c>
      <c r="R235">
        <v>0</v>
      </c>
      <c r="S235" t="str">
        <f>ROUND((P235+Q235)*0.6,-2)</f>
        <v>#REF!</v>
      </c>
      <c r="T235" t="str">
        <f>ROUND((P235+Q235)*0.7,-2)</f>
        <v>#REF!</v>
      </c>
      <c r="U235" t="str">
        <f>ROUND(SUM(P235+Q235+R235+S235), -2)</f>
        <v>#REF!</v>
      </c>
      <c r="V235" t="str">
        <f>ROUND(P235+Q235+R235+T235, -2)</f>
        <v>#REF!</v>
      </c>
      <c r="W235">
        <v>0</v>
      </c>
      <c r="X235" t="str">
        <f>U235*0.038</f>
        <v>#REF!</v>
      </c>
      <c r="Y235" t="str">
        <f>U235*0.02</f>
        <v>#REF!</v>
      </c>
      <c r="Z235" t="str">
        <f>V235*0.1</f>
        <v>#REF!</v>
      </c>
      <c r="AA235" t="str">
        <f>U235-X235-Y235</f>
        <v>#REF!</v>
      </c>
      <c r="AB235" t="str">
        <f>V235-Z235</f>
        <v>#REF!</v>
      </c>
      <c r="AC235" t="str">
        <f>AA235*0.01</f>
        <v>#REF!</v>
      </c>
      <c r="AD235" t="str">
        <f>AA235-P235-AC235-Q235</f>
        <v>#REF!</v>
      </c>
      <c r="AE235" t="str">
        <f>AB235-P235-Q235-AC235</f>
        <v>#REF!</v>
      </c>
      <c r="AF235" t="str">
        <f>AD235/U235</f>
        <v>#REF!</v>
      </c>
      <c r="AG235" t="str">
        <f>AE235/V235</f>
        <v>#REF!</v>
      </c>
    </row>
    <row r="236">
      <c r="G236" t="str">
        <v>A</v>
      </c>
      <c r="J236" t="str">
        <f>IF(K236&gt;0,K236*0.0625,IF(L236&gt;0,L236*2.204623,))</f>
        <v>#REF!</v>
      </c>
      <c r="K236" t="str">
        <f>IF(L236&gt;0,L236*35.273962,IF(J236&gt;0,J236*16,))</f>
        <v>#REF!</v>
      </c>
      <c r="L236" t="str">
        <f>IF(J236&gt;0,J236*0.453592,IF(K236&gt;0,K236*0.02835,))</f>
        <v>#REF!</v>
      </c>
      <c r="O236">
        <f>I236+N236+M236</f>
        <v>0</v>
      </c>
      <c r="P236">
        <f>O236*C$3</f>
        <v>0</v>
      </c>
      <c r="Q236" t="str">
        <f>ROUNDUP(HLOOKUP(IF(CEILING(L236,0.5)&lt;1,1,CEILING(L236,0.5)),'배송비 조회'!A$32:AY$36,2,0),-2)</f>
        <v>#REF!</v>
      </c>
      <c r="R236">
        <v>0</v>
      </c>
      <c r="S236" t="str">
        <f>ROUND((P236+Q236)*0.6,-2)</f>
        <v>#REF!</v>
      </c>
      <c r="T236" t="str">
        <f>ROUND((P236+Q236)*0.7,-2)</f>
        <v>#REF!</v>
      </c>
      <c r="U236" t="str">
        <f>ROUND(SUM(P236+Q236+R236+S236), -2)</f>
        <v>#REF!</v>
      </c>
      <c r="V236" t="str">
        <f>ROUND(P236+Q236+R236+T236, -2)</f>
        <v>#REF!</v>
      </c>
      <c r="W236">
        <v>0</v>
      </c>
      <c r="X236" t="str">
        <f>U236*0.038</f>
        <v>#REF!</v>
      </c>
      <c r="Y236" t="str">
        <f>U236*0.02</f>
        <v>#REF!</v>
      </c>
      <c r="Z236" t="str">
        <f>V236*0.1</f>
        <v>#REF!</v>
      </c>
      <c r="AA236" t="str">
        <f>U236-X236-Y236</f>
        <v>#REF!</v>
      </c>
      <c r="AB236" t="str">
        <f>V236-Z236</f>
        <v>#REF!</v>
      </c>
      <c r="AC236" t="str">
        <f>AA236*0.01</f>
        <v>#REF!</v>
      </c>
      <c r="AD236" t="str">
        <f>AA236-P236-AC236-Q236</f>
        <v>#REF!</v>
      </c>
      <c r="AE236" t="str">
        <f>AB236-P236-Q236-AC236</f>
        <v>#REF!</v>
      </c>
      <c r="AF236" t="str">
        <f>AD236/U236</f>
        <v>#REF!</v>
      </c>
      <c r="AG236" t="str">
        <f>AE236/V236</f>
        <v>#REF!</v>
      </c>
    </row>
    <row r="237">
      <c r="G237" t="str">
        <v>A</v>
      </c>
      <c r="J237" t="str">
        <f>IF(K237&gt;0,K237*0.0625,IF(L237&gt;0,L237*2.204623,))</f>
        <v>#REF!</v>
      </c>
      <c r="K237" t="str">
        <f>IF(L237&gt;0,L237*35.273962,IF(J237&gt;0,J237*16,))</f>
        <v>#REF!</v>
      </c>
      <c r="L237" t="str">
        <f>IF(J237&gt;0,J237*0.453592,IF(K237&gt;0,K237*0.02835,))</f>
        <v>#REF!</v>
      </c>
      <c r="O237">
        <f>I237+N237+M237</f>
        <v>0</v>
      </c>
      <c r="P237">
        <f>O237*C$3</f>
        <v>0</v>
      </c>
      <c r="Q237" t="str">
        <f>ROUNDUP(HLOOKUP(IF(CEILING(L237,0.5)&lt;1,1,CEILING(L237,0.5)),'배송비 조회'!A$32:AY$36,2,0),-2)</f>
        <v>#REF!</v>
      </c>
      <c r="R237">
        <v>0</v>
      </c>
      <c r="S237" t="str">
        <f>ROUND((P237+Q237)*0.6,-2)</f>
        <v>#REF!</v>
      </c>
      <c r="T237" t="str">
        <f>ROUND((P237+Q237)*0.7,-2)</f>
        <v>#REF!</v>
      </c>
      <c r="U237" t="str">
        <f>ROUND(SUM(P237+Q237+R237+S237), -2)</f>
        <v>#REF!</v>
      </c>
      <c r="V237" t="str">
        <f>ROUND(P237+Q237+R237+T237, -2)</f>
        <v>#REF!</v>
      </c>
      <c r="W237">
        <v>0</v>
      </c>
      <c r="X237" t="str">
        <f>U237*0.038</f>
        <v>#REF!</v>
      </c>
      <c r="Y237" t="str">
        <f>U237*0.02</f>
        <v>#REF!</v>
      </c>
      <c r="Z237" t="str">
        <f>V237*0.1</f>
        <v>#REF!</v>
      </c>
      <c r="AA237" t="str">
        <f>U237-X237-Y237</f>
        <v>#REF!</v>
      </c>
      <c r="AB237" t="str">
        <f>V237-Z237</f>
        <v>#REF!</v>
      </c>
      <c r="AC237" t="str">
        <f>AA237*0.01</f>
        <v>#REF!</v>
      </c>
      <c r="AD237" t="str">
        <f>AA237-P237-AC237-Q237</f>
        <v>#REF!</v>
      </c>
      <c r="AE237" t="str">
        <f>AB237-P237-Q237-AC237</f>
        <v>#REF!</v>
      </c>
      <c r="AF237" t="str">
        <f>AD237/U237</f>
        <v>#REF!</v>
      </c>
      <c r="AG237" t="str">
        <f>AE237/V237</f>
        <v>#REF!</v>
      </c>
    </row>
    <row r="238">
      <c r="G238" t="str">
        <v>A</v>
      </c>
      <c r="J238" t="str">
        <f>IF(K238&gt;0,K238*0.0625,IF(L238&gt;0,L238*2.204623,))</f>
        <v>#REF!</v>
      </c>
      <c r="K238" t="str">
        <f>IF(L238&gt;0,L238*35.273962,IF(J238&gt;0,J238*16,))</f>
        <v>#REF!</v>
      </c>
      <c r="L238" t="str">
        <f>IF(J238&gt;0,J238*0.453592,IF(K238&gt;0,K238*0.02835,))</f>
        <v>#REF!</v>
      </c>
      <c r="O238">
        <f>I238+N238+M238</f>
        <v>0</v>
      </c>
      <c r="P238">
        <f>O238*C$3</f>
        <v>0</v>
      </c>
      <c r="Q238" t="str">
        <f>ROUNDUP(HLOOKUP(IF(CEILING(L238,0.5)&lt;1,1,CEILING(L238,0.5)),'배송비 조회'!A$32:AY$36,2,0),-2)</f>
        <v>#REF!</v>
      </c>
      <c r="R238">
        <v>0</v>
      </c>
      <c r="S238" t="str">
        <f>ROUND((P238+Q238)*0.6,-2)</f>
        <v>#REF!</v>
      </c>
      <c r="T238" t="str">
        <f>ROUND((P238+Q238)*0.7,-2)</f>
        <v>#REF!</v>
      </c>
      <c r="U238" t="str">
        <f>ROUND(SUM(P238+Q238+R238+S238), -2)</f>
        <v>#REF!</v>
      </c>
      <c r="V238" t="str">
        <f>ROUND(P238+Q238+R238+T238, -2)</f>
        <v>#REF!</v>
      </c>
      <c r="W238">
        <v>0</v>
      </c>
      <c r="X238" t="str">
        <f>U238*0.038</f>
        <v>#REF!</v>
      </c>
      <c r="Y238" t="str">
        <f>U238*0.02</f>
        <v>#REF!</v>
      </c>
      <c r="Z238" t="str">
        <f>V238*0.1</f>
        <v>#REF!</v>
      </c>
      <c r="AA238" t="str">
        <f>U238-X238-Y238</f>
        <v>#REF!</v>
      </c>
      <c r="AB238" t="str">
        <f>V238-Z238</f>
        <v>#REF!</v>
      </c>
      <c r="AC238" t="str">
        <f>AA238*0.01</f>
        <v>#REF!</v>
      </c>
      <c r="AD238" t="str">
        <f>AA238-P238-AC238-Q238</f>
        <v>#REF!</v>
      </c>
      <c r="AE238" t="str">
        <f>AB238-P238-Q238-AC238</f>
        <v>#REF!</v>
      </c>
      <c r="AF238" t="str">
        <f>AD238/U238</f>
        <v>#REF!</v>
      </c>
      <c r="AG238" t="str">
        <f>AE238/V238</f>
        <v>#REF!</v>
      </c>
    </row>
    <row r="239">
      <c r="G239" t="str">
        <v>A</v>
      </c>
      <c r="J239" t="str">
        <f>IF(K239&gt;0,K239*0.0625,IF(L239&gt;0,L239*2.204623,))</f>
        <v>#REF!</v>
      </c>
      <c r="K239" t="str">
        <f>IF(L239&gt;0,L239*35.273962,IF(J239&gt;0,J239*16,))</f>
        <v>#REF!</v>
      </c>
      <c r="L239" t="str">
        <f>IF(J239&gt;0,J239*0.453592,IF(K239&gt;0,K239*0.02835,))</f>
        <v>#REF!</v>
      </c>
      <c r="O239">
        <f>I239+N239+M239</f>
        <v>0</v>
      </c>
      <c r="P239">
        <f>O239*C$3</f>
        <v>0</v>
      </c>
      <c r="Q239" t="str">
        <f>ROUNDUP(HLOOKUP(IF(CEILING(L239,0.5)&lt;1,1,CEILING(L239,0.5)),'배송비 조회'!A$32:AY$36,2,0),-2)</f>
        <v>#REF!</v>
      </c>
      <c r="R239">
        <v>0</v>
      </c>
      <c r="S239" t="str">
        <f>ROUND((P239+Q239)*0.6,-2)</f>
        <v>#REF!</v>
      </c>
      <c r="T239" t="str">
        <f>ROUND((P239+Q239)*0.7,-2)</f>
        <v>#REF!</v>
      </c>
      <c r="U239" t="str">
        <f>ROUND(SUM(P239+Q239+R239+S239), -2)</f>
        <v>#REF!</v>
      </c>
      <c r="V239" t="str">
        <f>ROUND(P239+Q239+R239+T239, -2)</f>
        <v>#REF!</v>
      </c>
      <c r="W239">
        <v>0</v>
      </c>
      <c r="X239" t="str">
        <f>U239*0.038</f>
        <v>#REF!</v>
      </c>
      <c r="Y239" t="str">
        <f>U239*0.02</f>
        <v>#REF!</v>
      </c>
      <c r="Z239" t="str">
        <f>V239*0.1</f>
        <v>#REF!</v>
      </c>
      <c r="AA239" t="str">
        <f>U239-X239-Y239</f>
        <v>#REF!</v>
      </c>
      <c r="AB239" t="str">
        <f>V239-Z239</f>
        <v>#REF!</v>
      </c>
      <c r="AC239" t="str">
        <f>AA239*0.01</f>
        <v>#REF!</v>
      </c>
      <c r="AD239" t="str">
        <f>AA239-P239-AC239-Q239</f>
        <v>#REF!</v>
      </c>
      <c r="AE239" t="str">
        <f>AB239-P239-Q239-AC239</f>
        <v>#REF!</v>
      </c>
      <c r="AF239" t="str">
        <f>AD239/U239</f>
        <v>#REF!</v>
      </c>
      <c r="AG239" t="str">
        <f>AE239/V239</f>
        <v>#REF!</v>
      </c>
    </row>
    <row r="240">
      <c r="G240" t="str">
        <v>A</v>
      </c>
      <c r="J240" t="str">
        <f>IF(K240&gt;0,K240*0.0625,IF(L240&gt;0,L240*2.204623,))</f>
        <v>#REF!</v>
      </c>
      <c r="K240" t="str">
        <f>IF(L240&gt;0,L240*35.273962,IF(J240&gt;0,J240*16,))</f>
        <v>#REF!</v>
      </c>
      <c r="L240" t="str">
        <f>IF(J240&gt;0,J240*0.453592,IF(K240&gt;0,K240*0.02835,))</f>
        <v>#REF!</v>
      </c>
      <c r="O240">
        <f>I240+N240+M240</f>
        <v>0</v>
      </c>
      <c r="P240">
        <f>O240*C$3</f>
        <v>0</v>
      </c>
      <c r="Q240" t="str">
        <f>ROUNDUP(HLOOKUP(IF(CEILING(L240,0.5)&lt;1,1,CEILING(L240,0.5)),'배송비 조회'!A$32:AY$36,2,0),-2)</f>
        <v>#REF!</v>
      </c>
      <c r="R240">
        <v>0</v>
      </c>
      <c r="S240" t="str">
        <f>ROUND((P240+Q240)*0.6,-2)</f>
        <v>#REF!</v>
      </c>
      <c r="T240" t="str">
        <f>ROUND((P240+Q240)*0.7,-2)</f>
        <v>#REF!</v>
      </c>
      <c r="U240" t="str">
        <f>ROUND(SUM(P240+Q240+R240+S240), -2)</f>
        <v>#REF!</v>
      </c>
      <c r="V240" t="str">
        <f>ROUND(P240+Q240+R240+T240, -2)</f>
        <v>#REF!</v>
      </c>
      <c r="W240">
        <v>0</v>
      </c>
      <c r="X240" t="str">
        <f>U240*0.038</f>
        <v>#REF!</v>
      </c>
      <c r="Y240" t="str">
        <f>U240*0.02</f>
        <v>#REF!</v>
      </c>
      <c r="Z240" t="str">
        <f>V240*0.1</f>
        <v>#REF!</v>
      </c>
      <c r="AA240" t="str">
        <f>U240-X240-Y240</f>
        <v>#REF!</v>
      </c>
      <c r="AB240" t="str">
        <f>V240-Z240</f>
        <v>#REF!</v>
      </c>
      <c r="AC240" t="str">
        <f>AA240*0.01</f>
        <v>#REF!</v>
      </c>
      <c r="AD240" t="str">
        <f>AA240-P240-AC240-Q240</f>
        <v>#REF!</v>
      </c>
      <c r="AE240" t="str">
        <f>AB240-P240-Q240-AC240</f>
        <v>#REF!</v>
      </c>
      <c r="AF240" t="str">
        <f>AD240/U240</f>
        <v>#REF!</v>
      </c>
      <c r="AG240" t="str">
        <f>AE240/V240</f>
        <v>#REF!</v>
      </c>
    </row>
    <row r="241">
      <c r="G241" t="str">
        <v>A</v>
      </c>
      <c r="J241" t="str">
        <f>IF(K241&gt;0,K241*0.0625,IF(L241&gt;0,L241*2.204623,))</f>
        <v>#REF!</v>
      </c>
      <c r="K241" t="str">
        <f>IF(L241&gt;0,L241*35.273962,IF(J241&gt;0,J241*16,))</f>
        <v>#REF!</v>
      </c>
      <c r="L241" t="str">
        <f>IF(J241&gt;0,J241*0.453592,IF(K241&gt;0,K241*0.02835,))</f>
        <v>#REF!</v>
      </c>
      <c r="O241">
        <f>I241+N241+M241</f>
        <v>0</v>
      </c>
      <c r="P241">
        <f>O241*C$3</f>
        <v>0</v>
      </c>
      <c r="Q241" t="str">
        <f>ROUNDUP(HLOOKUP(IF(CEILING(L241,0.5)&lt;1,1,CEILING(L241,0.5)),'배송비 조회'!A$32:AY$36,2,0),-2)</f>
        <v>#REF!</v>
      </c>
      <c r="R241">
        <v>0</v>
      </c>
      <c r="S241" t="str">
        <f>ROUND((P241+Q241)*0.6,-2)</f>
        <v>#REF!</v>
      </c>
      <c r="T241" t="str">
        <f>ROUND((P241+Q241)*0.7,-2)</f>
        <v>#REF!</v>
      </c>
      <c r="U241" t="str">
        <f>ROUND(SUM(P241+Q241+R241+S241), -2)</f>
        <v>#REF!</v>
      </c>
      <c r="V241" t="str">
        <f>ROUND(P241+Q241+R241+T241, -2)</f>
        <v>#REF!</v>
      </c>
      <c r="W241">
        <v>0</v>
      </c>
      <c r="X241" t="str">
        <f>U241*0.038</f>
        <v>#REF!</v>
      </c>
      <c r="Y241" t="str">
        <f>U241*0.02</f>
        <v>#REF!</v>
      </c>
      <c r="Z241" t="str">
        <f>V241*0.1</f>
        <v>#REF!</v>
      </c>
      <c r="AA241" t="str">
        <f>U241-X241-Y241</f>
        <v>#REF!</v>
      </c>
      <c r="AB241" t="str">
        <f>V241-Z241</f>
        <v>#REF!</v>
      </c>
      <c r="AC241" t="str">
        <f>AA241*0.01</f>
        <v>#REF!</v>
      </c>
      <c r="AD241" t="str">
        <f>AA241-P241-AC241-Q241</f>
        <v>#REF!</v>
      </c>
      <c r="AE241" t="str">
        <f>AB241-P241-Q241-AC241</f>
        <v>#REF!</v>
      </c>
      <c r="AF241" t="str">
        <f>AD241/U241</f>
        <v>#REF!</v>
      </c>
      <c r="AG241" t="str">
        <f>AE241/V241</f>
        <v>#REF!</v>
      </c>
    </row>
    <row r="242">
      <c r="G242" t="str">
        <v>A</v>
      </c>
      <c r="J242" t="str">
        <f>IF(K242&gt;0,K242*0.0625,IF(L242&gt;0,L242*2.204623,))</f>
        <v>#REF!</v>
      </c>
      <c r="K242" t="str">
        <f>IF(L242&gt;0,L242*35.273962,IF(J242&gt;0,J242*16,))</f>
        <v>#REF!</v>
      </c>
      <c r="L242" t="str">
        <f>IF(J242&gt;0,J242*0.453592,IF(K242&gt;0,K242*0.02835,))</f>
        <v>#REF!</v>
      </c>
      <c r="O242">
        <f>I242+N242+M242</f>
        <v>0</v>
      </c>
      <c r="P242">
        <f>O242*C$3</f>
        <v>0</v>
      </c>
      <c r="Q242" t="str">
        <f>ROUNDUP(HLOOKUP(IF(CEILING(L242,0.5)&lt;1,1,CEILING(L242,0.5)),'배송비 조회'!A$32:AY$36,2,0),-2)</f>
        <v>#REF!</v>
      </c>
      <c r="R242">
        <v>0</v>
      </c>
      <c r="S242" t="str">
        <f>ROUND((P242+Q242)*0.6,-2)</f>
        <v>#REF!</v>
      </c>
      <c r="T242" t="str">
        <f>ROUND((P242+Q242)*0.7,-2)</f>
        <v>#REF!</v>
      </c>
      <c r="U242" t="str">
        <f>ROUND(SUM(P242+Q242+R242+S242), -2)</f>
        <v>#REF!</v>
      </c>
      <c r="V242" t="str">
        <f>ROUND(P242+Q242+R242+T242, -2)</f>
        <v>#REF!</v>
      </c>
      <c r="W242">
        <v>0</v>
      </c>
      <c r="X242" t="str">
        <f>U242*0.038</f>
        <v>#REF!</v>
      </c>
      <c r="Y242" t="str">
        <f>U242*0.02</f>
        <v>#REF!</v>
      </c>
      <c r="Z242" t="str">
        <f>V242*0.1</f>
        <v>#REF!</v>
      </c>
      <c r="AA242" t="str">
        <f>U242-X242-Y242</f>
        <v>#REF!</v>
      </c>
      <c r="AB242" t="str">
        <f>V242-Z242</f>
        <v>#REF!</v>
      </c>
      <c r="AC242" t="str">
        <f>AA242*0.01</f>
        <v>#REF!</v>
      </c>
      <c r="AD242" t="str">
        <f>AA242-P242-AC242-Q242</f>
        <v>#REF!</v>
      </c>
      <c r="AE242" t="str">
        <f>AB242-P242-Q242-AC242</f>
        <v>#REF!</v>
      </c>
      <c r="AF242" t="str">
        <f>AD242/U242</f>
        <v>#REF!</v>
      </c>
      <c r="AG242" t="str">
        <f>AE242/V242</f>
        <v>#REF!</v>
      </c>
    </row>
    <row r="243">
      <c r="G243" t="str">
        <v>A</v>
      </c>
      <c r="J243" t="str">
        <f>IF(K243&gt;0,K243*0.0625,IF(L243&gt;0,L243*2.204623,))</f>
        <v>#REF!</v>
      </c>
      <c r="K243" t="str">
        <f>IF(L243&gt;0,L243*35.273962,IF(J243&gt;0,J243*16,))</f>
        <v>#REF!</v>
      </c>
      <c r="L243" t="str">
        <f>IF(J243&gt;0,J243*0.453592,IF(K243&gt;0,K243*0.02835,))</f>
        <v>#REF!</v>
      </c>
      <c r="O243">
        <f>I243+N243+M243</f>
        <v>0</v>
      </c>
      <c r="P243">
        <f>O243*C$3</f>
        <v>0</v>
      </c>
      <c r="Q243" t="str">
        <f>ROUNDUP(HLOOKUP(IF(CEILING(L243,0.5)&lt;1,1,CEILING(L243,0.5)),'배송비 조회'!A$32:AY$36,2,0),-2)</f>
        <v>#REF!</v>
      </c>
      <c r="R243">
        <v>0</v>
      </c>
      <c r="S243" t="str">
        <f>ROUND((P243+Q243)*0.6,-2)</f>
        <v>#REF!</v>
      </c>
      <c r="T243" t="str">
        <f>ROUND((P243+Q243)*0.7,-2)</f>
        <v>#REF!</v>
      </c>
      <c r="U243" t="str">
        <f>ROUND(SUM(P243+Q243+R243+S243), -2)</f>
        <v>#REF!</v>
      </c>
      <c r="V243" t="str">
        <f>ROUND(P243+Q243+R243+T243, -2)</f>
        <v>#REF!</v>
      </c>
      <c r="W243">
        <v>0</v>
      </c>
      <c r="X243" t="str">
        <f>U243*0.038</f>
        <v>#REF!</v>
      </c>
      <c r="Y243" t="str">
        <f>U243*0.02</f>
        <v>#REF!</v>
      </c>
      <c r="Z243" t="str">
        <f>V243*0.1</f>
        <v>#REF!</v>
      </c>
      <c r="AA243" t="str">
        <f>U243-X243-Y243</f>
        <v>#REF!</v>
      </c>
      <c r="AB243" t="str">
        <f>V243-Z243</f>
        <v>#REF!</v>
      </c>
      <c r="AC243" t="str">
        <f>AA243*0.01</f>
        <v>#REF!</v>
      </c>
      <c r="AD243" t="str">
        <f>AA243-P243-AC243-Q243</f>
        <v>#REF!</v>
      </c>
      <c r="AE243" t="str">
        <f>AB243-P243-Q243-AC243</f>
        <v>#REF!</v>
      </c>
      <c r="AF243" t="str">
        <f>AD243/U243</f>
        <v>#REF!</v>
      </c>
      <c r="AG243" t="str">
        <f>AE243/V243</f>
        <v>#REF!</v>
      </c>
    </row>
    <row r="244">
      <c r="G244" t="str">
        <v>A</v>
      </c>
      <c r="J244" t="str">
        <f>IF(K244&gt;0,K244*0.0625,IF(L244&gt;0,L244*2.204623,))</f>
        <v>#REF!</v>
      </c>
      <c r="K244" t="str">
        <f>IF(L244&gt;0,L244*35.273962,IF(J244&gt;0,J244*16,))</f>
        <v>#REF!</v>
      </c>
      <c r="L244" t="str">
        <f>IF(J244&gt;0,J244*0.453592,IF(K244&gt;0,K244*0.02835,))</f>
        <v>#REF!</v>
      </c>
      <c r="O244">
        <f>I244+N244+M244</f>
        <v>0</v>
      </c>
      <c r="P244">
        <f>O244*C$3</f>
        <v>0</v>
      </c>
      <c r="Q244" t="str">
        <f>ROUNDUP(HLOOKUP(IF(CEILING(L244,0.5)&lt;1,1,CEILING(L244,0.5)),'배송비 조회'!A$32:AY$36,2,0),-2)</f>
        <v>#REF!</v>
      </c>
      <c r="R244">
        <v>0</v>
      </c>
      <c r="S244" t="str">
        <f>ROUND((P244+Q244)*0.6,-2)</f>
        <v>#REF!</v>
      </c>
      <c r="T244" t="str">
        <f>ROUND((P244+Q244)*0.7,-2)</f>
        <v>#REF!</v>
      </c>
      <c r="U244" t="str">
        <f>ROUND(SUM(P244+Q244+R244+S244), -2)</f>
        <v>#REF!</v>
      </c>
      <c r="V244" t="str">
        <f>ROUND(P244+Q244+R244+T244, -2)</f>
        <v>#REF!</v>
      </c>
      <c r="W244">
        <v>0</v>
      </c>
      <c r="X244" t="str">
        <f>U244*0.038</f>
        <v>#REF!</v>
      </c>
      <c r="Y244" t="str">
        <f>U244*0.02</f>
        <v>#REF!</v>
      </c>
      <c r="Z244" t="str">
        <f>V244*0.1</f>
        <v>#REF!</v>
      </c>
      <c r="AA244" t="str">
        <f>U244-X244-Y244</f>
        <v>#REF!</v>
      </c>
      <c r="AB244" t="str">
        <f>V244-Z244</f>
        <v>#REF!</v>
      </c>
      <c r="AC244" t="str">
        <f>AA244*0.01</f>
        <v>#REF!</v>
      </c>
      <c r="AD244" t="str">
        <f>AA244-P244-AC244-Q244</f>
        <v>#REF!</v>
      </c>
      <c r="AE244" t="str">
        <f>AB244-P244-Q244-AC244</f>
        <v>#REF!</v>
      </c>
      <c r="AF244" t="str">
        <f>AD244/U244</f>
        <v>#REF!</v>
      </c>
      <c r="AG244" t="str">
        <f>AE244/V244</f>
        <v>#REF!</v>
      </c>
    </row>
    <row r="245">
      <c r="G245" t="str">
        <v>A</v>
      </c>
      <c r="J245" t="str">
        <f>IF(K245&gt;0,K245*0.0625,IF(L245&gt;0,L245*2.204623,))</f>
        <v>#REF!</v>
      </c>
      <c r="K245" t="str">
        <f>IF(L245&gt;0,L245*35.273962,IF(J245&gt;0,J245*16,))</f>
        <v>#REF!</v>
      </c>
      <c r="L245" t="str">
        <f>IF(J245&gt;0,J245*0.453592,IF(K245&gt;0,K245*0.02835,))</f>
        <v>#REF!</v>
      </c>
      <c r="O245">
        <f>I245+N245+M245</f>
        <v>0</v>
      </c>
      <c r="P245">
        <f>O245*C$3</f>
        <v>0</v>
      </c>
      <c r="Q245" t="str">
        <f>ROUNDUP(HLOOKUP(IF(CEILING(L245,0.5)&lt;1,1,CEILING(L245,0.5)),'배송비 조회'!A$32:AY$36,2,0),-2)</f>
        <v>#REF!</v>
      </c>
      <c r="R245">
        <v>0</v>
      </c>
      <c r="S245" t="str">
        <f>ROUND((P245+Q245)*0.6,-2)</f>
        <v>#REF!</v>
      </c>
      <c r="T245" t="str">
        <f>ROUND((P245+Q245)*0.7,-2)</f>
        <v>#REF!</v>
      </c>
      <c r="U245" t="str">
        <f>ROUND(SUM(P245+Q245+R245+S245), -2)</f>
        <v>#REF!</v>
      </c>
      <c r="V245" t="str">
        <f>ROUND(P245+Q245+R245+T245, -2)</f>
        <v>#REF!</v>
      </c>
      <c r="W245">
        <v>0</v>
      </c>
      <c r="X245" t="str">
        <f>U245*0.038</f>
        <v>#REF!</v>
      </c>
      <c r="Y245" t="str">
        <f>U245*0.02</f>
        <v>#REF!</v>
      </c>
      <c r="Z245" t="str">
        <f>V245*0.1</f>
        <v>#REF!</v>
      </c>
      <c r="AA245" t="str">
        <f>U245-X245-Y245</f>
        <v>#REF!</v>
      </c>
      <c r="AB245" t="str">
        <f>V245-Z245</f>
        <v>#REF!</v>
      </c>
      <c r="AC245" t="str">
        <f>AA245*0.01</f>
        <v>#REF!</v>
      </c>
      <c r="AD245" t="str">
        <f>AA245-P245-AC245-Q245</f>
        <v>#REF!</v>
      </c>
      <c r="AE245" t="str">
        <f>AB245-P245-Q245-AC245</f>
        <v>#REF!</v>
      </c>
      <c r="AF245" t="str">
        <f>AD245/U245</f>
        <v>#REF!</v>
      </c>
      <c r="AG245" t="str">
        <f>AE245/V245</f>
        <v>#REF!</v>
      </c>
    </row>
    <row r="246">
      <c r="G246" t="str">
        <v>A</v>
      </c>
      <c r="J246" t="str">
        <f>IF(K246&gt;0,K246*0.0625,IF(L246&gt;0,L246*2.204623,))</f>
        <v>#REF!</v>
      </c>
      <c r="K246" t="str">
        <f>IF(L246&gt;0,L246*35.273962,IF(J246&gt;0,J246*16,))</f>
        <v>#REF!</v>
      </c>
      <c r="L246" t="str">
        <f>IF(J246&gt;0,J246*0.453592,IF(K246&gt;0,K246*0.02835,))</f>
        <v>#REF!</v>
      </c>
      <c r="O246">
        <f>I246+N246+M246</f>
        <v>0</v>
      </c>
      <c r="P246">
        <f>O246*C$3</f>
        <v>0</v>
      </c>
      <c r="Q246" t="str">
        <f>ROUNDUP(HLOOKUP(IF(CEILING(L246,0.5)&lt;1,1,CEILING(L246,0.5)),'배송비 조회'!A$32:AY$36,2,0),-2)</f>
        <v>#REF!</v>
      </c>
      <c r="R246">
        <v>0</v>
      </c>
      <c r="S246" t="str">
        <f>ROUND((P246+Q246)*0.6,-2)</f>
        <v>#REF!</v>
      </c>
      <c r="T246" t="str">
        <f>ROUND((P246+Q246)*0.7,-2)</f>
        <v>#REF!</v>
      </c>
      <c r="U246" t="str">
        <f>ROUND(SUM(P246+Q246+R246+S246), -2)</f>
        <v>#REF!</v>
      </c>
      <c r="V246" t="str">
        <f>ROUND(P246+Q246+R246+T246, -2)</f>
        <v>#REF!</v>
      </c>
      <c r="W246">
        <v>0</v>
      </c>
      <c r="X246" t="str">
        <f>U246*0.038</f>
        <v>#REF!</v>
      </c>
      <c r="Y246" t="str">
        <f>U246*0.02</f>
        <v>#REF!</v>
      </c>
      <c r="Z246" t="str">
        <f>V246*0.1</f>
        <v>#REF!</v>
      </c>
      <c r="AA246" t="str">
        <f>U246-X246-Y246</f>
        <v>#REF!</v>
      </c>
      <c r="AB246" t="str">
        <f>V246-Z246</f>
        <v>#REF!</v>
      </c>
      <c r="AC246" t="str">
        <f>AA246*0.01</f>
        <v>#REF!</v>
      </c>
      <c r="AD246" t="str">
        <f>AA246-P246-AC246-Q246</f>
        <v>#REF!</v>
      </c>
      <c r="AE246" t="str">
        <f>AB246-P246-Q246-AC246</f>
        <v>#REF!</v>
      </c>
      <c r="AF246" t="str">
        <f>AD246/U246</f>
        <v>#REF!</v>
      </c>
      <c r="AG246" t="str">
        <f>AE246/V246</f>
        <v>#REF!</v>
      </c>
    </row>
    <row r="247">
      <c r="G247" t="str">
        <v>A</v>
      </c>
      <c r="J247" t="str">
        <f>IF(K247&gt;0,K247*0.0625,IF(L247&gt;0,L247*2.204623,))</f>
        <v>#REF!</v>
      </c>
      <c r="K247" t="str">
        <f>IF(L247&gt;0,L247*35.273962,IF(J247&gt;0,J247*16,))</f>
        <v>#REF!</v>
      </c>
      <c r="L247" t="str">
        <f>IF(J247&gt;0,J247*0.453592,IF(K247&gt;0,K247*0.02835,))</f>
        <v>#REF!</v>
      </c>
      <c r="O247">
        <f>I247+N247+M247</f>
        <v>0</v>
      </c>
      <c r="P247">
        <f>O247*C$3</f>
        <v>0</v>
      </c>
      <c r="Q247" t="str">
        <f>ROUNDUP(HLOOKUP(IF(CEILING(L247,0.5)&lt;1,1,CEILING(L247,0.5)),'배송비 조회'!A$32:AY$36,2,0),-2)</f>
        <v>#REF!</v>
      </c>
      <c r="R247">
        <v>0</v>
      </c>
      <c r="S247" t="str">
        <f>ROUND((P247+Q247)*0.6,-2)</f>
        <v>#REF!</v>
      </c>
      <c r="T247" t="str">
        <f>ROUND((P247+Q247)*0.7,-2)</f>
        <v>#REF!</v>
      </c>
      <c r="U247" t="str">
        <f>ROUND(SUM(P247+Q247+R247+S247), -2)</f>
        <v>#REF!</v>
      </c>
      <c r="V247" t="str">
        <f>ROUND(P247+Q247+R247+T247, -2)</f>
        <v>#REF!</v>
      </c>
      <c r="W247">
        <v>0</v>
      </c>
      <c r="X247" t="str">
        <f>U247*0.038</f>
        <v>#REF!</v>
      </c>
      <c r="Y247" t="str">
        <f>U247*0.02</f>
        <v>#REF!</v>
      </c>
      <c r="Z247" t="str">
        <f>V247*0.1</f>
        <v>#REF!</v>
      </c>
      <c r="AA247" t="str">
        <f>U247-X247-Y247</f>
        <v>#REF!</v>
      </c>
      <c r="AB247" t="str">
        <f>V247-Z247</f>
        <v>#REF!</v>
      </c>
      <c r="AC247" t="str">
        <f>AA247*0.01</f>
        <v>#REF!</v>
      </c>
      <c r="AD247" t="str">
        <f>AA247-P247-AC247-Q247</f>
        <v>#REF!</v>
      </c>
      <c r="AE247" t="str">
        <f>AB247-P247-Q247-AC247</f>
        <v>#REF!</v>
      </c>
      <c r="AF247" t="str">
        <f>AD247/U247</f>
        <v>#REF!</v>
      </c>
      <c r="AG247" t="str">
        <f>AE247/V247</f>
        <v>#REF!</v>
      </c>
    </row>
    <row r="248">
      <c r="G248" t="str">
        <v>A</v>
      </c>
      <c r="J248" t="str">
        <f>IF(K248&gt;0,K248*0.0625,IF(L248&gt;0,L248*2.204623,))</f>
        <v>#REF!</v>
      </c>
      <c r="K248" t="str">
        <f>IF(L248&gt;0,L248*35.273962,IF(J248&gt;0,J248*16,))</f>
        <v>#REF!</v>
      </c>
      <c r="L248" t="str">
        <f>IF(J248&gt;0,J248*0.453592,IF(K248&gt;0,K248*0.02835,))</f>
        <v>#REF!</v>
      </c>
      <c r="O248">
        <f>I248+N248+M248</f>
        <v>0</v>
      </c>
      <c r="P248">
        <f>O248*C$3</f>
        <v>0</v>
      </c>
      <c r="Q248" t="str">
        <f>ROUNDUP(HLOOKUP(IF(CEILING(L248,0.5)&lt;1,1,CEILING(L248,0.5)),'배송비 조회'!A$32:AY$36,2,0),-2)</f>
        <v>#REF!</v>
      </c>
      <c r="R248">
        <v>0</v>
      </c>
      <c r="S248" t="str">
        <f>ROUND((P248+Q248)*0.6,-2)</f>
        <v>#REF!</v>
      </c>
      <c r="T248" t="str">
        <f>ROUND((P248+Q248)*0.7,-2)</f>
        <v>#REF!</v>
      </c>
      <c r="U248" t="str">
        <f>ROUND(SUM(P248+Q248+R248+S248), -2)</f>
        <v>#REF!</v>
      </c>
      <c r="V248" t="str">
        <f>ROUND(P248+Q248+R248+T248, -2)</f>
        <v>#REF!</v>
      </c>
      <c r="W248">
        <v>0</v>
      </c>
      <c r="X248" t="str">
        <f>U248*0.038</f>
        <v>#REF!</v>
      </c>
      <c r="Y248" t="str">
        <f>U248*0.02</f>
        <v>#REF!</v>
      </c>
      <c r="Z248" t="str">
        <f>V248*0.1</f>
        <v>#REF!</v>
      </c>
      <c r="AA248" t="str">
        <f>U248-X248-Y248</f>
        <v>#REF!</v>
      </c>
      <c r="AB248" t="str">
        <f>V248-Z248</f>
        <v>#REF!</v>
      </c>
      <c r="AC248" t="str">
        <f>AA248*0.01</f>
        <v>#REF!</v>
      </c>
      <c r="AD248" t="str">
        <f>AA248-P248-AC248-Q248</f>
        <v>#REF!</v>
      </c>
      <c r="AE248" t="str">
        <f>AB248-P248-Q248-AC248</f>
        <v>#REF!</v>
      </c>
      <c r="AF248" t="str">
        <f>AD248/U248</f>
        <v>#REF!</v>
      </c>
      <c r="AG248" t="str">
        <f>AE248/V248</f>
        <v>#REF!</v>
      </c>
    </row>
    <row r="249">
      <c r="G249" t="str">
        <v>A</v>
      </c>
      <c r="J249" t="str">
        <f>IF(K249&gt;0,K249*0.0625,IF(L249&gt;0,L249*2.204623,))</f>
        <v>#REF!</v>
      </c>
      <c r="K249" t="str">
        <f>IF(L249&gt;0,L249*35.273962,IF(J249&gt;0,J249*16,))</f>
        <v>#REF!</v>
      </c>
      <c r="L249" t="str">
        <f>IF(J249&gt;0,J249*0.453592,IF(K249&gt;0,K249*0.02835,))</f>
        <v>#REF!</v>
      </c>
      <c r="O249">
        <f>I249+N249+M249</f>
        <v>0</v>
      </c>
      <c r="P249">
        <f>O249*C$3</f>
        <v>0</v>
      </c>
      <c r="Q249" t="str">
        <f>ROUNDUP(HLOOKUP(IF(CEILING(L249,0.5)&lt;1,1,CEILING(L249,0.5)),'배송비 조회'!A$32:AY$36,2,0),-2)</f>
        <v>#REF!</v>
      </c>
      <c r="R249">
        <v>0</v>
      </c>
      <c r="S249" t="str">
        <f>ROUND((P249+Q249)*0.6,-2)</f>
        <v>#REF!</v>
      </c>
      <c r="T249" t="str">
        <f>ROUND((P249+Q249)*0.7,-2)</f>
        <v>#REF!</v>
      </c>
      <c r="U249" t="str">
        <f>ROUND(SUM(P249+Q249+R249+S249), -2)</f>
        <v>#REF!</v>
      </c>
      <c r="V249" t="str">
        <f>ROUND(P249+Q249+R249+T249, -2)</f>
        <v>#REF!</v>
      </c>
      <c r="W249">
        <v>0</v>
      </c>
      <c r="X249" t="str">
        <f>U249*0.038</f>
        <v>#REF!</v>
      </c>
      <c r="Y249" t="str">
        <f>U249*0.02</f>
        <v>#REF!</v>
      </c>
      <c r="Z249" t="str">
        <f>V249*0.1</f>
        <v>#REF!</v>
      </c>
      <c r="AA249" t="str">
        <f>U249-X249-Y249</f>
        <v>#REF!</v>
      </c>
      <c r="AB249" t="str">
        <f>V249-Z249</f>
        <v>#REF!</v>
      </c>
      <c r="AC249" t="str">
        <f>AA249*0.01</f>
        <v>#REF!</v>
      </c>
      <c r="AD249" t="str">
        <f>AA249-P249-AC249-Q249</f>
        <v>#REF!</v>
      </c>
      <c r="AE249" t="str">
        <f>AB249-P249-Q249-AC249</f>
        <v>#REF!</v>
      </c>
      <c r="AF249" t="str">
        <f>AD249/U249</f>
        <v>#REF!</v>
      </c>
      <c r="AG249" t="str">
        <f>AE249/V249</f>
        <v>#REF!</v>
      </c>
    </row>
    <row r="250">
      <c r="G250" t="str">
        <v>A</v>
      </c>
      <c r="J250" t="str">
        <f>IF(K250&gt;0,K250*0.0625,IF(L250&gt;0,L250*2.204623,))</f>
        <v>#REF!</v>
      </c>
      <c r="K250" t="str">
        <f>IF(L250&gt;0,L250*35.273962,IF(J250&gt;0,J250*16,))</f>
        <v>#REF!</v>
      </c>
      <c r="L250" t="str">
        <f>IF(J250&gt;0,J250*0.453592,IF(K250&gt;0,K250*0.02835,))</f>
        <v>#REF!</v>
      </c>
      <c r="O250">
        <f>I250+N250+M250</f>
        <v>0</v>
      </c>
      <c r="P250">
        <f>O250*C$3</f>
        <v>0</v>
      </c>
      <c r="Q250" t="str">
        <f>ROUNDUP(HLOOKUP(IF(CEILING(L250,0.5)&lt;1,1,CEILING(L250,0.5)),'배송비 조회'!A$32:AY$36,2,0),-2)</f>
        <v>#REF!</v>
      </c>
      <c r="R250">
        <v>0</v>
      </c>
      <c r="S250" t="str">
        <f>ROUND((P250+Q250)*0.6,-2)</f>
        <v>#REF!</v>
      </c>
      <c r="T250" t="str">
        <f>ROUND((P250+Q250)*0.7,-2)</f>
        <v>#REF!</v>
      </c>
      <c r="U250" t="str">
        <f>ROUND(SUM(P250+Q250+R250+S250), -2)</f>
        <v>#REF!</v>
      </c>
      <c r="V250" t="str">
        <f>ROUND(P250+Q250+R250+T250, -2)</f>
        <v>#REF!</v>
      </c>
      <c r="W250">
        <v>0</v>
      </c>
      <c r="X250" t="str">
        <f>U250*0.038</f>
        <v>#REF!</v>
      </c>
      <c r="Y250" t="str">
        <f>U250*0.02</f>
        <v>#REF!</v>
      </c>
      <c r="Z250" t="str">
        <f>V250*0.1</f>
        <v>#REF!</v>
      </c>
      <c r="AA250" t="str">
        <f>U250-X250-Y250</f>
        <v>#REF!</v>
      </c>
      <c r="AB250" t="str">
        <f>V250-Z250</f>
        <v>#REF!</v>
      </c>
      <c r="AC250" t="str">
        <f>AA250*0.01</f>
        <v>#REF!</v>
      </c>
      <c r="AD250" t="str">
        <f>AA250-P250-AC250-Q250</f>
        <v>#REF!</v>
      </c>
      <c r="AE250" t="str">
        <f>AB250-P250-Q250-AC250</f>
        <v>#REF!</v>
      </c>
      <c r="AF250" t="str">
        <f>AD250/U250</f>
        <v>#REF!</v>
      </c>
      <c r="AG250" t="str">
        <f>AE250/V250</f>
        <v>#REF!</v>
      </c>
    </row>
    <row r="251">
      <c r="G251" t="str">
        <v>A</v>
      </c>
      <c r="J251" t="str">
        <f>IF(K251&gt;0,K251*0.0625,IF(L251&gt;0,L251*2.204623,))</f>
        <v>#REF!</v>
      </c>
      <c r="K251" t="str">
        <f>IF(L251&gt;0,L251*35.273962,IF(J251&gt;0,J251*16,))</f>
        <v>#REF!</v>
      </c>
      <c r="L251" t="str">
        <f>IF(J251&gt;0,J251*0.453592,IF(K251&gt;0,K251*0.02835,))</f>
        <v>#REF!</v>
      </c>
      <c r="O251">
        <f>I251+N251+M251</f>
        <v>0</v>
      </c>
      <c r="P251">
        <f>O251*C$3</f>
        <v>0</v>
      </c>
      <c r="Q251" t="str">
        <f>ROUNDUP(HLOOKUP(IF(CEILING(L251,0.5)&lt;1,1,CEILING(L251,0.5)),'배송비 조회'!A$32:AY$36,2,0),-2)</f>
        <v>#REF!</v>
      </c>
      <c r="R251">
        <v>0</v>
      </c>
      <c r="S251" t="str">
        <f>ROUND((P251+Q251)*0.6,-2)</f>
        <v>#REF!</v>
      </c>
      <c r="T251" t="str">
        <f>ROUND((P251+Q251)*0.7,-2)</f>
        <v>#REF!</v>
      </c>
      <c r="U251" t="str">
        <f>ROUND(SUM(P251+Q251+R251+S251), -2)</f>
        <v>#REF!</v>
      </c>
      <c r="V251" t="str">
        <f>ROUND(P251+Q251+R251+T251, -2)</f>
        <v>#REF!</v>
      </c>
      <c r="W251">
        <v>0</v>
      </c>
      <c r="X251" t="str">
        <f>U251*0.038</f>
        <v>#REF!</v>
      </c>
      <c r="Y251" t="str">
        <f>U251*0.02</f>
        <v>#REF!</v>
      </c>
      <c r="Z251" t="str">
        <f>V251*0.1</f>
        <v>#REF!</v>
      </c>
      <c r="AA251" t="str">
        <f>U251-X251-Y251</f>
        <v>#REF!</v>
      </c>
      <c r="AB251" t="str">
        <f>V251-Z251</f>
        <v>#REF!</v>
      </c>
      <c r="AC251" t="str">
        <f>AA251*0.01</f>
        <v>#REF!</v>
      </c>
      <c r="AD251" t="str">
        <f>AA251-P251-AC251-Q251</f>
        <v>#REF!</v>
      </c>
      <c r="AE251" t="str">
        <f>AB251-P251-Q251-AC251</f>
        <v>#REF!</v>
      </c>
      <c r="AF251" t="str">
        <f>AD251/U251</f>
        <v>#REF!</v>
      </c>
      <c r="AG251" t="str">
        <f>AE251/V251</f>
        <v>#REF!</v>
      </c>
    </row>
    <row r="252">
      <c r="G252" t="str">
        <v>A</v>
      </c>
      <c r="J252" t="str">
        <f>IF(K252&gt;0,K252*0.0625,IF(L252&gt;0,L252*2.204623,))</f>
        <v>#REF!</v>
      </c>
      <c r="K252" t="str">
        <f>IF(L252&gt;0,L252*35.273962,IF(J252&gt;0,J252*16,))</f>
        <v>#REF!</v>
      </c>
      <c r="L252" t="str">
        <f>IF(J252&gt;0,J252*0.453592,IF(K252&gt;0,K252*0.02835,))</f>
        <v>#REF!</v>
      </c>
      <c r="O252">
        <f>I252+N252+M252</f>
        <v>0</v>
      </c>
      <c r="P252">
        <f>O252*C$3</f>
        <v>0</v>
      </c>
      <c r="Q252" t="str">
        <f>ROUNDUP(HLOOKUP(IF(CEILING(L252,0.5)&lt;1,1,CEILING(L252,0.5)),'배송비 조회'!A$32:AY$36,2,0),-2)</f>
        <v>#REF!</v>
      </c>
      <c r="R252">
        <v>0</v>
      </c>
      <c r="S252" t="str">
        <f>ROUND((P252+Q252)*0.6,-2)</f>
        <v>#REF!</v>
      </c>
      <c r="T252" t="str">
        <f>ROUND((P252+Q252)*0.7,-2)</f>
        <v>#REF!</v>
      </c>
      <c r="U252" t="str">
        <f>ROUND(SUM(P252+Q252+R252+S252), -2)</f>
        <v>#REF!</v>
      </c>
      <c r="V252" t="str">
        <f>ROUND(P252+Q252+R252+T252, -2)</f>
        <v>#REF!</v>
      </c>
      <c r="W252">
        <v>0</v>
      </c>
      <c r="X252" t="str">
        <f>U252*0.038</f>
        <v>#REF!</v>
      </c>
      <c r="Y252" t="str">
        <f>U252*0.02</f>
        <v>#REF!</v>
      </c>
      <c r="Z252" t="str">
        <f>V252*0.1</f>
        <v>#REF!</v>
      </c>
      <c r="AA252" t="str">
        <f>U252-X252-Y252</f>
        <v>#REF!</v>
      </c>
      <c r="AB252" t="str">
        <f>V252-Z252</f>
        <v>#REF!</v>
      </c>
      <c r="AC252" t="str">
        <f>AA252*0.01</f>
        <v>#REF!</v>
      </c>
      <c r="AD252" t="str">
        <f>AA252-P252-AC252-Q252</f>
        <v>#REF!</v>
      </c>
      <c r="AE252" t="str">
        <f>AB252-P252-Q252-AC252</f>
        <v>#REF!</v>
      </c>
      <c r="AF252" t="str">
        <f>AD252/U252</f>
        <v>#REF!</v>
      </c>
      <c r="AG252" t="str">
        <f>AE252/V252</f>
        <v>#REF!</v>
      </c>
    </row>
    <row r="253">
      <c r="G253" t="str">
        <v>A</v>
      </c>
      <c r="J253" t="str">
        <f>IF(K253&gt;0,K253*0.0625,IF(L253&gt;0,L253*2.204623,))</f>
        <v>#REF!</v>
      </c>
      <c r="K253" t="str">
        <f>IF(L253&gt;0,L253*35.273962,IF(J253&gt;0,J253*16,))</f>
        <v>#REF!</v>
      </c>
      <c r="L253" t="str">
        <f>IF(J253&gt;0,J253*0.453592,IF(K253&gt;0,K253*0.02835,))</f>
        <v>#REF!</v>
      </c>
      <c r="O253">
        <f>I253+N253+M253</f>
        <v>0</v>
      </c>
      <c r="P253">
        <f>O253*C$3</f>
        <v>0</v>
      </c>
      <c r="Q253" t="str">
        <f>ROUNDUP(HLOOKUP(IF(CEILING(L253,0.5)&lt;1,1,CEILING(L253,0.5)),'배송비 조회'!A$32:AY$36,2,0),-2)</f>
        <v>#REF!</v>
      </c>
      <c r="R253">
        <v>0</v>
      </c>
      <c r="S253" t="str">
        <f>ROUND((P253+Q253)*0.6,-2)</f>
        <v>#REF!</v>
      </c>
      <c r="T253" t="str">
        <f>ROUND((P253+Q253)*0.7,-2)</f>
        <v>#REF!</v>
      </c>
      <c r="U253" t="str">
        <f>ROUND(SUM(P253+Q253+R253+S253), -2)</f>
        <v>#REF!</v>
      </c>
      <c r="V253" t="str">
        <f>ROUND(P253+Q253+R253+T253, -2)</f>
        <v>#REF!</v>
      </c>
      <c r="W253">
        <v>0</v>
      </c>
      <c r="X253" t="str">
        <f>U253*0.038</f>
        <v>#REF!</v>
      </c>
      <c r="Y253" t="str">
        <f>U253*0.02</f>
        <v>#REF!</v>
      </c>
      <c r="Z253" t="str">
        <f>V253*0.1</f>
        <v>#REF!</v>
      </c>
      <c r="AA253" t="str">
        <f>U253-X253-Y253</f>
        <v>#REF!</v>
      </c>
      <c r="AB253" t="str">
        <f>V253-Z253</f>
        <v>#REF!</v>
      </c>
      <c r="AC253" t="str">
        <f>AA253*0.01</f>
        <v>#REF!</v>
      </c>
      <c r="AD253" t="str">
        <f>AA253-P253-AC253-Q253</f>
        <v>#REF!</v>
      </c>
      <c r="AE253" t="str">
        <f>AB253-P253-Q253-AC253</f>
        <v>#REF!</v>
      </c>
      <c r="AF253" t="str">
        <f>AD253/U253</f>
        <v>#REF!</v>
      </c>
      <c r="AG253" t="str">
        <f>AE253/V253</f>
        <v>#REF!</v>
      </c>
    </row>
    <row r="254">
      <c r="G254" t="str">
        <v>A</v>
      </c>
      <c r="J254" t="str">
        <f>IF(K254&gt;0,K254*0.0625,IF(L254&gt;0,L254*2.204623,))</f>
        <v>#REF!</v>
      </c>
      <c r="K254" t="str">
        <f>IF(L254&gt;0,L254*35.273962,IF(J254&gt;0,J254*16,))</f>
        <v>#REF!</v>
      </c>
      <c r="L254" t="str">
        <f>IF(J254&gt;0,J254*0.453592,IF(K254&gt;0,K254*0.02835,))</f>
        <v>#REF!</v>
      </c>
      <c r="O254">
        <f>I254+N254+M254</f>
        <v>0</v>
      </c>
      <c r="P254">
        <f>O254*C$3</f>
        <v>0</v>
      </c>
      <c r="Q254" t="str">
        <f>ROUNDUP(HLOOKUP(IF(CEILING(L254,0.5)&lt;1,1,CEILING(L254,0.5)),'배송비 조회'!A$32:AY$36,2,0),-2)</f>
        <v>#REF!</v>
      </c>
      <c r="R254">
        <v>0</v>
      </c>
      <c r="S254" t="str">
        <f>ROUND((P254+Q254)*0.6,-2)</f>
        <v>#REF!</v>
      </c>
      <c r="T254" t="str">
        <f>ROUND((P254+Q254)*0.7,-2)</f>
        <v>#REF!</v>
      </c>
      <c r="U254" t="str">
        <f>ROUND(SUM(P254+Q254+R254+S254), -2)</f>
        <v>#REF!</v>
      </c>
      <c r="V254" t="str">
        <f>ROUND(P254+Q254+R254+T254, -2)</f>
        <v>#REF!</v>
      </c>
      <c r="W254">
        <v>0</v>
      </c>
      <c r="X254" t="str">
        <f>U254*0.038</f>
        <v>#REF!</v>
      </c>
      <c r="Y254" t="str">
        <f>U254*0.02</f>
        <v>#REF!</v>
      </c>
      <c r="Z254" t="str">
        <f>V254*0.1</f>
        <v>#REF!</v>
      </c>
      <c r="AA254" t="str">
        <f>U254-X254-Y254</f>
        <v>#REF!</v>
      </c>
      <c r="AB254" t="str">
        <f>V254-Z254</f>
        <v>#REF!</v>
      </c>
      <c r="AC254" t="str">
        <f>AA254*0.01</f>
        <v>#REF!</v>
      </c>
      <c r="AD254" t="str">
        <f>AA254-P254-AC254-Q254</f>
        <v>#REF!</v>
      </c>
      <c r="AE254" t="str">
        <f>AB254-P254-Q254-AC254</f>
        <v>#REF!</v>
      </c>
      <c r="AF254" t="str">
        <f>AD254/U254</f>
        <v>#REF!</v>
      </c>
      <c r="AG254" t="str">
        <f>AE254/V254</f>
        <v>#REF!</v>
      </c>
    </row>
    <row r="255">
      <c r="G255" t="str">
        <v>A</v>
      </c>
      <c r="J255" t="str">
        <f>IF(K255&gt;0,K255*0.0625,IF(L255&gt;0,L255*2.204623,))</f>
        <v>#REF!</v>
      </c>
      <c r="K255" t="str">
        <f>IF(L255&gt;0,L255*35.273962,IF(J255&gt;0,J255*16,))</f>
        <v>#REF!</v>
      </c>
      <c r="L255" t="str">
        <f>IF(J255&gt;0,J255*0.453592,IF(K255&gt;0,K255*0.02835,))</f>
        <v>#REF!</v>
      </c>
      <c r="O255">
        <f>I255+N255+M255</f>
        <v>0</v>
      </c>
      <c r="P255">
        <f>O255*C$3</f>
        <v>0</v>
      </c>
      <c r="Q255" t="str">
        <f>ROUNDUP(HLOOKUP(IF(CEILING(L255,0.5)&lt;1,1,CEILING(L255,0.5)),'배송비 조회'!A$32:AY$36,2,0),-2)</f>
        <v>#REF!</v>
      </c>
      <c r="R255">
        <v>0</v>
      </c>
      <c r="S255" t="str">
        <f>ROUND((P255+Q255)*0.6,-2)</f>
        <v>#REF!</v>
      </c>
      <c r="T255" t="str">
        <f>ROUND((P255+Q255)*0.7,-2)</f>
        <v>#REF!</v>
      </c>
      <c r="U255" t="str">
        <f>ROUND(SUM(P255+Q255+R255+S255), -2)</f>
        <v>#REF!</v>
      </c>
      <c r="V255" t="str">
        <f>ROUND(P255+Q255+R255+T255, -2)</f>
        <v>#REF!</v>
      </c>
      <c r="W255">
        <v>0</v>
      </c>
      <c r="X255" t="str">
        <f>U255*0.038</f>
        <v>#REF!</v>
      </c>
      <c r="Y255" t="str">
        <f>U255*0.02</f>
        <v>#REF!</v>
      </c>
      <c r="Z255" t="str">
        <f>V255*0.1</f>
        <v>#REF!</v>
      </c>
      <c r="AA255" t="str">
        <f>U255-X255-Y255</f>
        <v>#REF!</v>
      </c>
      <c r="AB255" t="str">
        <f>V255-Z255</f>
        <v>#REF!</v>
      </c>
      <c r="AC255" t="str">
        <f>AA255*0.01</f>
        <v>#REF!</v>
      </c>
      <c r="AD255" t="str">
        <f>AA255-P255-AC255-Q255</f>
        <v>#REF!</v>
      </c>
      <c r="AE255" t="str">
        <f>AB255-P255-Q255-AC255</f>
        <v>#REF!</v>
      </c>
      <c r="AF255" t="str">
        <f>AD255/U255</f>
        <v>#REF!</v>
      </c>
      <c r="AG255" t="str">
        <f>AE255/V255</f>
        <v>#REF!</v>
      </c>
    </row>
    <row r="256">
      <c r="G256" t="str">
        <v>A</v>
      </c>
      <c r="J256" t="str">
        <f>IF(K256&gt;0,K256*0.0625,IF(L256&gt;0,L256*2.204623,))</f>
        <v>#REF!</v>
      </c>
      <c r="K256" t="str">
        <f>IF(L256&gt;0,L256*35.273962,IF(J256&gt;0,J256*16,))</f>
        <v>#REF!</v>
      </c>
      <c r="L256" t="str">
        <f>IF(J256&gt;0,J256*0.453592,IF(K256&gt;0,K256*0.02835,))</f>
        <v>#REF!</v>
      </c>
      <c r="O256">
        <f>I256+N256+M256</f>
        <v>0</v>
      </c>
      <c r="P256">
        <f>O256*C$3</f>
        <v>0</v>
      </c>
      <c r="Q256" t="str">
        <f>ROUNDUP(HLOOKUP(IF(CEILING(L256,0.5)&lt;1,1,CEILING(L256,0.5)),'배송비 조회'!A$32:AY$36,2,0),-2)</f>
        <v>#REF!</v>
      </c>
      <c r="R256">
        <v>0</v>
      </c>
      <c r="S256" t="str">
        <f>ROUND((P256+Q256)*0.6,-2)</f>
        <v>#REF!</v>
      </c>
      <c r="T256" t="str">
        <f>ROUND((P256+Q256)*0.7,-2)</f>
        <v>#REF!</v>
      </c>
      <c r="U256" t="str">
        <f>ROUND(SUM(P256+Q256+R256+S256), -2)</f>
        <v>#REF!</v>
      </c>
      <c r="V256" t="str">
        <f>ROUND(P256+Q256+R256+T256, -2)</f>
        <v>#REF!</v>
      </c>
      <c r="W256">
        <v>0</v>
      </c>
      <c r="X256" t="str">
        <f>U256*0.038</f>
        <v>#REF!</v>
      </c>
      <c r="Y256" t="str">
        <f>U256*0.02</f>
        <v>#REF!</v>
      </c>
      <c r="Z256" t="str">
        <f>V256*0.1</f>
        <v>#REF!</v>
      </c>
      <c r="AA256" t="str">
        <f>U256-X256-Y256</f>
        <v>#REF!</v>
      </c>
      <c r="AB256" t="str">
        <f>V256-Z256</f>
        <v>#REF!</v>
      </c>
      <c r="AC256" t="str">
        <f>AA256*0.01</f>
        <v>#REF!</v>
      </c>
      <c r="AD256" t="str">
        <f>AA256-P256-AC256-Q256</f>
        <v>#REF!</v>
      </c>
      <c r="AE256" t="str">
        <f>AB256-P256-Q256-AC256</f>
        <v>#REF!</v>
      </c>
      <c r="AF256" t="str">
        <f>AD256/U256</f>
        <v>#REF!</v>
      </c>
      <c r="AG256" t="str">
        <f>AE256/V256</f>
        <v>#REF!</v>
      </c>
    </row>
    <row r="257">
      <c r="G257" t="str">
        <v>A</v>
      </c>
      <c r="J257" t="str">
        <f>IF(K257&gt;0,K257*0.0625,IF(L257&gt;0,L257*2.204623,))</f>
        <v>#REF!</v>
      </c>
      <c r="K257" t="str">
        <f>IF(L257&gt;0,L257*35.273962,IF(J257&gt;0,J257*16,))</f>
        <v>#REF!</v>
      </c>
      <c r="L257" t="str">
        <f>IF(J257&gt;0,J257*0.453592,IF(K257&gt;0,K257*0.02835,))</f>
        <v>#REF!</v>
      </c>
      <c r="O257">
        <f>I257+N257+M257</f>
        <v>0</v>
      </c>
      <c r="P257">
        <f>O257*C$3</f>
        <v>0</v>
      </c>
      <c r="Q257" t="str">
        <f>ROUNDUP(HLOOKUP(IF(CEILING(L257,0.5)&lt;1,1,CEILING(L257,0.5)),'배송비 조회'!A$32:AY$36,2,0),-2)</f>
        <v>#REF!</v>
      </c>
      <c r="R257">
        <v>0</v>
      </c>
      <c r="S257" t="str">
        <f>ROUND((P257+Q257)*0.6,-2)</f>
        <v>#REF!</v>
      </c>
      <c r="T257" t="str">
        <f>ROUND((P257+Q257)*0.7,-2)</f>
        <v>#REF!</v>
      </c>
      <c r="U257" t="str">
        <f>ROUND(SUM(P257+Q257+R257+S257), -2)</f>
        <v>#REF!</v>
      </c>
      <c r="V257" t="str">
        <f>ROUND(P257+Q257+R257+T257, -2)</f>
        <v>#REF!</v>
      </c>
      <c r="W257">
        <v>0</v>
      </c>
      <c r="X257" t="str">
        <f>U257*0.038</f>
        <v>#REF!</v>
      </c>
      <c r="Y257" t="str">
        <f>U257*0.02</f>
        <v>#REF!</v>
      </c>
      <c r="Z257" t="str">
        <f>V257*0.1</f>
        <v>#REF!</v>
      </c>
      <c r="AA257" t="str">
        <f>U257-X257-Y257</f>
        <v>#REF!</v>
      </c>
      <c r="AB257" t="str">
        <f>V257-Z257</f>
        <v>#REF!</v>
      </c>
      <c r="AC257" t="str">
        <f>AA257*0.01</f>
        <v>#REF!</v>
      </c>
      <c r="AD257" t="str">
        <f>AA257-P257-AC257-Q257</f>
        <v>#REF!</v>
      </c>
      <c r="AE257" t="str">
        <f>AB257-P257-Q257-AC257</f>
        <v>#REF!</v>
      </c>
      <c r="AF257" t="str">
        <f>AD257/U257</f>
        <v>#REF!</v>
      </c>
      <c r="AG257" t="str">
        <f>AE257/V257</f>
        <v>#REF!</v>
      </c>
    </row>
    <row r="258">
      <c r="G258" t="str">
        <v>A</v>
      </c>
      <c r="J258" t="str">
        <f>IF(K258&gt;0,K258*0.0625,IF(L258&gt;0,L258*2.204623,))</f>
        <v>#REF!</v>
      </c>
      <c r="K258" t="str">
        <f>IF(L258&gt;0,L258*35.273962,IF(J258&gt;0,J258*16,))</f>
        <v>#REF!</v>
      </c>
      <c r="L258" t="str">
        <f>IF(J258&gt;0,J258*0.453592,IF(K258&gt;0,K258*0.02835,))</f>
        <v>#REF!</v>
      </c>
      <c r="O258">
        <f>I258+N258+M258</f>
        <v>0</v>
      </c>
      <c r="P258">
        <f>O258*C$3</f>
        <v>0</v>
      </c>
      <c r="Q258" t="str">
        <f>ROUNDUP(HLOOKUP(IF(CEILING(L258,0.5)&lt;1,1,CEILING(L258,0.5)),'배송비 조회'!A$32:AY$36,2,0),-2)</f>
        <v>#REF!</v>
      </c>
      <c r="R258">
        <v>0</v>
      </c>
      <c r="S258" t="str">
        <f>ROUND((P258+Q258)*0.6,-2)</f>
        <v>#REF!</v>
      </c>
      <c r="T258" t="str">
        <f>ROUND((P258+Q258)*0.7,-2)</f>
        <v>#REF!</v>
      </c>
      <c r="U258" t="str">
        <f>ROUND(SUM(P258+Q258+R258+S258), -2)</f>
        <v>#REF!</v>
      </c>
      <c r="V258" t="str">
        <f>ROUND(P258+Q258+R258+T258, -2)</f>
        <v>#REF!</v>
      </c>
      <c r="W258">
        <v>0</v>
      </c>
      <c r="X258" t="str">
        <f>U258*0.038</f>
        <v>#REF!</v>
      </c>
      <c r="Y258" t="str">
        <f>U258*0.02</f>
        <v>#REF!</v>
      </c>
      <c r="Z258" t="str">
        <f>V258*0.1</f>
        <v>#REF!</v>
      </c>
      <c r="AA258" t="str">
        <f>U258-X258-Y258</f>
        <v>#REF!</v>
      </c>
      <c r="AB258" t="str">
        <f>V258-Z258</f>
        <v>#REF!</v>
      </c>
      <c r="AC258" t="str">
        <f>AA258*0.01</f>
        <v>#REF!</v>
      </c>
      <c r="AD258" t="str">
        <f>AA258-P258-AC258-Q258</f>
        <v>#REF!</v>
      </c>
      <c r="AE258" t="str">
        <f>AB258-P258-Q258-AC258</f>
        <v>#REF!</v>
      </c>
      <c r="AF258" t="str">
        <f>AD258/U258</f>
        <v>#REF!</v>
      </c>
      <c r="AG258" t="str">
        <f>AE258/V258</f>
        <v>#REF!</v>
      </c>
    </row>
    <row r="259">
      <c r="G259" t="str">
        <v>A</v>
      </c>
      <c r="J259" t="str">
        <f>IF(K259&gt;0,K259*0.0625,IF(L259&gt;0,L259*2.204623,))</f>
        <v>#REF!</v>
      </c>
      <c r="K259" t="str">
        <f>IF(L259&gt;0,L259*35.273962,IF(J259&gt;0,J259*16,))</f>
        <v>#REF!</v>
      </c>
      <c r="L259" t="str">
        <f>IF(J259&gt;0,J259*0.453592,IF(K259&gt;0,K259*0.02835,))</f>
        <v>#REF!</v>
      </c>
      <c r="O259">
        <f>I259+N259+M259</f>
        <v>0</v>
      </c>
      <c r="P259">
        <f>O259*C$3</f>
        <v>0</v>
      </c>
      <c r="Q259" t="str">
        <f>ROUNDUP(HLOOKUP(IF(CEILING(L259,0.5)&lt;1,1,CEILING(L259,0.5)),'배송비 조회'!A$32:AY$36,2,0),-2)</f>
        <v>#REF!</v>
      </c>
      <c r="R259">
        <v>0</v>
      </c>
      <c r="S259" t="str">
        <f>ROUND((P259+Q259)*0.6,-2)</f>
        <v>#REF!</v>
      </c>
      <c r="T259" t="str">
        <f>ROUND((P259+Q259)*0.7,-2)</f>
        <v>#REF!</v>
      </c>
      <c r="U259" t="str">
        <f>ROUND(SUM(P259+Q259+R259+S259), -2)</f>
        <v>#REF!</v>
      </c>
      <c r="V259" t="str">
        <f>ROUND(P259+Q259+R259+T259, -2)</f>
        <v>#REF!</v>
      </c>
      <c r="W259">
        <v>0</v>
      </c>
      <c r="X259" t="str">
        <f>U259*0.038</f>
        <v>#REF!</v>
      </c>
      <c r="Y259" t="str">
        <f>U259*0.02</f>
        <v>#REF!</v>
      </c>
      <c r="Z259" t="str">
        <f>V259*0.1</f>
        <v>#REF!</v>
      </c>
      <c r="AA259" t="str">
        <f>U259-X259-Y259</f>
        <v>#REF!</v>
      </c>
      <c r="AB259" t="str">
        <f>V259-Z259</f>
        <v>#REF!</v>
      </c>
      <c r="AC259" t="str">
        <f>AA259*0.01</f>
        <v>#REF!</v>
      </c>
      <c r="AD259" t="str">
        <f>AA259-P259-AC259-Q259</f>
        <v>#REF!</v>
      </c>
      <c r="AE259" t="str">
        <f>AB259-P259-Q259-AC259</f>
        <v>#REF!</v>
      </c>
      <c r="AF259" t="str">
        <f>AD259/U259</f>
        <v>#REF!</v>
      </c>
      <c r="AG259" t="str">
        <f>AE259/V259</f>
        <v>#REF!</v>
      </c>
    </row>
    <row r="260">
      <c r="G260" t="str">
        <v>A</v>
      </c>
      <c r="J260" t="str">
        <f>IF(K260&gt;0,K260*0.0625,IF(L260&gt;0,L260*2.204623,))</f>
        <v>#REF!</v>
      </c>
      <c r="K260" t="str">
        <f>IF(L260&gt;0,L260*35.273962,IF(J260&gt;0,J260*16,))</f>
        <v>#REF!</v>
      </c>
      <c r="L260" t="str">
        <f>IF(J260&gt;0,J260*0.453592,IF(K260&gt;0,K260*0.02835,))</f>
        <v>#REF!</v>
      </c>
      <c r="O260">
        <f>I260+N260+M260</f>
        <v>0</v>
      </c>
      <c r="P260">
        <f>O260*C$3</f>
        <v>0</v>
      </c>
      <c r="Q260" t="str">
        <f>ROUNDUP(HLOOKUP(IF(CEILING(L260,0.5)&lt;1,1,CEILING(L260,0.5)),'배송비 조회'!A$32:AY$36,2,0),-2)</f>
        <v>#REF!</v>
      </c>
      <c r="R260">
        <v>0</v>
      </c>
      <c r="S260" t="str">
        <f>ROUND((P260+Q260)*0.6,-2)</f>
        <v>#REF!</v>
      </c>
      <c r="T260" t="str">
        <f>ROUND((P260+Q260)*0.7,-2)</f>
        <v>#REF!</v>
      </c>
      <c r="U260" t="str">
        <f>ROUND(SUM(P260+Q260+R260+S260), -2)</f>
        <v>#REF!</v>
      </c>
      <c r="V260" t="str">
        <f>ROUND(P260+Q260+R260+T260, -2)</f>
        <v>#REF!</v>
      </c>
      <c r="W260">
        <v>0</v>
      </c>
      <c r="X260" t="str">
        <f>U260*0.038</f>
        <v>#REF!</v>
      </c>
      <c r="Y260" t="str">
        <f>U260*0.02</f>
        <v>#REF!</v>
      </c>
      <c r="Z260" t="str">
        <f>V260*0.1</f>
        <v>#REF!</v>
      </c>
      <c r="AA260" t="str">
        <f>U260-X260-Y260</f>
        <v>#REF!</v>
      </c>
      <c r="AB260" t="str">
        <f>V260-Z260</f>
        <v>#REF!</v>
      </c>
      <c r="AC260" t="str">
        <f>AA260*0.01</f>
        <v>#REF!</v>
      </c>
      <c r="AD260" t="str">
        <f>AA260-P260-AC260-Q260</f>
        <v>#REF!</v>
      </c>
      <c r="AE260" t="str">
        <f>AB260-P260-Q260-AC260</f>
        <v>#REF!</v>
      </c>
      <c r="AF260" t="str">
        <f>AD260/U260</f>
        <v>#REF!</v>
      </c>
      <c r="AG260" t="str">
        <f>AE260/V260</f>
        <v>#REF!</v>
      </c>
    </row>
    <row r="261">
      <c r="G261" t="str">
        <v>A</v>
      </c>
      <c r="J261" t="str">
        <f>IF(K261&gt;0,K261*0.0625,IF(L261&gt;0,L261*2.204623,))</f>
        <v>#REF!</v>
      </c>
      <c r="K261" t="str">
        <f>IF(L261&gt;0,L261*35.273962,IF(J261&gt;0,J261*16,))</f>
        <v>#REF!</v>
      </c>
      <c r="L261" t="str">
        <f>IF(J261&gt;0,J261*0.453592,IF(K261&gt;0,K261*0.02835,))</f>
        <v>#REF!</v>
      </c>
      <c r="O261">
        <f>I261+N261+M261</f>
        <v>0</v>
      </c>
      <c r="P261">
        <f>O261*C$3</f>
        <v>0</v>
      </c>
      <c r="Q261" t="str">
        <f>ROUNDUP(HLOOKUP(IF(CEILING(L261,0.5)&lt;1,1,CEILING(L261,0.5)),'배송비 조회'!A$32:AY$36,2,0),-2)</f>
        <v>#REF!</v>
      </c>
      <c r="R261">
        <v>0</v>
      </c>
      <c r="S261" t="str">
        <f>ROUND((P261+Q261)*0.6,-2)</f>
        <v>#REF!</v>
      </c>
      <c r="T261" t="str">
        <f>ROUND((P261+Q261)*0.7,-2)</f>
        <v>#REF!</v>
      </c>
      <c r="U261" t="str">
        <f>ROUND(SUM(P261+Q261+R261+S261), -2)</f>
        <v>#REF!</v>
      </c>
      <c r="V261" t="str">
        <f>ROUND(P261+Q261+R261+T261, -2)</f>
        <v>#REF!</v>
      </c>
      <c r="W261">
        <v>0</v>
      </c>
      <c r="X261" t="str">
        <f>U261*0.038</f>
        <v>#REF!</v>
      </c>
      <c r="Y261" t="str">
        <f>U261*0.02</f>
        <v>#REF!</v>
      </c>
      <c r="Z261" t="str">
        <f>V261*0.1</f>
        <v>#REF!</v>
      </c>
      <c r="AA261" t="str">
        <f>U261-X261-Y261</f>
        <v>#REF!</v>
      </c>
      <c r="AB261" t="str">
        <f>V261-Z261</f>
        <v>#REF!</v>
      </c>
      <c r="AC261" t="str">
        <f>AA261*0.01</f>
        <v>#REF!</v>
      </c>
      <c r="AD261" t="str">
        <f>AA261-P261-AC261-Q261</f>
        <v>#REF!</v>
      </c>
      <c r="AE261" t="str">
        <f>AB261-P261-Q261-AC261</f>
        <v>#REF!</v>
      </c>
      <c r="AF261" t="str">
        <f>AD261/U261</f>
        <v>#REF!</v>
      </c>
      <c r="AG261" t="str">
        <f>AE261/V261</f>
        <v>#REF!</v>
      </c>
    </row>
    <row r="262">
      <c r="G262" t="str">
        <v>A</v>
      </c>
      <c r="J262" t="str">
        <f>IF(K262&gt;0,K262*0.0625,IF(L262&gt;0,L262*2.204623,))</f>
        <v>#REF!</v>
      </c>
      <c r="K262" t="str">
        <f>IF(L262&gt;0,L262*35.273962,IF(J262&gt;0,J262*16,))</f>
        <v>#REF!</v>
      </c>
      <c r="L262" t="str">
        <f>IF(J262&gt;0,J262*0.453592,IF(K262&gt;0,K262*0.02835,))</f>
        <v>#REF!</v>
      </c>
      <c r="O262">
        <f>I262+N262+M262</f>
        <v>0</v>
      </c>
      <c r="P262">
        <f>O262*C$3</f>
        <v>0</v>
      </c>
      <c r="Q262" t="str">
        <f>ROUNDUP(HLOOKUP(IF(CEILING(L262,0.5)&lt;1,1,CEILING(L262,0.5)),'배송비 조회'!A$32:AY$36,2,0),-2)</f>
        <v>#REF!</v>
      </c>
      <c r="R262">
        <v>0</v>
      </c>
      <c r="S262" t="str">
        <f>ROUND((P262+Q262)*0.6,-2)</f>
        <v>#REF!</v>
      </c>
      <c r="T262" t="str">
        <f>ROUND((P262+Q262)*0.7,-2)</f>
        <v>#REF!</v>
      </c>
      <c r="U262" t="str">
        <f>ROUND(SUM(P262+Q262+R262+S262), -2)</f>
        <v>#REF!</v>
      </c>
      <c r="V262" t="str">
        <f>ROUND(P262+Q262+R262+T262, -2)</f>
        <v>#REF!</v>
      </c>
      <c r="W262">
        <v>0</v>
      </c>
      <c r="X262" t="str">
        <f>U262*0.038</f>
        <v>#REF!</v>
      </c>
      <c r="Y262" t="str">
        <f>U262*0.02</f>
        <v>#REF!</v>
      </c>
      <c r="Z262" t="str">
        <f>V262*0.1</f>
        <v>#REF!</v>
      </c>
      <c r="AA262" t="str">
        <f>U262-X262-Y262</f>
        <v>#REF!</v>
      </c>
      <c r="AB262" t="str">
        <f>V262-Z262</f>
        <v>#REF!</v>
      </c>
      <c r="AC262" t="str">
        <f>AA262*0.01</f>
        <v>#REF!</v>
      </c>
      <c r="AD262" t="str">
        <f>AA262-P262-AC262-Q262</f>
        <v>#REF!</v>
      </c>
      <c r="AE262" t="str">
        <f>AB262-P262-Q262-AC262</f>
        <v>#REF!</v>
      </c>
      <c r="AF262" t="str">
        <f>AD262/U262</f>
        <v>#REF!</v>
      </c>
      <c r="AG262" t="str">
        <f>AE262/V262</f>
        <v>#REF!</v>
      </c>
    </row>
    <row r="263">
      <c r="G263" t="str">
        <v>A</v>
      </c>
      <c r="J263" t="str">
        <f>IF(K263&gt;0,K263*0.0625,IF(L263&gt;0,L263*2.204623,))</f>
        <v>#REF!</v>
      </c>
      <c r="K263" t="str">
        <f>IF(L263&gt;0,L263*35.273962,IF(J263&gt;0,J263*16,))</f>
        <v>#REF!</v>
      </c>
      <c r="L263" t="str">
        <f>IF(J263&gt;0,J263*0.453592,IF(K263&gt;0,K263*0.02835,))</f>
        <v>#REF!</v>
      </c>
      <c r="O263">
        <f>I263+N263+M263</f>
        <v>0</v>
      </c>
      <c r="P263">
        <f>O263*C$3</f>
        <v>0</v>
      </c>
      <c r="Q263" t="str">
        <f>ROUNDUP(HLOOKUP(IF(CEILING(L263,0.5)&lt;1,1,CEILING(L263,0.5)),'배송비 조회'!A$32:AY$36,2,0),-2)</f>
        <v>#REF!</v>
      </c>
      <c r="R263">
        <v>0</v>
      </c>
      <c r="S263" t="str">
        <f>ROUND((P263+Q263)*0.6,-2)</f>
        <v>#REF!</v>
      </c>
      <c r="T263" t="str">
        <f>ROUND((P263+Q263)*0.7,-2)</f>
        <v>#REF!</v>
      </c>
      <c r="U263" t="str">
        <f>ROUND(SUM(P263+Q263+R263+S263), -2)</f>
        <v>#REF!</v>
      </c>
      <c r="V263" t="str">
        <f>ROUND(P263+Q263+R263+T263, -2)</f>
        <v>#REF!</v>
      </c>
      <c r="W263">
        <v>0</v>
      </c>
      <c r="X263" t="str">
        <f>U263*0.038</f>
        <v>#REF!</v>
      </c>
      <c r="Y263" t="str">
        <f>U263*0.02</f>
        <v>#REF!</v>
      </c>
      <c r="Z263" t="str">
        <f>V263*0.1</f>
        <v>#REF!</v>
      </c>
      <c r="AA263" t="str">
        <f>U263-X263-Y263</f>
        <v>#REF!</v>
      </c>
      <c r="AB263" t="str">
        <f>V263-Z263</f>
        <v>#REF!</v>
      </c>
      <c r="AC263" t="str">
        <f>AA263*0.01</f>
        <v>#REF!</v>
      </c>
      <c r="AD263" t="str">
        <f>AA263-P263-AC263-Q263</f>
        <v>#REF!</v>
      </c>
      <c r="AE263" t="str">
        <f>AB263-P263-Q263-AC263</f>
        <v>#REF!</v>
      </c>
      <c r="AF263" t="str">
        <f>AD263/U263</f>
        <v>#REF!</v>
      </c>
      <c r="AG263" t="str">
        <f>AE263/V263</f>
        <v>#REF!</v>
      </c>
    </row>
    <row r="264">
      <c r="G264" t="str">
        <v>A</v>
      </c>
      <c r="J264" t="str">
        <f>IF(K264&gt;0,K264*0.0625,IF(L264&gt;0,L264*2.204623,))</f>
        <v>#REF!</v>
      </c>
      <c r="K264" t="str">
        <f>IF(L264&gt;0,L264*35.273962,IF(J264&gt;0,J264*16,))</f>
        <v>#REF!</v>
      </c>
      <c r="L264" t="str">
        <f>IF(J264&gt;0,J264*0.453592,IF(K264&gt;0,K264*0.02835,))</f>
        <v>#REF!</v>
      </c>
      <c r="O264">
        <f>I264+N264+M264</f>
        <v>0</v>
      </c>
      <c r="P264">
        <f>O264*C$3</f>
        <v>0</v>
      </c>
      <c r="Q264" t="str">
        <f>ROUNDUP(HLOOKUP(IF(CEILING(L264,0.5)&lt;1,1,CEILING(L264,0.5)),'배송비 조회'!A$32:AY$36,2,0),-2)</f>
        <v>#REF!</v>
      </c>
      <c r="R264">
        <v>0</v>
      </c>
      <c r="S264" t="str">
        <f>ROUND((P264+Q264)*0.6,-2)</f>
        <v>#REF!</v>
      </c>
      <c r="T264" t="str">
        <f>ROUND((P264+Q264)*0.7,-2)</f>
        <v>#REF!</v>
      </c>
      <c r="U264" t="str">
        <f>ROUND(SUM(P264+Q264+R264+S264), -2)</f>
        <v>#REF!</v>
      </c>
      <c r="V264" t="str">
        <f>ROUND(P264+Q264+R264+T264, -2)</f>
        <v>#REF!</v>
      </c>
      <c r="W264">
        <v>0</v>
      </c>
      <c r="X264" t="str">
        <f>U264*0.038</f>
        <v>#REF!</v>
      </c>
      <c r="Y264" t="str">
        <f>U264*0.02</f>
        <v>#REF!</v>
      </c>
      <c r="Z264" t="str">
        <f>V264*0.1</f>
        <v>#REF!</v>
      </c>
      <c r="AA264" t="str">
        <f>U264-X264-Y264</f>
        <v>#REF!</v>
      </c>
      <c r="AB264" t="str">
        <f>V264-Z264</f>
        <v>#REF!</v>
      </c>
      <c r="AC264" t="str">
        <f>AA264*0.01</f>
        <v>#REF!</v>
      </c>
      <c r="AD264" t="str">
        <f>AA264-P264-AC264-Q264</f>
        <v>#REF!</v>
      </c>
      <c r="AE264" t="str">
        <f>AB264-P264-Q264-AC264</f>
        <v>#REF!</v>
      </c>
      <c r="AF264" t="str">
        <f>AD264/U264</f>
        <v>#REF!</v>
      </c>
      <c r="AG264" t="str">
        <f>AE264/V264</f>
        <v>#REF!</v>
      </c>
    </row>
    <row r="265">
      <c r="G265" t="str">
        <v>A</v>
      </c>
      <c r="J265" t="str">
        <f>IF(K265&gt;0,K265*0.0625,IF(L265&gt;0,L265*2.204623,))</f>
        <v>#REF!</v>
      </c>
      <c r="K265" t="str">
        <f>IF(L265&gt;0,L265*35.273962,IF(J265&gt;0,J265*16,))</f>
        <v>#REF!</v>
      </c>
      <c r="L265" t="str">
        <f>IF(J265&gt;0,J265*0.453592,IF(K265&gt;0,K265*0.02835,))</f>
        <v>#REF!</v>
      </c>
      <c r="O265">
        <f>I265+N265+M265</f>
        <v>0</v>
      </c>
      <c r="P265">
        <f>O265*C$3</f>
        <v>0</v>
      </c>
      <c r="Q265" t="str">
        <f>ROUNDUP(HLOOKUP(IF(CEILING(L265,0.5)&lt;1,1,CEILING(L265,0.5)),'배송비 조회'!A$32:AY$36,2,0),-2)</f>
        <v>#REF!</v>
      </c>
      <c r="R265">
        <v>0</v>
      </c>
      <c r="S265" t="str">
        <f>ROUND((P265+Q265)*0.6,-2)</f>
        <v>#REF!</v>
      </c>
      <c r="T265" t="str">
        <f>ROUND((P265+Q265)*0.7,-2)</f>
        <v>#REF!</v>
      </c>
      <c r="U265" t="str">
        <f>ROUND(SUM(P265+Q265+R265+S265), -2)</f>
        <v>#REF!</v>
      </c>
      <c r="V265" t="str">
        <f>ROUND(P265+Q265+R265+T265, -2)</f>
        <v>#REF!</v>
      </c>
      <c r="W265">
        <v>0</v>
      </c>
      <c r="X265" t="str">
        <f>U265*0.038</f>
        <v>#REF!</v>
      </c>
      <c r="Y265" t="str">
        <f>U265*0.02</f>
        <v>#REF!</v>
      </c>
      <c r="Z265" t="str">
        <f>V265*0.1</f>
        <v>#REF!</v>
      </c>
      <c r="AA265" t="str">
        <f>U265-X265-Y265</f>
        <v>#REF!</v>
      </c>
      <c r="AB265" t="str">
        <f>V265-Z265</f>
        <v>#REF!</v>
      </c>
      <c r="AC265" t="str">
        <f>AA265*0.01</f>
        <v>#REF!</v>
      </c>
      <c r="AD265" t="str">
        <f>AA265-P265-AC265-Q265</f>
        <v>#REF!</v>
      </c>
      <c r="AE265" t="str">
        <f>AB265-P265-Q265-AC265</f>
        <v>#REF!</v>
      </c>
      <c r="AF265" t="str">
        <f>AD265/U265</f>
        <v>#REF!</v>
      </c>
      <c r="AG265" t="str">
        <f>AE265/V265</f>
        <v>#REF!</v>
      </c>
    </row>
    <row r="266">
      <c r="G266" t="str">
        <v>A</v>
      </c>
      <c r="J266" t="str">
        <f>IF(K266&gt;0,K266*0.0625,IF(L266&gt;0,L266*2.204623,))</f>
        <v>#REF!</v>
      </c>
      <c r="K266" t="str">
        <f>IF(L266&gt;0,L266*35.273962,IF(J266&gt;0,J266*16,))</f>
        <v>#REF!</v>
      </c>
      <c r="L266" t="str">
        <f>IF(J266&gt;0,J266*0.453592,IF(K266&gt;0,K266*0.02835,))</f>
        <v>#REF!</v>
      </c>
      <c r="O266">
        <f>I266+N266+M266</f>
        <v>0</v>
      </c>
      <c r="P266">
        <f>O266*C$3</f>
        <v>0</v>
      </c>
      <c r="Q266" t="str">
        <f>ROUNDUP(HLOOKUP(IF(CEILING(L266,0.5)&lt;1,1,CEILING(L266,0.5)),'배송비 조회'!A$32:AY$36,2,0),-2)</f>
        <v>#REF!</v>
      </c>
      <c r="R266">
        <v>0</v>
      </c>
      <c r="S266" t="str">
        <f>ROUND((P266+Q266)*0.6,-2)</f>
        <v>#REF!</v>
      </c>
      <c r="T266" t="str">
        <f>ROUND((P266+Q266)*0.7,-2)</f>
        <v>#REF!</v>
      </c>
      <c r="U266" t="str">
        <f>ROUND(SUM(P266+Q266+R266+S266), -2)</f>
        <v>#REF!</v>
      </c>
      <c r="V266" t="str">
        <f>ROUND(P266+Q266+R266+T266, -2)</f>
        <v>#REF!</v>
      </c>
      <c r="W266">
        <v>0</v>
      </c>
      <c r="X266" t="str">
        <f>U266*0.038</f>
        <v>#REF!</v>
      </c>
      <c r="Y266" t="str">
        <f>U266*0.02</f>
        <v>#REF!</v>
      </c>
      <c r="Z266" t="str">
        <f>V266*0.1</f>
        <v>#REF!</v>
      </c>
      <c r="AA266" t="str">
        <f>U266-X266-Y266</f>
        <v>#REF!</v>
      </c>
      <c r="AB266" t="str">
        <f>V266-Z266</f>
        <v>#REF!</v>
      </c>
      <c r="AC266" t="str">
        <f>AA266*0.01</f>
        <v>#REF!</v>
      </c>
      <c r="AD266" t="str">
        <f>AA266-P266-AC266-Q266</f>
        <v>#REF!</v>
      </c>
      <c r="AE266" t="str">
        <f>AB266-P266-Q266-AC266</f>
        <v>#REF!</v>
      </c>
      <c r="AF266" t="str">
        <f>AD266/U266</f>
        <v>#REF!</v>
      </c>
      <c r="AG266" t="str">
        <f>AE266/V266</f>
        <v>#REF!</v>
      </c>
    </row>
    <row r="267">
      <c r="G267" t="str">
        <v>A</v>
      </c>
      <c r="J267" t="str">
        <f>IF(K267&gt;0,K267*0.0625,IF(L267&gt;0,L267*2.204623,))</f>
        <v>#REF!</v>
      </c>
      <c r="K267" t="str">
        <f>IF(L267&gt;0,L267*35.273962,IF(J267&gt;0,J267*16,))</f>
        <v>#REF!</v>
      </c>
      <c r="L267" t="str">
        <f>IF(J267&gt;0,J267*0.453592,IF(K267&gt;0,K267*0.02835,))</f>
        <v>#REF!</v>
      </c>
      <c r="O267">
        <f>I267+N267+M267</f>
        <v>0</v>
      </c>
      <c r="P267">
        <f>O267*C$3</f>
        <v>0</v>
      </c>
      <c r="Q267" t="str">
        <f>ROUNDUP(HLOOKUP(IF(CEILING(L267,0.5)&lt;1,1,CEILING(L267,0.5)),'배송비 조회'!A$32:AY$36,2,0),-2)</f>
        <v>#REF!</v>
      </c>
      <c r="R267">
        <v>0</v>
      </c>
      <c r="S267" t="str">
        <f>ROUND((P267+Q267)*0.6,-2)</f>
        <v>#REF!</v>
      </c>
      <c r="T267" t="str">
        <f>ROUND((P267+Q267)*0.7,-2)</f>
        <v>#REF!</v>
      </c>
      <c r="U267" t="str">
        <f>ROUND(SUM(P267+Q267+R267+S267), -2)</f>
        <v>#REF!</v>
      </c>
      <c r="V267" t="str">
        <f>ROUND(P267+Q267+R267+T267, -2)</f>
        <v>#REF!</v>
      </c>
      <c r="W267">
        <v>0</v>
      </c>
      <c r="X267" t="str">
        <f>U267*0.038</f>
        <v>#REF!</v>
      </c>
      <c r="Y267" t="str">
        <f>U267*0.02</f>
        <v>#REF!</v>
      </c>
      <c r="Z267" t="str">
        <f>V267*0.1</f>
        <v>#REF!</v>
      </c>
      <c r="AA267" t="str">
        <f>U267-X267-Y267</f>
        <v>#REF!</v>
      </c>
      <c r="AB267" t="str">
        <f>V267-Z267</f>
        <v>#REF!</v>
      </c>
      <c r="AC267" t="str">
        <f>AA267*0.01</f>
        <v>#REF!</v>
      </c>
      <c r="AD267" t="str">
        <f>AA267-P267-AC267-Q267</f>
        <v>#REF!</v>
      </c>
      <c r="AE267" t="str">
        <f>AB267-P267-Q267-AC267</f>
        <v>#REF!</v>
      </c>
      <c r="AF267" t="str">
        <f>AD267/U267</f>
        <v>#REF!</v>
      </c>
      <c r="AG267" t="str">
        <f>AE267/V267</f>
        <v>#REF!</v>
      </c>
    </row>
    <row r="268">
      <c r="G268" t="str">
        <v>A</v>
      </c>
      <c r="J268" t="str">
        <f>IF(K268&gt;0,K268*0.0625,IF(L268&gt;0,L268*2.204623,))</f>
        <v>#REF!</v>
      </c>
      <c r="K268" t="str">
        <f>IF(L268&gt;0,L268*35.273962,IF(J268&gt;0,J268*16,))</f>
        <v>#REF!</v>
      </c>
      <c r="L268" t="str">
        <f>IF(J268&gt;0,J268*0.453592,IF(K268&gt;0,K268*0.02835,))</f>
        <v>#REF!</v>
      </c>
      <c r="O268">
        <f>I268+N268+M268</f>
        <v>0</v>
      </c>
      <c r="P268">
        <f>O268*C$3</f>
        <v>0</v>
      </c>
      <c r="Q268" t="str">
        <f>ROUNDUP(HLOOKUP(IF(CEILING(L268,0.5)&lt;1,1,CEILING(L268,0.5)),'배송비 조회'!A$32:AY$36,2,0),-2)</f>
        <v>#REF!</v>
      </c>
      <c r="R268">
        <v>0</v>
      </c>
      <c r="S268" t="str">
        <f>ROUND((P268+Q268)*0.6,-2)</f>
        <v>#REF!</v>
      </c>
      <c r="T268" t="str">
        <f>ROUND((P268+Q268)*0.7,-2)</f>
        <v>#REF!</v>
      </c>
      <c r="U268" t="str">
        <f>ROUND(SUM(P268+Q268+R268+S268), -2)</f>
        <v>#REF!</v>
      </c>
      <c r="V268" t="str">
        <f>ROUND(P268+Q268+R268+T268, -2)</f>
        <v>#REF!</v>
      </c>
      <c r="W268">
        <v>0</v>
      </c>
      <c r="X268" t="str">
        <f>U268*0.038</f>
        <v>#REF!</v>
      </c>
      <c r="Y268" t="str">
        <f>U268*0.02</f>
        <v>#REF!</v>
      </c>
      <c r="Z268" t="str">
        <f>V268*0.1</f>
        <v>#REF!</v>
      </c>
      <c r="AA268" t="str">
        <f>U268-X268-Y268</f>
        <v>#REF!</v>
      </c>
      <c r="AB268" t="str">
        <f>V268-Z268</f>
        <v>#REF!</v>
      </c>
      <c r="AC268" t="str">
        <f>AA268*0.01</f>
        <v>#REF!</v>
      </c>
      <c r="AD268" t="str">
        <f>AA268-P268-AC268-Q268</f>
        <v>#REF!</v>
      </c>
      <c r="AE268" t="str">
        <f>AB268-P268-Q268-AC268</f>
        <v>#REF!</v>
      </c>
      <c r="AF268" t="str">
        <f>AD268/U268</f>
        <v>#REF!</v>
      </c>
      <c r="AG268" t="str">
        <f>AE268/V268</f>
        <v>#REF!</v>
      </c>
    </row>
    <row r="269">
      <c r="G269" t="str">
        <v>A</v>
      </c>
      <c r="J269" t="str">
        <f>IF(K269&gt;0,K269*0.0625,IF(L269&gt;0,L269*2.204623,))</f>
        <v>#REF!</v>
      </c>
      <c r="K269" t="str">
        <f>IF(L269&gt;0,L269*35.273962,IF(J269&gt;0,J269*16,))</f>
        <v>#REF!</v>
      </c>
      <c r="L269" t="str">
        <f>IF(J269&gt;0,J269*0.453592,IF(K269&gt;0,K269*0.02835,))</f>
        <v>#REF!</v>
      </c>
      <c r="O269">
        <f>I269+N269+M269</f>
        <v>0</v>
      </c>
      <c r="P269">
        <f>O269*C$3</f>
        <v>0</v>
      </c>
      <c r="Q269" t="str">
        <f>ROUNDUP(HLOOKUP(IF(CEILING(L269,0.5)&lt;1,1,CEILING(L269,0.5)),'배송비 조회'!A$32:AY$36,2,0),-2)</f>
        <v>#REF!</v>
      </c>
      <c r="R269">
        <v>0</v>
      </c>
      <c r="S269" t="str">
        <f>ROUND((P269+Q269)*0.6,-2)</f>
        <v>#REF!</v>
      </c>
      <c r="T269" t="str">
        <f>ROUND((P269+Q269)*0.7,-2)</f>
        <v>#REF!</v>
      </c>
      <c r="U269" t="str">
        <f>ROUND(SUM(P269+Q269+R269+S269), -2)</f>
        <v>#REF!</v>
      </c>
      <c r="V269" t="str">
        <f>ROUND(P269+Q269+R269+T269, -2)</f>
        <v>#REF!</v>
      </c>
      <c r="W269">
        <v>0</v>
      </c>
      <c r="X269" t="str">
        <f>U269*0.038</f>
        <v>#REF!</v>
      </c>
      <c r="Y269" t="str">
        <f>U269*0.02</f>
        <v>#REF!</v>
      </c>
      <c r="Z269" t="str">
        <f>V269*0.1</f>
        <v>#REF!</v>
      </c>
      <c r="AA269" t="str">
        <f>U269-X269-Y269</f>
        <v>#REF!</v>
      </c>
      <c r="AB269" t="str">
        <f>V269-Z269</f>
        <v>#REF!</v>
      </c>
      <c r="AC269" t="str">
        <f>AA269*0.01</f>
        <v>#REF!</v>
      </c>
      <c r="AD269" t="str">
        <f>AA269-P269-AC269-Q269</f>
        <v>#REF!</v>
      </c>
      <c r="AE269" t="str">
        <f>AB269-P269-Q269-AC269</f>
        <v>#REF!</v>
      </c>
      <c r="AF269" t="str">
        <f>AD269/U269</f>
        <v>#REF!</v>
      </c>
      <c r="AG269" t="str">
        <f>AE269/V269</f>
        <v>#REF!</v>
      </c>
    </row>
    <row r="270">
      <c r="G270" t="str">
        <v>A</v>
      </c>
      <c r="J270" t="str">
        <f>IF(K270&gt;0,K270*0.0625,IF(L270&gt;0,L270*2.204623,))</f>
        <v>#REF!</v>
      </c>
      <c r="K270" t="str">
        <f>IF(L270&gt;0,L270*35.273962,IF(J270&gt;0,J270*16,))</f>
        <v>#REF!</v>
      </c>
      <c r="L270" t="str">
        <f>IF(J270&gt;0,J270*0.453592,IF(K270&gt;0,K270*0.02835,))</f>
        <v>#REF!</v>
      </c>
      <c r="O270">
        <f>I270+N270+M270</f>
        <v>0</v>
      </c>
      <c r="P270">
        <f>O270*C$3</f>
        <v>0</v>
      </c>
      <c r="Q270" t="str">
        <f>ROUNDUP(HLOOKUP(IF(CEILING(L270,0.5)&lt;1,1,CEILING(L270,0.5)),'배송비 조회'!A$32:AY$36,2,0),-2)</f>
        <v>#REF!</v>
      </c>
      <c r="R270">
        <v>0</v>
      </c>
      <c r="S270" t="str">
        <f>ROUND((P270+Q270)*0.6,-2)</f>
        <v>#REF!</v>
      </c>
      <c r="T270" t="str">
        <f>ROUND((P270+Q270)*0.7,-2)</f>
        <v>#REF!</v>
      </c>
      <c r="U270" t="str">
        <f>ROUND(SUM(P270+Q270+R270+S270), -2)</f>
        <v>#REF!</v>
      </c>
      <c r="V270" t="str">
        <f>ROUND(P270+Q270+R270+T270, -2)</f>
        <v>#REF!</v>
      </c>
      <c r="W270">
        <v>0</v>
      </c>
      <c r="X270" t="str">
        <f>U270*0.038</f>
        <v>#REF!</v>
      </c>
      <c r="Y270" t="str">
        <f>U270*0.02</f>
        <v>#REF!</v>
      </c>
      <c r="Z270" t="str">
        <f>V270*0.1</f>
        <v>#REF!</v>
      </c>
      <c r="AA270" t="str">
        <f>U270-X270-Y270</f>
        <v>#REF!</v>
      </c>
      <c r="AB270" t="str">
        <f>V270-Z270</f>
        <v>#REF!</v>
      </c>
      <c r="AC270" t="str">
        <f>AA270*0.01</f>
        <v>#REF!</v>
      </c>
      <c r="AD270" t="str">
        <f>AA270-P270-AC270-Q270</f>
        <v>#REF!</v>
      </c>
      <c r="AE270" t="str">
        <f>AB270-P270-Q270-AC270</f>
        <v>#REF!</v>
      </c>
      <c r="AF270" t="str">
        <f>AD270/U270</f>
        <v>#REF!</v>
      </c>
      <c r="AG270" t="str">
        <f>AE270/V270</f>
        <v>#REF!</v>
      </c>
    </row>
    <row r="271">
      <c r="G271" t="str">
        <v>A</v>
      </c>
      <c r="J271" t="str">
        <f>IF(K271&gt;0,K271*0.0625,IF(L271&gt;0,L271*2.204623,))</f>
        <v>#REF!</v>
      </c>
      <c r="K271" t="str">
        <f>IF(L271&gt;0,L271*35.273962,IF(J271&gt;0,J271*16,))</f>
        <v>#REF!</v>
      </c>
      <c r="L271" t="str">
        <f>IF(J271&gt;0,J271*0.453592,IF(K271&gt;0,K271*0.02835,))</f>
        <v>#REF!</v>
      </c>
      <c r="O271">
        <f>I271+N271+M271</f>
        <v>0</v>
      </c>
      <c r="P271">
        <f>O271*C$3</f>
        <v>0</v>
      </c>
      <c r="Q271" t="str">
        <f>ROUNDUP(HLOOKUP(IF(CEILING(L271,0.5)&lt;1,1,CEILING(L271,0.5)),'배송비 조회'!A$32:AY$36,2,0),-2)</f>
        <v>#REF!</v>
      </c>
      <c r="R271">
        <v>0</v>
      </c>
      <c r="S271" t="str">
        <f>ROUND((P271+Q271)*0.6,-2)</f>
        <v>#REF!</v>
      </c>
      <c r="T271" t="str">
        <f>ROUND((P271+Q271)*0.7,-2)</f>
        <v>#REF!</v>
      </c>
      <c r="U271" t="str">
        <f>ROUND(SUM(P271+Q271+R271+S271), -2)</f>
        <v>#REF!</v>
      </c>
      <c r="V271" t="str">
        <f>ROUND(P271+Q271+R271+T271, -2)</f>
        <v>#REF!</v>
      </c>
      <c r="W271">
        <v>0</v>
      </c>
      <c r="X271" t="str">
        <f>U271*0.038</f>
        <v>#REF!</v>
      </c>
      <c r="Y271" t="str">
        <f>U271*0.02</f>
        <v>#REF!</v>
      </c>
      <c r="Z271" t="str">
        <f>V271*0.1</f>
        <v>#REF!</v>
      </c>
      <c r="AA271" t="str">
        <f>U271-X271-Y271</f>
        <v>#REF!</v>
      </c>
      <c r="AB271" t="str">
        <f>V271-Z271</f>
        <v>#REF!</v>
      </c>
      <c r="AC271" t="str">
        <f>AA271*0.01</f>
        <v>#REF!</v>
      </c>
      <c r="AD271" t="str">
        <f>AA271-P271-AC271-Q271</f>
        <v>#REF!</v>
      </c>
      <c r="AE271" t="str">
        <f>AB271-P271-Q271-AC271</f>
        <v>#REF!</v>
      </c>
      <c r="AF271" t="str">
        <f>AD271/U271</f>
        <v>#REF!</v>
      </c>
      <c r="AG271" t="str">
        <f>AE271/V271</f>
        <v>#REF!</v>
      </c>
    </row>
    <row r="272">
      <c r="G272" t="str">
        <v>A</v>
      </c>
      <c r="J272" t="str">
        <f>IF(K272&gt;0,K272*0.0625,IF(L272&gt;0,L272*2.204623,))</f>
        <v>#REF!</v>
      </c>
      <c r="K272" t="str">
        <f>IF(L272&gt;0,L272*35.273962,IF(J272&gt;0,J272*16,))</f>
        <v>#REF!</v>
      </c>
      <c r="L272" t="str">
        <f>IF(J272&gt;0,J272*0.453592,IF(K272&gt;0,K272*0.02835,))</f>
        <v>#REF!</v>
      </c>
      <c r="O272">
        <f>I272+N272+M272</f>
        <v>0</v>
      </c>
      <c r="P272">
        <f>O272*C$3</f>
        <v>0</v>
      </c>
      <c r="Q272" t="str">
        <f>ROUNDUP(HLOOKUP(IF(CEILING(L272,0.5)&lt;1,1,CEILING(L272,0.5)),'배송비 조회'!A$32:AY$36,2,0),-2)</f>
        <v>#REF!</v>
      </c>
      <c r="R272">
        <v>0</v>
      </c>
      <c r="S272" t="str">
        <f>ROUND((P272+Q272)*0.6,-2)</f>
        <v>#REF!</v>
      </c>
      <c r="T272" t="str">
        <f>ROUND((P272+Q272)*0.7,-2)</f>
        <v>#REF!</v>
      </c>
      <c r="U272" t="str">
        <f>ROUND(SUM(P272+Q272+R272+S272), -2)</f>
        <v>#REF!</v>
      </c>
      <c r="V272" t="str">
        <f>ROUND(P272+Q272+R272+T272, -2)</f>
        <v>#REF!</v>
      </c>
      <c r="W272">
        <v>0</v>
      </c>
      <c r="X272" t="str">
        <f>U272*0.038</f>
        <v>#REF!</v>
      </c>
      <c r="Y272" t="str">
        <f>U272*0.02</f>
        <v>#REF!</v>
      </c>
      <c r="Z272" t="str">
        <f>V272*0.1</f>
        <v>#REF!</v>
      </c>
      <c r="AA272" t="str">
        <f>U272-X272-Y272</f>
        <v>#REF!</v>
      </c>
      <c r="AB272" t="str">
        <f>V272-Z272</f>
        <v>#REF!</v>
      </c>
      <c r="AC272" t="str">
        <f>AA272*0.01</f>
        <v>#REF!</v>
      </c>
      <c r="AD272" t="str">
        <f>AA272-P272-AC272-Q272</f>
        <v>#REF!</v>
      </c>
      <c r="AE272" t="str">
        <f>AB272-P272-Q272-AC272</f>
        <v>#REF!</v>
      </c>
      <c r="AF272" t="str">
        <f>AD272/U272</f>
        <v>#REF!</v>
      </c>
      <c r="AG272" t="str">
        <f>AE272/V272</f>
        <v>#REF!</v>
      </c>
    </row>
    <row r="273">
      <c r="G273" t="str">
        <v>A</v>
      </c>
      <c r="J273" t="str">
        <f>IF(K273&gt;0,K273*0.0625,IF(L273&gt;0,L273*2.204623,))</f>
        <v>#REF!</v>
      </c>
      <c r="K273" t="str">
        <f>IF(L273&gt;0,L273*35.273962,IF(J273&gt;0,J273*16,))</f>
        <v>#REF!</v>
      </c>
      <c r="L273" t="str">
        <f>IF(J273&gt;0,J273*0.453592,IF(K273&gt;0,K273*0.02835,))</f>
        <v>#REF!</v>
      </c>
      <c r="O273">
        <f>I273+N273+M273</f>
        <v>0</v>
      </c>
      <c r="P273">
        <f>O273*C$3</f>
        <v>0</v>
      </c>
      <c r="Q273" t="str">
        <f>ROUNDUP(HLOOKUP(IF(CEILING(L273,0.5)&lt;1,1,CEILING(L273,0.5)),'배송비 조회'!A$32:AY$36,2,0),-2)</f>
        <v>#REF!</v>
      </c>
      <c r="R273">
        <v>0</v>
      </c>
      <c r="S273" t="str">
        <f>ROUND((P273+Q273)*0.6,-2)</f>
        <v>#REF!</v>
      </c>
      <c r="T273" t="str">
        <f>ROUND((P273+Q273)*0.7,-2)</f>
        <v>#REF!</v>
      </c>
      <c r="U273" t="str">
        <f>ROUND(SUM(P273+Q273+R273+S273), -2)</f>
        <v>#REF!</v>
      </c>
      <c r="V273" t="str">
        <f>ROUND(P273+Q273+R273+T273, -2)</f>
        <v>#REF!</v>
      </c>
      <c r="W273">
        <v>0</v>
      </c>
      <c r="X273" t="str">
        <f>U273*0.038</f>
        <v>#REF!</v>
      </c>
      <c r="Y273" t="str">
        <f>U273*0.02</f>
        <v>#REF!</v>
      </c>
      <c r="Z273" t="str">
        <f>V273*0.1</f>
        <v>#REF!</v>
      </c>
      <c r="AA273" t="str">
        <f>U273-X273-Y273</f>
        <v>#REF!</v>
      </c>
      <c r="AB273" t="str">
        <f>V273-Z273</f>
        <v>#REF!</v>
      </c>
      <c r="AC273" t="str">
        <f>AA273*0.01</f>
        <v>#REF!</v>
      </c>
      <c r="AD273" t="str">
        <f>AA273-P273-AC273-Q273</f>
        <v>#REF!</v>
      </c>
      <c r="AE273" t="str">
        <f>AB273-P273-Q273-AC273</f>
        <v>#REF!</v>
      </c>
      <c r="AF273" t="str">
        <f>AD273/U273</f>
        <v>#REF!</v>
      </c>
      <c r="AG273" t="str">
        <f>AE273/V273</f>
        <v>#REF!</v>
      </c>
    </row>
    <row r="274">
      <c r="G274" t="str">
        <v>A</v>
      </c>
      <c r="J274" t="str">
        <f>IF(K274&gt;0,K274*0.0625,IF(L274&gt;0,L274*2.204623,))</f>
        <v>#REF!</v>
      </c>
      <c r="K274" t="str">
        <f>IF(L274&gt;0,L274*35.273962,IF(J274&gt;0,J274*16,))</f>
        <v>#REF!</v>
      </c>
      <c r="L274" t="str">
        <f>IF(J274&gt;0,J274*0.453592,IF(K274&gt;0,K274*0.02835,))</f>
        <v>#REF!</v>
      </c>
      <c r="O274">
        <f>I274+N274+M274</f>
        <v>0</v>
      </c>
      <c r="P274">
        <f>O274*C$3</f>
        <v>0</v>
      </c>
      <c r="Q274" t="str">
        <f>ROUNDUP(HLOOKUP(IF(CEILING(L274,0.5)&lt;1,1,CEILING(L274,0.5)),'배송비 조회'!A$32:AY$36,2,0),-2)</f>
        <v>#REF!</v>
      </c>
      <c r="R274">
        <v>0</v>
      </c>
      <c r="S274" t="str">
        <f>ROUND((P274+Q274)*0.6,-2)</f>
        <v>#REF!</v>
      </c>
      <c r="T274" t="str">
        <f>ROUND((P274+Q274)*0.7,-2)</f>
        <v>#REF!</v>
      </c>
      <c r="U274" t="str">
        <f>ROUND(SUM(P274+Q274+R274+S274), -2)</f>
        <v>#REF!</v>
      </c>
      <c r="V274" t="str">
        <f>ROUND(P274+Q274+R274+T274, -2)</f>
        <v>#REF!</v>
      </c>
      <c r="W274">
        <v>0</v>
      </c>
      <c r="X274" t="str">
        <f>U274*0.038</f>
        <v>#REF!</v>
      </c>
      <c r="Y274" t="str">
        <f>U274*0.02</f>
        <v>#REF!</v>
      </c>
      <c r="Z274" t="str">
        <f>V274*0.1</f>
        <v>#REF!</v>
      </c>
      <c r="AA274" t="str">
        <f>U274-X274-Y274</f>
        <v>#REF!</v>
      </c>
      <c r="AB274" t="str">
        <f>V274-Z274</f>
        <v>#REF!</v>
      </c>
      <c r="AC274" t="str">
        <f>AA274*0.01</f>
        <v>#REF!</v>
      </c>
      <c r="AD274" t="str">
        <f>AA274-P274-AC274-Q274</f>
        <v>#REF!</v>
      </c>
      <c r="AE274" t="str">
        <f>AB274-P274-Q274-AC274</f>
        <v>#REF!</v>
      </c>
      <c r="AF274" t="str">
        <f>AD274/U274</f>
        <v>#REF!</v>
      </c>
      <c r="AG274" t="str">
        <f>AE274/V274</f>
        <v>#REF!</v>
      </c>
    </row>
    <row r="275">
      <c r="G275" t="str">
        <v>A</v>
      </c>
      <c r="J275" t="str">
        <f>IF(K275&gt;0,K275*0.0625,IF(L275&gt;0,L275*2.204623,))</f>
        <v>#REF!</v>
      </c>
      <c r="K275" t="str">
        <f>IF(L275&gt;0,L275*35.273962,IF(J275&gt;0,J275*16,))</f>
        <v>#REF!</v>
      </c>
      <c r="L275" t="str">
        <f>IF(J275&gt;0,J275*0.453592,IF(K275&gt;0,K275*0.02835,))</f>
        <v>#REF!</v>
      </c>
      <c r="O275">
        <f>I275+N275+M275</f>
        <v>0</v>
      </c>
      <c r="P275">
        <f>O275*C$3</f>
        <v>0</v>
      </c>
      <c r="Q275" t="str">
        <f>ROUNDUP(HLOOKUP(IF(CEILING(L275,0.5)&lt;1,1,CEILING(L275,0.5)),'배송비 조회'!A$32:AY$36,2,0),-2)</f>
        <v>#REF!</v>
      </c>
      <c r="R275">
        <v>0</v>
      </c>
      <c r="S275" t="str">
        <f>ROUND((P275+Q275)*0.6,-2)</f>
        <v>#REF!</v>
      </c>
      <c r="T275" t="str">
        <f>ROUND((P275+Q275)*0.7,-2)</f>
        <v>#REF!</v>
      </c>
      <c r="U275" t="str">
        <f>ROUND(SUM(P275+Q275+R275+S275), -2)</f>
        <v>#REF!</v>
      </c>
      <c r="V275" t="str">
        <f>ROUND(P275+Q275+R275+T275, -2)</f>
        <v>#REF!</v>
      </c>
      <c r="W275">
        <v>0</v>
      </c>
      <c r="X275" t="str">
        <f>U275*0.038</f>
        <v>#REF!</v>
      </c>
      <c r="Y275" t="str">
        <f>U275*0.02</f>
        <v>#REF!</v>
      </c>
      <c r="Z275" t="str">
        <f>V275*0.1</f>
        <v>#REF!</v>
      </c>
      <c r="AA275" t="str">
        <f>U275-X275-Y275</f>
        <v>#REF!</v>
      </c>
      <c r="AB275" t="str">
        <f>V275-Z275</f>
        <v>#REF!</v>
      </c>
      <c r="AC275" t="str">
        <f>AA275*0.01</f>
        <v>#REF!</v>
      </c>
      <c r="AD275" t="str">
        <f>AA275-P275-AC275-Q275</f>
        <v>#REF!</v>
      </c>
      <c r="AE275" t="str">
        <f>AB275-P275-Q275-AC275</f>
        <v>#REF!</v>
      </c>
      <c r="AF275" t="str">
        <f>AD275/U275</f>
        <v>#REF!</v>
      </c>
      <c r="AG275" t="str">
        <f>AE275/V275</f>
        <v>#REF!</v>
      </c>
    </row>
    <row r="276">
      <c r="G276" t="str">
        <v>A</v>
      </c>
      <c r="J276" t="str">
        <f>IF(K276&gt;0,K276*0.0625,IF(L276&gt;0,L276*2.204623,))</f>
        <v>#REF!</v>
      </c>
      <c r="K276" t="str">
        <f>IF(L276&gt;0,L276*35.273962,IF(J276&gt;0,J276*16,))</f>
        <v>#REF!</v>
      </c>
      <c r="L276" t="str">
        <f>IF(J276&gt;0,J276*0.453592,IF(K276&gt;0,K276*0.02835,))</f>
        <v>#REF!</v>
      </c>
      <c r="O276">
        <f>I276+N276+M276</f>
        <v>0</v>
      </c>
      <c r="P276">
        <f>O276*C$3</f>
        <v>0</v>
      </c>
      <c r="Q276" t="str">
        <f>ROUNDUP(HLOOKUP(IF(CEILING(L276,0.5)&lt;1,1,CEILING(L276,0.5)),'배송비 조회'!A$32:AY$36,2,0),-2)</f>
        <v>#REF!</v>
      </c>
      <c r="R276">
        <v>0</v>
      </c>
      <c r="S276" t="str">
        <f>ROUND((P276+Q276)*0.6,-2)</f>
        <v>#REF!</v>
      </c>
      <c r="T276" t="str">
        <f>ROUND((P276+Q276)*0.7,-2)</f>
        <v>#REF!</v>
      </c>
      <c r="U276" t="str">
        <f>ROUND(SUM(P276+Q276+R276+S276), -2)</f>
        <v>#REF!</v>
      </c>
      <c r="V276" t="str">
        <f>ROUND(P276+Q276+R276+T276, -2)</f>
        <v>#REF!</v>
      </c>
      <c r="W276">
        <v>0</v>
      </c>
      <c r="X276" t="str">
        <f>U276*0.038</f>
        <v>#REF!</v>
      </c>
      <c r="Y276" t="str">
        <f>U276*0.02</f>
        <v>#REF!</v>
      </c>
      <c r="Z276" t="str">
        <f>V276*0.1</f>
        <v>#REF!</v>
      </c>
      <c r="AA276" t="str">
        <f>U276-X276-Y276</f>
        <v>#REF!</v>
      </c>
      <c r="AB276" t="str">
        <f>V276-Z276</f>
        <v>#REF!</v>
      </c>
      <c r="AC276" t="str">
        <f>AA276*0.01</f>
        <v>#REF!</v>
      </c>
      <c r="AD276" t="str">
        <f>AA276-P276-AC276-Q276</f>
        <v>#REF!</v>
      </c>
      <c r="AE276" t="str">
        <f>AB276-P276-Q276-AC276</f>
        <v>#REF!</v>
      </c>
      <c r="AF276" t="str">
        <f>AD276/U276</f>
        <v>#REF!</v>
      </c>
      <c r="AG276" t="str">
        <f>AE276/V276</f>
        <v>#REF!</v>
      </c>
    </row>
    <row r="277">
      <c r="G277" t="str">
        <v>A</v>
      </c>
      <c r="J277" t="str">
        <f>IF(K277&gt;0,K277*0.0625,IF(L277&gt;0,L277*2.204623,))</f>
        <v>#REF!</v>
      </c>
      <c r="K277" t="str">
        <f>IF(L277&gt;0,L277*35.273962,IF(J277&gt;0,J277*16,))</f>
        <v>#REF!</v>
      </c>
      <c r="L277" t="str">
        <f>IF(J277&gt;0,J277*0.453592,IF(K277&gt;0,K277*0.02835,))</f>
        <v>#REF!</v>
      </c>
      <c r="O277">
        <f>I277+N277+M277</f>
        <v>0</v>
      </c>
      <c r="P277">
        <f>O277*C$3</f>
        <v>0</v>
      </c>
      <c r="Q277" t="str">
        <f>ROUNDUP(HLOOKUP(IF(CEILING(L277,0.5)&lt;1,1,CEILING(L277,0.5)),'배송비 조회'!A$32:AY$36,2,0),-2)</f>
        <v>#REF!</v>
      </c>
      <c r="R277">
        <v>0</v>
      </c>
      <c r="S277" t="str">
        <f>ROUND((P277+Q277)*0.6,-2)</f>
        <v>#REF!</v>
      </c>
      <c r="T277" t="str">
        <f>ROUND((P277+Q277)*0.7,-2)</f>
        <v>#REF!</v>
      </c>
      <c r="U277" t="str">
        <f>ROUND(SUM(P277+Q277+R277+S277), -2)</f>
        <v>#REF!</v>
      </c>
      <c r="V277" t="str">
        <f>ROUND(P277+Q277+R277+T277, -2)</f>
        <v>#REF!</v>
      </c>
      <c r="W277">
        <v>0</v>
      </c>
      <c r="X277" t="str">
        <f>U277*0.038</f>
        <v>#REF!</v>
      </c>
      <c r="Y277" t="str">
        <f>U277*0.02</f>
        <v>#REF!</v>
      </c>
      <c r="Z277" t="str">
        <f>V277*0.1</f>
        <v>#REF!</v>
      </c>
      <c r="AA277" t="str">
        <f>U277-X277-Y277</f>
        <v>#REF!</v>
      </c>
      <c r="AB277" t="str">
        <f>V277-Z277</f>
        <v>#REF!</v>
      </c>
      <c r="AC277" t="str">
        <f>AA277*0.01</f>
        <v>#REF!</v>
      </c>
      <c r="AD277" t="str">
        <f>AA277-P277-AC277-Q277</f>
        <v>#REF!</v>
      </c>
      <c r="AE277" t="str">
        <f>AB277-P277-Q277-AC277</f>
        <v>#REF!</v>
      </c>
      <c r="AF277" t="str">
        <f>AD277/U277</f>
        <v>#REF!</v>
      </c>
      <c r="AG277" t="str">
        <f>AE277/V277</f>
        <v>#REF!</v>
      </c>
    </row>
    <row r="278">
      <c r="G278" t="str">
        <v>A</v>
      </c>
      <c r="J278" t="str">
        <f>IF(K278&gt;0,K278*0.0625,IF(L278&gt;0,L278*2.204623,))</f>
        <v>#REF!</v>
      </c>
      <c r="K278" t="str">
        <f>IF(L278&gt;0,L278*35.273962,IF(J278&gt;0,J278*16,))</f>
        <v>#REF!</v>
      </c>
      <c r="L278" t="str">
        <f>IF(J278&gt;0,J278*0.453592,IF(K278&gt;0,K278*0.02835,))</f>
        <v>#REF!</v>
      </c>
      <c r="O278">
        <f>I278+N278+M278</f>
        <v>0</v>
      </c>
      <c r="P278">
        <f>O278*C$3</f>
        <v>0</v>
      </c>
      <c r="Q278" t="str">
        <f>ROUNDUP(HLOOKUP(IF(CEILING(L278,0.5)&lt;1,1,CEILING(L278,0.5)),'배송비 조회'!A$32:AY$36,2,0),-2)</f>
        <v>#REF!</v>
      </c>
      <c r="R278">
        <v>0</v>
      </c>
      <c r="S278" t="str">
        <f>ROUND((P278+Q278)*0.6,-2)</f>
        <v>#REF!</v>
      </c>
      <c r="T278" t="str">
        <f>ROUND((P278+Q278)*0.7,-2)</f>
        <v>#REF!</v>
      </c>
      <c r="U278" t="str">
        <f>ROUND(SUM(P278+Q278+R278+S278), -2)</f>
        <v>#REF!</v>
      </c>
      <c r="V278" t="str">
        <f>ROUND(P278+Q278+R278+T278, -2)</f>
        <v>#REF!</v>
      </c>
      <c r="W278">
        <v>0</v>
      </c>
      <c r="X278" t="str">
        <f>U278*0.038</f>
        <v>#REF!</v>
      </c>
      <c r="Y278" t="str">
        <f>U278*0.02</f>
        <v>#REF!</v>
      </c>
      <c r="Z278" t="str">
        <f>V278*0.1</f>
        <v>#REF!</v>
      </c>
      <c r="AA278" t="str">
        <f>U278-X278-Y278</f>
        <v>#REF!</v>
      </c>
      <c r="AB278" t="str">
        <f>V278-Z278</f>
        <v>#REF!</v>
      </c>
      <c r="AC278" t="str">
        <f>AA278*0.01</f>
        <v>#REF!</v>
      </c>
      <c r="AD278" t="str">
        <f>AA278-P278-AC278-Q278</f>
        <v>#REF!</v>
      </c>
      <c r="AE278" t="str">
        <f>AB278-P278-Q278-AC278</f>
        <v>#REF!</v>
      </c>
      <c r="AF278" t="str">
        <f>AD278/U278</f>
        <v>#REF!</v>
      </c>
      <c r="AG278" t="str">
        <f>AE278/V278</f>
        <v>#REF!</v>
      </c>
    </row>
    <row r="279">
      <c r="G279" t="str">
        <v>A</v>
      </c>
      <c r="J279" t="str">
        <f>IF(K279&gt;0,K279*0.0625,IF(L279&gt;0,L279*2.204623,))</f>
        <v>#REF!</v>
      </c>
      <c r="K279" t="str">
        <f>IF(L279&gt;0,L279*35.273962,IF(J279&gt;0,J279*16,))</f>
        <v>#REF!</v>
      </c>
      <c r="L279" t="str">
        <f>IF(J279&gt;0,J279*0.453592,IF(K279&gt;0,K279*0.02835,))</f>
        <v>#REF!</v>
      </c>
      <c r="O279">
        <f>I279+N279+M279</f>
        <v>0</v>
      </c>
      <c r="P279">
        <f>O279*C$3</f>
        <v>0</v>
      </c>
      <c r="Q279" t="str">
        <f>ROUNDUP(HLOOKUP(IF(CEILING(L279,0.5)&lt;1,1,CEILING(L279,0.5)),'배송비 조회'!A$32:AY$36,2,0),-2)</f>
        <v>#REF!</v>
      </c>
      <c r="R279">
        <v>0</v>
      </c>
      <c r="S279" t="str">
        <f>ROUND((P279+Q279)*0.6,-2)</f>
        <v>#REF!</v>
      </c>
      <c r="T279" t="str">
        <f>ROUND((P279+Q279)*0.7,-2)</f>
        <v>#REF!</v>
      </c>
      <c r="U279" t="str">
        <f>ROUND(SUM(P279+Q279+R279+S279), -2)</f>
        <v>#REF!</v>
      </c>
      <c r="V279" t="str">
        <f>ROUND(P279+Q279+R279+T279, -2)</f>
        <v>#REF!</v>
      </c>
      <c r="W279">
        <v>0</v>
      </c>
      <c r="X279" t="str">
        <f>U279*0.038</f>
        <v>#REF!</v>
      </c>
      <c r="Y279" t="str">
        <f>U279*0.02</f>
        <v>#REF!</v>
      </c>
      <c r="Z279" t="str">
        <f>V279*0.1</f>
        <v>#REF!</v>
      </c>
      <c r="AA279" t="str">
        <f>U279-X279-Y279</f>
        <v>#REF!</v>
      </c>
      <c r="AB279" t="str">
        <f>V279-Z279</f>
        <v>#REF!</v>
      </c>
      <c r="AC279" t="str">
        <f>AA279*0.01</f>
        <v>#REF!</v>
      </c>
      <c r="AD279" t="str">
        <f>AA279-P279-AC279-Q279</f>
        <v>#REF!</v>
      </c>
      <c r="AE279" t="str">
        <f>AB279-P279-Q279-AC279</f>
        <v>#REF!</v>
      </c>
      <c r="AF279" t="str">
        <f>AD279/U279</f>
        <v>#REF!</v>
      </c>
      <c r="AG279" t="str">
        <f>AE279/V279</f>
        <v>#REF!</v>
      </c>
    </row>
    <row r="280">
      <c r="G280" t="str">
        <v>A</v>
      </c>
      <c r="J280" t="str">
        <f>IF(K280&gt;0,K280*0.0625,IF(L280&gt;0,L280*2.204623,))</f>
        <v>#REF!</v>
      </c>
      <c r="K280" t="str">
        <f>IF(L280&gt;0,L280*35.273962,IF(J280&gt;0,J280*16,))</f>
        <v>#REF!</v>
      </c>
      <c r="L280" t="str">
        <f>IF(J280&gt;0,J280*0.453592,IF(K280&gt;0,K280*0.02835,))</f>
        <v>#REF!</v>
      </c>
      <c r="O280">
        <f>I280+N280+M280</f>
        <v>0</v>
      </c>
      <c r="P280">
        <f>O280*C$3</f>
        <v>0</v>
      </c>
      <c r="Q280" t="str">
        <f>ROUNDUP(HLOOKUP(IF(CEILING(L280,0.5)&lt;1,1,CEILING(L280,0.5)),'배송비 조회'!A$32:AY$36,2,0),-2)</f>
        <v>#REF!</v>
      </c>
      <c r="R280">
        <v>0</v>
      </c>
      <c r="S280" t="str">
        <f>ROUND((P280+Q280)*0.6,-2)</f>
        <v>#REF!</v>
      </c>
      <c r="T280" t="str">
        <f>ROUND((P280+Q280)*0.7,-2)</f>
        <v>#REF!</v>
      </c>
      <c r="U280" t="str">
        <f>ROUND(SUM(P280+Q280+R280+S280), -2)</f>
        <v>#REF!</v>
      </c>
      <c r="V280" t="str">
        <f>ROUND(P280+Q280+R280+T280, -2)</f>
        <v>#REF!</v>
      </c>
      <c r="W280">
        <v>0</v>
      </c>
      <c r="X280" t="str">
        <f>U280*0.038</f>
        <v>#REF!</v>
      </c>
      <c r="Y280" t="str">
        <f>U280*0.02</f>
        <v>#REF!</v>
      </c>
      <c r="Z280" t="str">
        <f>V280*0.1</f>
        <v>#REF!</v>
      </c>
      <c r="AA280" t="str">
        <f>U280-X280-Y280</f>
        <v>#REF!</v>
      </c>
      <c r="AB280" t="str">
        <f>V280-Z280</f>
        <v>#REF!</v>
      </c>
      <c r="AC280" t="str">
        <f>AA280*0.01</f>
        <v>#REF!</v>
      </c>
      <c r="AD280" t="str">
        <f>AA280-P280-AC280-Q280</f>
        <v>#REF!</v>
      </c>
      <c r="AE280" t="str">
        <f>AB280-P280-Q280-AC280</f>
        <v>#REF!</v>
      </c>
      <c r="AF280" t="str">
        <f>AD280/U280</f>
        <v>#REF!</v>
      </c>
      <c r="AG280" t="str">
        <f>AE280/V280</f>
        <v>#REF!</v>
      </c>
    </row>
    <row r="281">
      <c r="G281" t="str">
        <v>A</v>
      </c>
      <c r="J281" t="str">
        <f>IF(K281&gt;0,K281*0.0625,IF(L281&gt;0,L281*2.204623,))</f>
        <v>#REF!</v>
      </c>
      <c r="K281" t="str">
        <f>IF(L281&gt;0,L281*35.273962,IF(J281&gt;0,J281*16,))</f>
        <v>#REF!</v>
      </c>
      <c r="L281" t="str">
        <f>IF(J281&gt;0,J281*0.453592,IF(K281&gt;0,K281*0.02835,))</f>
        <v>#REF!</v>
      </c>
      <c r="O281">
        <f>I281+N281+M281</f>
        <v>0</v>
      </c>
      <c r="P281">
        <f>O281*C$3</f>
        <v>0</v>
      </c>
      <c r="Q281" t="str">
        <f>ROUNDUP(HLOOKUP(IF(CEILING(L281,0.5)&lt;1,1,CEILING(L281,0.5)),'배송비 조회'!A$32:AY$36,2,0),-2)</f>
        <v>#REF!</v>
      </c>
      <c r="R281">
        <v>0</v>
      </c>
      <c r="S281" t="str">
        <f>ROUND((P281+Q281)*0.6,-2)</f>
        <v>#REF!</v>
      </c>
      <c r="T281" t="str">
        <f>ROUND((P281+Q281)*0.7,-2)</f>
        <v>#REF!</v>
      </c>
      <c r="U281" t="str">
        <f>ROUND(SUM(P281+Q281+R281+S281), -2)</f>
        <v>#REF!</v>
      </c>
      <c r="V281" t="str">
        <f>ROUND(P281+Q281+R281+T281, -2)</f>
        <v>#REF!</v>
      </c>
      <c r="W281">
        <v>0</v>
      </c>
      <c r="X281" t="str">
        <f>U281*0.038</f>
        <v>#REF!</v>
      </c>
      <c r="Y281" t="str">
        <f>U281*0.02</f>
        <v>#REF!</v>
      </c>
      <c r="Z281" t="str">
        <f>V281*0.1</f>
        <v>#REF!</v>
      </c>
      <c r="AA281" t="str">
        <f>U281-X281-Y281</f>
        <v>#REF!</v>
      </c>
      <c r="AB281" t="str">
        <f>V281-Z281</f>
        <v>#REF!</v>
      </c>
      <c r="AC281" t="str">
        <f>AA281*0.01</f>
        <v>#REF!</v>
      </c>
      <c r="AD281" t="str">
        <f>AA281-P281-AC281-Q281</f>
        <v>#REF!</v>
      </c>
      <c r="AE281" t="str">
        <f>AB281-P281-Q281-AC281</f>
        <v>#REF!</v>
      </c>
      <c r="AF281" t="str">
        <f>AD281/U281</f>
        <v>#REF!</v>
      </c>
      <c r="AG281" t="str">
        <f>AE281/V281</f>
        <v>#REF!</v>
      </c>
    </row>
    <row r="282">
      <c r="G282" t="str">
        <v>A</v>
      </c>
      <c r="J282" t="str">
        <f>IF(K282&gt;0,K282*0.0625,IF(L282&gt;0,L282*2.204623,))</f>
        <v>#REF!</v>
      </c>
      <c r="K282" t="str">
        <f>IF(L282&gt;0,L282*35.273962,IF(J282&gt;0,J282*16,))</f>
        <v>#REF!</v>
      </c>
      <c r="L282" t="str">
        <f>IF(J282&gt;0,J282*0.453592,IF(K282&gt;0,K282*0.02835,))</f>
        <v>#REF!</v>
      </c>
      <c r="O282">
        <f>I282+N282+M282</f>
        <v>0</v>
      </c>
      <c r="P282">
        <f>O282*C$3</f>
        <v>0</v>
      </c>
      <c r="Q282" t="str">
        <f>ROUNDUP(HLOOKUP(IF(CEILING(L282,0.5)&lt;1,1,CEILING(L282,0.5)),'배송비 조회'!A$32:AY$36,2,0),-2)</f>
        <v>#REF!</v>
      </c>
      <c r="R282">
        <v>0</v>
      </c>
      <c r="S282" t="str">
        <f>ROUND((P282+Q282)*0.6,-2)</f>
        <v>#REF!</v>
      </c>
      <c r="T282" t="str">
        <f>ROUND((P282+Q282)*0.7,-2)</f>
        <v>#REF!</v>
      </c>
      <c r="U282" t="str">
        <f>ROUND(SUM(P282+Q282+R282+S282), -2)</f>
        <v>#REF!</v>
      </c>
      <c r="V282" t="str">
        <f>ROUND(P282+Q282+R282+T282, -2)</f>
        <v>#REF!</v>
      </c>
      <c r="W282">
        <v>0</v>
      </c>
      <c r="X282" t="str">
        <f>U282*0.038</f>
        <v>#REF!</v>
      </c>
      <c r="Y282" t="str">
        <f>U282*0.02</f>
        <v>#REF!</v>
      </c>
      <c r="Z282" t="str">
        <f>V282*0.1</f>
        <v>#REF!</v>
      </c>
      <c r="AA282" t="str">
        <f>U282-X282-Y282</f>
        <v>#REF!</v>
      </c>
      <c r="AB282" t="str">
        <f>V282-Z282</f>
        <v>#REF!</v>
      </c>
      <c r="AC282" t="str">
        <f>AA282*0.01</f>
        <v>#REF!</v>
      </c>
      <c r="AD282" t="str">
        <f>AA282-P282-AC282-Q282</f>
        <v>#REF!</v>
      </c>
      <c r="AE282" t="str">
        <f>AB282-P282-Q282-AC282</f>
        <v>#REF!</v>
      </c>
      <c r="AF282" t="str">
        <f>AD282/U282</f>
        <v>#REF!</v>
      </c>
      <c r="AG282" t="str">
        <f>AE282/V282</f>
        <v>#REF!</v>
      </c>
    </row>
    <row r="283">
      <c r="G283" t="str">
        <v>A</v>
      </c>
      <c r="J283" t="str">
        <f>IF(K283&gt;0,K283*0.0625,IF(L283&gt;0,L283*2.204623,))</f>
        <v>#REF!</v>
      </c>
      <c r="K283" t="str">
        <f>IF(L283&gt;0,L283*35.273962,IF(J283&gt;0,J283*16,))</f>
        <v>#REF!</v>
      </c>
      <c r="L283" t="str">
        <f>IF(J283&gt;0,J283*0.453592,IF(K283&gt;0,K283*0.02835,))</f>
        <v>#REF!</v>
      </c>
      <c r="O283">
        <f>I283+N283+M283</f>
        <v>0</v>
      </c>
      <c r="P283">
        <f>O283*C$3</f>
        <v>0</v>
      </c>
      <c r="Q283" t="str">
        <f>ROUNDUP(HLOOKUP(IF(CEILING(L283,0.5)&lt;1,1,CEILING(L283,0.5)),'배송비 조회'!A$32:AY$36,2,0),-2)</f>
        <v>#REF!</v>
      </c>
      <c r="R283">
        <v>0</v>
      </c>
      <c r="S283" t="str">
        <f>ROUND((P283+Q283)*0.6,-2)</f>
        <v>#REF!</v>
      </c>
      <c r="T283" t="str">
        <f>ROUND((P283+Q283)*0.7,-2)</f>
        <v>#REF!</v>
      </c>
      <c r="U283" t="str">
        <f>ROUND(SUM(P283+Q283+R283+S283), -2)</f>
        <v>#REF!</v>
      </c>
      <c r="V283" t="str">
        <f>ROUND(P283+Q283+R283+T283, -2)</f>
        <v>#REF!</v>
      </c>
      <c r="W283">
        <v>0</v>
      </c>
      <c r="X283" t="str">
        <f>U283*0.038</f>
        <v>#REF!</v>
      </c>
      <c r="Y283" t="str">
        <f>U283*0.02</f>
        <v>#REF!</v>
      </c>
      <c r="Z283" t="str">
        <f>V283*0.1</f>
        <v>#REF!</v>
      </c>
      <c r="AA283" t="str">
        <f>U283-X283-Y283</f>
        <v>#REF!</v>
      </c>
      <c r="AB283" t="str">
        <f>V283-Z283</f>
        <v>#REF!</v>
      </c>
      <c r="AC283" t="str">
        <f>AA283*0.01</f>
        <v>#REF!</v>
      </c>
      <c r="AD283" t="str">
        <f>AA283-P283-AC283-Q283</f>
        <v>#REF!</v>
      </c>
      <c r="AE283" t="str">
        <f>AB283-P283-Q283-AC283</f>
        <v>#REF!</v>
      </c>
      <c r="AF283" t="str">
        <f>AD283/U283</f>
        <v>#REF!</v>
      </c>
      <c r="AG283" t="str">
        <f>AE283/V283</f>
        <v>#REF!</v>
      </c>
    </row>
    <row r="284">
      <c r="G284" t="str">
        <v>A</v>
      </c>
      <c r="J284" t="str">
        <f>IF(K284&gt;0,K284*0.0625,IF(L284&gt;0,L284*2.204623,))</f>
        <v>#REF!</v>
      </c>
      <c r="K284" t="str">
        <f>IF(L284&gt;0,L284*35.273962,IF(J284&gt;0,J284*16,))</f>
        <v>#REF!</v>
      </c>
      <c r="L284" t="str">
        <f>IF(J284&gt;0,J284*0.453592,IF(K284&gt;0,K284*0.02835,))</f>
        <v>#REF!</v>
      </c>
      <c r="O284">
        <f>I284+N284+M284</f>
        <v>0</v>
      </c>
      <c r="P284">
        <f>O284*C$3</f>
        <v>0</v>
      </c>
      <c r="Q284" t="str">
        <f>ROUNDUP(HLOOKUP(IF(CEILING(L284,0.5)&lt;1,1,CEILING(L284,0.5)),'배송비 조회'!A$32:AY$36,2,0),-2)</f>
        <v>#REF!</v>
      </c>
      <c r="R284">
        <v>0</v>
      </c>
      <c r="S284" t="str">
        <f>ROUND((P284+Q284)*0.6,-2)</f>
        <v>#REF!</v>
      </c>
      <c r="T284" t="str">
        <f>ROUND((P284+Q284)*0.7,-2)</f>
        <v>#REF!</v>
      </c>
      <c r="U284" t="str">
        <f>ROUND(SUM(P284+Q284+R284+S284), -2)</f>
        <v>#REF!</v>
      </c>
      <c r="V284" t="str">
        <f>ROUND(P284+Q284+R284+T284, -2)</f>
        <v>#REF!</v>
      </c>
      <c r="W284">
        <v>0</v>
      </c>
      <c r="X284" t="str">
        <f>U284*0.038</f>
        <v>#REF!</v>
      </c>
      <c r="Y284" t="str">
        <f>U284*0.02</f>
        <v>#REF!</v>
      </c>
      <c r="Z284" t="str">
        <f>V284*0.1</f>
        <v>#REF!</v>
      </c>
      <c r="AA284" t="str">
        <f>U284-X284-Y284</f>
        <v>#REF!</v>
      </c>
      <c r="AB284" t="str">
        <f>V284-Z284</f>
        <v>#REF!</v>
      </c>
      <c r="AC284" t="str">
        <f>AA284*0.01</f>
        <v>#REF!</v>
      </c>
      <c r="AD284" t="str">
        <f>AA284-P284-AC284-Q284</f>
        <v>#REF!</v>
      </c>
      <c r="AE284" t="str">
        <f>AB284-P284-Q284-AC284</f>
        <v>#REF!</v>
      </c>
      <c r="AF284" t="str">
        <f>AD284/U284</f>
        <v>#REF!</v>
      </c>
      <c r="AG284" t="str">
        <f>AE284/V284</f>
        <v>#REF!</v>
      </c>
    </row>
    <row r="285">
      <c r="G285" t="str">
        <v>A</v>
      </c>
      <c r="J285" t="str">
        <f>IF(K285&gt;0,K285*0.0625,IF(L285&gt;0,L285*2.204623,))</f>
        <v>#REF!</v>
      </c>
      <c r="K285" t="str">
        <f>IF(L285&gt;0,L285*35.273962,IF(J285&gt;0,J285*16,))</f>
        <v>#REF!</v>
      </c>
      <c r="L285" t="str">
        <f>IF(J285&gt;0,J285*0.453592,IF(K285&gt;0,K285*0.02835,))</f>
        <v>#REF!</v>
      </c>
      <c r="O285">
        <f>I285+N285+M285</f>
        <v>0</v>
      </c>
      <c r="P285">
        <f>O285*C$3</f>
        <v>0</v>
      </c>
      <c r="Q285" t="str">
        <f>ROUNDUP(HLOOKUP(IF(CEILING(L285,0.5)&lt;1,1,CEILING(L285,0.5)),'배송비 조회'!A$32:AY$36,2,0),-2)</f>
        <v>#REF!</v>
      </c>
      <c r="R285">
        <v>0</v>
      </c>
      <c r="S285" t="str">
        <f>ROUND((P285+Q285)*0.6,-2)</f>
        <v>#REF!</v>
      </c>
      <c r="T285" t="str">
        <f>ROUND((P285+Q285)*0.7,-2)</f>
        <v>#REF!</v>
      </c>
      <c r="U285" t="str">
        <f>ROUND(SUM(P285+Q285+R285+S285), -2)</f>
        <v>#REF!</v>
      </c>
      <c r="V285" t="str">
        <f>ROUND(P285+Q285+R285+T285, -2)</f>
        <v>#REF!</v>
      </c>
      <c r="W285">
        <v>0</v>
      </c>
      <c r="X285" t="str">
        <f>U285*0.038</f>
        <v>#REF!</v>
      </c>
      <c r="Y285" t="str">
        <f>U285*0.02</f>
        <v>#REF!</v>
      </c>
      <c r="Z285" t="str">
        <f>V285*0.1</f>
        <v>#REF!</v>
      </c>
      <c r="AA285" t="str">
        <f>U285-X285-Y285</f>
        <v>#REF!</v>
      </c>
      <c r="AB285" t="str">
        <f>V285-Z285</f>
        <v>#REF!</v>
      </c>
      <c r="AC285" t="str">
        <f>AA285*0.01</f>
        <v>#REF!</v>
      </c>
      <c r="AD285" t="str">
        <f>AA285-P285-AC285-Q285</f>
        <v>#REF!</v>
      </c>
      <c r="AE285" t="str">
        <f>AB285-P285-Q285-AC285</f>
        <v>#REF!</v>
      </c>
      <c r="AF285" t="str">
        <f>AD285/U285</f>
        <v>#REF!</v>
      </c>
      <c r="AG285" t="str">
        <f>AE285/V285</f>
        <v>#REF!</v>
      </c>
    </row>
    <row r="286">
      <c r="G286" t="str">
        <v>A</v>
      </c>
      <c r="J286" t="str">
        <f>IF(K286&gt;0,K286*0.0625,IF(L286&gt;0,L286*2.204623,))</f>
        <v>#REF!</v>
      </c>
      <c r="K286" t="str">
        <f>IF(L286&gt;0,L286*35.273962,IF(J286&gt;0,J286*16,))</f>
        <v>#REF!</v>
      </c>
      <c r="L286" t="str">
        <f>IF(J286&gt;0,J286*0.453592,IF(K286&gt;0,K286*0.02835,))</f>
        <v>#REF!</v>
      </c>
      <c r="O286">
        <f>I286+N286+M286</f>
        <v>0</v>
      </c>
      <c r="P286">
        <f>O286*C$3</f>
        <v>0</v>
      </c>
      <c r="Q286" t="str">
        <f>ROUNDUP(HLOOKUP(IF(CEILING(L286,0.5)&lt;1,1,CEILING(L286,0.5)),'배송비 조회'!A$32:AY$36,2,0),-2)</f>
        <v>#REF!</v>
      </c>
      <c r="R286">
        <v>0</v>
      </c>
      <c r="S286" t="str">
        <f>ROUND((P286+Q286)*0.6,-2)</f>
        <v>#REF!</v>
      </c>
      <c r="T286" t="str">
        <f>ROUND((P286+Q286)*0.7,-2)</f>
        <v>#REF!</v>
      </c>
      <c r="U286" t="str">
        <f>ROUND(SUM(P286+Q286+R286+S286), -2)</f>
        <v>#REF!</v>
      </c>
      <c r="V286" t="str">
        <f>ROUND(P286+Q286+R286+T286, -2)</f>
        <v>#REF!</v>
      </c>
      <c r="W286">
        <v>0</v>
      </c>
      <c r="X286" t="str">
        <f>U286*0.038</f>
        <v>#REF!</v>
      </c>
      <c r="Y286" t="str">
        <f>U286*0.02</f>
        <v>#REF!</v>
      </c>
      <c r="Z286" t="str">
        <f>V286*0.1</f>
        <v>#REF!</v>
      </c>
      <c r="AA286" t="str">
        <f>U286-X286-Y286</f>
        <v>#REF!</v>
      </c>
      <c r="AB286" t="str">
        <f>V286-Z286</f>
        <v>#REF!</v>
      </c>
      <c r="AC286" t="str">
        <f>AA286*0.01</f>
        <v>#REF!</v>
      </c>
      <c r="AD286" t="str">
        <f>AA286-P286-AC286-Q286</f>
        <v>#REF!</v>
      </c>
      <c r="AE286" t="str">
        <f>AB286-P286-Q286-AC286</f>
        <v>#REF!</v>
      </c>
      <c r="AF286" t="str">
        <f>AD286/U286</f>
        <v>#REF!</v>
      </c>
      <c r="AG286" t="str">
        <f>AE286/V286</f>
        <v>#REF!</v>
      </c>
    </row>
    <row r="287">
      <c r="G287" t="str">
        <v>A</v>
      </c>
      <c r="J287" t="str">
        <f>IF(K287&gt;0,K287*0.0625,IF(L287&gt;0,L287*2.204623,))</f>
        <v>#REF!</v>
      </c>
      <c r="K287" t="str">
        <f>IF(L287&gt;0,L287*35.273962,IF(J287&gt;0,J287*16,))</f>
        <v>#REF!</v>
      </c>
      <c r="L287" t="str">
        <f>IF(J287&gt;0,J287*0.453592,IF(K287&gt;0,K287*0.02835,))</f>
        <v>#REF!</v>
      </c>
      <c r="O287">
        <f>I287+N287+M287</f>
        <v>0</v>
      </c>
      <c r="P287">
        <f>O287*C$3</f>
        <v>0</v>
      </c>
      <c r="Q287" t="str">
        <f>ROUNDUP(HLOOKUP(IF(CEILING(L287,0.5)&lt;1,1,CEILING(L287,0.5)),'배송비 조회'!A$32:AY$36,2,0),-2)</f>
        <v>#REF!</v>
      </c>
      <c r="R287">
        <v>0</v>
      </c>
      <c r="S287" t="str">
        <f>ROUND((P287+Q287)*0.6,-2)</f>
        <v>#REF!</v>
      </c>
      <c r="T287" t="str">
        <f>ROUND((P287+Q287)*0.7,-2)</f>
        <v>#REF!</v>
      </c>
      <c r="U287" t="str">
        <f>ROUND(SUM(P287+Q287+R287+S287), -2)</f>
        <v>#REF!</v>
      </c>
      <c r="V287" t="str">
        <f>ROUND(P287+Q287+R287+T287, -2)</f>
        <v>#REF!</v>
      </c>
      <c r="W287">
        <v>0</v>
      </c>
      <c r="X287" t="str">
        <f>U287*0.038</f>
        <v>#REF!</v>
      </c>
      <c r="Y287" t="str">
        <f>U287*0.02</f>
        <v>#REF!</v>
      </c>
      <c r="Z287" t="str">
        <f>V287*0.1</f>
        <v>#REF!</v>
      </c>
      <c r="AA287" t="str">
        <f>U287-X287-Y287</f>
        <v>#REF!</v>
      </c>
      <c r="AB287" t="str">
        <f>V287-Z287</f>
        <v>#REF!</v>
      </c>
      <c r="AC287" t="str">
        <f>AA287*0.01</f>
        <v>#REF!</v>
      </c>
      <c r="AD287" t="str">
        <f>AA287-P287-AC287-Q287</f>
        <v>#REF!</v>
      </c>
      <c r="AE287" t="str">
        <f>AB287-P287-Q287-AC287</f>
        <v>#REF!</v>
      </c>
      <c r="AF287" t="str">
        <f>AD287/U287</f>
        <v>#REF!</v>
      </c>
      <c r="AG287" t="str">
        <f>AE287/V287</f>
        <v>#REF!</v>
      </c>
    </row>
    <row r="288">
      <c r="G288" t="str">
        <v>A</v>
      </c>
      <c r="J288" t="str">
        <f>IF(K288&gt;0,K288*0.0625,IF(L288&gt;0,L288*2.204623,))</f>
        <v>#REF!</v>
      </c>
      <c r="K288" t="str">
        <f>IF(L288&gt;0,L288*35.273962,IF(J288&gt;0,J288*16,))</f>
        <v>#REF!</v>
      </c>
      <c r="L288" t="str">
        <f>IF(J288&gt;0,J288*0.453592,IF(K288&gt;0,K288*0.02835,))</f>
        <v>#REF!</v>
      </c>
      <c r="O288">
        <f>I288+N288+M288</f>
        <v>0</v>
      </c>
      <c r="P288">
        <f>O288*C$3</f>
        <v>0</v>
      </c>
      <c r="Q288" t="str">
        <f>ROUNDUP(HLOOKUP(IF(CEILING(L288,0.5)&lt;1,1,CEILING(L288,0.5)),'배송비 조회'!A$32:AY$36,2,0),-2)</f>
        <v>#REF!</v>
      </c>
      <c r="R288">
        <v>0</v>
      </c>
      <c r="S288" t="str">
        <f>ROUND((P288+Q288)*0.6,-2)</f>
        <v>#REF!</v>
      </c>
      <c r="T288" t="str">
        <f>ROUND((P288+Q288)*0.7,-2)</f>
        <v>#REF!</v>
      </c>
      <c r="U288" t="str">
        <f>ROUND(SUM(P288+Q288+R288+S288), -2)</f>
        <v>#REF!</v>
      </c>
      <c r="V288" t="str">
        <f>ROUND(P288+Q288+R288+T288, -2)</f>
        <v>#REF!</v>
      </c>
      <c r="W288">
        <v>0</v>
      </c>
      <c r="X288" t="str">
        <f>U288*0.038</f>
        <v>#REF!</v>
      </c>
      <c r="Y288" t="str">
        <f>U288*0.02</f>
        <v>#REF!</v>
      </c>
      <c r="Z288" t="str">
        <f>V288*0.1</f>
        <v>#REF!</v>
      </c>
      <c r="AA288" t="str">
        <f>U288-X288-Y288</f>
        <v>#REF!</v>
      </c>
      <c r="AB288" t="str">
        <f>V288-Z288</f>
        <v>#REF!</v>
      </c>
      <c r="AC288" t="str">
        <f>AA288*0.01</f>
        <v>#REF!</v>
      </c>
      <c r="AD288" t="str">
        <f>AA288-P288-AC288-Q288</f>
        <v>#REF!</v>
      </c>
      <c r="AE288" t="str">
        <f>AB288-P288-Q288-AC288</f>
        <v>#REF!</v>
      </c>
      <c r="AF288" t="str">
        <f>AD288/U288</f>
        <v>#REF!</v>
      </c>
      <c r="AG288" t="str">
        <f>AE288/V288</f>
        <v>#REF!</v>
      </c>
    </row>
    <row r="289">
      <c r="G289" t="str">
        <v>A</v>
      </c>
      <c r="J289" t="str">
        <f>IF(K289&gt;0,K289*0.0625,IF(L289&gt;0,L289*2.204623,))</f>
        <v>#REF!</v>
      </c>
      <c r="K289" t="str">
        <f>IF(L289&gt;0,L289*35.273962,IF(J289&gt;0,J289*16,))</f>
        <v>#REF!</v>
      </c>
      <c r="L289" t="str">
        <f>IF(J289&gt;0,J289*0.453592,IF(K289&gt;0,K289*0.02835,))</f>
        <v>#REF!</v>
      </c>
      <c r="O289">
        <f>I289+N289+M289</f>
        <v>0</v>
      </c>
      <c r="P289">
        <f>O289*C$3</f>
        <v>0</v>
      </c>
      <c r="Q289" t="str">
        <f>ROUNDUP(HLOOKUP(IF(CEILING(L289,0.5)&lt;1,1,CEILING(L289,0.5)),'배송비 조회'!A$32:AY$36,2,0),-2)</f>
        <v>#REF!</v>
      </c>
      <c r="R289">
        <v>0</v>
      </c>
      <c r="S289" t="str">
        <f>ROUND((P289+Q289)*0.6,-2)</f>
        <v>#REF!</v>
      </c>
      <c r="T289" t="str">
        <f>ROUND((P289+Q289)*0.7,-2)</f>
        <v>#REF!</v>
      </c>
      <c r="U289" t="str">
        <f>ROUND(SUM(P289+Q289+R289+S289), -2)</f>
        <v>#REF!</v>
      </c>
      <c r="V289" t="str">
        <f>ROUND(P289+Q289+R289+T289, -2)</f>
        <v>#REF!</v>
      </c>
      <c r="W289">
        <v>0</v>
      </c>
      <c r="X289" t="str">
        <f>U289*0.038</f>
        <v>#REF!</v>
      </c>
      <c r="Y289" t="str">
        <f>U289*0.02</f>
        <v>#REF!</v>
      </c>
      <c r="Z289" t="str">
        <f>V289*0.1</f>
        <v>#REF!</v>
      </c>
      <c r="AA289" t="str">
        <f>U289-X289-Y289</f>
        <v>#REF!</v>
      </c>
      <c r="AB289" t="str">
        <f>V289-Z289</f>
        <v>#REF!</v>
      </c>
      <c r="AC289" t="str">
        <f>AA289*0.01</f>
        <v>#REF!</v>
      </c>
      <c r="AD289" t="str">
        <f>AA289-P289-AC289-Q289</f>
        <v>#REF!</v>
      </c>
      <c r="AE289" t="str">
        <f>AB289-P289-Q289-AC289</f>
        <v>#REF!</v>
      </c>
      <c r="AF289" t="str">
        <f>AD289/U289</f>
        <v>#REF!</v>
      </c>
      <c r="AG289" t="str">
        <f>AE289/V289</f>
        <v>#REF!</v>
      </c>
    </row>
    <row r="290">
      <c r="G290" t="str">
        <v>A</v>
      </c>
      <c r="J290" t="str">
        <f>IF(K290&gt;0,K290*0.0625,IF(L290&gt;0,L290*2.204623,))</f>
        <v>#REF!</v>
      </c>
      <c r="K290" t="str">
        <f>IF(L290&gt;0,L290*35.273962,IF(J290&gt;0,J290*16,))</f>
        <v>#REF!</v>
      </c>
      <c r="L290" t="str">
        <f>IF(J290&gt;0,J290*0.453592,IF(K290&gt;0,K290*0.02835,))</f>
        <v>#REF!</v>
      </c>
      <c r="O290">
        <f>I290+N290+M290</f>
        <v>0</v>
      </c>
      <c r="P290">
        <f>O290*C$3</f>
        <v>0</v>
      </c>
      <c r="Q290" t="str">
        <f>ROUNDUP(HLOOKUP(IF(CEILING(L290,0.5)&lt;1,1,CEILING(L290,0.5)),'배송비 조회'!A$32:AY$36,2,0),-2)</f>
        <v>#REF!</v>
      </c>
      <c r="R290">
        <v>0</v>
      </c>
      <c r="S290" t="str">
        <f>ROUND((P290+Q290)*0.6,-2)</f>
        <v>#REF!</v>
      </c>
      <c r="T290" t="str">
        <f>ROUND((P290+Q290)*0.7,-2)</f>
        <v>#REF!</v>
      </c>
      <c r="U290" t="str">
        <f>ROUND(SUM(P290+Q290+R290+S290), -2)</f>
        <v>#REF!</v>
      </c>
      <c r="V290" t="str">
        <f>ROUND(P290+Q290+R290+T290, -2)</f>
        <v>#REF!</v>
      </c>
      <c r="W290">
        <v>0</v>
      </c>
      <c r="X290" t="str">
        <f>U290*0.038</f>
        <v>#REF!</v>
      </c>
      <c r="Y290" t="str">
        <f>U290*0.02</f>
        <v>#REF!</v>
      </c>
      <c r="Z290" t="str">
        <f>V290*0.1</f>
        <v>#REF!</v>
      </c>
      <c r="AA290" t="str">
        <f>U290-X290-Y290</f>
        <v>#REF!</v>
      </c>
      <c r="AB290" t="str">
        <f>V290-Z290</f>
        <v>#REF!</v>
      </c>
      <c r="AC290" t="str">
        <f>AA290*0.01</f>
        <v>#REF!</v>
      </c>
      <c r="AD290" t="str">
        <f>AA290-P290-AC290-Q290</f>
        <v>#REF!</v>
      </c>
      <c r="AE290" t="str">
        <f>AB290-P290-Q290-AC290</f>
        <v>#REF!</v>
      </c>
      <c r="AF290" t="str">
        <f>AD290/U290</f>
        <v>#REF!</v>
      </c>
      <c r="AG290" t="str">
        <f>AE290/V290</f>
        <v>#REF!</v>
      </c>
    </row>
    <row r="291">
      <c r="G291" t="str">
        <v>A</v>
      </c>
      <c r="J291" t="str">
        <f>IF(K291&gt;0,K291*0.0625,IF(L291&gt;0,L291*2.204623,))</f>
        <v>#REF!</v>
      </c>
      <c r="K291" t="str">
        <f>IF(L291&gt;0,L291*35.273962,IF(J291&gt;0,J291*16,))</f>
        <v>#REF!</v>
      </c>
      <c r="L291" t="str">
        <f>IF(J291&gt;0,J291*0.453592,IF(K291&gt;0,K291*0.02835,))</f>
        <v>#REF!</v>
      </c>
      <c r="O291">
        <f>I291+N291+M291</f>
        <v>0</v>
      </c>
      <c r="P291">
        <f>O291*C$3</f>
        <v>0</v>
      </c>
      <c r="Q291" t="str">
        <f>ROUNDUP(HLOOKUP(IF(CEILING(L291,0.5)&lt;1,1,CEILING(L291,0.5)),'배송비 조회'!A$32:AY$36,2,0),-2)</f>
        <v>#REF!</v>
      </c>
      <c r="R291">
        <v>0</v>
      </c>
      <c r="S291" t="str">
        <f>ROUND((P291+Q291)*0.6,-2)</f>
        <v>#REF!</v>
      </c>
      <c r="T291" t="str">
        <f>ROUND((P291+Q291)*0.7,-2)</f>
        <v>#REF!</v>
      </c>
      <c r="U291" t="str">
        <f>ROUND(SUM(P291+Q291+R291+S291), -2)</f>
        <v>#REF!</v>
      </c>
      <c r="V291" t="str">
        <f>ROUND(P291+Q291+R291+T291, -2)</f>
        <v>#REF!</v>
      </c>
      <c r="W291">
        <v>0</v>
      </c>
      <c r="X291" t="str">
        <f>U291*0.038</f>
        <v>#REF!</v>
      </c>
      <c r="Y291" t="str">
        <f>U291*0.02</f>
        <v>#REF!</v>
      </c>
      <c r="Z291" t="str">
        <f>V291*0.1</f>
        <v>#REF!</v>
      </c>
      <c r="AA291" t="str">
        <f>U291-X291-Y291</f>
        <v>#REF!</v>
      </c>
      <c r="AB291" t="str">
        <f>V291-Z291</f>
        <v>#REF!</v>
      </c>
      <c r="AC291" t="str">
        <f>AA291*0.01</f>
        <v>#REF!</v>
      </c>
      <c r="AD291" t="str">
        <f>AA291-P291-AC291-Q291</f>
        <v>#REF!</v>
      </c>
      <c r="AE291" t="str">
        <f>AB291-P291-Q291-AC291</f>
        <v>#REF!</v>
      </c>
      <c r="AF291" t="str">
        <f>AD291/U291</f>
        <v>#REF!</v>
      </c>
      <c r="AG291" t="str">
        <f>AE291/V291</f>
        <v>#REF!</v>
      </c>
    </row>
    <row r="292">
      <c r="G292" t="str">
        <v>A</v>
      </c>
      <c r="J292" t="str">
        <f>IF(K292&gt;0,K292*0.0625,IF(L292&gt;0,L292*2.204623,))</f>
        <v>#REF!</v>
      </c>
      <c r="K292" t="str">
        <f>IF(L292&gt;0,L292*35.273962,IF(J292&gt;0,J292*16,))</f>
        <v>#REF!</v>
      </c>
      <c r="L292" t="str">
        <f>IF(J292&gt;0,J292*0.453592,IF(K292&gt;0,K292*0.02835,))</f>
        <v>#REF!</v>
      </c>
      <c r="O292">
        <f>I292+N292+M292</f>
        <v>0</v>
      </c>
      <c r="P292">
        <f>O292*C$3</f>
        <v>0</v>
      </c>
      <c r="Q292" t="str">
        <f>ROUNDUP(HLOOKUP(IF(CEILING(L292,0.5)&lt;1,1,CEILING(L292,0.5)),'배송비 조회'!A$32:AY$36,2,0),-2)</f>
        <v>#REF!</v>
      </c>
      <c r="R292">
        <v>0</v>
      </c>
      <c r="S292" t="str">
        <f>ROUND((P292+Q292)*0.6,-2)</f>
        <v>#REF!</v>
      </c>
      <c r="T292" t="str">
        <f>ROUND((P292+Q292)*0.7,-2)</f>
        <v>#REF!</v>
      </c>
      <c r="U292" t="str">
        <f>ROUND(SUM(P292+Q292+R292+S292), -2)</f>
        <v>#REF!</v>
      </c>
      <c r="V292" t="str">
        <f>ROUND(P292+Q292+R292+T292, -2)</f>
        <v>#REF!</v>
      </c>
      <c r="W292">
        <v>0</v>
      </c>
      <c r="X292" t="str">
        <f>U292*0.038</f>
        <v>#REF!</v>
      </c>
      <c r="Y292" t="str">
        <f>U292*0.02</f>
        <v>#REF!</v>
      </c>
      <c r="Z292" t="str">
        <f>V292*0.1</f>
        <v>#REF!</v>
      </c>
      <c r="AA292" t="str">
        <f>U292-X292-Y292</f>
        <v>#REF!</v>
      </c>
      <c r="AB292" t="str">
        <f>V292-Z292</f>
        <v>#REF!</v>
      </c>
      <c r="AC292" t="str">
        <f>AA292*0.01</f>
        <v>#REF!</v>
      </c>
      <c r="AD292" t="str">
        <f>AA292-P292-AC292-Q292</f>
        <v>#REF!</v>
      </c>
      <c r="AE292" t="str">
        <f>AB292-P292-Q292-AC292</f>
        <v>#REF!</v>
      </c>
      <c r="AF292" t="str">
        <f>AD292/U292</f>
        <v>#REF!</v>
      </c>
      <c r="AG292" t="str">
        <f>AE292/V292</f>
        <v>#REF!</v>
      </c>
    </row>
    <row r="293">
      <c r="G293" t="str">
        <v>A</v>
      </c>
      <c r="J293" t="str">
        <f>IF(K293&gt;0,K293*0.0625,IF(L293&gt;0,L293*2.204623,))</f>
        <v>#REF!</v>
      </c>
      <c r="K293" t="str">
        <f>IF(L293&gt;0,L293*35.273962,IF(J293&gt;0,J293*16,))</f>
        <v>#REF!</v>
      </c>
      <c r="L293" t="str">
        <f>IF(J293&gt;0,J293*0.453592,IF(K293&gt;0,K293*0.02835,))</f>
        <v>#REF!</v>
      </c>
      <c r="O293">
        <f>I293+N293+M293</f>
        <v>0</v>
      </c>
      <c r="P293">
        <f>O293*C$3</f>
        <v>0</v>
      </c>
      <c r="Q293" t="str">
        <f>ROUNDUP(HLOOKUP(IF(CEILING(L293,0.5)&lt;1,1,CEILING(L293,0.5)),'배송비 조회'!A$32:AY$36,2,0),-2)</f>
        <v>#REF!</v>
      </c>
      <c r="R293">
        <v>0</v>
      </c>
      <c r="S293" t="str">
        <f>ROUND((P293+Q293)*0.6,-2)</f>
        <v>#REF!</v>
      </c>
      <c r="T293" t="str">
        <f>ROUND((P293+Q293)*0.7,-2)</f>
        <v>#REF!</v>
      </c>
      <c r="U293" t="str">
        <f>ROUND(SUM(P293+Q293+R293+S293), -2)</f>
        <v>#REF!</v>
      </c>
      <c r="V293" t="str">
        <f>ROUND(P293+Q293+R293+T293, -2)</f>
        <v>#REF!</v>
      </c>
      <c r="W293">
        <v>0</v>
      </c>
      <c r="X293" t="str">
        <f>U293*0.038</f>
        <v>#REF!</v>
      </c>
      <c r="Y293" t="str">
        <f>U293*0.02</f>
        <v>#REF!</v>
      </c>
      <c r="Z293" t="str">
        <f>V293*0.1</f>
        <v>#REF!</v>
      </c>
      <c r="AA293" t="str">
        <f>U293-X293-Y293</f>
        <v>#REF!</v>
      </c>
      <c r="AB293" t="str">
        <f>V293-Z293</f>
        <v>#REF!</v>
      </c>
      <c r="AC293" t="str">
        <f>AA293*0.01</f>
        <v>#REF!</v>
      </c>
      <c r="AD293" t="str">
        <f>AA293-P293-AC293-Q293</f>
        <v>#REF!</v>
      </c>
      <c r="AE293" t="str">
        <f>AB293-P293-Q293-AC293</f>
        <v>#REF!</v>
      </c>
      <c r="AF293" t="str">
        <f>AD293/U293</f>
        <v>#REF!</v>
      </c>
      <c r="AG293" t="str">
        <f>AE293/V293</f>
        <v>#REF!</v>
      </c>
    </row>
    <row r="294">
      <c r="G294" t="str">
        <v>A</v>
      </c>
      <c r="J294" t="str">
        <f>IF(K294&gt;0,K294*0.0625,IF(L294&gt;0,L294*2.204623,))</f>
        <v>#REF!</v>
      </c>
      <c r="K294" t="str">
        <f>IF(L294&gt;0,L294*35.273962,IF(J294&gt;0,J294*16,))</f>
        <v>#REF!</v>
      </c>
      <c r="L294" t="str">
        <f>IF(J294&gt;0,J294*0.453592,IF(K294&gt;0,K294*0.02835,))</f>
        <v>#REF!</v>
      </c>
      <c r="O294">
        <f>I294+N294+M294</f>
        <v>0</v>
      </c>
      <c r="P294">
        <f>O294*C$3</f>
        <v>0</v>
      </c>
      <c r="Q294" t="str">
        <f>ROUNDUP(HLOOKUP(IF(CEILING(L294,0.5)&lt;1,1,CEILING(L294,0.5)),'배송비 조회'!A$32:AY$36,2,0),-2)</f>
        <v>#REF!</v>
      </c>
      <c r="R294">
        <v>0</v>
      </c>
      <c r="S294" t="str">
        <f>ROUND((P294+Q294)*0.6,-2)</f>
        <v>#REF!</v>
      </c>
      <c r="T294" t="str">
        <f>ROUND((P294+Q294)*0.7,-2)</f>
        <v>#REF!</v>
      </c>
      <c r="U294" t="str">
        <f>ROUND(SUM(P294+Q294+R294+S294), -2)</f>
        <v>#REF!</v>
      </c>
      <c r="V294" t="str">
        <f>ROUND(P294+Q294+R294+T294, -2)</f>
        <v>#REF!</v>
      </c>
      <c r="W294">
        <v>0</v>
      </c>
      <c r="X294" t="str">
        <f>U294*0.038</f>
        <v>#REF!</v>
      </c>
      <c r="Y294" t="str">
        <f>U294*0.02</f>
        <v>#REF!</v>
      </c>
      <c r="Z294" t="str">
        <f>V294*0.1</f>
        <v>#REF!</v>
      </c>
      <c r="AA294" t="str">
        <f>U294-X294-Y294</f>
        <v>#REF!</v>
      </c>
      <c r="AB294" t="str">
        <f>V294-Z294</f>
        <v>#REF!</v>
      </c>
      <c r="AC294" t="str">
        <f>AA294*0.01</f>
        <v>#REF!</v>
      </c>
      <c r="AD294" t="str">
        <f>AA294-P294-AC294-Q294</f>
        <v>#REF!</v>
      </c>
      <c r="AE294" t="str">
        <f>AB294-P294-Q294-AC294</f>
        <v>#REF!</v>
      </c>
      <c r="AF294" t="str">
        <f>AD294/U294</f>
        <v>#REF!</v>
      </c>
      <c r="AG294" t="str">
        <f>AE294/V294</f>
        <v>#REF!</v>
      </c>
    </row>
    <row r="295">
      <c r="G295" t="str">
        <v>A</v>
      </c>
      <c r="J295" t="str">
        <f>IF(K295&gt;0,K295*0.0625,IF(L295&gt;0,L295*2.204623,))</f>
        <v>#REF!</v>
      </c>
      <c r="K295" t="str">
        <f>IF(L295&gt;0,L295*35.273962,IF(J295&gt;0,J295*16,))</f>
        <v>#REF!</v>
      </c>
      <c r="L295" t="str">
        <f>IF(J295&gt;0,J295*0.453592,IF(K295&gt;0,K295*0.02835,))</f>
        <v>#REF!</v>
      </c>
      <c r="O295">
        <f>I295+N295+M295</f>
        <v>0</v>
      </c>
      <c r="P295">
        <f>O295*C$3</f>
        <v>0</v>
      </c>
      <c r="Q295" t="str">
        <f>ROUNDUP(HLOOKUP(IF(CEILING(L295,0.5)&lt;1,1,CEILING(L295,0.5)),'배송비 조회'!A$32:AY$36,2,0),-2)</f>
        <v>#REF!</v>
      </c>
      <c r="R295">
        <v>0</v>
      </c>
      <c r="S295" t="str">
        <f>ROUND((P295+Q295)*0.6,-2)</f>
        <v>#REF!</v>
      </c>
      <c r="T295" t="str">
        <f>ROUND((P295+Q295)*0.7,-2)</f>
        <v>#REF!</v>
      </c>
      <c r="U295" t="str">
        <f>ROUND(SUM(P295+Q295+R295+S295), -2)</f>
        <v>#REF!</v>
      </c>
      <c r="V295" t="str">
        <f>ROUND(P295+Q295+R295+T295, -2)</f>
        <v>#REF!</v>
      </c>
      <c r="W295">
        <v>0</v>
      </c>
      <c r="X295" t="str">
        <f>U295*0.038</f>
        <v>#REF!</v>
      </c>
      <c r="Y295" t="str">
        <f>U295*0.02</f>
        <v>#REF!</v>
      </c>
      <c r="Z295" t="str">
        <f>V295*0.1</f>
        <v>#REF!</v>
      </c>
      <c r="AA295" t="str">
        <f>U295-X295-Y295</f>
        <v>#REF!</v>
      </c>
      <c r="AB295" t="str">
        <f>V295-Z295</f>
        <v>#REF!</v>
      </c>
      <c r="AC295" t="str">
        <f>AA295*0.01</f>
        <v>#REF!</v>
      </c>
      <c r="AD295" t="str">
        <f>AA295-P295-AC295-Q295</f>
        <v>#REF!</v>
      </c>
      <c r="AE295" t="str">
        <f>AB295-P295-Q295-AC295</f>
        <v>#REF!</v>
      </c>
      <c r="AF295" t="str">
        <f>AD295/U295</f>
        <v>#REF!</v>
      </c>
      <c r="AG295" t="str">
        <f>AE295/V295</f>
        <v>#REF!</v>
      </c>
    </row>
    <row r="296">
      <c r="G296" t="str">
        <v>A</v>
      </c>
      <c r="J296" t="str">
        <f>IF(K296&gt;0,K296*0.0625,IF(L296&gt;0,L296*2.204623,))</f>
        <v>#REF!</v>
      </c>
      <c r="K296" t="str">
        <f>IF(L296&gt;0,L296*35.273962,IF(J296&gt;0,J296*16,))</f>
        <v>#REF!</v>
      </c>
      <c r="L296" t="str">
        <f>IF(J296&gt;0,J296*0.453592,IF(K296&gt;0,K296*0.02835,))</f>
        <v>#REF!</v>
      </c>
      <c r="O296">
        <f>I296+N296+M296</f>
        <v>0</v>
      </c>
      <c r="P296">
        <f>O296*C$3</f>
        <v>0</v>
      </c>
      <c r="Q296" t="str">
        <f>ROUNDUP(HLOOKUP(IF(CEILING(L296,0.5)&lt;1,1,CEILING(L296,0.5)),'배송비 조회'!A$32:AY$36,2,0),-2)</f>
        <v>#REF!</v>
      </c>
      <c r="R296">
        <v>0</v>
      </c>
      <c r="S296" t="str">
        <f>ROUND((P296+Q296)*0.6,-2)</f>
        <v>#REF!</v>
      </c>
      <c r="T296" t="str">
        <f>ROUND((P296+Q296)*0.7,-2)</f>
        <v>#REF!</v>
      </c>
      <c r="U296" t="str">
        <f>ROUND(SUM(P296+Q296+R296+S296), -2)</f>
        <v>#REF!</v>
      </c>
      <c r="V296" t="str">
        <f>ROUND(P296+Q296+R296+T296, -2)</f>
        <v>#REF!</v>
      </c>
      <c r="W296">
        <v>0</v>
      </c>
      <c r="X296" t="str">
        <f>U296*0.038</f>
        <v>#REF!</v>
      </c>
      <c r="Y296" t="str">
        <f>U296*0.02</f>
        <v>#REF!</v>
      </c>
      <c r="Z296" t="str">
        <f>V296*0.1</f>
        <v>#REF!</v>
      </c>
      <c r="AA296" t="str">
        <f>U296-X296-Y296</f>
        <v>#REF!</v>
      </c>
      <c r="AB296" t="str">
        <f>V296-Z296</f>
        <v>#REF!</v>
      </c>
      <c r="AC296" t="str">
        <f>AA296*0.01</f>
        <v>#REF!</v>
      </c>
      <c r="AD296" t="str">
        <f>AA296-P296-AC296-Q296</f>
        <v>#REF!</v>
      </c>
      <c r="AE296" t="str">
        <f>AB296-P296-Q296-AC296</f>
        <v>#REF!</v>
      </c>
      <c r="AF296" t="str">
        <f>AD296/U296</f>
        <v>#REF!</v>
      </c>
      <c r="AG296" t="str">
        <f>AE296/V296</f>
        <v>#REF!</v>
      </c>
    </row>
    <row r="297">
      <c r="G297" t="str">
        <v>A</v>
      </c>
      <c r="J297" t="str">
        <f>IF(K297&gt;0,K297*0.0625,IF(L297&gt;0,L297*2.204623,))</f>
        <v>#REF!</v>
      </c>
      <c r="K297" t="str">
        <f>IF(L297&gt;0,L297*35.273962,IF(J297&gt;0,J297*16,))</f>
        <v>#REF!</v>
      </c>
      <c r="L297" t="str">
        <f>IF(J297&gt;0,J297*0.453592,IF(K297&gt;0,K297*0.02835,))</f>
        <v>#REF!</v>
      </c>
      <c r="O297">
        <f>I297+N297+M297</f>
        <v>0</v>
      </c>
      <c r="P297">
        <f>O297*C$3</f>
        <v>0</v>
      </c>
      <c r="Q297" t="str">
        <f>ROUNDUP(HLOOKUP(IF(CEILING(L297,0.5)&lt;1,1,CEILING(L297,0.5)),'배송비 조회'!A$32:AY$36,2,0),-2)</f>
        <v>#REF!</v>
      </c>
      <c r="R297">
        <v>0</v>
      </c>
      <c r="S297" t="str">
        <f>ROUND((P297+Q297)*0.6,-2)</f>
        <v>#REF!</v>
      </c>
      <c r="T297" t="str">
        <f>ROUND((P297+Q297)*0.7,-2)</f>
        <v>#REF!</v>
      </c>
      <c r="U297" t="str">
        <f>ROUND(SUM(P297+Q297+R297+S297), -2)</f>
        <v>#REF!</v>
      </c>
      <c r="V297" t="str">
        <f>ROUND(P297+Q297+R297+T297, -2)</f>
        <v>#REF!</v>
      </c>
      <c r="W297">
        <v>0</v>
      </c>
      <c r="X297" t="str">
        <f>U297*0.038</f>
        <v>#REF!</v>
      </c>
      <c r="Y297" t="str">
        <f>U297*0.02</f>
        <v>#REF!</v>
      </c>
      <c r="Z297" t="str">
        <f>V297*0.1</f>
        <v>#REF!</v>
      </c>
      <c r="AA297" t="str">
        <f>U297-X297-Y297</f>
        <v>#REF!</v>
      </c>
      <c r="AB297" t="str">
        <f>V297-Z297</f>
        <v>#REF!</v>
      </c>
      <c r="AC297" t="str">
        <f>AA297*0.01</f>
        <v>#REF!</v>
      </c>
      <c r="AD297" t="str">
        <f>AA297-P297-AC297-Q297</f>
        <v>#REF!</v>
      </c>
      <c r="AE297" t="str">
        <f>AB297-P297-Q297-AC297</f>
        <v>#REF!</v>
      </c>
      <c r="AF297" t="str">
        <f>AD297/U297</f>
        <v>#REF!</v>
      </c>
      <c r="AG297" t="str">
        <f>AE297/V297</f>
        <v>#REF!</v>
      </c>
    </row>
    <row r="298">
      <c r="G298" t="str">
        <v>A</v>
      </c>
      <c r="J298" t="str">
        <f>IF(K298&gt;0,K298*0.0625,IF(L298&gt;0,L298*2.204623,))</f>
        <v>#REF!</v>
      </c>
      <c r="K298" t="str">
        <f>IF(L298&gt;0,L298*35.273962,IF(J298&gt;0,J298*16,))</f>
        <v>#REF!</v>
      </c>
      <c r="L298" t="str">
        <f>IF(J298&gt;0,J298*0.453592,IF(K298&gt;0,K298*0.02835,))</f>
        <v>#REF!</v>
      </c>
      <c r="O298">
        <f>I298+N298+M298</f>
        <v>0</v>
      </c>
      <c r="P298">
        <f>O298*C$3</f>
        <v>0</v>
      </c>
      <c r="Q298" t="str">
        <f>ROUNDUP(HLOOKUP(IF(CEILING(L298,0.5)&lt;1,1,CEILING(L298,0.5)),'배송비 조회'!A$32:AY$36,2,0),-2)</f>
        <v>#REF!</v>
      </c>
      <c r="R298">
        <v>0</v>
      </c>
      <c r="S298" t="str">
        <f>ROUND((P298+Q298)*0.6,-2)</f>
        <v>#REF!</v>
      </c>
      <c r="T298" t="str">
        <f>ROUND((P298+Q298)*0.7,-2)</f>
        <v>#REF!</v>
      </c>
      <c r="U298" t="str">
        <f>ROUND(SUM(P298+Q298+R298+S298), -2)</f>
        <v>#REF!</v>
      </c>
      <c r="V298" t="str">
        <f>ROUND(P298+Q298+R298+T298, -2)</f>
        <v>#REF!</v>
      </c>
      <c r="W298">
        <v>0</v>
      </c>
      <c r="X298" t="str">
        <f>U298*0.038</f>
        <v>#REF!</v>
      </c>
      <c r="Y298" t="str">
        <f>U298*0.02</f>
        <v>#REF!</v>
      </c>
      <c r="Z298" t="str">
        <f>V298*0.1</f>
        <v>#REF!</v>
      </c>
      <c r="AA298" t="str">
        <f>U298-X298-Y298</f>
        <v>#REF!</v>
      </c>
      <c r="AB298" t="str">
        <f>V298-Z298</f>
        <v>#REF!</v>
      </c>
      <c r="AC298" t="str">
        <f>AA298*0.01</f>
        <v>#REF!</v>
      </c>
      <c r="AD298" t="str">
        <f>AA298-P298-AC298-Q298</f>
        <v>#REF!</v>
      </c>
      <c r="AE298" t="str">
        <f>AB298-P298-Q298-AC298</f>
        <v>#REF!</v>
      </c>
      <c r="AF298" t="str">
        <f>AD298/U298</f>
        <v>#REF!</v>
      </c>
      <c r="AG298" t="str">
        <f>AE298/V298</f>
        <v>#REF!</v>
      </c>
    </row>
    <row r="299">
      <c r="G299" t="str">
        <v>A</v>
      </c>
      <c r="J299" t="str">
        <f>IF(K299&gt;0,K299*0.0625,IF(L299&gt;0,L299*2.204623,))</f>
        <v>#REF!</v>
      </c>
      <c r="K299" t="str">
        <f>IF(L299&gt;0,L299*35.273962,IF(J299&gt;0,J299*16,))</f>
        <v>#REF!</v>
      </c>
      <c r="L299" t="str">
        <f>IF(J299&gt;0,J299*0.453592,IF(K299&gt;0,K299*0.02835,))</f>
        <v>#REF!</v>
      </c>
      <c r="O299">
        <f>I299+N299+M299</f>
        <v>0</v>
      </c>
      <c r="P299">
        <f>O299*C$3</f>
        <v>0</v>
      </c>
      <c r="Q299" t="str">
        <f>ROUNDUP(HLOOKUP(IF(CEILING(L299,0.5)&lt;1,1,CEILING(L299,0.5)),'배송비 조회'!A$32:AY$36,2,0),-2)</f>
        <v>#REF!</v>
      </c>
      <c r="R299">
        <v>0</v>
      </c>
      <c r="S299" t="str">
        <f>ROUND((P299+Q299)*0.6,-2)</f>
        <v>#REF!</v>
      </c>
      <c r="T299" t="str">
        <f>ROUND((P299+Q299)*0.7,-2)</f>
        <v>#REF!</v>
      </c>
      <c r="U299" t="str">
        <f>ROUND(SUM(P299+Q299+R299+S299), -2)</f>
        <v>#REF!</v>
      </c>
      <c r="V299" t="str">
        <f>ROUND(P299+Q299+R299+T299, -2)</f>
        <v>#REF!</v>
      </c>
      <c r="W299">
        <v>0</v>
      </c>
      <c r="X299" t="str">
        <f>U299*0.038</f>
        <v>#REF!</v>
      </c>
      <c r="Y299" t="str">
        <f>U299*0.02</f>
        <v>#REF!</v>
      </c>
      <c r="Z299" t="str">
        <f>V299*0.1</f>
        <v>#REF!</v>
      </c>
      <c r="AA299" t="str">
        <f>U299-X299-Y299</f>
        <v>#REF!</v>
      </c>
      <c r="AB299" t="str">
        <f>V299-Z299</f>
        <v>#REF!</v>
      </c>
      <c r="AC299" t="str">
        <f>AA299*0.01</f>
        <v>#REF!</v>
      </c>
      <c r="AD299" t="str">
        <f>AA299-P299-AC299-Q299</f>
        <v>#REF!</v>
      </c>
      <c r="AE299" t="str">
        <f>AB299-P299-Q299-AC299</f>
        <v>#REF!</v>
      </c>
      <c r="AF299" t="str">
        <f>AD299/U299</f>
        <v>#REF!</v>
      </c>
      <c r="AG299" t="str">
        <f>AE299/V299</f>
        <v>#REF!</v>
      </c>
    </row>
    <row r="300">
      <c r="G300" t="str">
        <v>A</v>
      </c>
      <c r="J300" t="str">
        <f>IF(K300&gt;0,K300*0.0625,IF(L300&gt;0,L300*2.204623,))</f>
        <v>#REF!</v>
      </c>
      <c r="K300" t="str">
        <f>IF(L300&gt;0,L300*35.273962,IF(J300&gt;0,J300*16,))</f>
        <v>#REF!</v>
      </c>
      <c r="L300" t="str">
        <f>IF(J300&gt;0,J300*0.453592,IF(K300&gt;0,K300*0.02835,))</f>
        <v>#REF!</v>
      </c>
      <c r="O300">
        <f>I300+N300+M300</f>
        <v>0</v>
      </c>
      <c r="P300">
        <f>O300*C$3</f>
        <v>0</v>
      </c>
      <c r="Q300" t="str">
        <f>ROUNDUP(HLOOKUP(IF(CEILING(L300,0.5)&lt;1,1,CEILING(L300,0.5)),'배송비 조회'!A$32:AY$36,2,0),-2)</f>
        <v>#REF!</v>
      </c>
      <c r="R300">
        <v>0</v>
      </c>
      <c r="S300" t="str">
        <f>ROUND((P300+Q300)*0.6,-2)</f>
        <v>#REF!</v>
      </c>
      <c r="T300" t="str">
        <f>ROUND((P300+Q300)*0.7,-2)</f>
        <v>#REF!</v>
      </c>
      <c r="U300" t="str">
        <f>ROUND(SUM(P300+Q300+R300+S300), -2)</f>
        <v>#REF!</v>
      </c>
      <c r="V300" t="str">
        <f>ROUND(P300+Q300+R300+T300, -2)</f>
        <v>#REF!</v>
      </c>
      <c r="W300">
        <v>0</v>
      </c>
      <c r="X300" t="str">
        <f>U300*0.038</f>
        <v>#REF!</v>
      </c>
      <c r="Y300" t="str">
        <f>U300*0.02</f>
        <v>#REF!</v>
      </c>
      <c r="Z300" t="str">
        <f>V300*0.1</f>
        <v>#REF!</v>
      </c>
      <c r="AA300" t="str">
        <f>U300-X300-Y300</f>
        <v>#REF!</v>
      </c>
      <c r="AB300" t="str">
        <f>V300-Z300</f>
        <v>#REF!</v>
      </c>
      <c r="AC300" t="str">
        <f>AA300*0.01</f>
        <v>#REF!</v>
      </c>
      <c r="AD300" t="str">
        <f>AA300-P300-AC300-Q300</f>
        <v>#REF!</v>
      </c>
      <c r="AE300" t="str">
        <f>AB300-P300-Q300-AC300</f>
        <v>#REF!</v>
      </c>
      <c r="AF300" t="str">
        <f>AD300/U300</f>
        <v>#REF!</v>
      </c>
      <c r="AG300" t="str">
        <f>AE300/V300</f>
        <v>#REF!</v>
      </c>
    </row>
    <row r="301">
      <c r="G301" t="str">
        <v>A</v>
      </c>
      <c r="J301" t="str">
        <f>IF(K301&gt;0,K301*0.0625,IF(L301&gt;0,L301*2.204623,))</f>
        <v>#REF!</v>
      </c>
      <c r="K301" t="str">
        <f>IF(L301&gt;0,L301*35.273962,IF(J301&gt;0,J301*16,))</f>
        <v>#REF!</v>
      </c>
      <c r="L301" t="str">
        <f>IF(J301&gt;0,J301*0.453592,IF(K301&gt;0,K301*0.02835,))</f>
        <v>#REF!</v>
      </c>
      <c r="O301">
        <f>I301+N301+M301</f>
        <v>0</v>
      </c>
      <c r="P301">
        <f>O301*C$3</f>
        <v>0</v>
      </c>
      <c r="Q301" t="str">
        <f>ROUNDUP(HLOOKUP(IF(CEILING(L301,0.5)&lt;1,1,CEILING(L301,0.5)),'배송비 조회'!A$32:AY$36,2,0),-2)</f>
        <v>#REF!</v>
      </c>
      <c r="R301">
        <v>0</v>
      </c>
      <c r="S301" t="str">
        <f>ROUND((P301+Q301)*0.6,-2)</f>
        <v>#REF!</v>
      </c>
      <c r="T301" t="str">
        <f>ROUND((P301+Q301)*0.7,-2)</f>
        <v>#REF!</v>
      </c>
      <c r="U301" t="str">
        <f>ROUND(SUM(P301+Q301+R301+S301), -2)</f>
        <v>#REF!</v>
      </c>
      <c r="V301" t="str">
        <f>ROUND(P301+Q301+R301+T301, -2)</f>
        <v>#REF!</v>
      </c>
      <c r="W301">
        <v>0</v>
      </c>
      <c r="X301" t="str">
        <f>U301*0.038</f>
        <v>#REF!</v>
      </c>
      <c r="Y301" t="str">
        <f>U301*0.02</f>
        <v>#REF!</v>
      </c>
      <c r="Z301" t="str">
        <f>V301*0.1</f>
        <v>#REF!</v>
      </c>
      <c r="AA301" t="str">
        <f>U301-X301-Y301</f>
        <v>#REF!</v>
      </c>
      <c r="AB301" t="str">
        <f>V301-Z301</f>
        <v>#REF!</v>
      </c>
      <c r="AC301" t="str">
        <f>AA301*0.01</f>
        <v>#REF!</v>
      </c>
      <c r="AD301" t="str">
        <f>AA301-P301-AC301-Q301</f>
        <v>#REF!</v>
      </c>
      <c r="AE301" t="str">
        <f>AB301-P301-Q301-AC301</f>
        <v>#REF!</v>
      </c>
      <c r="AF301" t="str">
        <f>AD301/U301</f>
        <v>#REF!</v>
      </c>
      <c r="AG301" t="str">
        <f>AE301/V301</f>
        <v>#REF!</v>
      </c>
    </row>
    <row r="302">
      <c r="G302" t="str">
        <v>A</v>
      </c>
      <c r="J302" t="str">
        <f>IF(K302&gt;0,K302*0.0625,IF(L302&gt;0,L302*2.204623,))</f>
        <v>#REF!</v>
      </c>
      <c r="K302" t="str">
        <f>IF(L302&gt;0,L302*35.273962,IF(J302&gt;0,J302*16,))</f>
        <v>#REF!</v>
      </c>
      <c r="L302" t="str">
        <f>IF(J302&gt;0,J302*0.453592,IF(K302&gt;0,K302*0.02835,))</f>
        <v>#REF!</v>
      </c>
      <c r="O302">
        <f>I302+N302+M302</f>
        <v>0</v>
      </c>
      <c r="P302">
        <f>O302*C$3</f>
        <v>0</v>
      </c>
      <c r="Q302" t="str">
        <f>ROUNDUP(HLOOKUP(IF(CEILING(L302,0.5)&lt;1,1,CEILING(L302,0.5)),'배송비 조회'!A$32:AY$36,2,0),-2)</f>
        <v>#REF!</v>
      </c>
      <c r="R302">
        <v>0</v>
      </c>
      <c r="S302" t="str">
        <f>ROUND((P302+Q302)*0.6,-2)</f>
        <v>#REF!</v>
      </c>
      <c r="T302" t="str">
        <f>ROUND((P302+Q302)*0.7,-2)</f>
        <v>#REF!</v>
      </c>
      <c r="U302" t="str">
        <f>ROUND(SUM(P302+Q302+R302+S302), -2)</f>
        <v>#REF!</v>
      </c>
      <c r="V302" t="str">
        <f>ROUND(P302+Q302+R302+T302, -2)</f>
        <v>#REF!</v>
      </c>
      <c r="W302">
        <v>0</v>
      </c>
      <c r="X302" t="str">
        <f>U302*0.038</f>
        <v>#REF!</v>
      </c>
      <c r="Y302" t="str">
        <f>U302*0.02</f>
        <v>#REF!</v>
      </c>
      <c r="Z302" t="str">
        <f>V302*0.1</f>
        <v>#REF!</v>
      </c>
      <c r="AA302" t="str">
        <f>U302-X302-Y302</f>
        <v>#REF!</v>
      </c>
      <c r="AB302" t="str">
        <f>V302-Z302</f>
        <v>#REF!</v>
      </c>
      <c r="AC302" t="str">
        <f>AA302*0.01</f>
        <v>#REF!</v>
      </c>
      <c r="AD302" t="str">
        <f>AA302-P302-AC302-Q302</f>
        <v>#REF!</v>
      </c>
      <c r="AE302" t="str">
        <f>AB302-P302-Q302-AC302</f>
        <v>#REF!</v>
      </c>
      <c r="AF302" t="str">
        <f>AD302/U302</f>
        <v>#REF!</v>
      </c>
      <c r="AG302" t="str">
        <f>AE302/V302</f>
        <v>#REF!</v>
      </c>
    </row>
    <row r="303">
      <c r="G303" t="str">
        <v>A</v>
      </c>
      <c r="J303" t="str">
        <f>IF(K303&gt;0,K303*0.0625,IF(L303&gt;0,L303*2.204623,))</f>
        <v>#REF!</v>
      </c>
      <c r="K303" t="str">
        <f>IF(L303&gt;0,L303*35.273962,IF(J303&gt;0,J303*16,))</f>
        <v>#REF!</v>
      </c>
      <c r="L303" t="str">
        <f>IF(J303&gt;0,J303*0.453592,IF(K303&gt;0,K303*0.02835,))</f>
        <v>#REF!</v>
      </c>
      <c r="O303">
        <f>I303+N303+M303</f>
        <v>0</v>
      </c>
      <c r="P303">
        <f>O303*C$3</f>
        <v>0</v>
      </c>
      <c r="Q303" t="str">
        <f>ROUNDUP(HLOOKUP(IF(CEILING(L303,0.5)&lt;1,1,CEILING(L303,0.5)),'배송비 조회'!A$32:AY$36,2,0),-2)</f>
        <v>#REF!</v>
      </c>
      <c r="R303">
        <v>0</v>
      </c>
      <c r="S303" t="str">
        <f>ROUND((P303+Q303)*0.6,-2)</f>
        <v>#REF!</v>
      </c>
      <c r="T303" t="str">
        <f>ROUND((P303+Q303)*0.7,-2)</f>
        <v>#REF!</v>
      </c>
      <c r="U303" t="str">
        <f>ROUND(SUM(P303+Q303+R303+S303), -2)</f>
        <v>#REF!</v>
      </c>
      <c r="V303" t="str">
        <f>ROUND(P303+Q303+R303+T303, -2)</f>
        <v>#REF!</v>
      </c>
      <c r="W303">
        <v>0</v>
      </c>
      <c r="X303" t="str">
        <f>U303*0.038</f>
        <v>#REF!</v>
      </c>
      <c r="Y303" t="str">
        <f>U303*0.02</f>
        <v>#REF!</v>
      </c>
      <c r="Z303" t="str">
        <f>V303*0.1</f>
        <v>#REF!</v>
      </c>
      <c r="AA303" t="str">
        <f>U303-X303-Y303</f>
        <v>#REF!</v>
      </c>
      <c r="AB303" t="str">
        <f>V303-Z303</f>
        <v>#REF!</v>
      </c>
      <c r="AC303" t="str">
        <f>AA303*0.01</f>
        <v>#REF!</v>
      </c>
      <c r="AD303" t="str">
        <f>AA303-P303-AC303-Q303</f>
        <v>#REF!</v>
      </c>
      <c r="AE303" t="str">
        <f>AB303-P303-Q303-AC303</f>
        <v>#REF!</v>
      </c>
      <c r="AF303" t="str">
        <f>AD303/U303</f>
        <v>#REF!</v>
      </c>
      <c r="AG303" t="str">
        <f>AE303/V303</f>
        <v>#REF!</v>
      </c>
    </row>
    <row r="304">
      <c r="G304" t="str">
        <v>A</v>
      </c>
      <c r="J304" t="str">
        <f>IF(K304&gt;0,K304*0.0625,IF(L304&gt;0,L304*2.204623,))</f>
        <v>#REF!</v>
      </c>
      <c r="K304" t="str">
        <f>IF(L304&gt;0,L304*35.273962,IF(J304&gt;0,J304*16,))</f>
        <v>#REF!</v>
      </c>
      <c r="L304" t="str">
        <f>IF(J304&gt;0,J304*0.453592,IF(K304&gt;0,K304*0.02835,))</f>
        <v>#REF!</v>
      </c>
      <c r="O304">
        <f>I304+N304+M304</f>
        <v>0</v>
      </c>
      <c r="P304">
        <f>O304*C$3</f>
        <v>0</v>
      </c>
      <c r="Q304" t="str">
        <f>ROUNDUP(HLOOKUP(IF(CEILING(L304,0.5)&lt;1,1,CEILING(L304,0.5)),'배송비 조회'!A$32:AY$36,2,0),-2)</f>
        <v>#REF!</v>
      </c>
      <c r="R304">
        <v>0</v>
      </c>
      <c r="S304" t="str">
        <f>ROUND((P304+Q304)*0.6,-2)</f>
        <v>#REF!</v>
      </c>
      <c r="T304" t="str">
        <f>ROUND((P304+Q304)*0.7,-2)</f>
        <v>#REF!</v>
      </c>
      <c r="U304" t="str">
        <f>ROUND(SUM(P304+Q304+R304+S304), -2)</f>
        <v>#REF!</v>
      </c>
      <c r="V304" t="str">
        <f>ROUND(P304+Q304+R304+T304, -2)</f>
        <v>#REF!</v>
      </c>
      <c r="W304">
        <v>0</v>
      </c>
      <c r="X304" t="str">
        <f>U304*0.038</f>
        <v>#REF!</v>
      </c>
      <c r="Y304" t="str">
        <f>U304*0.02</f>
        <v>#REF!</v>
      </c>
      <c r="Z304" t="str">
        <f>V304*0.1</f>
        <v>#REF!</v>
      </c>
      <c r="AA304" t="str">
        <f>U304-X304-Y304</f>
        <v>#REF!</v>
      </c>
      <c r="AB304" t="str">
        <f>V304-Z304</f>
        <v>#REF!</v>
      </c>
      <c r="AC304" t="str">
        <f>AA304*0.01</f>
        <v>#REF!</v>
      </c>
      <c r="AD304" t="str">
        <f>AA304-P304-AC304-Q304</f>
        <v>#REF!</v>
      </c>
      <c r="AE304" t="str">
        <f>AB304-P304-Q304-AC304</f>
        <v>#REF!</v>
      </c>
      <c r="AF304" t="str">
        <f>AD304/U304</f>
        <v>#REF!</v>
      </c>
      <c r="AG304" t="str">
        <f>AE304/V304</f>
        <v>#REF!</v>
      </c>
    </row>
    <row r="305">
      <c r="G305" t="str">
        <v>A</v>
      </c>
      <c r="J305" t="str">
        <f>IF(K305&gt;0,K305*0.0625,IF(L305&gt;0,L305*2.204623,))</f>
        <v>#REF!</v>
      </c>
      <c r="K305" t="str">
        <f>IF(L305&gt;0,L305*35.273962,IF(J305&gt;0,J305*16,))</f>
        <v>#REF!</v>
      </c>
      <c r="L305" t="str">
        <f>IF(J305&gt;0,J305*0.453592,IF(K305&gt;0,K305*0.02835,))</f>
        <v>#REF!</v>
      </c>
      <c r="O305">
        <f>I305+N305+M305</f>
        <v>0</v>
      </c>
      <c r="P305">
        <f>O305*C$3</f>
        <v>0</v>
      </c>
      <c r="Q305" t="str">
        <f>ROUNDUP(HLOOKUP(IF(CEILING(L305,0.5)&lt;1,1,CEILING(L305,0.5)),'배송비 조회'!A$32:AY$36,2,0),-2)</f>
        <v>#REF!</v>
      </c>
      <c r="R305">
        <v>0</v>
      </c>
      <c r="S305" t="str">
        <f>ROUND((P305+Q305)*0.6,-2)</f>
        <v>#REF!</v>
      </c>
      <c r="T305" t="str">
        <f>ROUND((P305+Q305)*0.7,-2)</f>
        <v>#REF!</v>
      </c>
      <c r="U305" t="str">
        <f>ROUND(SUM(P305+Q305+R305+S305), -2)</f>
        <v>#REF!</v>
      </c>
      <c r="V305" t="str">
        <f>ROUND(P305+Q305+R305+T305, -2)</f>
        <v>#REF!</v>
      </c>
      <c r="W305">
        <v>0</v>
      </c>
      <c r="X305" t="str">
        <f>U305*0.038</f>
        <v>#REF!</v>
      </c>
      <c r="Y305" t="str">
        <f>U305*0.02</f>
        <v>#REF!</v>
      </c>
      <c r="Z305" t="str">
        <f>V305*0.1</f>
        <v>#REF!</v>
      </c>
      <c r="AA305" t="str">
        <f>U305-X305-Y305</f>
        <v>#REF!</v>
      </c>
      <c r="AB305" t="str">
        <f>V305-Z305</f>
        <v>#REF!</v>
      </c>
      <c r="AC305" t="str">
        <f>AA305*0.01</f>
        <v>#REF!</v>
      </c>
      <c r="AD305" t="str">
        <f>AA305-P305-AC305-Q305</f>
        <v>#REF!</v>
      </c>
      <c r="AE305" t="str">
        <f>AB305-P305-Q305-AC305</f>
        <v>#REF!</v>
      </c>
      <c r="AF305" t="str">
        <f>AD305/U305</f>
        <v>#REF!</v>
      </c>
      <c r="AG305" t="str">
        <f>AE305/V305</f>
        <v>#REF!</v>
      </c>
    </row>
    <row r="306">
      <c r="G306" t="str">
        <v>A</v>
      </c>
      <c r="J306" t="str">
        <f>IF(K306&gt;0,K306*0.0625,IF(L306&gt;0,L306*2.204623,))</f>
        <v>#REF!</v>
      </c>
      <c r="K306" t="str">
        <f>IF(L306&gt;0,L306*35.273962,IF(J306&gt;0,J306*16,))</f>
        <v>#REF!</v>
      </c>
      <c r="L306" t="str">
        <f>IF(J306&gt;0,J306*0.453592,IF(K306&gt;0,K306*0.02835,))</f>
        <v>#REF!</v>
      </c>
      <c r="O306">
        <f>I306+N306+M306</f>
        <v>0</v>
      </c>
      <c r="P306">
        <f>O306*C$3</f>
        <v>0</v>
      </c>
      <c r="Q306" t="str">
        <f>ROUNDUP(HLOOKUP(IF(CEILING(L306,0.5)&lt;1,1,CEILING(L306,0.5)),'배송비 조회'!A$32:AY$36,2,0),-2)</f>
        <v>#REF!</v>
      </c>
      <c r="R306">
        <v>0</v>
      </c>
      <c r="S306" t="str">
        <f>ROUND((P306+Q306)*0.6,-2)</f>
        <v>#REF!</v>
      </c>
      <c r="T306" t="str">
        <f>ROUND((P306+Q306)*0.7,-2)</f>
        <v>#REF!</v>
      </c>
      <c r="U306" t="str">
        <f>ROUND(SUM(P306+Q306+R306+S306), -2)</f>
        <v>#REF!</v>
      </c>
      <c r="V306" t="str">
        <f>ROUND(P306+Q306+R306+T306, -2)</f>
        <v>#REF!</v>
      </c>
      <c r="W306">
        <v>0</v>
      </c>
      <c r="X306" t="str">
        <f>U306*0.038</f>
        <v>#REF!</v>
      </c>
      <c r="Y306" t="str">
        <f>U306*0.02</f>
        <v>#REF!</v>
      </c>
      <c r="Z306" t="str">
        <f>V306*0.1</f>
        <v>#REF!</v>
      </c>
      <c r="AA306" t="str">
        <f>U306-X306-Y306</f>
        <v>#REF!</v>
      </c>
      <c r="AB306" t="str">
        <f>V306-Z306</f>
        <v>#REF!</v>
      </c>
      <c r="AC306" t="str">
        <f>AA306*0.01</f>
        <v>#REF!</v>
      </c>
      <c r="AD306" t="str">
        <f>AA306-P306-AC306-Q306</f>
        <v>#REF!</v>
      </c>
      <c r="AE306" t="str">
        <f>AB306-P306-Q306-AC306</f>
        <v>#REF!</v>
      </c>
      <c r="AF306" t="str">
        <f>AD306/U306</f>
        <v>#REF!</v>
      </c>
      <c r="AG306" t="str">
        <f>AE306/V306</f>
        <v>#REF!</v>
      </c>
    </row>
    <row r="307">
      <c r="G307" t="str">
        <v>A</v>
      </c>
      <c r="J307" t="str">
        <f>IF(K307&gt;0,K307*0.0625,IF(L307&gt;0,L307*2.204623,))</f>
        <v>#REF!</v>
      </c>
      <c r="K307" t="str">
        <f>IF(L307&gt;0,L307*35.273962,IF(J307&gt;0,J307*16,))</f>
        <v>#REF!</v>
      </c>
      <c r="L307" t="str">
        <f>IF(J307&gt;0,J307*0.453592,IF(K307&gt;0,K307*0.02835,))</f>
        <v>#REF!</v>
      </c>
      <c r="O307">
        <f>I307+N307+M307</f>
        <v>0</v>
      </c>
      <c r="P307">
        <f>O307*C$3</f>
        <v>0</v>
      </c>
      <c r="Q307" t="str">
        <f>ROUNDUP(HLOOKUP(IF(CEILING(L307,0.5)&lt;1,1,CEILING(L307,0.5)),'배송비 조회'!A$32:AY$36,2,0),-2)</f>
        <v>#REF!</v>
      </c>
      <c r="R307">
        <v>0</v>
      </c>
      <c r="S307" t="str">
        <f>ROUND((P307+Q307)*0.6,-2)</f>
        <v>#REF!</v>
      </c>
      <c r="T307" t="str">
        <f>ROUND((P307+Q307)*0.7,-2)</f>
        <v>#REF!</v>
      </c>
      <c r="U307" t="str">
        <f>ROUND(SUM(P307+Q307+R307+S307), -2)</f>
        <v>#REF!</v>
      </c>
      <c r="V307" t="str">
        <f>ROUND(P307+Q307+R307+T307, -2)</f>
        <v>#REF!</v>
      </c>
      <c r="W307">
        <v>0</v>
      </c>
      <c r="X307" t="str">
        <f>U307*0.038</f>
        <v>#REF!</v>
      </c>
      <c r="Y307" t="str">
        <f>U307*0.02</f>
        <v>#REF!</v>
      </c>
      <c r="Z307" t="str">
        <f>V307*0.1</f>
        <v>#REF!</v>
      </c>
      <c r="AA307" t="str">
        <f>U307-X307-Y307</f>
        <v>#REF!</v>
      </c>
      <c r="AB307" t="str">
        <f>V307-Z307</f>
        <v>#REF!</v>
      </c>
      <c r="AC307" t="str">
        <f>AA307*0.01</f>
        <v>#REF!</v>
      </c>
      <c r="AD307" t="str">
        <f>AA307-P307-AC307-Q307</f>
        <v>#REF!</v>
      </c>
      <c r="AE307" t="str">
        <f>AB307-P307-Q307-AC307</f>
        <v>#REF!</v>
      </c>
      <c r="AF307" t="str">
        <f>AD307/U307</f>
        <v>#REF!</v>
      </c>
      <c r="AG307" t="str">
        <f>AE307/V307</f>
        <v>#REF!</v>
      </c>
    </row>
    <row r="308">
      <c r="G308" t="str">
        <v>A</v>
      </c>
      <c r="J308" t="str">
        <f>IF(K308&gt;0,K308*0.0625,IF(L308&gt;0,L308*2.204623,))</f>
        <v>#REF!</v>
      </c>
      <c r="K308" t="str">
        <f>IF(L308&gt;0,L308*35.273962,IF(J308&gt;0,J308*16,))</f>
        <v>#REF!</v>
      </c>
      <c r="L308" t="str">
        <f>IF(J308&gt;0,J308*0.453592,IF(K308&gt;0,K308*0.02835,))</f>
        <v>#REF!</v>
      </c>
      <c r="O308">
        <f>I308+N308+M308</f>
        <v>0</v>
      </c>
      <c r="P308">
        <f>O308*C$3</f>
        <v>0</v>
      </c>
      <c r="Q308" t="str">
        <f>ROUNDUP(HLOOKUP(IF(CEILING(L308,0.5)&lt;1,1,CEILING(L308,0.5)),'배송비 조회'!A$32:AY$36,2,0),-2)</f>
        <v>#REF!</v>
      </c>
      <c r="R308">
        <v>0</v>
      </c>
      <c r="S308" t="str">
        <f>ROUND((P308+Q308)*0.6,-2)</f>
        <v>#REF!</v>
      </c>
      <c r="T308" t="str">
        <f>ROUND((P308+Q308)*0.7,-2)</f>
        <v>#REF!</v>
      </c>
      <c r="U308" t="str">
        <f>ROUND(SUM(P308+Q308+R308+S308), -2)</f>
        <v>#REF!</v>
      </c>
      <c r="V308" t="str">
        <f>ROUND(P308+Q308+R308+T308, -2)</f>
        <v>#REF!</v>
      </c>
      <c r="W308">
        <v>0</v>
      </c>
      <c r="X308" t="str">
        <f>U308*0.038</f>
        <v>#REF!</v>
      </c>
      <c r="Y308" t="str">
        <f>U308*0.02</f>
        <v>#REF!</v>
      </c>
      <c r="Z308" t="str">
        <f>V308*0.1</f>
        <v>#REF!</v>
      </c>
      <c r="AA308" t="str">
        <f>U308-X308-Y308</f>
        <v>#REF!</v>
      </c>
      <c r="AB308" t="str">
        <f>V308-Z308</f>
        <v>#REF!</v>
      </c>
      <c r="AC308" t="str">
        <f>AA308*0.01</f>
        <v>#REF!</v>
      </c>
      <c r="AD308" t="str">
        <f>AA308-P308-AC308-Q308</f>
        <v>#REF!</v>
      </c>
      <c r="AE308" t="str">
        <f>AB308-P308-Q308-AC308</f>
        <v>#REF!</v>
      </c>
      <c r="AF308" t="str">
        <f>AD308/U308</f>
        <v>#REF!</v>
      </c>
      <c r="AG308" t="str">
        <f>AE308/V308</f>
        <v>#REF!</v>
      </c>
    </row>
    <row r="309">
      <c r="G309" t="str">
        <v>A</v>
      </c>
      <c r="J309" t="str">
        <f>IF(K309&gt;0,K309*0.0625,IF(L309&gt;0,L309*2.204623,))</f>
        <v>#REF!</v>
      </c>
      <c r="K309" t="str">
        <f>IF(L309&gt;0,L309*35.273962,IF(J309&gt;0,J309*16,))</f>
        <v>#REF!</v>
      </c>
      <c r="L309" t="str">
        <f>IF(J309&gt;0,J309*0.453592,IF(K309&gt;0,K309*0.02835,))</f>
        <v>#REF!</v>
      </c>
      <c r="O309">
        <f>I309+N309+M309</f>
        <v>0</v>
      </c>
      <c r="P309">
        <f>O309*C$3</f>
        <v>0</v>
      </c>
      <c r="Q309" t="str">
        <f>ROUNDUP(HLOOKUP(IF(CEILING(L309,0.5)&lt;1,1,CEILING(L309,0.5)),'배송비 조회'!A$32:AY$36,2,0),-2)</f>
        <v>#REF!</v>
      </c>
      <c r="R309">
        <v>0</v>
      </c>
      <c r="S309" t="str">
        <f>ROUND((P309+Q309)*0.6,-2)</f>
        <v>#REF!</v>
      </c>
      <c r="T309" t="str">
        <f>ROUND((P309+Q309)*0.7,-2)</f>
        <v>#REF!</v>
      </c>
      <c r="U309" t="str">
        <f>ROUND(SUM(P309+Q309+R309+S309), -2)</f>
        <v>#REF!</v>
      </c>
      <c r="V309" t="str">
        <f>ROUND(P309+Q309+R309+T309, -2)</f>
        <v>#REF!</v>
      </c>
      <c r="W309">
        <v>0</v>
      </c>
      <c r="X309" t="str">
        <f>U309*0.038</f>
        <v>#REF!</v>
      </c>
      <c r="Y309" t="str">
        <f>U309*0.02</f>
        <v>#REF!</v>
      </c>
      <c r="Z309" t="str">
        <f>V309*0.1</f>
        <v>#REF!</v>
      </c>
      <c r="AA309" t="str">
        <f>U309-X309-Y309</f>
        <v>#REF!</v>
      </c>
      <c r="AB309" t="str">
        <f>V309-Z309</f>
        <v>#REF!</v>
      </c>
      <c r="AC309" t="str">
        <f>AA309*0.01</f>
        <v>#REF!</v>
      </c>
      <c r="AD309" t="str">
        <f>AA309-P309-AC309-Q309</f>
        <v>#REF!</v>
      </c>
      <c r="AE309" t="str">
        <f>AB309-P309-Q309-AC309</f>
        <v>#REF!</v>
      </c>
      <c r="AF309" t="str">
        <f>AD309/U309</f>
        <v>#REF!</v>
      </c>
      <c r="AG309" t="str">
        <f>AE309/V309</f>
        <v>#REF!</v>
      </c>
    </row>
    <row r="310">
      <c r="G310" t="str">
        <v>A</v>
      </c>
      <c r="J310" t="str">
        <f>IF(K310&gt;0,K310*0.0625,IF(L310&gt;0,L310*2.204623,))</f>
        <v>#REF!</v>
      </c>
      <c r="K310" t="str">
        <f>IF(L310&gt;0,L310*35.273962,IF(J310&gt;0,J310*16,))</f>
        <v>#REF!</v>
      </c>
      <c r="L310" t="str">
        <f>IF(J310&gt;0,J310*0.453592,IF(K310&gt;0,K310*0.02835,))</f>
        <v>#REF!</v>
      </c>
      <c r="O310">
        <f>I310+N310+M310</f>
        <v>0</v>
      </c>
      <c r="P310">
        <f>O310*C$3</f>
        <v>0</v>
      </c>
      <c r="Q310" t="str">
        <f>ROUNDUP(HLOOKUP(IF(CEILING(L310,0.5)&lt;1,1,CEILING(L310,0.5)),'배송비 조회'!A$32:AY$36,2,0),-2)</f>
        <v>#REF!</v>
      </c>
      <c r="R310">
        <v>0</v>
      </c>
      <c r="S310" t="str">
        <f>ROUND((P310+Q310)*0.6,-2)</f>
        <v>#REF!</v>
      </c>
      <c r="T310" t="str">
        <f>ROUND((P310+Q310)*0.7,-2)</f>
        <v>#REF!</v>
      </c>
      <c r="U310" t="str">
        <f>ROUND(SUM(P310+Q310+R310+S310), -2)</f>
        <v>#REF!</v>
      </c>
      <c r="V310" t="str">
        <f>ROUND(P310+Q310+R310+T310, -2)</f>
        <v>#REF!</v>
      </c>
      <c r="W310">
        <v>0</v>
      </c>
      <c r="X310" t="str">
        <f>U310*0.038</f>
        <v>#REF!</v>
      </c>
      <c r="Y310" t="str">
        <f>U310*0.02</f>
        <v>#REF!</v>
      </c>
      <c r="Z310" t="str">
        <f>V310*0.1</f>
        <v>#REF!</v>
      </c>
      <c r="AA310" t="str">
        <f>U310-X310-Y310</f>
        <v>#REF!</v>
      </c>
      <c r="AB310" t="str">
        <f>V310-Z310</f>
        <v>#REF!</v>
      </c>
      <c r="AC310" t="str">
        <f>AA310*0.01</f>
        <v>#REF!</v>
      </c>
      <c r="AD310" t="str">
        <f>AA310-P310-AC310-Q310</f>
        <v>#REF!</v>
      </c>
      <c r="AE310" t="str">
        <f>AB310-P310-Q310-AC310</f>
        <v>#REF!</v>
      </c>
      <c r="AF310" t="str">
        <f>AD310/U310</f>
        <v>#REF!</v>
      </c>
      <c r="AG310" t="str">
        <f>AE310/V310</f>
        <v>#REF!</v>
      </c>
    </row>
    <row r="311">
      <c r="G311" t="str">
        <v>A</v>
      </c>
      <c r="J311" t="str">
        <f>IF(K311&gt;0,K311*0.0625,IF(L311&gt;0,L311*2.204623,))</f>
        <v>#REF!</v>
      </c>
      <c r="K311" t="str">
        <f>IF(L311&gt;0,L311*35.273962,IF(J311&gt;0,J311*16,))</f>
        <v>#REF!</v>
      </c>
      <c r="L311" t="str">
        <f>IF(J311&gt;0,J311*0.453592,IF(K311&gt;0,K311*0.02835,))</f>
        <v>#REF!</v>
      </c>
      <c r="O311">
        <f>I311+N311+M311</f>
        <v>0</v>
      </c>
      <c r="P311">
        <f>O311*C$3</f>
        <v>0</v>
      </c>
      <c r="Q311" t="str">
        <f>ROUNDUP(HLOOKUP(IF(CEILING(L311,0.5)&lt;1,1,CEILING(L311,0.5)),'배송비 조회'!A$32:AY$36,2,0),-2)</f>
        <v>#REF!</v>
      </c>
      <c r="R311">
        <v>0</v>
      </c>
      <c r="S311" t="str">
        <f>ROUND((P311+Q311)*0.6,-2)</f>
        <v>#REF!</v>
      </c>
      <c r="T311" t="str">
        <f>ROUND((P311+Q311)*0.7,-2)</f>
        <v>#REF!</v>
      </c>
      <c r="U311" t="str">
        <f>ROUND(SUM(P311+Q311+R311+S311), -2)</f>
        <v>#REF!</v>
      </c>
      <c r="V311" t="str">
        <f>ROUND(P311+Q311+R311+T311, -2)</f>
        <v>#REF!</v>
      </c>
      <c r="W311">
        <v>0</v>
      </c>
      <c r="X311" t="str">
        <f>U311*0.038</f>
        <v>#REF!</v>
      </c>
      <c r="Y311" t="str">
        <f>U311*0.02</f>
        <v>#REF!</v>
      </c>
      <c r="Z311" t="str">
        <f>V311*0.1</f>
        <v>#REF!</v>
      </c>
      <c r="AA311" t="str">
        <f>U311-X311-Y311</f>
        <v>#REF!</v>
      </c>
      <c r="AB311" t="str">
        <f>V311-Z311</f>
        <v>#REF!</v>
      </c>
      <c r="AC311" t="str">
        <f>AA311*0.01</f>
        <v>#REF!</v>
      </c>
      <c r="AD311" t="str">
        <f>AA311-P311-AC311-Q311</f>
        <v>#REF!</v>
      </c>
      <c r="AE311" t="str">
        <f>AB311-P311-Q311-AC311</f>
        <v>#REF!</v>
      </c>
      <c r="AF311" t="str">
        <f>AD311/U311</f>
        <v>#REF!</v>
      </c>
      <c r="AG311" t="str">
        <f>AE311/V311</f>
        <v>#REF!</v>
      </c>
    </row>
    <row r="312">
      <c r="G312" t="str">
        <v>A</v>
      </c>
      <c r="J312" t="str">
        <f>IF(K312&gt;0,K312*0.0625,IF(L312&gt;0,L312*2.204623,))</f>
        <v>#REF!</v>
      </c>
      <c r="K312" t="str">
        <f>IF(L312&gt;0,L312*35.273962,IF(J312&gt;0,J312*16,))</f>
        <v>#REF!</v>
      </c>
      <c r="L312" t="str">
        <f>IF(J312&gt;0,J312*0.453592,IF(K312&gt;0,K312*0.02835,))</f>
        <v>#REF!</v>
      </c>
      <c r="O312">
        <f>I312+N312+M312</f>
        <v>0</v>
      </c>
      <c r="P312">
        <f>O312*C$3</f>
        <v>0</v>
      </c>
      <c r="Q312" t="str">
        <f>ROUNDUP(HLOOKUP(IF(CEILING(L312,0.5)&lt;1,1,CEILING(L312,0.5)),'배송비 조회'!A$32:AY$36,2,0),-2)</f>
        <v>#REF!</v>
      </c>
      <c r="R312">
        <v>0</v>
      </c>
      <c r="S312" t="str">
        <f>ROUND((P312+Q312)*0.6,-2)</f>
        <v>#REF!</v>
      </c>
      <c r="T312" t="str">
        <f>ROUND((P312+Q312)*0.7,-2)</f>
        <v>#REF!</v>
      </c>
      <c r="U312" t="str">
        <f>ROUND(SUM(P312+Q312+R312+S312), -2)</f>
        <v>#REF!</v>
      </c>
      <c r="V312" t="str">
        <f>ROUND(P312+Q312+R312+T312, -2)</f>
        <v>#REF!</v>
      </c>
      <c r="W312">
        <v>0</v>
      </c>
      <c r="X312" t="str">
        <f>U312*0.038</f>
        <v>#REF!</v>
      </c>
      <c r="Y312" t="str">
        <f>U312*0.02</f>
        <v>#REF!</v>
      </c>
      <c r="Z312" t="str">
        <f>V312*0.1</f>
        <v>#REF!</v>
      </c>
      <c r="AA312" t="str">
        <f>U312-X312-Y312</f>
        <v>#REF!</v>
      </c>
      <c r="AB312" t="str">
        <f>V312-Z312</f>
        <v>#REF!</v>
      </c>
      <c r="AC312" t="str">
        <f>AA312*0.01</f>
        <v>#REF!</v>
      </c>
      <c r="AD312" t="str">
        <f>AA312-P312-AC312-Q312</f>
        <v>#REF!</v>
      </c>
      <c r="AE312" t="str">
        <f>AB312-P312-Q312-AC312</f>
        <v>#REF!</v>
      </c>
      <c r="AF312" t="str">
        <f>AD312/U312</f>
        <v>#REF!</v>
      </c>
      <c r="AG312" t="str">
        <f>AE312/V312</f>
        <v>#REF!</v>
      </c>
    </row>
    <row r="313">
      <c r="G313" t="str">
        <v>A</v>
      </c>
      <c r="J313" t="str">
        <f>IF(K313&gt;0,K313*0.0625,IF(L313&gt;0,L313*2.204623,))</f>
        <v>#REF!</v>
      </c>
      <c r="K313" t="str">
        <f>IF(L313&gt;0,L313*35.273962,IF(J313&gt;0,J313*16,))</f>
        <v>#REF!</v>
      </c>
      <c r="L313" t="str">
        <f>IF(J313&gt;0,J313*0.453592,IF(K313&gt;0,K313*0.02835,))</f>
        <v>#REF!</v>
      </c>
      <c r="O313">
        <f>I313+N313+M313</f>
        <v>0</v>
      </c>
      <c r="P313">
        <f>O313*C$3</f>
        <v>0</v>
      </c>
      <c r="Q313" t="str">
        <f>ROUNDUP(HLOOKUP(IF(CEILING(L313,0.5)&lt;1,1,CEILING(L313,0.5)),'배송비 조회'!A$32:AY$36,2,0),-2)</f>
        <v>#REF!</v>
      </c>
      <c r="R313">
        <v>0</v>
      </c>
      <c r="S313" t="str">
        <f>ROUND((P313+Q313)*0.6,-2)</f>
        <v>#REF!</v>
      </c>
      <c r="T313" t="str">
        <f>ROUND((P313+Q313)*0.7,-2)</f>
        <v>#REF!</v>
      </c>
      <c r="U313" t="str">
        <f>ROUND(SUM(P313+Q313+R313+S313), -2)</f>
        <v>#REF!</v>
      </c>
      <c r="V313" t="str">
        <f>ROUND(P313+Q313+R313+T313, -2)</f>
        <v>#REF!</v>
      </c>
      <c r="W313">
        <v>0</v>
      </c>
      <c r="X313" t="str">
        <f>U313*0.038</f>
        <v>#REF!</v>
      </c>
      <c r="Y313" t="str">
        <f>U313*0.02</f>
        <v>#REF!</v>
      </c>
      <c r="Z313" t="str">
        <f>V313*0.1</f>
        <v>#REF!</v>
      </c>
      <c r="AA313" t="str">
        <f>U313-X313-Y313</f>
        <v>#REF!</v>
      </c>
      <c r="AB313" t="str">
        <f>V313-Z313</f>
        <v>#REF!</v>
      </c>
      <c r="AC313" t="str">
        <f>AA313*0.01</f>
        <v>#REF!</v>
      </c>
      <c r="AD313" t="str">
        <f>AA313-P313-AC313-Q313</f>
        <v>#REF!</v>
      </c>
      <c r="AE313" t="str">
        <f>AB313-P313-Q313-AC313</f>
        <v>#REF!</v>
      </c>
      <c r="AF313" t="str">
        <f>AD313/U313</f>
        <v>#REF!</v>
      </c>
      <c r="AG313" t="str">
        <f>AE313/V313</f>
        <v>#REF!</v>
      </c>
    </row>
    <row r="314">
      <c r="G314" t="str">
        <v>A</v>
      </c>
      <c r="J314" t="str">
        <f>IF(K314&gt;0,K314*0.0625,IF(L314&gt;0,L314*2.204623,))</f>
        <v>#REF!</v>
      </c>
      <c r="K314" t="str">
        <f>IF(L314&gt;0,L314*35.273962,IF(J314&gt;0,J314*16,))</f>
        <v>#REF!</v>
      </c>
      <c r="L314" t="str">
        <f>IF(J314&gt;0,J314*0.453592,IF(K314&gt;0,K314*0.02835,))</f>
        <v>#REF!</v>
      </c>
      <c r="O314">
        <f>I314+N314+M314</f>
        <v>0</v>
      </c>
      <c r="P314">
        <f>O314*C$3</f>
        <v>0</v>
      </c>
      <c r="Q314" t="str">
        <f>ROUNDUP(HLOOKUP(IF(CEILING(L314,0.5)&lt;1,1,CEILING(L314,0.5)),'배송비 조회'!A$32:AY$36,2,0),-2)</f>
        <v>#REF!</v>
      </c>
      <c r="R314">
        <v>0</v>
      </c>
      <c r="S314" t="str">
        <f>ROUND((P314+Q314)*0.6,-2)</f>
        <v>#REF!</v>
      </c>
      <c r="T314" t="str">
        <f>ROUND((P314+Q314)*0.7,-2)</f>
        <v>#REF!</v>
      </c>
      <c r="U314" t="str">
        <f>ROUND(SUM(P314+Q314+R314+S314), -2)</f>
        <v>#REF!</v>
      </c>
      <c r="V314" t="str">
        <f>ROUND(P314+Q314+R314+T314, -2)</f>
        <v>#REF!</v>
      </c>
      <c r="W314">
        <v>0</v>
      </c>
      <c r="X314" t="str">
        <f>U314*0.038</f>
        <v>#REF!</v>
      </c>
      <c r="Y314" t="str">
        <f>U314*0.02</f>
        <v>#REF!</v>
      </c>
      <c r="Z314" t="str">
        <f>V314*0.1</f>
        <v>#REF!</v>
      </c>
      <c r="AA314" t="str">
        <f>U314-X314-Y314</f>
        <v>#REF!</v>
      </c>
      <c r="AB314" t="str">
        <f>V314-Z314</f>
        <v>#REF!</v>
      </c>
      <c r="AC314" t="str">
        <f>AA314*0.01</f>
        <v>#REF!</v>
      </c>
      <c r="AD314" t="str">
        <f>AA314-P314-AC314-Q314</f>
        <v>#REF!</v>
      </c>
      <c r="AE314" t="str">
        <f>AB314-P314-Q314-AC314</f>
        <v>#REF!</v>
      </c>
      <c r="AF314" t="str">
        <f>AD314/U314</f>
        <v>#REF!</v>
      </c>
      <c r="AG314" t="str">
        <f>AE314/V314</f>
        <v>#REF!</v>
      </c>
    </row>
    <row r="315">
      <c r="G315" t="str">
        <v>A</v>
      </c>
      <c r="J315" t="str">
        <f>IF(K315&gt;0,K315*0.0625,IF(L315&gt;0,L315*2.204623,))</f>
        <v>#REF!</v>
      </c>
      <c r="K315" t="str">
        <f>IF(L315&gt;0,L315*35.273962,IF(J315&gt;0,J315*16,))</f>
        <v>#REF!</v>
      </c>
      <c r="L315" t="str">
        <f>IF(J315&gt;0,J315*0.453592,IF(K315&gt;0,K315*0.02835,))</f>
        <v>#REF!</v>
      </c>
      <c r="O315">
        <f>I315+N315+M315</f>
        <v>0</v>
      </c>
      <c r="P315">
        <f>O315*C$3</f>
        <v>0</v>
      </c>
      <c r="Q315" t="str">
        <f>ROUNDUP(HLOOKUP(IF(CEILING(L315,0.5)&lt;1,1,CEILING(L315,0.5)),'배송비 조회'!A$32:AY$36,2,0),-2)</f>
        <v>#REF!</v>
      </c>
      <c r="R315">
        <v>0</v>
      </c>
      <c r="S315" t="str">
        <f>ROUND((P315+Q315)*0.6,-2)</f>
        <v>#REF!</v>
      </c>
      <c r="T315" t="str">
        <f>ROUND((P315+Q315)*0.7,-2)</f>
        <v>#REF!</v>
      </c>
      <c r="U315" t="str">
        <f>ROUND(SUM(P315+Q315+R315+S315), -2)</f>
        <v>#REF!</v>
      </c>
      <c r="V315" t="str">
        <f>ROUND(P315+Q315+R315+T315, -2)</f>
        <v>#REF!</v>
      </c>
      <c r="W315">
        <v>0</v>
      </c>
      <c r="X315" t="str">
        <f>U315*0.038</f>
        <v>#REF!</v>
      </c>
      <c r="Y315" t="str">
        <f>U315*0.02</f>
        <v>#REF!</v>
      </c>
      <c r="Z315" t="str">
        <f>V315*0.1</f>
        <v>#REF!</v>
      </c>
      <c r="AA315" t="str">
        <f>U315-X315-Y315</f>
        <v>#REF!</v>
      </c>
      <c r="AB315" t="str">
        <f>V315-Z315</f>
        <v>#REF!</v>
      </c>
      <c r="AC315" t="str">
        <f>AA315*0.01</f>
        <v>#REF!</v>
      </c>
      <c r="AD315" t="str">
        <f>AA315-P315-AC315-Q315</f>
        <v>#REF!</v>
      </c>
      <c r="AE315" t="str">
        <f>AB315-P315-Q315-AC315</f>
        <v>#REF!</v>
      </c>
      <c r="AF315" t="str">
        <f>AD315/U315</f>
        <v>#REF!</v>
      </c>
      <c r="AG315" t="str">
        <f>AE315/V315</f>
        <v>#REF!</v>
      </c>
    </row>
    <row r="316">
      <c r="G316" t="str">
        <v>A</v>
      </c>
      <c r="J316" t="str">
        <f>IF(K316&gt;0,K316*0.0625,IF(L316&gt;0,L316*2.204623,))</f>
        <v>#REF!</v>
      </c>
      <c r="K316" t="str">
        <f>IF(L316&gt;0,L316*35.273962,IF(J316&gt;0,J316*16,))</f>
        <v>#REF!</v>
      </c>
      <c r="L316" t="str">
        <f>IF(J316&gt;0,J316*0.453592,IF(K316&gt;0,K316*0.02835,))</f>
        <v>#REF!</v>
      </c>
      <c r="O316">
        <f>I316+N316+M316</f>
        <v>0</v>
      </c>
      <c r="P316">
        <f>O316*C$3</f>
        <v>0</v>
      </c>
      <c r="Q316" t="str">
        <f>ROUNDUP(HLOOKUP(IF(CEILING(L316,0.5)&lt;1,1,CEILING(L316,0.5)),'배송비 조회'!A$32:AY$36,2,0),-2)</f>
        <v>#REF!</v>
      </c>
      <c r="R316">
        <v>0</v>
      </c>
      <c r="S316" t="str">
        <f>ROUND((P316+Q316)*0.6,-2)</f>
        <v>#REF!</v>
      </c>
      <c r="T316" t="str">
        <f>ROUND((P316+Q316)*0.7,-2)</f>
        <v>#REF!</v>
      </c>
      <c r="U316" t="str">
        <f>ROUND(SUM(P316+Q316+R316+S316), -2)</f>
        <v>#REF!</v>
      </c>
      <c r="V316" t="str">
        <f>ROUND(P316+Q316+R316+T316, -2)</f>
        <v>#REF!</v>
      </c>
      <c r="W316">
        <v>0</v>
      </c>
      <c r="X316" t="str">
        <f>U316*0.038</f>
        <v>#REF!</v>
      </c>
      <c r="Y316" t="str">
        <f>U316*0.02</f>
        <v>#REF!</v>
      </c>
      <c r="Z316" t="str">
        <f>V316*0.1</f>
        <v>#REF!</v>
      </c>
      <c r="AA316" t="str">
        <f>U316-X316-Y316</f>
        <v>#REF!</v>
      </c>
      <c r="AB316" t="str">
        <f>V316-Z316</f>
        <v>#REF!</v>
      </c>
      <c r="AC316" t="str">
        <f>AA316*0.01</f>
        <v>#REF!</v>
      </c>
      <c r="AD316" t="str">
        <f>AA316-P316-AC316-Q316</f>
        <v>#REF!</v>
      </c>
      <c r="AE316" t="str">
        <f>AB316-P316-Q316-AC316</f>
        <v>#REF!</v>
      </c>
      <c r="AF316" t="str">
        <f>AD316/U316</f>
        <v>#REF!</v>
      </c>
      <c r="AG316" t="str">
        <f>AE316/V316</f>
        <v>#REF!</v>
      </c>
    </row>
    <row r="317">
      <c r="G317" t="str">
        <v>A</v>
      </c>
      <c r="J317" t="str">
        <f>IF(K317&gt;0,K317*0.0625,IF(L317&gt;0,L317*2.204623,))</f>
        <v>#REF!</v>
      </c>
      <c r="K317" t="str">
        <f>IF(L317&gt;0,L317*35.273962,IF(J317&gt;0,J317*16,))</f>
        <v>#REF!</v>
      </c>
      <c r="L317" t="str">
        <f>IF(J317&gt;0,J317*0.453592,IF(K317&gt;0,K317*0.02835,))</f>
        <v>#REF!</v>
      </c>
      <c r="O317">
        <f>I317+N317+M317</f>
        <v>0</v>
      </c>
      <c r="P317">
        <f>O317*C$3</f>
        <v>0</v>
      </c>
      <c r="Q317" t="str">
        <f>ROUNDUP(HLOOKUP(IF(CEILING(L317,0.5)&lt;1,1,CEILING(L317,0.5)),'배송비 조회'!A$32:AY$36,2,0),-2)</f>
        <v>#REF!</v>
      </c>
      <c r="R317">
        <v>0</v>
      </c>
      <c r="S317" t="str">
        <f>ROUND((P317+Q317)*0.6,-2)</f>
        <v>#REF!</v>
      </c>
      <c r="T317" t="str">
        <f>ROUND((P317+Q317)*0.7,-2)</f>
        <v>#REF!</v>
      </c>
      <c r="U317" t="str">
        <f>ROUND(SUM(P317+Q317+R317+S317), -2)</f>
        <v>#REF!</v>
      </c>
      <c r="V317" t="str">
        <f>ROUND(P317+Q317+R317+T317, -2)</f>
        <v>#REF!</v>
      </c>
      <c r="W317">
        <v>0</v>
      </c>
      <c r="X317" t="str">
        <f>U317*0.038</f>
        <v>#REF!</v>
      </c>
      <c r="Y317" t="str">
        <f>U317*0.02</f>
        <v>#REF!</v>
      </c>
      <c r="Z317" t="str">
        <f>V317*0.1</f>
        <v>#REF!</v>
      </c>
      <c r="AA317" t="str">
        <f>U317-X317-Y317</f>
        <v>#REF!</v>
      </c>
      <c r="AB317" t="str">
        <f>V317-Z317</f>
        <v>#REF!</v>
      </c>
      <c r="AC317" t="str">
        <f>AA317*0.01</f>
        <v>#REF!</v>
      </c>
      <c r="AD317" t="str">
        <f>AA317-P317-AC317-Q317</f>
        <v>#REF!</v>
      </c>
      <c r="AE317" t="str">
        <f>AB317-P317-Q317-AC317</f>
        <v>#REF!</v>
      </c>
      <c r="AF317" t="str">
        <f>AD317/U317</f>
        <v>#REF!</v>
      </c>
      <c r="AG317" t="str">
        <f>AE317/V317</f>
        <v>#REF!</v>
      </c>
    </row>
    <row r="318">
      <c r="G318" t="str">
        <v>A</v>
      </c>
      <c r="J318" t="str">
        <f>IF(K318&gt;0,K318*0.0625,IF(L318&gt;0,L318*2.204623,))</f>
        <v>#REF!</v>
      </c>
      <c r="K318" t="str">
        <f>IF(L318&gt;0,L318*35.273962,IF(J318&gt;0,J318*16,))</f>
        <v>#REF!</v>
      </c>
      <c r="L318" t="str">
        <f>IF(J318&gt;0,J318*0.453592,IF(K318&gt;0,K318*0.02835,))</f>
        <v>#REF!</v>
      </c>
      <c r="O318">
        <f>I318+N318+M318</f>
        <v>0</v>
      </c>
      <c r="P318">
        <f>O318*C$3</f>
        <v>0</v>
      </c>
      <c r="Q318" t="str">
        <f>ROUNDUP(HLOOKUP(IF(CEILING(L318,0.5)&lt;1,1,CEILING(L318,0.5)),'배송비 조회'!A$32:AY$36,2,0),-2)</f>
        <v>#REF!</v>
      </c>
      <c r="R318">
        <v>0</v>
      </c>
      <c r="S318" t="str">
        <f>ROUND((P318+Q318)*0.6,-2)</f>
        <v>#REF!</v>
      </c>
      <c r="T318" t="str">
        <f>ROUND((P318+Q318)*0.7,-2)</f>
        <v>#REF!</v>
      </c>
      <c r="U318" t="str">
        <f>ROUND(SUM(P318+Q318+R318+S318), -2)</f>
        <v>#REF!</v>
      </c>
      <c r="V318" t="str">
        <f>ROUND(P318+Q318+R318+T318, -2)</f>
        <v>#REF!</v>
      </c>
      <c r="W318">
        <v>0</v>
      </c>
      <c r="X318" t="str">
        <f>U318*0.038</f>
        <v>#REF!</v>
      </c>
      <c r="Y318" t="str">
        <f>U318*0.02</f>
        <v>#REF!</v>
      </c>
      <c r="Z318" t="str">
        <f>V318*0.1</f>
        <v>#REF!</v>
      </c>
      <c r="AA318" t="str">
        <f>U318-X318-Y318</f>
        <v>#REF!</v>
      </c>
      <c r="AB318" t="str">
        <f>V318-Z318</f>
        <v>#REF!</v>
      </c>
      <c r="AC318" t="str">
        <f>AA318*0.01</f>
        <v>#REF!</v>
      </c>
      <c r="AD318" t="str">
        <f>AA318-P318-AC318-Q318</f>
        <v>#REF!</v>
      </c>
      <c r="AE318" t="str">
        <f>AB318-P318-Q318-AC318</f>
        <v>#REF!</v>
      </c>
      <c r="AF318" t="str">
        <f>AD318/U318</f>
        <v>#REF!</v>
      </c>
      <c r="AG318" t="str">
        <f>AE318/V318</f>
        <v>#REF!</v>
      </c>
    </row>
    <row r="319">
      <c r="G319" t="str">
        <v>A</v>
      </c>
      <c r="J319" t="str">
        <f>IF(K319&gt;0,K319*0.0625,IF(L319&gt;0,L319*2.204623,))</f>
        <v>#REF!</v>
      </c>
      <c r="K319" t="str">
        <f>IF(L319&gt;0,L319*35.273962,IF(J319&gt;0,J319*16,))</f>
        <v>#REF!</v>
      </c>
      <c r="L319" t="str">
        <f>IF(J319&gt;0,J319*0.453592,IF(K319&gt;0,K319*0.02835,))</f>
        <v>#REF!</v>
      </c>
      <c r="O319">
        <f>I319+N319+M319</f>
        <v>0</v>
      </c>
      <c r="P319">
        <f>O319*C$3</f>
        <v>0</v>
      </c>
      <c r="Q319" t="str">
        <f>ROUNDUP(HLOOKUP(IF(CEILING(L319,0.5)&lt;1,1,CEILING(L319,0.5)),'배송비 조회'!A$32:AY$36,2,0),-2)</f>
        <v>#REF!</v>
      </c>
      <c r="R319">
        <v>0</v>
      </c>
      <c r="S319" t="str">
        <f>ROUND((P319+Q319)*0.6,-2)</f>
        <v>#REF!</v>
      </c>
      <c r="T319" t="str">
        <f>ROUND((P319+Q319)*0.7,-2)</f>
        <v>#REF!</v>
      </c>
      <c r="U319" t="str">
        <f>ROUND(SUM(P319+Q319+R319+S319), -2)</f>
        <v>#REF!</v>
      </c>
      <c r="V319" t="str">
        <f>ROUND(P319+Q319+R319+T319, -2)</f>
        <v>#REF!</v>
      </c>
      <c r="W319">
        <v>0</v>
      </c>
      <c r="X319" t="str">
        <f>U319*0.038</f>
        <v>#REF!</v>
      </c>
      <c r="Y319" t="str">
        <f>U319*0.02</f>
        <v>#REF!</v>
      </c>
      <c r="Z319" t="str">
        <f>V319*0.1</f>
        <v>#REF!</v>
      </c>
      <c r="AA319" t="str">
        <f>U319-X319-Y319</f>
        <v>#REF!</v>
      </c>
      <c r="AB319" t="str">
        <f>V319-Z319</f>
        <v>#REF!</v>
      </c>
      <c r="AC319" t="str">
        <f>AA319*0.01</f>
        <v>#REF!</v>
      </c>
      <c r="AD319" t="str">
        <f>AA319-P319-AC319-Q319</f>
        <v>#REF!</v>
      </c>
      <c r="AE319" t="str">
        <f>AB319-P319-Q319-AC319</f>
        <v>#REF!</v>
      </c>
      <c r="AF319" t="str">
        <f>AD319/U319</f>
        <v>#REF!</v>
      </c>
      <c r="AG319" t="str">
        <f>AE319/V319</f>
        <v>#REF!</v>
      </c>
    </row>
    <row r="320">
      <c r="G320" t="str">
        <v>A</v>
      </c>
      <c r="J320" t="str">
        <f>IF(K320&gt;0,K320*0.0625,IF(L320&gt;0,L320*2.204623,))</f>
        <v>#REF!</v>
      </c>
      <c r="K320" t="str">
        <f>IF(L320&gt;0,L320*35.273962,IF(J320&gt;0,J320*16,))</f>
        <v>#REF!</v>
      </c>
      <c r="L320" t="str">
        <f>IF(J320&gt;0,J320*0.453592,IF(K320&gt;0,K320*0.02835,))</f>
        <v>#REF!</v>
      </c>
      <c r="O320">
        <f>I320+N320+M320</f>
        <v>0</v>
      </c>
      <c r="P320">
        <f>O320*C$3</f>
        <v>0</v>
      </c>
      <c r="Q320" t="str">
        <f>ROUNDUP(HLOOKUP(IF(CEILING(L320,0.5)&lt;1,1,CEILING(L320,0.5)),'배송비 조회'!A$32:AY$36,2,0),-2)</f>
        <v>#REF!</v>
      </c>
      <c r="R320">
        <v>0</v>
      </c>
      <c r="S320" t="str">
        <f>ROUND((P320+Q320)*0.6,-2)</f>
        <v>#REF!</v>
      </c>
      <c r="T320" t="str">
        <f>ROUND((P320+Q320)*0.7,-2)</f>
        <v>#REF!</v>
      </c>
      <c r="U320" t="str">
        <f>ROUND(SUM(P320+Q320+R320+S320), -2)</f>
        <v>#REF!</v>
      </c>
      <c r="V320" t="str">
        <f>ROUND(P320+Q320+R320+T320, -2)</f>
        <v>#REF!</v>
      </c>
      <c r="W320">
        <v>0</v>
      </c>
      <c r="X320" t="str">
        <f>U320*0.038</f>
        <v>#REF!</v>
      </c>
      <c r="Y320" t="str">
        <f>U320*0.02</f>
        <v>#REF!</v>
      </c>
      <c r="Z320" t="str">
        <f>V320*0.1</f>
        <v>#REF!</v>
      </c>
      <c r="AA320" t="str">
        <f>U320-X320-Y320</f>
        <v>#REF!</v>
      </c>
      <c r="AB320" t="str">
        <f>V320-Z320</f>
        <v>#REF!</v>
      </c>
      <c r="AC320" t="str">
        <f>AA320*0.01</f>
        <v>#REF!</v>
      </c>
      <c r="AD320" t="str">
        <f>AA320-P320-AC320-Q320</f>
        <v>#REF!</v>
      </c>
      <c r="AE320" t="str">
        <f>AB320-P320-Q320-AC320</f>
        <v>#REF!</v>
      </c>
      <c r="AF320" t="str">
        <f>AD320/U320</f>
        <v>#REF!</v>
      </c>
      <c r="AG320" t="str">
        <f>AE320/V320</f>
        <v>#REF!</v>
      </c>
    </row>
    <row r="321">
      <c r="G321" t="str">
        <v>A</v>
      </c>
      <c r="J321" t="str">
        <f>IF(K321&gt;0,K321*0.0625,IF(L321&gt;0,L321*2.204623,))</f>
        <v>#REF!</v>
      </c>
      <c r="K321" t="str">
        <f>IF(L321&gt;0,L321*35.273962,IF(J321&gt;0,J321*16,))</f>
        <v>#REF!</v>
      </c>
      <c r="L321" t="str">
        <f>IF(J321&gt;0,J321*0.453592,IF(K321&gt;0,K321*0.02835,))</f>
        <v>#REF!</v>
      </c>
      <c r="O321">
        <f>I321+N321+M321</f>
        <v>0</v>
      </c>
      <c r="P321">
        <f>O321*C$3</f>
        <v>0</v>
      </c>
      <c r="Q321" t="str">
        <f>ROUNDUP(HLOOKUP(IF(CEILING(L321,0.5)&lt;1,1,CEILING(L321,0.5)),'배송비 조회'!A$32:AY$36,2,0),-2)</f>
        <v>#REF!</v>
      </c>
      <c r="R321">
        <v>0</v>
      </c>
      <c r="S321" t="str">
        <f>ROUND((P321+Q321)*0.6,-2)</f>
        <v>#REF!</v>
      </c>
      <c r="T321" t="str">
        <f>ROUND((P321+Q321)*0.7,-2)</f>
        <v>#REF!</v>
      </c>
      <c r="U321" t="str">
        <f>ROUND(SUM(P321+Q321+R321+S321), -2)</f>
        <v>#REF!</v>
      </c>
      <c r="V321" t="str">
        <f>ROUND(P321+Q321+R321+T321, -2)</f>
        <v>#REF!</v>
      </c>
      <c r="W321">
        <v>0</v>
      </c>
      <c r="X321" t="str">
        <f>U321*0.038</f>
        <v>#REF!</v>
      </c>
      <c r="Y321" t="str">
        <f>U321*0.02</f>
        <v>#REF!</v>
      </c>
      <c r="Z321" t="str">
        <f>V321*0.1</f>
        <v>#REF!</v>
      </c>
      <c r="AA321" t="str">
        <f>U321-X321-Y321</f>
        <v>#REF!</v>
      </c>
      <c r="AB321" t="str">
        <f>V321-Z321</f>
        <v>#REF!</v>
      </c>
      <c r="AC321" t="str">
        <f>AA321*0.01</f>
        <v>#REF!</v>
      </c>
      <c r="AD321" t="str">
        <f>AA321-P321-AC321-Q321</f>
        <v>#REF!</v>
      </c>
      <c r="AE321" t="str">
        <f>AB321-P321-Q321-AC321</f>
        <v>#REF!</v>
      </c>
      <c r="AF321" t="str">
        <f>AD321/U321</f>
        <v>#REF!</v>
      </c>
      <c r="AG321" t="str">
        <f>AE321/V321</f>
        <v>#REF!</v>
      </c>
    </row>
    <row r="322">
      <c r="G322" t="str">
        <v>A</v>
      </c>
      <c r="J322" t="str">
        <f>IF(K322&gt;0,K322*0.0625,IF(L322&gt;0,L322*2.204623,))</f>
        <v>#REF!</v>
      </c>
      <c r="K322" t="str">
        <f>IF(L322&gt;0,L322*35.273962,IF(J322&gt;0,J322*16,))</f>
        <v>#REF!</v>
      </c>
      <c r="L322" t="str">
        <f>IF(J322&gt;0,J322*0.453592,IF(K322&gt;0,K322*0.02835,))</f>
        <v>#REF!</v>
      </c>
      <c r="O322">
        <f>I322+N322+M322</f>
        <v>0</v>
      </c>
      <c r="P322">
        <f>O322*C$3</f>
        <v>0</v>
      </c>
      <c r="Q322" t="str">
        <f>ROUNDUP(HLOOKUP(IF(CEILING(L322,0.5)&lt;1,1,CEILING(L322,0.5)),'배송비 조회'!A$32:AY$36,2,0),-2)</f>
        <v>#REF!</v>
      </c>
      <c r="R322">
        <v>0</v>
      </c>
      <c r="S322" t="str">
        <f>ROUND((P322+Q322)*0.6,-2)</f>
        <v>#REF!</v>
      </c>
      <c r="T322" t="str">
        <f>ROUND((P322+Q322)*0.7,-2)</f>
        <v>#REF!</v>
      </c>
      <c r="U322" t="str">
        <f>ROUND(SUM(P322+Q322+R322+S322), -2)</f>
        <v>#REF!</v>
      </c>
      <c r="V322" t="str">
        <f>ROUND(P322+Q322+R322+T322, -2)</f>
        <v>#REF!</v>
      </c>
      <c r="W322">
        <v>0</v>
      </c>
      <c r="X322" t="str">
        <f>U322*0.038</f>
        <v>#REF!</v>
      </c>
      <c r="Y322" t="str">
        <f>U322*0.02</f>
        <v>#REF!</v>
      </c>
      <c r="Z322" t="str">
        <f>V322*0.1</f>
        <v>#REF!</v>
      </c>
      <c r="AA322" t="str">
        <f>U322-X322-Y322</f>
        <v>#REF!</v>
      </c>
      <c r="AB322" t="str">
        <f>V322-Z322</f>
        <v>#REF!</v>
      </c>
      <c r="AC322" t="str">
        <f>AA322*0.01</f>
        <v>#REF!</v>
      </c>
      <c r="AD322" t="str">
        <f>AA322-P322-AC322-Q322</f>
        <v>#REF!</v>
      </c>
      <c r="AE322" t="str">
        <f>AB322-P322-Q322-AC322</f>
        <v>#REF!</v>
      </c>
      <c r="AF322" t="str">
        <f>AD322/U322</f>
        <v>#REF!</v>
      </c>
      <c r="AG322" t="str">
        <f>AE322/V322</f>
        <v>#REF!</v>
      </c>
    </row>
    <row r="323">
      <c r="G323" t="str">
        <v>A</v>
      </c>
      <c r="J323" t="str">
        <f>IF(K323&gt;0,K323*0.0625,IF(L323&gt;0,L323*2.204623,))</f>
        <v>#REF!</v>
      </c>
      <c r="K323" t="str">
        <f>IF(L323&gt;0,L323*35.273962,IF(J323&gt;0,J323*16,))</f>
        <v>#REF!</v>
      </c>
      <c r="L323" t="str">
        <f>IF(J323&gt;0,J323*0.453592,IF(K323&gt;0,K323*0.02835,))</f>
        <v>#REF!</v>
      </c>
      <c r="O323">
        <f>I323+N323+M323</f>
        <v>0</v>
      </c>
      <c r="P323">
        <f>O323*C$3</f>
        <v>0</v>
      </c>
      <c r="Q323" t="str">
        <f>ROUNDUP(HLOOKUP(IF(CEILING(L323,0.5)&lt;1,1,CEILING(L323,0.5)),'배송비 조회'!A$32:AY$36,2,0),-2)</f>
        <v>#REF!</v>
      </c>
      <c r="R323">
        <v>0</v>
      </c>
      <c r="S323" t="str">
        <f>ROUND((P323+Q323)*0.6,-2)</f>
        <v>#REF!</v>
      </c>
      <c r="T323" t="str">
        <f>ROUND((P323+Q323)*0.7,-2)</f>
        <v>#REF!</v>
      </c>
      <c r="U323" t="str">
        <f>ROUND(SUM(P323+Q323+R323+S323), -2)</f>
        <v>#REF!</v>
      </c>
      <c r="V323" t="str">
        <f>ROUND(P323+Q323+R323+T323, -2)</f>
        <v>#REF!</v>
      </c>
      <c r="W323">
        <v>0</v>
      </c>
      <c r="X323" t="str">
        <f>U323*0.038</f>
        <v>#REF!</v>
      </c>
      <c r="Y323" t="str">
        <f>U323*0.02</f>
        <v>#REF!</v>
      </c>
      <c r="Z323" t="str">
        <f>V323*0.1</f>
        <v>#REF!</v>
      </c>
      <c r="AA323" t="str">
        <f>U323-X323-Y323</f>
        <v>#REF!</v>
      </c>
      <c r="AB323" t="str">
        <f>V323-Z323</f>
        <v>#REF!</v>
      </c>
      <c r="AC323" t="str">
        <f>AA323*0.01</f>
        <v>#REF!</v>
      </c>
      <c r="AD323" t="str">
        <f>AA323-P323-AC323-Q323</f>
        <v>#REF!</v>
      </c>
      <c r="AE323" t="str">
        <f>AB323-P323-Q323-AC323</f>
        <v>#REF!</v>
      </c>
      <c r="AF323" t="str">
        <f>AD323/U323</f>
        <v>#REF!</v>
      </c>
      <c r="AG323" t="str">
        <f>AE323/V323</f>
        <v>#REF!</v>
      </c>
    </row>
    <row r="324">
      <c r="G324" t="str">
        <v>A</v>
      </c>
      <c r="J324" t="str">
        <f>IF(K324&gt;0,K324*0.0625,IF(L324&gt;0,L324*2.204623,))</f>
        <v>#REF!</v>
      </c>
      <c r="K324" t="str">
        <f>IF(L324&gt;0,L324*35.273962,IF(J324&gt;0,J324*16,))</f>
        <v>#REF!</v>
      </c>
      <c r="L324" t="str">
        <f>IF(J324&gt;0,J324*0.453592,IF(K324&gt;0,K324*0.02835,))</f>
        <v>#REF!</v>
      </c>
      <c r="O324">
        <f>I324+N324+M324</f>
        <v>0</v>
      </c>
      <c r="P324">
        <f>O324*C$3</f>
        <v>0</v>
      </c>
      <c r="Q324" t="str">
        <f>ROUNDUP(HLOOKUP(IF(CEILING(L324,0.5)&lt;1,1,CEILING(L324,0.5)),'배송비 조회'!A$32:AY$36,2,0),-2)</f>
        <v>#REF!</v>
      </c>
      <c r="R324">
        <v>0</v>
      </c>
      <c r="S324" t="str">
        <f>ROUND((P324+Q324)*0.6,-2)</f>
        <v>#REF!</v>
      </c>
      <c r="T324" t="str">
        <f>ROUND((P324+Q324)*0.7,-2)</f>
        <v>#REF!</v>
      </c>
      <c r="U324" t="str">
        <f>ROUND(SUM(P324+Q324+R324+S324), -2)</f>
        <v>#REF!</v>
      </c>
      <c r="V324" t="str">
        <f>ROUND(P324+Q324+R324+T324, -2)</f>
        <v>#REF!</v>
      </c>
      <c r="W324">
        <v>0</v>
      </c>
      <c r="X324" t="str">
        <f>U324*0.038</f>
        <v>#REF!</v>
      </c>
      <c r="Y324" t="str">
        <f>U324*0.02</f>
        <v>#REF!</v>
      </c>
      <c r="Z324" t="str">
        <f>V324*0.1</f>
        <v>#REF!</v>
      </c>
      <c r="AA324" t="str">
        <f>U324-X324-Y324</f>
        <v>#REF!</v>
      </c>
      <c r="AB324" t="str">
        <f>V324-Z324</f>
        <v>#REF!</v>
      </c>
      <c r="AC324" t="str">
        <f>AA324*0.01</f>
        <v>#REF!</v>
      </c>
      <c r="AD324" t="str">
        <f>AA324-P324-AC324-Q324</f>
        <v>#REF!</v>
      </c>
      <c r="AE324" t="str">
        <f>AB324-P324-Q324-AC324</f>
        <v>#REF!</v>
      </c>
      <c r="AF324" t="str">
        <f>AD324/U324</f>
        <v>#REF!</v>
      </c>
      <c r="AG324" t="str">
        <f>AE324/V324</f>
        <v>#REF!</v>
      </c>
    </row>
    <row r="325">
      <c r="G325" t="str">
        <v>A</v>
      </c>
      <c r="J325" t="str">
        <f>IF(K325&gt;0,K325*0.0625,IF(L325&gt;0,L325*2.204623,))</f>
        <v>#REF!</v>
      </c>
      <c r="K325" t="str">
        <f>IF(L325&gt;0,L325*35.273962,IF(J325&gt;0,J325*16,))</f>
        <v>#REF!</v>
      </c>
      <c r="L325" t="str">
        <f>IF(J325&gt;0,J325*0.453592,IF(K325&gt;0,K325*0.02835,))</f>
        <v>#REF!</v>
      </c>
      <c r="O325">
        <f>I325+N325+M325</f>
        <v>0</v>
      </c>
      <c r="P325">
        <f>O325*C$3</f>
        <v>0</v>
      </c>
      <c r="Q325" t="str">
        <f>ROUNDUP(HLOOKUP(IF(CEILING(L325,0.5)&lt;1,1,CEILING(L325,0.5)),'배송비 조회'!A$32:AY$36,2,0),-2)</f>
        <v>#REF!</v>
      </c>
      <c r="R325">
        <v>0</v>
      </c>
      <c r="S325" t="str">
        <f>ROUND((P325+Q325)*0.6,-2)</f>
        <v>#REF!</v>
      </c>
      <c r="T325" t="str">
        <f>ROUND((P325+Q325)*0.7,-2)</f>
        <v>#REF!</v>
      </c>
      <c r="U325" t="str">
        <f>ROUND(SUM(P325+Q325+R325+S325), -2)</f>
        <v>#REF!</v>
      </c>
      <c r="V325" t="str">
        <f>ROUND(P325+Q325+R325+T325, -2)</f>
        <v>#REF!</v>
      </c>
      <c r="W325">
        <v>0</v>
      </c>
      <c r="X325" t="str">
        <f>U325*0.038</f>
        <v>#REF!</v>
      </c>
      <c r="Y325" t="str">
        <f>U325*0.02</f>
        <v>#REF!</v>
      </c>
      <c r="Z325" t="str">
        <f>V325*0.1</f>
        <v>#REF!</v>
      </c>
      <c r="AA325" t="str">
        <f>U325-X325-Y325</f>
        <v>#REF!</v>
      </c>
      <c r="AB325" t="str">
        <f>V325-Z325</f>
        <v>#REF!</v>
      </c>
      <c r="AC325" t="str">
        <f>AA325*0.01</f>
        <v>#REF!</v>
      </c>
      <c r="AD325" t="str">
        <f>AA325-P325-AC325-Q325</f>
        <v>#REF!</v>
      </c>
      <c r="AE325" t="str">
        <f>AB325-P325-Q325-AC325</f>
        <v>#REF!</v>
      </c>
      <c r="AF325" t="str">
        <f>AD325/U325</f>
        <v>#REF!</v>
      </c>
      <c r="AG325" t="str">
        <f>AE325/V325</f>
        <v>#REF!</v>
      </c>
    </row>
    <row r="326">
      <c r="G326" t="str">
        <v>A</v>
      </c>
      <c r="J326" t="str">
        <f>IF(K326&gt;0,K326*0.0625,IF(L326&gt;0,L326*2.204623,))</f>
        <v>#REF!</v>
      </c>
      <c r="K326" t="str">
        <f>IF(L326&gt;0,L326*35.273962,IF(J326&gt;0,J326*16,))</f>
        <v>#REF!</v>
      </c>
      <c r="L326" t="str">
        <f>IF(J326&gt;0,J326*0.453592,IF(K326&gt;0,K326*0.02835,))</f>
        <v>#REF!</v>
      </c>
      <c r="O326">
        <f>I326+N326+M326</f>
        <v>0</v>
      </c>
      <c r="P326">
        <f>O326*C$3</f>
        <v>0</v>
      </c>
      <c r="Q326" t="str">
        <f>ROUNDUP(HLOOKUP(IF(CEILING(L326,0.5)&lt;1,1,CEILING(L326,0.5)),'배송비 조회'!A$32:AY$36,2,0),-2)</f>
        <v>#REF!</v>
      </c>
      <c r="R326">
        <v>0</v>
      </c>
      <c r="S326" t="str">
        <f>ROUND((P326+Q326)*0.6,-2)</f>
        <v>#REF!</v>
      </c>
      <c r="T326" t="str">
        <f>ROUND((P326+Q326)*0.7,-2)</f>
        <v>#REF!</v>
      </c>
      <c r="U326" t="str">
        <f>ROUND(SUM(P326+Q326+R326+S326), -2)</f>
        <v>#REF!</v>
      </c>
      <c r="V326" t="str">
        <f>ROUND(P326+Q326+R326+T326, -2)</f>
        <v>#REF!</v>
      </c>
      <c r="W326">
        <v>0</v>
      </c>
      <c r="X326" t="str">
        <f>U326*0.038</f>
        <v>#REF!</v>
      </c>
      <c r="Y326" t="str">
        <f>U326*0.02</f>
        <v>#REF!</v>
      </c>
      <c r="Z326" t="str">
        <f>V326*0.1</f>
        <v>#REF!</v>
      </c>
      <c r="AA326" t="str">
        <f>U326-X326-Y326</f>
        <v>#REF!</v>
      </c>
      <c r="AB326" t="str">
        <f>V326-Z326</f>
        <v>#REF!</v>
      </c>
      <c r="AC326" t="str">
        <f>AA326*0.01</f>
        <v>#REF!</v>
      </c>
      <c r="AD326" t="str">
        <f>AA326-P326-AC326-Q326</f>
        <v>#REF!</v>
      </c>
      <c r="AE326" t="str">
        <f>AB326-P326-Q326-AC326</f>
        <v>#REF!</v>
      </c>
      <c r="AF326" t="str">
        <f>AD326/U326</f>
        <v>#REF!</v>
      </c>
      <c r="AG326" t="str">
        <f>AE326/V326</f>
        <v>#REF!</v>
      </c>
    </row>
    <row r="327">
      <c r="G327" t="str">
        <v>A</v>
      </c>
      <c r="J327" t="str">
        <f>IF(K327&gt;0,K327*0.0625,IF(L327&gt;0,L327*2.204623,))</f>
        <v>#REF!</v>
      </c>
      <c r="K327" t="str">
        <f>IF(L327&gt;0,L327*35.273962,IF(J327&gt;0,J327*16,))</f>
        <v>#REF!</v>
      </c>
      <c r="L327" t="str">
        <f>IF(J327&gt;0,J327*0.453592,IF(K327&gt;0,K327*0.02835,))</f>
        <v>#REF!</v>
      </c>
      <c r="O327">
        <f>I327+N327+M327</f>
        <v>0</v>
      </c>
      <c r="P327">
        <f>O327*C$3</f>
        <v>0</v>
      </c>
      <c r="Q327" t="str">
        <f>ROUNDUP(HLOOKUP(IF(CEILING(L327,0.5)&lt;1,1,CEILING(L327,0.5)),'배송비 조회'!A$32:AY$36,2,0),-2)</f>
        <v>#REF!</v>
      </c>
      <c r="R327">
        <v>0</v>
      </c>
      <c r="S327" t="str">
        <f>ROUND((P327+Q327)*0.6,-2)</f>
        <v>#REF!</v>
      </c>
      <c r="T327" t="str">
        <f>ROUND((P327+Q327)*0.7,-2)</f>
        <v>#REF!</v>
      </c>
      <c r="U327" t="str">
        <f>ROUND(SUM(P327+Q327+R327+S327), -2)</f>
        <v>#REF!</v>
      </c>
      <c r="V327" t="str">
        <f>ROUND(P327+Q327+R327+T327, -2)</f>
        <v>#REF!</v>
      </c>
      <c r="W327">
        <v>0</v>
      </c>
      <c r="X327" t="str">
        <f>U327*0.038</f>
        <v>#REF!</v>
      </c>
      <c r="Y327" t="str">
        <f>U327*0.02</f>
        <v>#REF!</v>
      </c>
      <c r="Z327" t="str">
        <f>V327*0.1</f>
        <v>#REF!</v>
      </c>
      <c r="AA327" t="str">
        <f>U327-X327-Y327</f>
        <v>#REF!</v>
      </c>
      <c r="AB327" t="str">
        <f>V327-Z327</f>
        <v>#REF!</v>
      </c>
      <c r="AC327" t="str">
        <f>AA327*0.01</f>
        <v>#REF!</v>
      </c>
      <c r="AD327" t="str">
        <f>AA327-P327-AC327-Q327</f>
        <v>#REF!</v>
      </c>
      <c r="AE327" t="str">
        <f>AB327-P327-Q327-AC327</f>
        <v>#REF!</v>
      </c>
      <c r="AF327" t="str">
        <f>AD327/U327</f>
        <v>#REF!</v>
      </c>
      <c r="AG327" t="str">
        <f>AE327/V327</f>
        <v>#REF!</v>
      </c>
    </row>
    <row r="328">
      <c r="G328" t="str">
        <v>A</v>
      </c>
      <c r="J328" t="str">
        <f>IF(K328&gt;0,K328*0.0625,IF(L328&gt;0,L328*2.204623,))</f>
        <v>#REF!</v>
      </c>
      <c r="K328" t="str">
        <f>IF(L328&gt;0,L328*35.273962,IF(J328&gt;0,J328*16,))</f>
        <v>#REF!</v>
      </c>
      <c r="L328" t="str">
        <f>IF(J328&gt;0,J328*0.453592,IF(K328&gt;0,K328*0.02835,))</f>
        <v>#REF!</v>
      </c>
      <c r="O328">
        <f>I328+N328+M328</f>
        <v>0</v>
      </c>
      <c r="P328">
        <f>O328*C$3</f>
        <v>0</v>
      </c>
      <c r="Q328" t="str">
        <f>ROUNDUP(HLOOKUP(IF(CEILING(L328,0.5)&lt;1,1,CEILING(L328,0.5)),'배송비 조회'!A$32:AY$36,2,0),-2)</f>
        <v>#REF!</v>
      </c>
      <c r="R328">
        <v>0</v>
      </c>
      <c r="S328" t="str">
        <f>ROUND((P328+Q328)*0.6,-2)</f>
        <v>#REF!</v>
      </c>
      <c r="T328" t="str">
        <f>ROUND((P328+Q328)*0.7,-2)</f>
        <v>#REF!</v>
      </c>
      <c r="U328" t="str">
        <f>ROUND(SUM(P328+Q328+R328+S328), -2)</f>
        <v>#REF!</v>
      </c>
      <c r="V328" t="str">
        <f>ROUND(P328+Q328+R328+T328, -2)</f>
        <v>#REF!</v>
      </c>
      <c r="W328">
        <v>0</v>
      </c>
      <c r="X328" t="str">
        <f>U328*0.038</f>
        <v>#REF!</v>
      </c>
      <c r="Y328" t="str">
        <f>U328*0.02</f>
        <v>#REF!</v>
      </c>
      <c r="Z328" t="str">
        <f>V328*0.1</f>
        <v>#REF!</v>
      </c>
      <c r="AA328" t="str">
        <f>U328-X328-Y328</f>
        <v>#REF!</v>
      </c>
      <c r="AB328" t="str">
        <f>V328-Z328</f>
        <v>#REF!</v>
      </c>
      <c r="AC328" t="str">
        <f>AA328*0.01</f>
        <v>#REF!</v>
      </c>
      <c r="AD328" t="str">
        <f>AA328-P328-AC328-Q328</f>
        <v>#REF!</v>
      </c>
      <c r="AE328" t="str">
        <f>AB328-P328-Q328-AC328</f>
        <v>#REF!</v>
      </c>
      <c r="AF328" t="str">
        <f>AD328/U328</f>
        <v>#REF!</v>
      </c>
      <c r="AG328" t="str">
        <f>AE328/V328</f>
        <v>#REF!</v>
      </c>
    </row>
    <row r="329">
      <c r="G329" t="str">
        <v>A</v>
      </c>
      <c r="J329" t="str">
        <f>IF(K329&gt;0,K329*0.0625,IF(L329&gt;0,L329*2.204623,))</f>
        <v>#REF!</v>
      </c>
      <c r="K329" t="str">
        <f>IF(L329&gt;0,L329*35.273962,IF(J329&gt;0,J329*16,))</f>
        <v>#REF!</v>
      </c>
      <c r="L329" t="str">
        <f>IF(J329&gt;0,J329*0.453592,IF(K329&gt;0,K329*0.02835,))</f>
        <v>#REF!</v>
      </c>
      <c r="O329">
        <f>I329+N329+M329</f>
        <v>0</v>
      </c>
      <c r="P329">
        <f>O329*C$3</f>
        <v>0</v>
      </c>
      <c r="Q329" t="str">
        <f>ROUNDUP(HLOOKUP(IF(CEILING(L329,0.5)&lt;1,1,CEILING(L329,0.5)),'배송비 조회'!A$32:AY$36,2,0),-2)</f>
        <v>#REF!</v>
      </c>
      <c r="R329">
        <v>0</v>
      </c>
      <c r="S329" t="str">
        <f>ROUND((P329+Q329)*0.6,-2)</f>
        <v>#REF!</v>
      </c>
      <c r="T329" t="str">
        <f>ROUND((P329+Q329)*0.7,-2)</f>
        <v>#REF!</v>
      </c>
      <c r="U329" t="str">
        <f>ROUND(SUM(P329+Q329+R329+S329), -2)</f>
        <v>#REF!</v>
      </c>
      <c r="V329" t="str">
        <f>ROUND(P329+Q329+R329+T329, -2)</f>
        <v>#REF!</v>
      </c>
      <c r="W329">
        <v>0</v>
      </c>
      <c r="X329" t="str">
        <f>U329*0.038</f>
        <v>#REF!</v>
      </c>
      <c r="Y329" t="str">
        <f>U329*0.02</f>
        <v>#REF!</v>
      </c>
      <c r="Z329" t="str">
        <f>V329*0.1</f>
        <v>#REF!</v>
      </c>
      <c r="AA329" t="str">
        <f>U329-X329-Y329</f>
        <v>#REF!</v>
      </c>
      <c r="AB329" t="str">
        <f>V329-Z329</f>
        <v>#REF!</v>
      </c>
      <c r="AC329" t="str">
        <f>AA329*0.01</f>
        <v>#REF!</v>
      </c>
      <c r="AD329" t="str">
        <f>AA329-P329-AC329-Q329</f>
        <v>#REF!</v>
      </c>
      <c r="AE329" t="str">
        <f>AB329-P329-Q329-AC329</f>
        <v>#REF!</v>
      </c>
      <c r="AF329" t="str">
        <f>AD329/U329</f>
        <v>#REF!</v>
      </c>
      <c r="AG329" t="str">
        <f>AE329/V329</f>
        <v>#REF!</v>
      </c>
    </row>
    <row r="330">
      <c r="G330" t="str">
        <v>A</v>
      </c>
      <c r="J330" t="str">
        <f>IF(K330&gt;0,K330*0.0625,IF(L330&gt;0,L330*2.204623,))</f>
        <v>#REF!</v>
      </c>
      <c r="K330" t="str">
        <f>IF(L330&gt;0,L330*35.273962,IF(J330&gt;0,J330*16,))</f>
        <v>#REF!</v>
      </c>
      <c r="L330" t="str">
        <f>IF(J330&gt;0,J330*0.453592,IF(K330&gt;0,K330*0.02835,))</f>
        <v>#REF!</v>
      </c>
      <c r="O330">
        <f>I330+N330+M330</f>
        <v>0</v>
      </c>
      <c r="P330">
        <f>O330*C$3</f>
        <v>0</v>
      </c>
      <c r="Q330" t="str">
        <f>ROUNDUP(HLOOKUP(IF(CEILING(L330,0.5)&lt;1,1,CEILING(L330,0.5)),'배송비 조회'!A$32:AY$36,2,0),-2)</f>
        <v>#REF!</v>
      </c>
      <c r="R330">
        <v>0</v>
      </c>
      <c r="S330" t="str">
        <f>ROUND((P330+Q330)*0.6,-2)</f>
        <v>#REF!</v>
      </c>
      <c r="T330" t="str">
        <f>ROUND((P330+Q330)*0.7,-2)</f>
        <v>#REF!</v>
      </c>
      <c r="U330" t="str">
        <f>ROUND(SUM(P330+Q330+R330+S330), -2)</f>
        <v>#REF!</v>
      </c>
      <c r="V330" t="str">
        <f>ROUND(P330+Q330+R330+T330, -2)</f>
        <v>#REF!</v>
      </c>
      <c r="W330">
        <v>0</v>
      </c>
      <c r="X330" t="str">
        <f>U330*0.038</f>
        <v>#REF!</v>
      </c>
      <c r="Y330" t="str">
        <f>U330*0.02</f>
        <v>#REF!</v>
      </c>
      <c r="Z330" t="str">
        <f>V330*0.1</f>
        <v>#REF!</v>
      </c>
      <c r="AA330" t="str">
        <f>U330-X330-Y330</f>
        <v>#REF!</v>
      </c>
      <c r="AB330" t="str">
        <f>V330-Z330</f>
        <v>#REF!</v>
      </c>
      <c r="AC330" t="str">
        <f>AA330*0.01</f>
        <v>#REF!</v>
      </c>
      <c r="AD330" t="str">
        <f>AA330-P330-AC330-Q330</f>
        <v>#REF!</v>
      </c>
      <c r="AE330" t="str">
        <f>AB330-P330-Q330-AC330</f>
        <v>#REF!</v>
      </c>
      <c r="AF330" t="str">
        <f>AD330/U330</f>
        <v>#REF!</v>
      </c>
      <c r="AG330" t="str">
        <f>AE330/V330</f>
        <v>#REF!</v>
      </c>
    </row>
    <row r="331">
      <c r="G331" t="str">
        <v>A</v>
      </c>
      <c r="J331" t="str">
        <f>IF(K331&gt;0,K331*0.0625,IF(L331&gt;0,L331*2.204623,))</f>
        <v>#REF!</v>
      </c>
      <c r="K331" t="str">
        <f>IF(L331&gt;0,L331*35.273962,IF(J331&gt;0,J331*16,))</f>
        <v>#REF!</v>
      </c>
      <c r="L331" t="str">
        <f>IF(J331&gt;0,J331*0.453592,IF(K331&gt;0,K331*0.02835,))</f>
        <v>#REF!</v>
      </c>
      <c r="O331">
        <f>I331+N331+M331</f>
        <v>0</v>
      </c>
      <c r="P331">
        <f>O331*C$3</f>
        <v>0</v>
      </c>
      <c r="Q331" t="str">
        <f>ROUNDUP(HLOOKUP(IF(CEILING(L331,0.5)&lt;1,1,CEILING(L331,0.5)),'배송비 조회'!A$32:AY$36,2,0),-2)</f>
        <v>#REF!</v>
      </c>
      <c r="R331">
        <v>0</v>
      </c>
      <c r="S331" t="str">
        <f>ROUND((P331+Q331)*0.6,-2)</f>
        <v>#REF!</v>
      </c>
      <c r="T331" t="str">
        <f>ROUND((P331+Q331)*0.7,-2)</f>
        <v>#REF!</v>
      </c>
      <c r="U331" t="str">
        <f>ROUND(SUM(P331+Q331+R331+S331), -2)</f>
        <v>#REF!</v>
      </c>
      <c r="V331" t="str">
        <f>ROUND(P331+Q331+R331+T331, -2)</f>
        <v>#REF!</v>
      </c>
      <c r="W331">
        <v>0</v>
      </c>
      <c r="X331" t="str">
        <f>U331*0.038</f>
        <v>#REF!</v>
      </c>
      <c r="Y331" t="str">
        <f>U331*0.02</f>
        <v>#REF!</v>
      </c>
      <c r="Z331" t="str">
        <f>V331*0.1</f>
        <v>#REF!</v>
      </c>
      <c r="AA331" t="str">
        <f>U331-X331-Y331</f>
        <v>#REF!</v>
      </c>
      <c r="AB331" t="str">
        <f>V331-Z331</f>
        <v>#REF!</v>
      </c>
      <c r="AC331" t="str">
        <f>AA331*0.01</f>
        <v>#REF!</v>
      </c>
      <c r="AD331" t="str">
        <f>AA331-P331-AC331-Q331</f>
        <v>#REF!</v>
      </c>
      <c r="AE331" t="str">
        <f>AB331-P331-Q331-AC331</f>
        <v>#REF!</v>
      </c>
      <c r="AF331" t="str">
        <f>AD331/U331</f>
        <v>#REF!</v>
      </c>
      <c r="AG331" t="str">
        <f>AE331/V331</f>
        <v>#REF!</v>
      </c>
    </row>
    <row r="332">
      <c r="G332" t="str">
        <v>A</v>
      </c>
      <c r="J332" t="str">
        <f>IF(K332&gt;0,K332*0.0625,IF(L332&gt;0,L332*2.204623,))</f>
        <v>#REF!</v>
      </c>
      <c r="K332" t="str">
        <f>IF(L332&gt;0,L332*35.273962,IF(J332&gt;0,J332*16,))</f>
        <v>#REF!</v>
      </c>
      <c r="L332" t="str">
        <f>IF(J332&gt;0,J332*0.453592,IF(K332&gt;0,K332*0.02835,))</f>
        <v>#REF!</v>
      </c>
      <c r="O332">
        <f>I332+N332+M332</f>
        <v>0</v>
      </c>
      <c r="P332">
        <f>O332*C$3</f>
        <v>0</v>
      </c>
      <c r="Q332" t="str">
        <f>ROUNDUP(HLOOKUP(IF(CEILING(L332,0.5)&lt;1,1,CEILING(L332,0.5)),'배송비 조회'!A$32:AY$36,2,0),-2)</f>
        <v>#REF!</v>
      </c>
      <c r="R332">
        <v>0</v>
      </c>
      <c r="S332" t="str">
        <f>ROUND((P332+Q332)*0.6,-2)</f>
        <v>#REF!</v>
      </c>
      <c r="T332" t="str">
        <f>ROUND((P332+Q332)*0.7,-2)</f>
        <v>#REF!</v>
      </c>
      <c r="U332" t="str">
        <f>ROUND(SUM(P332+Q332+R332+S332), -2)</f>
        <v>#REF!</v>
      </c>
      <c r="V332" t="str">
        <f>ROUND(P332+Q332+R332+T332, -2)</f>
        <v>#REF!</v>
      </c>
      <c r="W332">
        <v>0</v>
      </c>
      <c r="X332" t="str">
        <f>U332*0.038</f>
        <v>#REF!</v>
      </c>
      <c r="Y332" t="str">
        <f>U332*0.02</f>
        <v>#REF!</v>
      </c>
      <c r="Z332" t="str">
        <f>V332*0.1</f>
        <v>#REF!</v>
      </c>
      <c r="AA332" t="str">
        <f>U332-X332-Y332</f>
        <v>#REF!</v>
      </c>
      <c r="AB332" t="str">
        <f>V332-Z332</f>
        <v>#REF!</v>
      </c>
      <c r="AC332" t="str">
        <f>AA332*0.01</f>
        <v>#REF!</v>
      </c>
      <c r="AD332" t="str">
        <f>AA332-P332-AC332-Q332</f>
        <v>#REF!</v>
      </c>
      <c r="AE332" t="str">
        <f>AB332-P332-Q332-AC332</f>
        <v>#REF!</v>
      </c>
      <c r="AF332" t="str">
        <f>AD332/U332</f>
        <v>#REF!</v>
      </c>
      <c r="AG332" t="str">
        <f>AE332/V332</f>
        <v>#REF!</v>
      </c>
    </row>
    <row r="333">
      <c r="G333" t="str">
        <v>A</v>
      </c>
      <c r="J333" t="str">
        <f>IF(K333&gt;0,K333*0.0625,IF(L333&gt;0,L333*2.204623,))</f>
        <v>#REF!</v>
      </c>
      <c r="K333" t="str">
        <f>IF(L333&gt;0,L333*35.273962,IF(J333&gt;0,J333*16,))</f>
        <v>#REF!</v>
      </c>
      <c r="L333" t="str">
        <f>IF(J333&gt;0,J333*0.453592,IF(K333&gt;0,K333*0.02835,))</f>
        <v>#REF!</v>
      </c>
      <c r="O333">
        <f>I333+N333+M333</f>
        <v>0</v>
      </c>
      <c r="P333">
        <f>O333*C$3</f>
        <v>0</v>
      </c>
      <c r="Q333" t="str">
        <f>ROUNDUP(HLOOKUP(IF(CEILING(L333,0.5)&lt;1,1,CEILING(L333,0.5)),'배송비 조회'!A$32:AY$36,2,0),-2)</f>
        <v>#REF!</v>
      </c>
      <c r="R333">
        <v>0</v>
      </c>
      <c r="S333" t="str">
        <f>ROUND((P333+Q333)*0.6,-2)</f>
        <v>#REF!</v>
      </c>
      <c r="T333" t="str">
        <f>ROUND((P333+Q333)*0.7,-2)</f>
        <v>#REF!</v>
      </c>
      <c r="U333" t="str">
        <f>ROUND(SUM(P333+Q333+R333+S333), -2)</f>
        <v>#REF!</v>
      </c>
      <c r="V333" t="str">
        <f>ROUND(P333+Q333+R333+T333, -2)</f>
        <v>#REF!</v>
      </c>
      <c r="W333">
        <v>0</v>
      </c>
      <c r="X333" t="str">
        <f>U333*0.038</f>
        <v>#REF!</v>
      </c>
      <c r="Y333" t="str">
        <f>U333*0.02</f>
        <v>#REF!</v>
      </c>
      <c r="Z333" t="str">
        <f>V333*0.1</f>
        <v>#REF!</v>
      </c>
      <c r="AA333" t="str">
        <f>U333-X333-Y333</f>
        <v>#REF!</v>
      </c>
      <c r="AB333" t="str">
        <f>V333-Z333</f>
        <v>#REF!</v>
      </c>
      <c r="AC333" t="str">
        <f>AA333*0.01</f>
        <v>#REF!</v>
      </c>
      <c r="AD333" t="str">
        <f>AA333-P333-AC333-Q333</f>
        <v>#REF!</v>
      </c>
      <c r="AE333" t="str">
        <f>AB333-P333-Q333-AC333</f>
        <v>#REF!</v>
      </c>
      <c r="AF333" t="str">
        <f>AD333/U333</f>
        <v>#REF!</v>
      </c>
      <c r="AG333" t="str">
        <f>AE333/V333</f>
        <v>#REF!</v>
      </c>
    </row>
    <row r="334">
      <c r="G334" t="str">
        <v>A</v>
      </c>
      <c r="J334" t="str">
        <f>IF(K334&gt;0,K334*0.0625,IF(L334&gt;0,L334*2.204623,))</f>
        <v>#REF!</v>
      </c>
      <c r="K334" t="str">
        <f>IF(L334&gt;0,L334*35.273962,IF(J334&gt;0,J334*16,))</f>
        <v>#REF!</v>
      </c>
      <c r="L334" t="str">
        <f>IF(J334&gt;0,J334*0.453592,IF(K334&gt;0,K334*0.02835,))</f>
        <v>#REF!</v>
      </c>
      <c r="O334">
        <f>I334+N334+M334</f>
        <v>0</v>
      </c>
      <c r="P334">
        <f>O334*C$3</f>
        <v>0</v>
      </c>
      <c r="Q334" t="str">
        <f>ROUNDUP(HLOOKUP(IF(CEILING(L334,0.5)&lt;1,1,CEILING(L334,0.5)),'배송비 조회'!A$32:AY$36,2,0),-2)</f>
        <v>#REF!</v>
      </c>
      <c r="R334">
        <v>0</v>
      </c>
      <c r="S334" t="str">
        <f>ROUND((P334+Q334)*0.6,-2)</f>
        <v>#REF!</v>
      </c>
      <c r="T334" t="str">
        <f>ROUND((P334+Q334)*0.7,-2)</f>
        <v>#REF!</v>
      </c>
      <c r="U334" t="str">
        <f>ROUND(SUM(P334+Q334+R334+S334), -2)</f>
        <v>#REF!</v>
      </c>
      <c r="V334" t="str">
        <f>ROUND(P334+Q334+R334+T334, -2)</f>
        <v>#REF!</v>
      </c>
      <c r="W334">
        <v>0</v>
      </c>
      <c r="X334" t="str">
        <f>U334*0.038</f>
        <v>#REF!</v>
      </c>
      <c r="Y334" t="str">
        <f>U334*0.02</f>
        <v>#REF!</v>
      </c>
      <c r="Z334" t="str">
        <f>V334*0.1</f>
        <v>#REF!</v>
      </c>
      <c r="AA334" t="str">
        <f>U334-X334-Y334</f>
        <v>#REF!</v>
      </c>
      <c r="AB334" t="str">
        <f>V334-Z334</f>
        <v>#REF!</v>
      </c>
      <c r="AC334" t="str">
        <f>AA334*0.01</f>
        <v>#REF!</v>
      </c>
      <c r="AD334" t="str">
        <f>AA334-P334-AC334-Q334</f>
        <v>#REF!</v>
      </c>
      <c r="AE334" t="str">
        <f>AB334-P334-Q334-AC334</f>
        <v>#REF!</v>
      </c>
      <c r="AF334" t="str">
        <f>AD334/U334</f>
        <v>#REF!</v>
      </c>
      <c r="AG334" t="str">
        <f>AE334/V334</f>
        <v>#REF!</v>
      </c>
    </row>
    <row r="335">
      <c r="G335" t="str">
        <v>A</v>
      </c>
      <c r="J335" t="str">
        <f>IF(K335&gt;0,K335*0.0625,IF(L335&gt;0,L335*2.204623,))</f>
        <v>#REF!</v>
      </c>
      <c r="K335" t="str">
        <f>IF(L335&gt;0,L335*35.273962,IF(J335&gt;0,J335*16,))</f>
        <v>#REF!</v>
      </c>
      <c r="L335" t="str">
        <f>IF(J335&gt;0,J335*0.453592,IF(K335&gt;0,K335*0.02835,))</f>
        <v>#REF!</v>
      </c>
      <c r="O335">
        <f>I335+N335+M335</f>
        <v>0</v>
      </c>
      <c r="P335">
        <f>O335*C$3</f>
        <v>0</v>
      </c>
      <c r="Q335" t="str">
        <f>ROUNDUP(HLOOKUP(IF(CEILING(L335,0.5)&lt;1,1,CEILING(L335,0.5)),'배송비 조회'!A$32:AY$36,2,0),-2)</f>
        <v>#REF!</v>
      </c>
      <c r="R335">
        <v>0</v>
      </c>
      <c r="S335" t="str">
        <f>ROUND((P335+Q335)*0.6,-2)</f>
        <v>#REF!</v>
      </c>
      <c r="T335" t="str">
        <f>ROUND((P335+Q335)*0.7,-2)</f>
        <v>#REF!</v>
      </c>
      <c r="U335" t="str">
        <f>ROUND(SUM(P335+Q335+R335+S335), -2)</f>
        <v>#REF!</v>
      </c>
      <c r="V335" t="str">
        <f>ROUND(P335+Q335+R335+T335, -2)</f>
        <v>#REF!</v>
      </c>
      <c r="W335">
        <v>0</v>
      </c>
      <c r="X335" t="str">
        <f>U335*0.038</f>
        <v>#REF!</v>
      </c>
      <c r="Y335" t="str">
        <f>U335*0.02</f>
        <v>#REF!</v>
      </c>
      <c r="Z335" t="str">
        <f>V335*0.1</f>
        <v>#REF!</v>
      </c>
      <c r="AA335" t="str">
        <f>U335-X335-Y335</f>
        <v>#REF!</v>
      </c>
      <c r="AB335" t="str">
        <f>V335-Z335</f>
        <v>#REF!</v>
      </c>
      <c r="AC335" t="str">
        <f>AA335*0.01</f>
        <v>#REF!</v>
      </c>
      <c r="AD335" t="str">
        <f>AA335-P335-AC335-Q335</f>
        <v>#REF!</v>
      </c>
      <c r="AE335" t="str">
        <f>AB335-P335-Q335-AC335</f>
        <v>#REF!</v>
      </c>
      <c r="AF335" t="str">
        <f>AD335/U335</f>
        <v>#REF!</v>
      </c>
      <c r="AG335" t="str">
        <f>AE335/V335</f>
        <v>#REF!</v>
      </c>
    </row>
    <row r="336">
      <c r="G336" t="str">
        <v>A</v>
      </c>
      <c r="J336" t="str">
        <f>IF(K336&gt;0,K336*0.0625,IF(L336&gt;0,L336*2.204623,))</f>
        <v>#REF!</v>
      </c>
      <c r="K336" t="str">
        <f>IF(L336&gt;0,L336*35.273962,IF(J336&gt;0,J336*16,))</f>
        <v>#REF!</v>
      </c>
      <c r="L336" t="str">
        <f>IF(J336&gt;0,J336*0.453592,IF(K336&gt;0,K336*0.02835,))</f>
        <v>#REF!</v>
      </c>
      <c r="O336">
        <f>I336+N336+M336</f>
        <v>0</v>
      </c>
      <c r="P336">
        <f>O336*C$3</f>
        <v>0</v>
      </c>
      <c r="Q336" t="str">
        <f>ROUNDUP(HLOOKUP(IF(CEILING(L336,0.5)&lt;1,1,CEILING(L336,0.5)),'배송비 조회'!A$32:AY$36,2,0),-2)</f>
        <v>#REF!</v>
      </c>
      <c r="R336">
        <v>0</v>
      </c>
      <c r="S336" t="str">
        <f>ROUND((P336+Q336)*0.6,-2)</f>
        <v>#REF!</v>
      </c>
      <c r="T336" t="str">
        <f>ROUND((P336+Q336)*0.7,-2)</f>
        <v>#REF!</v>
      </c>
      <c r="U336" t="str">
        <f>ROUND(SUM(P336+Q336+R336+S336), -2)</f>
        <v>#REF!</v>
      </c>
      <c r="V336" t="str">
        <f>ROUND(P336+Q336+R336+T336, -2)</f>
        <v>#REF!</v>
      </c>
      <c r="W336">
        <v>0</v>
      </c>
      <c r="X336" t="str">
        <f>U336*0.038</f>
        <v>#REF!</v>
      </c>
      <c r="Y336" t="str">
        <f>U336*0.02</f>
        <v>#REF!</v>
      </c>
      <c r="Z336" t="str">
        <f>V336*0.1</f>
        <v>#REF!</v>
      </c>
      <c r="AA336" t="str">
        <f>U336-X336-Y336</f>
        <v>#REF!</v>
      </c>
      <c r="AB336" t="str">
        <f>V336-Z336</f>
        <v>#REF!</v>
      </c>
      <c r="AC336" t="str">
        <f>AA336*0.01</f>
        <v>#REF!</v>
      </c>
      <c r="AD336" t="str">
        <f>AA336-P336-AC336-Q336</f>
        <v>#REF!</v>
      </c>
      <c r="AE336" t="str">
        <f>AB336-P336-Q336-AC336</f>
        <v>#REF!</v>
      </c>
      <c r="AF336" t="str">
        <f>AD336/U336</f>
        <v>#REF!</v>
      </c>
      <c r="AG336" t="str">
        <f>AE336/V336</f>
        <v>#REF!</v>
      </c>
    </row>
    <row r="337">
      <c r="G337" t="str">
        <v>A</v>
      </c>
      <c r="J337" t="str">
        <f>IF(K337&gt;0,K337*0.0625,IF(L337&gt;0,L337*2.204623,))</f>
        <v>#REF!</v>
      </c>
      <c r="K337" t="str">
        <f>IF(L337&gt;0,L337*35.273962,IF(J337&gt;0,J337*16,))</f>
        <v>#REF!</v>
      </c>
      <c r="L337" t="str">
        <f>IF(J337&gt;0,J337*0.453592,IF(K337&gt;0,K337*0.02835,))</f>
        <v>#REF!</v>
      </c>
      <c r="O337">
        <f>I337+N337+M337</f>
        <v>0</v>
      </c>
      <c r="P337">
        <f>O337*C$3</f>
        <v>0</v>
      </c>
      <c r="Q337" t="str">
        <f>ROUNDUP(HLOOKUP(IF(CEILING(L337,0.5)&lt;1,1,CEILING(L337,0.5)),'배송비 조회'!A$32:AY$36,2,0),-2)</f>
        <v>#REF!</v>
      </c>
      <c r="R337">
        <v>0</v>
      </c>
      <c r="S337" t="str">
        <f>ROUND((P337+Q337)*0.6,-2)</f>
        <v>#REF!</v>
      </c>
      <c r="T337" t="str">
        <f>ROUND((P337+Q337)*0.7,-2)</f>
        <v>#REF!</v>
      </c>
      <c r="U337" t="str">
        <f>ROUND(SUM(P337+Q337+R337+S337), -2)</f>
        <v>#REF!</v>
      </c>
      <c r="V337" t="str">
        <f>ROUND(P337+Q337+R337+T337, -2)</f>
        <v>#REF!</v>
      </c>
      <c r="W337">
        <v>0</v>
      </c>
      <c r="X337" t="str">
        <f>U337*0.038</f>
        <v>#REF!</v>
      </c>
      <c r="Y337" t="str">
        <f>U337*0.02</f>
        <v>#REF!</v>
      </c>
      <c r="Z337" t="str">
        <f>V337*0.1</f>
        <v>#REF!</v>
      </c>
      <c r="AA337" t="str">
        <f>U337-X337-Y337</f>
        <v>#REF!</v>
      </c>
      <c r="AB337" t="str">
        <f>V337-Z337</f>
        <v>#REF!</v>
      </c>
      <c r="AC337" t="str">
        <f>AA337*0.01</f>
        <v>#REF!</v>
      </c>
      <c r="AD337" t="str">
        <f>AA337-P337-AC337-Q337</f>
        <v>#REF!</v>
      </c>
      <c r="AE337" t="str">
        <f>AB337-P337-Q337-AC337</f>
        <v>#REF!</v>
      </c>
      <c r="AF337" t="str">
        <f>AD337/U337</f>
        <v>#REF!</v>
      </c>
      <c r="AG337" t="str">
        <f>AE337/V337</f>
        <v>#REF!</v>
      </c>
    </row>
    <row r="338">
      <c r="G338" t="str">
        <v>A</v>
      </c>
      <c r="J338" t="str">
        <f>IF(K338&gt;0,K338*0.0625,IF(L338&gt;0,L338*2.204623,))</f>
        <v>#REF!</v>
      </c>
      <c r="K338" t="str">
        <f>IF(L338&gt;0,L338*35.273962,IF(J338&gt;0,J338*16,))</f>
        <v>#REF!</v>
      </c>
      <c r="L338" t="str">
        <f>IF(J338&gt;0,J338*0.453592,IF(K338&gt;0,K338*0.02835,))</f>
        <v>#REF!</v>
      </c>
      <c r="O338">
        <f>I338+N338+M338</f>
        <v>0</v>
      </c>
      <c r="P338">
        <f>O338*C$3</f>
        <v>0</v>
      </c>
      <c r="Q338" t="str">
        <f>ROUNDUP(HLOOKUP(IF(CEILING(L338,0.5)&lt;1,1,CEILING(L338,0.5)),'배송비 조회'!A$32:AY$36,2,0),-2)</f>
        <v>#REF!</v>
      </c>
      <c r="R338">
        <v>0</v>
      </c>
      <c r="S338" t="str">
        <f>ROUND((P338+Q338)*0.6,-2)</f>
        <v>#REF!</v>
      </c>
      <c r="T338" t="str">
        <f>ROUND((P338+Q338)*0.7,-2)</f>
        <v>#REF!</v>
      </c>
      <c r="U338" t="str">
        <f>ROUND(SUM(P338+Q338+R338+S338), -2)</f>
        <v>#REF!</v>
      </c>
      <c r="V338" t="str">
        <f>ROUND(P338+Q338+R338+T338, -2)</f>
        <v>#REF!</v>
      </c>
      <c r="W338">
        <v>0</v>
      </c>
      <c r="X338" t="str">
        <f>U338*0.038</f>
        <v>#REF!</v>
      </c>
      <c r="Y338" t="str">
        <f>U338*0.02</f>
        <v>#REF!</v>
      </c>
      <c r="Z338" t="str">
        <f>V338*0.1</f>
        <v>#REF!</v>
      </c>
      <c r="AA338" t="str">
        <f>U338-X338-Y338</f>
        <v>#REF!</v>
      </c>
      <c r="AB338" t="str">
        <f>V338-Z338</f>
        <v>#REF!</v>
      </c>
      <c r="AC338" t="str">
        <f>AA338*0.01</f>
        <v>#REF!</v>
      </c>
      <c r="AD338" t="str">
        <f>AA338-P338-AC338-Q338</f>
        <v>#REF!</v>
      </c>
      <c r="AE338" t="str">
        <f>AB338-P338-Q338-AC338</f>
        <v>#REF!</v>
      </c>
      <c r="AF338" t="str">
        <f>AD338/U338</f>
        <v>#REF!</v>
      </c>
      <c r="AG338" t="str">
        <f>AE338/V338</f>
        <v>#REF!</v>
      </c>
    </row>
    <row r="339">
      <c r="G339" t="str">
        <v>A</v>
      </c>
      <c r="J339" t="str">
        <f>IF(K339&gt;0,K339*0.0625,IF(L339&gt;0,L339*2.204623,))</f>
        <v>#REF!</v>
      </c>
      <c r="K339" t="str">
        <f>IF(L339&gt;0,L339*35.273962,IF(J339&gt;0,J339*16,))</f>
        <v>#REF!</v>
      </c>
      <c r="L339" t="str">
        <f>IF(J339&gt;0,J339*0.453592,IF(K339&gt;0,K339*0.02835,))</f>
        <v>#REF!</v>
      </c>
      <c r="O339">
        <f>I339+N339+M339</f>
        <v>0</v>
      </c>
      <c r="P339">
        <f>O339*C$3</f>
        <v>0</v>
      </c>
      <c r="Q339" t="str">
        <f>ROUNDUP(HLOOKUP(IF(CEILING(L339,0.5)&lt;1,1,CEILING(L339,0.5)),'배송비 조회'!A$32:AY$36,2,0),-2)</f>
        <v>#REF!</v>
      </c>
      <c r="R339">
        <v>0</v>
      </c>
      <c r="S339" t="str">
        <f>ROUND((P339+Q339)*0.6,-2)</f>
        <v>#REF!</v>
      </c>
      <c r="T339" t="str">
        <f>ROUND((P339+Q339)*0.7,-2)</f>
        <v>#REF!</v>
      </c>
      <c r="U339" t="str">
        <f>ROUND(SUM(P339+Q339+R339+S339), -2)</f>
        <v>#REF!</v>
      </c>
      <c r="V339" t="str">
        <f>ROUND(P339+Q339+R339+T339, -2)</f>
        <v>#REF!</v>
      </c>
      <c r="W339">
        <v>0</v>
      </c>
      <c r="X339" t="str">
        <f>U339*0.038</f>
        <v>#REF!</v>
      </c>
      <c r="Y339" t="str">
        <f>U339*0.02</f>
        <v>#REF!</v>
      </c>
      <c r="Z339" t="str">
        <f>V339*0.1</f>
        <v>#REF!</v>
      </c>
      <c r="AA339" t="str">
        <f>U339-X339-Y339</f>
        <v>#REF!</v>
      </c>
      <c r="AB339" t="str">
        <f>V339-Z339</f>
        <v>#REF!</v>
      </c>
      <c r="AC339" t="str">
        <f>AA339*0.01</f>
        <v>#REF!</v>
      </c>
      <c r="AD339" t="str">
        <f>AA339-P339-AC339-Q339</f>
        <v>#REF!</v>
      </c>
      <c r="AE339" t="str">
        <f>AB339-P339-Q339-AC339</f>
        <v>#REF!</v>
      </c>
      <c r="AF339" t="str">
        <f>AD339/U339</f>
        <v>#REF!</v>
      </c>
      <c r="AG339" t="str">
        <f>AE339/V339</f>
        <v>#REF!</v>
      </c>
    </row>
    <row r="340">
      <c r="G340" t="str">
        <v>A</v>
      </c>
      <c r="J340" t="str">
        <f>IF(K340&gt;0,K340*0.0625,IF(L340&gt;0,L340*2.204623,))</f>
        <v>#REF!</v>
      </c>
      <c r="K340" t="str">
        <f>IF(L340&gt;0,L340*35.273962,IF(J340&gt;0,J340*16,))</f>
        <v>#REF!</v>
      </c>
      <c r="L340" t="str">
        <f>IF(J340&gt;0,J340*0.453592,IF(K340&gt;0,K340*0.02835,))</f>
        <v>#REF!</v>
      </c>
      <c r="O340">
        <f>I340+N340+M340</f>
        <v>0</v>
      </c>
      <c r="P340">
        <f>O340*C$3</f>
        <v>0</v>
      </c>
      <c r="Q340" t="str">
        <f>ROUNDUP(HLOOKUP(IF(CEILING(L340,0.5)&lt;1,1,CEILING(L340,0.5)),'배송비 조회'!A$32:AY$36,2,0),-2)</f>
        <v>#REF!</v>
      </c>
      <c r="R340">
        <v>0</v>
      </c>
      <c r="S340" t="str">
        <f>ROUND((P340+Q340)*0.6,-2)</f>
        <v>#REF!</v>
      </c>
      <c r="T340" t="str">
        <f>ROUND((P340+Q340)*0.7,-2)</f>
        <v>#REF!</v>
      </c>
      <c r="U340" t="str">
        <f>ROUND(SUM(P340+Q340+R340+S340), -2)</f>
        <v>#REF!</v>
      </c>
      <c r="V340" t="str">
        <f>ROUND(P340+Q340+R340+T340, -2)</f>
        <v>#REF!</v>
      </c>
      <c r="W340">
        <v>0</v>
      </c>
      <c r="X340" t="str">
        <f>U340*0.038</f>
        <v>#REF!</v>
      </c>
      <c r="Y340" t="str">
        <f>U340*0.02</f>
        <v>#REF!</v>
      </c>
      <c r="Z340" t="str">
        <f>V340*0.1</f>
        <v>#REF!</v>
      </c>
      <c r="AA340" t="str">
        <f>U340-X340-Y340</f>
        <v>#REF!</v>
      </c>
      <c r="AB340" t="str">
        <f>V340-Z340</f>
        <v>#REF!</v>
      </c>
      <c r="AC340" t="str">
        <f>AA340*0.01</f>
        <v>#REF!</v>
      </c>
      <c r="AD340" t="str">
        <f>AA340-P340-AC340-Q340</f>
        <v>#REF!</v>
      </c>
      <c r="AE340" t="str">
        <f>AB340-P340-Q340-AC340</f>
        <v>#REF!</v>
      </c>
      <c r="AF340" t="str">
        <f>AD340/U340</f>
        <v>#REF!</v>
      </c>
      <c r="AG340" t="str">
        <f>AE340/V340</f>
        <v>#REF!</v>
      </c>
    </row>
    <row r="341">
      <c r="G341" t="str">
        <v>A</v>
      </c>
      <c r="J341" t="str">
        <f>IF(K341&gt;0,K341*0.0625,IF(L341&gt;0,L341*2.204623,))</f>
        <v>#REF!</v>
      </c>
      <c r="K341" t="str">
        <f>IF(L341&gt;0,L341*35.273962,IF(J341&gt;0,J341*16,))</f>
        <v>#REF!</v>
      </c>
      <c r="L341" t="str">
        <f>IF(J341&gt;0,J341*0.453592,IF(K341&gt;0,K341*0.02835,))</f>
        <v>#REF!</v>
      </c>
      <c r="O341">
        <f>I341+N341+M341</f>
        <v>0</v>
      </c>
      <c r="P341">
        <f>O341*C$3</f>
        <v>0</v>
      </c>
      <c r="Q341" t="str">
        <f>ROUNDUP(HLOOKUP(IF(CEILING(L341,0.5)&lt;1,1,CEILING(L341,0.5)),'배송비 조회'!A$32:AY$36,2,0),-2)</f>
        <v>#REF!</v>
      </c>
      <c r="R341">
        <v>0</v>
      </c>
      <c r="S341" t="str">
        <f>ROUND((P341+Q341)*0.6,-2)</f>
        <v>#REF!</v>
      </c>
      <c r="T341" t="str">
        <f>ROUND((P341+Q341)*0.7,-2)</f>
        <v>#REF!</v>
      </c>
      <c r="U341" t="str">
        <f>ROUND(SUM(P341+Q341+R341+S341), -2)</f>
        <v>#REF!</v>
      </c>
      <c r="V341" t="str">
        <f>ROUND(P341+Q341+R341+T341, -2)</f>
        <v>#REF!</v>
      </c>
      <c r="W341">
        <v>0</v>
      </c>
      <c r="X341" t="str">
        <f>U341*0.038</f>
        <v>#REF!</v>
      </c>
      <c r="Y341" t="str">
        <f>U341*0.02</f>
        <v>#REF!</v>
      </c>
      <c r="Z341" t="str">
        <f>V341*0.1</f>
        <v>#REF!</v>
      </c>
      <c r="AA341" t="str">
        <f>U341-X341-Y341</f>
        <v>#REF!</v>
      </c>
      <c r="AB341" t="str">
        <f>V341-Z341</f>
        <v>#REF!</v>
      </c>
      <c r="AC341" t="str">
        <f>AA341*0.01</f>
        <v>#REF!</v>
      </c>
      <c r="AD341" t="str">
        <f>AA341-P341-AC341-Q341</f>
        <v>#REF!</v>
      </c>
      <c r="AE341" t="str">
        <f>AB341-P341-Q341-AC341</f>
        <v>#REF!</v>
      </c>
      <c r="AF341" t="str">
        <f>AD341/U341</f>
        <v>#REF!</v>
      </c>
      <c r="AG341" t="str">
        <f>AE341/V341</f>
        <v>#REF!</v>
      </c>
    </row>
    <row r="342">
      <c r="G342" t="str">
        <v>A</v>
      </c>
      <c r="J342" t="str">
        <f>IF(K342&gt;0,K342*0.0625,IF(L342&gt;0,L342*2.204623,))</f>
        <v>#REF!</v>
      </c>
      <c r="K342" t="str">
        <f>IF(L342&gt;0,L342*35.273962,IF(J342&gt;0,J342*16,))</f>
        <v>#REF!</v>
      </c>
      <c r="L342" t="str">
        <f>IF(J342&gt;0,J342*0.453592,IF(K342&gt;0,K342*0.02835,))</f>
        <v>#REF!</v>
      </c>
      <c r="O342">
        <f>I342+N342+M342</f>
        <v>0</v>
      </c>
      <c r="P342">
        <f>O342*C$3</f>
        <v>0</v>
      </c>
      <c r="Q342" t="str">
        <f>ROUNDUP(HLOOKUP(IF(CEILING(L342,0.5)&lt;1,1,CEILING(L342,0.5)),'배송비 조회'!A$32:AY$36,2,0),-2)</f>
        <v>#REF!</v>
      </c>
      <c r="R342">
        <v>0</v>
      </c>
      <c r="S342" t="str">
        <f>ROUND((P342+Q342)*0.6,-2)</f>
        <v>#REF!</v>
      </c>
      <c r="T342" t="str">
        <f>ROUND((P342+Q342)*0.7,-2)</f>
        <v>#REF!</v>
      </c>
      <c r="U342" t="str">
        <f>ROUND(SUM(P342+Q342+R342+S342), -2)</f>
        <v>#REF!</v>
      </c>
      <c r="V342" t="str">
        <f>ROUND(P342+Q342+R342+T342, -2)</f>
        <v>#REF!</v>
      </c>
      <c r="W342">
        <v>0</v>
      </c>
      <c r="X342" t="str">
        <f>U342*0.038</f>
        <v>#REF!</v>
      </c>
      <c r="Y342" t="str">
        <f>U342*0.02</f>
        <v>#REF!</v>
      </c>
      <c r="Z342" t="str">
        <f>V342*0.1</f>
        <v>#REF!</v>
      </c>
      <c r="AA342" t="str">
        <f>U342-X342-Y342</f>
        <v>#REF!</v>
      </c>
      <c r="AB342" t="str">
        <f>V342-Z342</f>
        <v>#REF!</v>
      </c>
      <c r="AC342" t="str">
        <f>AA342*0.01</f>
        <v>#REF!</v>
      </c>
      <c r="AD342" t="str">
        <f>AA342-P342-AC342-Q342</f>
        <v>#REF!</v>
      </c>
      <c r="AE342" t="str">
        <f>AB342-P342-Q342-AC342</f>
        <v>#REF!</v>
      </c>
      <c r="AF342" t="str">
        <f>AD342/U342</f>
        <v>#REF!</v>
      </c>
      <c r="AG342" t="str">
        <f>AE342/V342</f>
        <v>#REF!</v>
      </c>
    </row>
    <row r="343">
      <c r="G343" t="str">
        <v>A</v>
      </c>
      <c r="J343" t="str">
        <f>IF(K343&gt;0,K343*0.0625,IF(L343&gt;0,L343*2.204623,))</f>
        <v>#REF!</v>
      </c>
      <c r="K343" t="str">
        <f>IF(L343&gt;0,L343*35.273962,IF(J343&gt;0,J343*16,))</f>
        <v>#REF!</v>
      </c>
      <c r="L343" t="str">
        <f>IF(J343&gt;0,J343*0.453592,IF(K343&gt;0,K343*0.02835,))</f>
        <v>#REF!</v>
      </c>
      <c r="O343">
        <f>I343+N343+M343</f>
        <v>0</v>
      </c>
      <c r="P343">
        <f>O343*C$3</f>
        <v>0</v>
      </c>
      <c r="Q343" t="str">
        <f>ROUNDUP(HLOOKUP(IF(CEILING(L343,0.5)&lt;1,1,CEILING(L343,0.5)),'배송비 조회'!A$32:AY$36,2,0),-2)</f>
        <v>#REF!</v>
      </c>
      <c r="R343">
        <v>0</v>
      </c>
      <c r="S343" t="str">
        <f>ROUND((P343+Q343)*0.6,-2)</f>
        <v>#REF!</v>
      </c>
      <c r="T343" t="str">
        <f>ROUND((P343+Q343)*0.7,-2)</f>
        <v>#REF!</v>
      </c>
      <c r="U343" t="str">
        <f>ROUND(SUM(P343+Q343+R343+S343), -2)</f>
        <v>#REF!</v>
      </c>
      <c r="V343" t="str">
        <f>ROUND(P343+Q343+R343+T343, -2)</f>
        <v>#REF!</v>
      </c>
      <c r="W343">
        <v>0</v>
      </c>
      <c r="X343" t="str">
        <f>U343*0.038</f>
        <v>#REF!</v>
      </c>
      <c r="Y343" t="str">
        <f>U343*0.02</f>
        <v>#REF!</v>
      </c>
      <c r="Z343" t="str">
        <f>V343*0.1</f>
        <v>#REF!</v>
      </c>
      <c r="AA343" t="str">
        <f>U343-X343-Y343</f>
        <v>#REF!</v>
      </c>
      <c r="AB343" t="str">
        <f>V343-Z343</f>
        <v>#REF!</v>
      </c>
      <c r="AC343" t="str">
        <f>AA343*0.01</f>
        <v>#REF!</v>
      </c>
      <c r="AD343" t="str">
        <f>AA343-P343-AC343-Q343</f>
        <v>#REF!</v>
      </c>
      <c r="AE343" t="str">
        <f>AB343-P343-Q343-AC343</f>
        <v>#REF!</v>
      </c>
      <c r="AF343" t="str">
        <f>AD343/U343</f>
        <v>#REF!</v>
      </c>
      <c r="AG343" t="str">
        <f>AE343/V343</f>
        <v>#REF!</v>
      </c>
    </row>
    <row r="344">
      <c r="G344" t="str">
        <v>A</v>
      </c>
      <c r="J344" t="str">
        <f>IF(K344&gt;0,K344*0.0625,IF(L344&gt;0,L344*2.204623,))</f>
        <v>#REF!</v>
      </c>
      <c r="K344" t="str">
        <f>IF(L344&gt;0,L344*35.273962,IF(J344&gt;0,J344*16,))</f>
        <v>#REF!</v>
      </c>
      <c r="L344" t="str">
        <f>IF(J344&gt;0,J344*0.453592,IF(K344&gt;0,K344*0.02835,))</f>
        <v>#REF!</v>
      </c>
      <c r="O344">
        <f>I344+N344+M344</f>
        <v>0</v>
      </c>
      <c r="P344">
        <f>O344*C$3</f>
        <v>0</v>
      </c>
      <c r="Q344" t="str">
        <f>ROUNDUP(HLOOKUP(IF(CEILING(L344,0.5)&lt;1,1,CEILING(L344,0.5)),'배송비 조회'!A$32:AY$36,2,0),-2)</f>
        <v>#REF!</v>
      </c>
      <c r="R344">
        <v>0</v>
      </c>
      <c r="S344" t="str">
        <f>ROUND((P344+Q344)*0.6,-2)</f>
        <v>#REF!</v>
      </c>
      <c r="T344" t="str">
        <f>ROUND((P344+Q344)*0.7,-2)</f>
        <v>#REF!</v>
      </c>
      <c r="U344" t="str">
        <f>ROUND(SUM(P344+Q344+R344+S344), -2)</f>
        <v>#REF!</v>
      </c>
      <c r="V344" t="str">
        <f>ROUND(P344+Q344+R344+T344, -2)</f>
        <v>#REF!</v>
      </c>
      <c r="W344">
        <v>0</v>
      </c>
      <c r="X344" t="str">
        <f>U344*0.038</f>
        <v>#REF!</v>
      </c>
      <c r="Y344" t="str">
        <f>U344*0.02</f>
        <v>#REF!</v>
      </c>
      <c r="Z344" t="str">
        <f>V344*0.1</f>
        <v>#REF!</v>
      </c>
      <c r="AA344" t="str">
        <f>U344-X344-Y344</f>
        <v>#REF!</v>
      </c>
      <c r="AB344" t="str">
        <f>V344-Z344</f>
        <v>#REF!</v>
      </c>
      <c r="AC344" t="str">
        <f>AA344*0.01</f>
        <v>#REF!</v>
      </c>
      <c r="AD344" t="str">
        <f>AA344-P344-AC344-Q344</f>
        <v>#REF!</v>
      </c>
      <c r="AE344" t="str">
        <f>AB344-P344-Q344-AC344</f>
        <v>#REF!</v>
      </c>
      <c r="AF344" t="str">
        <f>AD344/U344</f>
        <v>#REF!</v>
      </c>
      <c r="AG344" t="str">
        <f>AE344/V344</f>
        <v>#REF!</v>
      </c>
    </row>
    <row r="345">
      <c r="G345" t="str">
        <v>A</v>
      </c>
      <c r="J345" t="str">
        <f>IF(K345&gt;0,K345*0.0625,IF(L345&gt;0,L345*2.204623,))</f>
        <v>#REF!</v>
      </c>
      <c r="K345" t="str">
        <f>IF(L345&gt;0,L345*35.273962,IF(J345&gt;0,J345*16,))</f>
        <v>#REF!</v>
      </c>
      <c r="L345" t="str">
        <f>IF(J345&gt;0,J345*0.453592,IF(K345&gt;0,K345*0.02835,))</f>
        <v>#REF!</v>
      </c>
      <c r="O345">
        <f>I345+N345+M345</f>
        <v>0</v>
      </c>
      <c r="P345">
        <f>O345*C$3</f>
        <v>0</v>
      </c>
      <c r="Q345" t="str">
        <f>ROUNDUP(HLOOKUP(IF(CEILING(L345,0.5)&lt;1,1,CEILING(L345,0.5)),'배송비 조회'!A$32:AY$36,2,0),-2)</f>
        <v>#REF!</v>
      </c>
      <c r="R345">
        <v>0</v>
      </c>
      <c r="S345" t="str">
        <f>ROUND((P345+Q345)*0.6,-2)</f>
        <v>#REF!</v>
      </c>
      <c r="T345" t="str">
        <f>ROUND((P345+Q345)*0.7,-2)</f>
        <v>#REF!</v>
      </c>
      <c r="U345" t="str">
        <f>ROUND(SUM(P345+Q345+R345+S345), -2)</f>
        <v>#REF!</v>
      </c>
      <c r="V345" t="str">
        <f>ROUND(P345+Q345+R345+T345, -2)</f>
        <v>#REF!</v>
      </c>
      <c r="W345">
        <v>0</v>
      </c>
      <c r="X345" t="str">
        <f>U345*0.038</f>
        <v>#REF!</v>
      </c>
      <c r="Y345" t="str">
        <f>U345*0.02</f>
        <v>#REF!</v>
      </c>
      <c r="Z345" t="str">
        <f>V345*0.1</f>
        <v>#REF!</v>
      </c>
      <c r="AA345" t="str">
        <f>U345-X345-Y345</f>
        <v>#REF!</v>
      </c>
      <c r="AB345" t="str">
        <f>V345-Z345</f>
        <v>#REF!</v>
      </c>
      <c r="AC345" t="str">
        <f>AA345*0.01</f>
        <v>#REF!</v>
      </c>
      <c r="AD345" t="str">
        <f>AA345-P345-AC345-Q345</f>
        <v>#REF!</v>
      </c>
      <c r="AE345" t="str">
        <f>AB345-P345-Q345-AC345</f>
        <v>#REF!</v>
      </c>
      <c r="AF345" t="str">
        <f>AD345/U345</f>
        <v>#REF!</v>
      </c>
      <c r="AG345" t="str">
        <f>AE345/V345</f>
        <v>#REF!</v>
      </c>
    </row>
    <row r="346">
      <c r="G346" t="str">
        <v>A</v>
      </c>
      <c r="J346" t="str">
        <f>IF(K346&gt;0,K346*0.0625,IF(L346&gt;0,L346*2.204623,))</f>
        <v>#REF!</v>
      </c>
      <c r="K346" t="str">
        <f>IF(L346&gt;0,L346*35.273962,IF(J346&gt;0,J346*16,))</f>
        <v>#REF!</v>
      </c>
      <c r="L346" t="str">
        <f>IF(J346&gt;0,J346*0.453592,IF(K346&gt;0,K346*0.02835,))</f>
        <v>#REF!</v>
      </c>
      <c r="O346">
        <f>I346+N346+M346</f>
        <v>0</v>
      </c>
      <c r="P346">
        <f>O346*C$3</f>
        <v>0</v>
      </c>
      <c r="Q346" t="str">
        <f>ROUNDUP(HLOOKUP(IF(CEILING(L346,0.5)&lt;1,1,CEILING(L346,0.5)),'배송비 조회'!A$32:AY$36,2,0),-2)</f>
        <v>#REF!</v>
      </c>
      <c r="R346">
        <v>0</v>
      </c>
      <c r="S346" t="str">
        <f>ROUND((P346+Q346)*0.6,-2)</f>
        <v>#REF!</v>
      </c>
      <c r="T346" t="str">
        <f>ROUND((P346+Q346)*0.7,-2)</f>
        <v>#REF!</v>
      </c>
      <c r="U346" t="str">
        <f>ROUND(SUM(P346+Q346+R346+S346), -2)</f>
        <v>#REF!</v>
      </c>
      <c r="V346" t="str">
        <f>ROUND(P346+Q346+R346+T346, -2)</f>
        <v>#REF!</v>
      </c>
      <c r="W346">
        <v>0</v>
      </c>
      <c r="X346" t="str">
        <f>U346*0.038</f>
        <v>#REF!</v>
      </c>
      <c r="Y346" t="str">
        <f>U346*0.02</f>
        <v>#REF!</v>
      </c>
      <c r="Z346" t="str">
        <f>V346*0.1</f>
        <v>#REF!</v>
      </c>
      <c r="AA346" t="str">
        <f>U346-X346-Y346</f>
        <v>#REF!</v>
      </c>
      <c r="AB346" t="str">
        <f>V346-Z346</f>
        <v>#REF!</v>
      </c>
      <c r="AC346" t="str">
        <f>AA346*0.01</f>
        <v>#REF!</v>
      </c>
      <c r="AD346" t="str">
        <f>AA346-P346-AC346-Q346</f>
        <v>#REF!</v>
      </c>
      <c r="AE346" t="str">
        <f>AB346-P346-Q346-AC346</f>
        <v>#REF!</v>
      </c>
      <c r="AF346" t="str">
        <f>AD346/U346</f>
        <v>#REF!</v>
      </c>
      <c r="AG346" t="str">
        <f>AE346/V346</f>
        <v>#REF!</v>
      </c>
    </row>
    <row r="347">
      <c r="G347" t="str">
        <v>A</v>
      </c>
      <c r="J347" t="str">
        <f>IF(K347&gt;0,K347*0.0625,IF(L347&gt;0,L347*2.204623,))</f>
        <v>#REF!</v>
      </c>
      <c r="K347" t="str">
        <f>IF(L347&gt;0,L347*35.273962,IF(J347&gt;0,J347*16,))</f>
        <v>#REF!</v>
      </c>
      <c r="L347" t="str">
        <f>IF(J347&gt;0,J347*0.453592,IF(K347&gt;0,K347*0.02835,))</f>
        <v>#REF!</v>
      </c>
      <c r="O347">
        <f>I347+N347+M347</f>
        <v>0</v>
      </c>
      <c r="P347">
        <f>O347*C$3</f>
        <v>0</v>
      </c>
      <c r="Q347" t="str">
        <f>ROUNDUP(HLOOKUP(IF(CEILING(L347,0.5)&lt;1,1,CEILING(L347,0.5)),'배송비 조회'!A$32:AY$36,2,0),-2)</f>
        <v>#REF!</v>
      </c>
      <c r="R347">
        <v>0</v>
      </c>
      <c r="S347" t="str">
        <f>ROUND((P347+Q347)*0.6,-2)</f>
        <v>#REF!</v>
      </c>
      <c r="T347" t="str">
        <f>ROUND((P347+Q347)*0.7,-2)</f>
        <v>#REF!</v>
      </c>
      <c r="U347" t="str">
        <f>ROUND(SUM(P347+Q347+R347+S347), -2)</f>
        <v>#REF!</v>
      </c>
      <c r="V347" t="str">
        <f>ROUND(P347+Q347+R347+T347, -2)</f>
        <v>#REF!</v>
      </c>
      <c r="W347">
        <v>0</v>
      </c>
      <c r="X347" t="str">
        <f>U347*0.038</f>
        <v>#REF!</v>
      </c>
      <c r="Y347" t="str">
        <f>U347*0.02</f>
        <v>#REF!</v>
      </c>
      <c r="Z347" t="str">
        <f>V347*0.1</f>
        <v>#REF!</v>
      </c>
      <c r="AA347" t="str">
        <f>U347-X347-Y347</f>
        <v>#REF!</v>
      </c>
      <c r="AB347" t="str">
        <f>V347-Z347</f>
        <v>#REF!</v>
      </c>
      <c r="AC347" t="str">
        <f>AA347*0.01</f>
        <v>#REF!</v>
      </c>
      <c r="AD347" t="str">
        <f>AA347-P347-AC347-Q347</f>
        <v>#REF!</v>
      </c>
      <c r="AE347" t="str">
        <f>AB347-P347-Q347-AC347</f>
        <v>#REF!</v>
      </c>
      <c r="AF347" t="str">
        <f>AD347/U347</f>
        <v>#REF!</v>
      </c>
      <c r="AG347" t="str">
        <f>AE347/V347</f>
        <v>#REF!</v>
      </c>
    </row>
    <row r="348">
      <c r="G348" t="str">
        <v>A</v>
      </c>
      <c r="J348" t="str">
        <f>IF(K348&gt;0,K348*0.0625,IF(L348&gt;0,L348*2.204623,))</f>
        <v>#REF!</v>
      </c>
      <c r="K348" t="str">
        <f>IF(L348&gt;0,L348*35.273962,IF(J348&gt;0,J348*16,))</f>
        <v>#REF!</v>
      </c>
      <c r="L348" t="str">
        <f>IF(J348&gt;0,J348*0.453592,IF(K348&gt;0,K348*0.02835,))</f>
        <v>#REF!</v>
      </c>
      <c r="O348">
        <f>I348+N348+M348</f>
        <v>0</v>
      </c>
      <c r="P348">
        <f>O348*C$3</f>
        <v>0</v>
      </c>
      <c r="Q348" t="str">
        <f>ROUNDUP(HLOOKUP(IF(CEILING(L348,0.5)&lt;1,1,CEILING(L348,0.5)),'배송비 조회'!A$32:AY$36,2,0),-2)</f>
        <v>#REF!</v>
      </c>
      <c r="R348">
        <v>0</v>
      </c>
      <c r="S348" t="str">
        <f>ROUND((P348+Q348)*0.6,-2)</f>
        <v>#REF!</v>
      </c>
      <c r="T348" t="str">
        <f>ROUND((P348+Q348)*0.7,-2)</f>
        <v>#REF!</v>
      </c>
      <c r="U348" t="str">
        <f>ROUND(SUM(P348+Q348+R348+S348), -2)</f>
        <v>#REF!</v>
      </c>
      <c r="V348" t="str">
        <f>ROUND(P348+Q348+R348+T348, -2)</f>
        <v>#REF!</v>
      </c>
      <c r="W348">
        <v>0</v>
      </c>
      <c r="X348" t="str">
        <f>U348*0.038</f>
        <v>#REF!</v>
      </c>
      <c r="Y348" t="str">
        <f>U348*0.02</f>
        <v>#REF!</v>
      </c>
      <c r="Z348" t="str">
        <f>V348*0.1</f>
        <v>#REF!</v>
      </c>
      <c r="AA348" t="str">
        <f>U348-X348-Y348</f>
        <v>#REF!</v>
      </c>
      <c r="AB348" t="str">
        <f>V348-Z348</f>
        <v>#REF!</v>
      </c>
      <c r="AC348" t="str">
        <f>AA348*0.01</f>
        <v>#REF!</v>
      </c>
      <c r="AD348" t="str">
        <f>AA348-P348-AC348-Q348</f>
        <v>#REF!</v>
      </c>
      <c r="AE348" t="str">
        <f>AB348-P348-Q348-AC348</f>
        <v>#REF!</v>
      </c>
      <c r="AF348" t="str">
        <f>AD348/U348</f>
        <v>#REF!</v>
      </c>
      <c r="AG348" t="str">
        <f>AE348/V348</f>
        <v>#REF!</v>
      </c>
    </row>
    <row r="349">
      <c r="G349" t="str">
        <v>A</v>
      </c>
      <c r="J349" t="str">
        <f>IF(K349&gt;0,K349*0.0625,IF(L349&gt;0,L349*2.204623,))</f>
        <v>#REF!</v>
      </c>
      <c r="K349" t="str">
        <f>IF(L349&gt;0,L349*35.273962,IF(J349&gt;0,J349*16,))</f>
        <v>#REF!</v>
      </c>
      <c r="L349" t="str">
        <f>IF(J349&gt;0,J349*0.453592,IF(K349&gt;0,K349*0.02835,))</f>
        <v>#REF!</v>
      </c>
      <c r="O349">
        <f>I349+N349+M349</f>
        <v>0</v>
      </c>
      <c r="P349">
        <f>O349*C$3</f>
        <v>0</v>
      </c>
      <c r="Q349" t="str">
        <f>ROUNDUP(HLOOKUP(IF(CEILING(L349,0.5)&lt;1,1,CEILING(L349,0.5)),'배송비 조회'!A$32:AY$36,2,0),-2)</f>
        <v>#REF!</v>
      </c>
      <c r="R349">
        <v>0</v>
      </c>
      <c r="S349" t="str">
        <f>ROUND((P349+Q349)*0.6,-2)</f>
        <v>#REF!</v>
      </c>
      <c r="T349" t="str">
        <f>ROUND((P349+Q349)*0.7,-2)</f>
        <v>#REF!</v>
      </c>
      <c r="U349" t="str">
        <f>ROUND(SUM(P349+Q349+R349+S349), -2)</f>
        <v>#REF!</v>
      </c>
      <c r="V349" t="str">
        <f>ROUND(P349+Q349+R349+T349, -2)</f>
        <v>#REF!</v>
      </c>
      <c r="W349">
        <v>0</v>
      </c>
      <c r="X349" t="str">
        <f>U349*0.038</f>
        <v>#REF!</v>
      </c>
      <c r="Y349" t="str">
        <f>U349*0.02</f>
        <v>#REF!</v>
      </c>
      <c r="Z349" t="str">
        <f>V349*0.1</f>
        <v>#REF!</v>
      </c>
      <c r="AA349" t="str">
        <f>U349-X349-Y349</f>
        <v>#REF!</v>
      </c>
      <c r="AB349" t="str">
        <f>V349-Z349</f>
        <v>#REF!</v>
      </c>
      <c r="AC349" t="str">
        <f>AA349*0.01</f>
        <v>#REF!</v>
      </c>
      <c r="AD349" t="str">
        <f>AA349-P349-AC349-Q349</f>
        <v>#REF!</v>
      </c>
      <c r="AE349" t="str">
        <f>AB349-P349-Q349-AC349</f>
        <v>#REF!</v>
      </c>
      <c r="AF349" t="str">
        <f>AD349/U349</f>
        <v>#REF!</v>
      </c>
      <c r="AG349" t="str">
        <f>AE349/V349</f>
        <v>#REF!</v>
      </c>
    </row>
    <row r="350">
      <c r="G350" t="str">
        <v>A</v>
      </c>
      <c r="J350" t="str">
        <f>IF(K350&gt;0,K350*0.0625,IF(L350&gt;0,L350*2.204623,))</f>
        <v>#REF!</v>
      </c>
      <c r="K350" t="str">
        <f>IF(L350&gt;0,L350*35.273962,IF(J350&gt;0,J350*16,))</f>
        <v>#REF!</v>
      </c>
      <c r="L350" t="str">
        <f>IF(J350&gt;0,J350*0.453592,IF(K350&gt;0,K350*0.02835,))</f>
        <v>#REF!</v>
      </c>
      <c r="O350">
        <f>I350+N350+M350</f>
        <v>0</v>
      </c>
      <c r="P350">
        <f>O350*C$3</f>
        <v>0</v>
      </c>
      <c r="Q350" t="str">
        <f>ROUNDUP(HLOOKUP(IF(CEILING(L350,0.5)&lt;1,1,CEILING(L350,0.5)),'배송비 조회'!A$32:AY$36,2,0),-2)</f>
        <v>#REF!</v>
      </c>
      <c r="R350">
        <v>0</v>
      </c>
      <c r="S350" t="str">
        <f>ROUND((P350+Q350)*0.6,-2)</f>
        <v>#REF!</v>
      </c>
      <c r="T350" t="str">
        <f>ROUND((P350+Q350)*0.7,-2)</f>
        <v>#REF!</v>
      </c>
      <c r="U350" t="str">
        <f>ROUND(SUM(P350+Q350+R350+S350), -2)</f>
        <v>#REF!</v>
      </c>
      <c r="V350" t="str">
        <f>ROUND(P350+Q350+R350+T350, -2)</f>
        <v>#REF!</v>
      </c>
      <c r="W350">
        <v>0</v>
      </c>
      <c r="X350" t="str">
        <f>U350*0.038</f>
        <v>#REF!</v>
      </c>
      <c r="Y350" t="str">
        <f>U350*0.02</f>
        <v>#REF!</v>
      </c>
      <c r="Z350" t="str">
        <f>V350*0.1</f>
        <v>#REF!</v>
      </c>
      <c r="AA350" t="str">
        <f>U350-X350-Y350</f>
        <v>#REF!</v>
      </c>
      <c r="AB350" t="str">
        <f>V350-Z350</f>
        <v>#REF!</v>
      </c>
      <c r="AC350" t="str">
        <f>AA350*0.01</f>
        <v>#REF!</v>
      </c>
      <c r="AD350" t="str">
        <f>AA350-P350-AC350-Q350</f>
        <v>#REF!</v>
      </c>
      <c r="AE350" t="str">
        <f>AB350-P350-Q350-AC350</f>
        <v>#REF!</v>
      </c>
      <c r="AF350" t="str">
        <f>AD350/U350</f>
        <v>#REF!</v>
      </c>
      <c r="AG350" t="str">
        <f>AE350/V350</f>
        <v>#REF!</v>
      </c>
    </row>
    <row r="351">
      <c r="G351" t="str">
        <v>A</v>
      </c>
      <c r="J351" t="str">
        <f>IF(K351&gt;0,K351*0.0625,IF(L351&gt;0,L351*2.204623,))</f>
        <v>#REF!</v>
      </c>
      <c r="K351" t="str">
        <f>IF(L351&gt;0,L351*35.273962,IF(J351&gt;0,J351*16,))</f>
        <v>#REF!</v>
      </c>
      <c r="L351" t="str">
        <f>IF(J351&gt;0,J351*0.453592,IF(K351&gt;0,K351*0.02835,))</f>
        <v>#REF!</v>
      </c>
      <c r="O351">
        <f>I351+N351+M351</f>
        <v>0</v>
      </c>
      <c r="P351">
        <f>O351*C$3</f>
        <v>0</v>
      </c>
      <c r="Q351" t="str">
        <f>ROUNDUP(HLOOKUP(IF(CEILING(L351,0.5)&lt;1,1,CEILING(L351,0.5)),'배송비 조회'!A$32:AY$36,2,0),-2)</f>
        <v>#REF!</v>
      </c>
      <c r="R351">
        <v>0</v>
      </c>
      <c r="S351" t="str">
        <f>ROUND((P351+Q351)*0.6,-2)</f>
        <v>#REF!</v>
      </c>
      <c r="T351" t="str">
        <f>ROUND((P351+Q351)*0.7,-2)</f>
        <v>#REF!</v>
      </c>
      <c r="U351" t="str">
        <f>ROUND(SUM(P351+Q351+R351+S351), -2)</f>
        <v>#REF!</v>
      </c>
      <c r="V351" t="str">
        <f>ROUND(P351+Q351+R351+T351, -2)</f>
        <v>#REF!</v>
      </c>
      <c r="W351">
        <v>0</v>
      </c>
      <c r="X351" t="str">
        <f>U351*0.038</f>
        <v>#REF!</v>
      </c>
      <c r="Y351" t="str">
        <f>U351*0.02</f>
        <v>#REF!</v>
      </c>
      <c r="Z351" t="str">
        <f>V351*0.1</f>
        <v>#REF!</v>
      </c>
      <c r="AA351" t="str">
        <f>U351-X351-Y351</f>
        <v>#REF!</v>
      </c>
      <c r="AB351" t="str">
        <f>V351-Z351</f>
        <v>#REF!</v>
      </c>
      <c r="AC351" t="str">
        <f>AA351*0.01</f>
        <v>#REF!</v>
      </c>
      <c r="AD351" t="str">
        <f>AA351-P351-AC351-Q351</f>
        <v>#REF!</v>
      </c>
      <c r="AE351" t="str">
        <f>AB351-P351-Q351-AC351</f>
        <v>#REF!</v>
      </c>
      <c r="AF351" t="str">
        <f>AD351/U351</f>
        <v>#REF!</v>
      </c>
      <c r="AG351" t="str">
        <f>AE351/V351</f>
        <v>#REF!</v>
      </c>
    </row>
    <row r="352">
      <c r="G352" t="str">
        <v>A</v>
      </c>
      <c r="J352" t="str">
        <f>IF(K352&gt;0,K352*0.0625,IF(L352&gt;0,L352*2.204623,))</f>
        <v>#REF!</v>
      </c>
      <c r="K352" t="str">
        <f>IF(L352&gt;0,L352*35.273962,IF(J352&gt;0,J352*16,))</f>
        <v>#REF!</v>
      </c>
      <c r="L352" t="str">
        <f>IF(J352&gt;0,J352*0.453592,IF(K352&gt;0,K352*0.02835,))</f>
        <v>#REF!</v>
      </c>
      <c r="O352">
        <f>I352+N352+M352</f>
        <v>0</v>
      </c>
      <c r="P352">
        <f>O352*C$3</f>
        <v>0</v>
      </c>
      <c r="Q352" t="str">
        <f>ROUNDUP(HLOOKUP(IF(CEILING(L352,0.5)&lt;1,1,CEILING(L352,0.5)),'배송비 조회'!A$32:AY$36,2,0),-2)</f>
        <v>#REF!</v>
      </c>
      <c r="R352">
        <v>0</v>
      </c>
      <c r="S352" t="str">
        <f>ROUND((P352+Q352)*0.6,-2)</f>
        <v>#REF!</v>
      </c>
      <c r="T352" t="str">
        <f>ROUND((P352+Q352)*0.7,-2)</f>
        <v>#REF!</v>
      </c>
      <c r="U352" t="str">
        <f>ROUND(SUM(P352+Q352+R352+S352), -2)</f>
        <v>#REF!</v>
      </c>
      <c r="V352" t="str">
        <f>ROUND(P352+Q352+R352+T352, -2)</f>
        <v>#REF!</v>
      </c>
      <c r="W352">
        <v>0</v>
      </c>
      <c r="X352" t="str">
        <f>U352*0.038</f>
        <v>#REF!</v>
      </c>
      <c r="Y352" t="str">
        <f>U352*0.02</f>
        <v>#REF!</v>
      </c>
      <c r="Z352" t="str">
        <f>V352*0.1</f>
        <v>#REF!</v>
      </c>
      <c r="AA352" t="str">
        <f>U352-X352-Y352</f>
        <v>#REF!</v>
      </c>
      <c r="AB352" t="str">
        <f>V352-Z352</f>
        <v>#REF!</v>
      </c>
      <c r="AC352" t="str">
        <f>AA352*0.01</f>
        <v>#REF!</v>
      </c>
      <c r="AD352" t="str">
        <f>AA352-P352-AC352-Q352</f>
        <v>#REF!</v>
      </c>
      <c r="AE352" t="str">
        <f>AB352-P352-Q352-AC352</f>
        <v>#REF!</v>
      </c>
      <c r="AF352" t="str">
        <f>AD352/U352</f>
        <v>#REF!</v>
      </c>
      <c r="AG352" t="str">
        <f>AE352/V352</f>
        <v>#REF!</v>
      </c>
    </row>
    <row r="353">
      <c r="G353" t="str">
        <v>A</v>
      </c>
      <c r="J353" t="str">
        <f>IF(K353&gt;0,K353*0.0625,IF(L353&gt;0,L353*2.204623,))</f>
        <v>#REF!</v>
      </c>
      <c r="K353" t="str">
        <f>IF(L353&gt;0,L353*35.273962,IF(J353&gt;0,J353*16,))</f>
        <v>#REF!</v>
      </c>
      <c r="L353" t="str">
        <f>IF(J353&gt;0,J353*0.453592,IF(K353&gt;0,K353*0.02835,))</f>
        <v>#REF!</v>
      </c>
      <c r="O353">
        <f>I353+N353+M353</f>
        <v>0</v>
      </c>
      <c r="P353">
        <f>O353*C$3</f>
        <v>0</v>
      </c>
      <c r="Q353" t="str">
        <f>ROUNDUP(HLOOKUP(IF(CEILING(L353,0.5)&lt;1,1,CEILING(L353,0.5)),'배송비 조회'!A$32:AY$36,2,0),-2)</f>
        <v>#REF!</v>
      </c>
      <c r="R353">
        <v>0</v>
      </c>
      <c r="S353" t="str">
        <f>ROUND((P353+Q353)*0.6,-2)</f>
        <v>#REF!</v>
      </c>
      <c r="T353" t="str">
        <f>ROUND((P353+Q353)*0.7,-2)</f>
        <v>#REF!</v>
      </c>
      <c r="U353" t="str">
        <f>ROUND(SUM(P353+Q353+R353+S353), -2)</f>
        <v>#REF!</v>
      </c>
      <c r="V353" t="str">
        <f>ROUND(P353+Q353+R353+T353, -2)</f>
        <v>#REF!</v>
      </c>
      <c r="W353">
        <v>0</v>
      </c>
      <c r="X353" t="str">
        <f>U353*0.038</f>
        <v>#REF!</v>
      </c>
      <c r="Y353" t="str">
        <f>U353*0.02</f>
        <v>#REF!</v>
      </c>
      <c r="Z353" t="str">
        <f>V353*0.1</f>
        <v>#REF!</v>
      </c>
      <c r="AA353" t="str">
        <f>U353-X353-Y353</f>
        <v>#REF!</v>
      </c>
      <c r="AB353" t="str">
        <f>V353-Z353</f>
        <v>#REF!</v>
      </c>
      <c r="AC353" t="str">
        <f>AA353*0.01</f>
        <v>#REF!</v>
      </c>
      <c r="AD353" t="str">
        <f>AA353-P353-AC353-Q353</f>
        <v>#REF!</v>
      </c>
      <c r="AE353" t="str">
        <f>AB353-P353-Q353-AC353</f>
        <v>#REF!</v>
      </c>
      <c r="AF353" t="str">
        <f>AD353/U353</f>
        <v>#REF!</v>
      </c>
      <c r="AG353" t="str">
        <f>AE353/V353</f>
        <v>#REF!</v>
      </c>
    </row>
    <row r="354">
      <c r="G354" t="str">
        <v>A</v>
      </c>
      <c r="J354" t="str">
        <f>IF(K354&gt;0,K354*0.0625,IF(L354&gt;0,L354*2.204623,))</f>
        <v>#REF!</v>
      </c>
      <c r="K354" t="str">
        <f>IF(L354&gt;0,L354*35.273962,IF(J354&gt;0,J354*16,))</f>
        <v>#REF!</v>
      </c>
      <c r="L354" t="str">
        <f>IF(J354&gt;0,J354*0.453592,IF(K354&gt;0,K354*0.02835,))</f>
        <v>#REF!</v>
      </c>
      <c r="O354">
        <f>I354+N354+M354</f>
        <v>0</v>
      </c>
      <c r="P354">
        <f>O354*C$3</f>
        <v>0</v>
      </c>
      <c r="Q354" t="str">
        <f>ROUNDUP(HLOOKUP(IF(CEILING(L354,0.5)&lt;1,1,CEILING(L354,0.5)),'배송비 조회'!A$32:AY$36,2,0),-2)</f>
        <v>#REF!</v>
      </c>
      <c r="R354">
        <v>0</v>
      </c>
      <c r="S354" t="str">
        <f>ROUND((P354+Q354)*0.6,-2)</f>
        <v>#REF!</v>
      </c>
      <c r="T354" t="str">
        <f>ROUND((P354+Q354)*0.7,-2)</f>
        <v>#REF!</v>
      </c>
      <c r="U354" t="str">
        <f>ROUND(SUM(P354+Q354+R354+S354), -2)</f>
        <v>#REF!</v>
      </c>
      <c r="V354" t="str">
        <f>ROUND(P354+Q354+R354+T354, -2)</f>
        <v>#REF!</v>
      </c>
      <c r="W354">
        <v>0</v>
      </c>
      <c r="X354" t="str">
        <f>U354*0.038</f>
        <v>#REF!</v>
      </c>
      <c r="Y354" t="str">
        <f>U354*0.02</f>
        <v>#REF!</v>
      </c>
      <c r="Z354" t="str">
        <f>V354*0.1</f>
        <v>#REF!</v>
      </c>
      <c r="AA354" t="str">
        <f>U354-X354-Y354</f>
        <v>#REF!</v>
      </c>
      <c r="AB354" t="str">
        <f>V354-Z354</f>
        <v>#REF!</v>
      </c>
      <c r="AC354" t="str">
        <f>AA354*0.01</f>
        <v>#REF!</v>
      </c>
      <c r="AD354" t="str">
        <f>AA354-P354-AC354-Q354</f>
        <v>#REF!</v>
      </c>
      <c r="AE354" t="str">
        <f>AB354-P354-Q354-AC354</f>
        <v>#REF!</v>
      </c>
      <c r="AF354" t="str">
        <f>AD354/U354</f>
        <v>#REF!</v>
      </c>
      <c r="AG354" t="str">
        <f>AE354/V354</f>
        <v>#REF!</v>
      </c>
    </row>
    <row r="355">
      <c r="G355" t="str">
        <v>A</v>
      </c>
      <c r="J355" t="str">
        <f>IF(K355&gt;0,K355*0.0625,IF(L355&gt;0,L355*2.204623,))</f>
        <v>#REF!</v>
      </c>
      <c r="K355" t="str">
        <f>IF(L355&gt;0,L355*35.273962,IF(J355&gt;0,J355*16,))</f>
        <v>#REF!</v>
      </c>
      <c r="L355" t="str">
        <f>IF(J355&gt;0,J355*0.453592,IF(K355&gt;0,K355*0.02835,))</f>
        <v>#REF!</v>
      </c>
      <c r="O355">
        <f>I355+N355+M355</f>
        <v>0</v>
      </c>
      <c r="P355">
        <f>O355*C$3</f>
        <v>0</v>
      </c>
      <c r="Q355" t="str">
        <f>ROUNDUP(HLOOKUP(IF(CEILING(L355,0.5)&lt;1,1,CEILING(L355,0.5)),'배송비 조회'!A$32:AY$36,2,0),-2)</f>
        <v>#REF!</v>
      </c>
      <c r="R355">
        <v>0</v>
      </c>
      <c r="S355" t="str">
        <f>ROUND((P355+Q355)*0.6,-2)</f>
        <v>#REF!</v>
      </c>
      <c r="T355" t="str">
        <f>ROUND((P355+Q355)*0.7,-2)</f>
        <v>#REF!</v>
      </c>
      <c r="U355" t="str">
        <f>ROUND(SUM(P355+Q355+R355+S355), -2)</f>
        <v>#REF!</v>
      </c>
      <c r="V355" t="str">
        <f>ROUND(P355+Q355+R355+T355, -2)</f>
        <v>#REF!</v>
      </c>
      <c r="W355">
        <v>0</v>
      </c>
      <c r="X355" t="str">
        <f>U355*0.038</f>
        <v>#REF!</v>
      </c>
      <c r="Y355" t="str">
        <f>U355*0.02</f>
        <v>#REF!</v>
      </c>
      <c r="Z355" t="str">
        <f>V355*0.1</f>
        <v>#REF!</v>
      </c>
      <c r="AA355" t="str">
        <f>U355-X355-Y355</f>
        <v>#REF!</v>
      </c>
      <c r="AB355" t="str">
        <f>V355-Z355</f>
        <v>#REF!</v>
      </c>
      <c r="AC355" t="str">
        <f>AA355*0.01</f>
        <v>#REF!</v>
      </c>
      <c r="AD355" t="str">
        <f>AA355-P355-AC355-Q355</f>
        <v>#REF!</v>
      </c>
      <c r="AE355" t="str">
        <f>AB355-P355-Q355-AC355</f>
        <v>#REF!</v>
      </c>
      <c r="AF355" t="str">
        <f>AD355/U355</f>
        <v>#REF!</v>
      </c>
      <c r="AG355" t="str">
        <f>AE355/V355</f>
        <v>#REF!</v>
      </c>
    </row>
    <row r="356">
      <c r="G356" t="str">
        <v>A</v>
      </c>
      <c r="J356" t="str">
        <f>IF(K356&gt;0,K356*0.0625,IF(L356&gt;0,L356*2.204623,))</f>
        <v>#REF!</v>
      </c>
      <c r="K356" t="str">
        <f>IF(L356&gt;0,L356*35.273962,IF(J356&gt;0,J356*16,))</f>
        <v>#REF!</v>
      </c>
      <c r="L356" t="str">
        <f>IF(J356&gt;0,J356*0.453592,IF(K356&gt;0,K356*0.02835,))</f>
        <v>#REF!</v>
      </c>
      <c r="O356">
        <f>I356+N356+M356</f>
        <v>0</v>
      </c>
      <c r="P356">
        <f>O356*C$3</f>
        <v>0</v>
      </c>
      <c r="Q356" t="str">
        <f>ROUNDUP(HLOOKUP(IF(CEILING(L356,0.5)&lt;1,1,CEILING(L356,0.5)),'배송비 조회'!A$32:AY$36,2,0),-2)</f>
        <v>#REF!</v>
      </c>
      <c r="R356">
        <v>0</v>
      </c>
      <c r="S356" t="str">
        <f>ROUND((P356+Q356)*0.6,-2)</f>
        <v>#REF!</v>
      </c>
      <c r="T356" t="str">
        <f>ROUND((P356+Q356)*0.7,-2)</f>
        <v>#REF!</v>
      </c>
      <c r="U356" t="str">
        <f>ROUND(SUM(P356+Q356+R356+S356), -2)</f>
        <v>#REF!</v>
      </c>
      <c r="V356" t="str">
        <f>ROUND(P356+Q356+R356+T356, -2)</f>
        <v>#REF!</v>
      </c>
      <c r="W356">
        <v>0</v>
      </c>
      <c r="X356" t="str">
        <f>U356*0.038</f>
        <v>#REF!</v>
      </c>
      <c r="Y356" t="str">
        <f>U356*0.02</f>
        <v>#REF!</v>
      </c>
      <c r="Z356" t="str">
        <f>V356*0.1</f>
        <v>#REF!</v>
      </c>
      <c r="AA356" t="str">
        <f>U356-X356-Y356</f>
        <v>#REF!</v>
      </c>
      <c r="AB356" t="str">
        <f>V356-Z356</f>
        <v>#REF!</v>
      </c>
      <c r="AC356" t="str">
        <f>AA356*0.01</f>
        <v>#REF!</v>
      </c>
      <c r="AD356" t="str">
        <f>AA356-P356-AC356-Q356</f>
        <v>#REF!</v>
      </c>
      <c r="AE356" t="str">
        <f>AB356-P356-Q356-AC356</f>
        <v>#REF!</v>
      </c>
      <c r="AF356" t="str">
        <f>AD356/U356</f>
        <v>#REF!</v>
      </c>
      <c r="AG356" t="str">
        <f>AE356/V356</f>
        <v>#REF!</v>
      </c>
    </row>
    <row r="357">
      <c r="G357" t="str">
        <v>A</v>
      </c>
      <c r="J357" t="str">
        <f>IF(K357&gt;0,K357*0.0625,IF(L357&gt;0,L357*2.204623,))</f>
        <v>#REF!</v>
      </c>
      <c r="K357" t="str">
        <f>IF(L357&gt;0,L357*35.273962,IF(J357&gt;0,J357*16,))</f>
        <v>#REF!</v>
      </c>
      <c r="L357" t="str">
        <f>IF(J357&gt;0,J357*0.453592,IF(K357&gt;0,K357*0.02835,))</f>
        <v>#REF!</v>
      </c>
      <c r="O357">
        <f>I357+N357+M357</f>
        <v>0</v>
      </c>
      <c r="P357">
        <f>O357*C$3</f>
        <v>0</v>
      </c>
      <c r="Q357" t="str">
        <f>ROUNDUP(HLOOKUP(IF(CEILING(L357,0.5)&lt;1,1,CEILING(L357,0.5)),'배송비 조회'!A$32:AY$36,2,0),-2)</f>
        <v>#REF!</v>
      </c>
      <c r="R357">
        <v>0</v>
      </c>
      <c r="S357" t="str">
        <f>ROUND((P357+Q357)*0.6,-2)</f>
        <v>#REF!</v>
      </c>
      <c r="T357" t="str">
        <f>ROUND((P357+Q357)*0.7,-2)</f>
        <v>#REF!</v>
      </c>
      <c r="U357" t="str">
        <f>ROUND(SUM(P357+Q357+R357+S357), -2)</f>
        <v>#REF!</v>
      </c>
      <c r="V357" t="str">
        <f>ROUND(P357+Q357+R357+T357, -2)</f>
        <v>#REF!</v>
      </c>
      <c r="W357">
        <v>0</v>
      </c>
      <c r="X357" t="str">
        <f>U357*0.038</f>
        <v>#REF!</v>
      </c>
      <c r="Y357" t="str">
        <f>U357*0.02</f>
        <v>#REF!</v>
      </c>
      <c r="Z357" t="str">
        <f>V357*0.1</f>
        <v>#REF!</v>
      </c>
      <c r="AA357" t="str">
        <f>U357-X357-Y357</f>
        <v>#REF!</v>
      </c>
      <c r="AB357" t="str">
        <f>V357-Z357</f>
        <v>#REF!</v>
      </c>
      <c r="AC357" t="str">
        <f>AA357*0.01</f>
        <v>#REF!</v>
      </c>
      <c r="AD357" t="str">
        <f>AA357-P357-AC357-Q357</f>
        <v>#REF!</v>
      </c>
      <c r="AE357" t="str">
        <f>AB357-P357-Q357-AC357</f>
        <v>#REF!</v>
      </c>
      <c r="AF357" t="str">
        <f>AD357/U357</f>
        <v>#REF!</v>
      </c>
      <c r="AG357" t="str">
        <f>AE357/V357</f>
        <v>#REF!</v>
      </c>
    </row>
    <row r="358">
      <c r="G358" t="str">
        <v>A</v>
      </c>
      <c r="J358" t="str">
        <f>IF(K358&gt;0,K358*0.0625,IF(L358&gt;0,L358*2.204623,))</f>
        <v>#REF!</v>
      </c>
      <c r="K358" t="str">
        <f>IF(L358&gt;0,L358*35.273962,IF(J358&gt;0,J358*16,))</f>
        <v>#REF!</v>
      </c>
      <c r="L358" t="str">
        <f>IF(J358&gt;0,J358*0.453592,IF(K358&gt;0,K358*0.02835,))</f>
        <v>#REF!</v>
      </c>
      <c r="O358">
        <f>I358+N358+M358</f>
        <v>0</v>
      </c>
      <c r="P358">
        <f>O358*C$3</f>
        <v>0</v>
      </c>
      <c r="Q358" t="str">
        <f>ROUNDUP(HLOOKUP(IF(CEILING(L358,0.5)&lt;1,1,CEILING(L358,0.5)),'배송비 조회'!A$32:AY$36,2,0),-2)</f>
        <v>#REF!</v>
      </c>
      <c r="R358">
        <v>0</v>
      </c>
      <c r="S358" t="str">
        <f>ROUND((P358+Q358)*0.6,-2)</f>
        <v>#REF!</v>
      </c>
      <c r="T358" t="str">
        <f>ROUND((P358+Q358)*0.7,-2)</f>
        <v>#REF!</v>
      </c>
      <c r="U358" t="str">
        <f>ROUND(SUM(P358+Q358+R358+S358), -2)</f>
        <v>#REF!</v>
      </c>
      <c r="V358" t="str">
        <f>ROUND(P358+Q358+R358+T358, -2)</f>
        <v>#REF!</v>
      </c>
      <c r="W358">
        <v>0</v>
      </c>
      <c r="X358" t="str">
        <f>U358*0.038</f>
        <v>#REF!</v>
      </c>
      <c r="Y358" t="str">
        <f>U358*0.02</f>
        <v>#REF!</v>
      </c>
      <c r="Z358" t="str">
        <f>V358*0.1</f>
        <v>#REF!</v>
      </c>
      <c r="AA358" t="str">
        <f>U358-X358-Y358</f>
        <v>#REF!</v>
      </c>
      <c r="AB358" t="str">
        <f>V358-Z358</f>
        <v>#REF!</v>
      </c>
      <c r="AC358" t="str">
        <f>AA358*0.01</f>
        <v>#REF!</v>
      </c>
      <c r="AD358" t="str">
        <f>AA358-P358-AC358-Q358</f>
        <v>#REF!</v>
      </c>
      <c r="AE358" t="str">
        <f>AB358-P358-Q358-AC358</f>
        <v>#REF!</v>
      </c>
      <c r="AF358" t="str">
        <f>AD358/U358</f>
        <v>#REF!</v>
      </c>
      <c r="AG358" t="str">
        <f>AE358/V358</f>
        <v>#REF!</v>
      </c>
    </row>
    <row r="359">
      <c r="G359" t="str">
        <v>A</v>
      </c>
      <c r="J359" t="str">
        <f>IF(K359&gt;0,K359*0.0625,IF(L359&gt;0,L359*2.204623,))</f>
        <v>#REF!</v>
      </c>
      <c r="K359" t="str">
        <f>IF(L359&gt;0,L359*35.273962,IF(J359&gt;0,J359*16,))</f>
        <v>#REF!</v>
      </c>
      <c r="L359" t="str">
        <f>IF(J359&gt;0,J359*0.453592,IF(K359&gt;0,K359*0.02835,))</f>
        <v>#REF!</v>
      </c>
      <c r="O359">
        <f>I359+N359+M359</f>
        <v>0</v>
      </c>
      <c r="P359">
        <f>O359*C$3</f>
        <v>0</v>
      </c>
      <c r="Q359" t="str">
        <f>ROUNDUP(HLOOKUP(IF(CEILING(L359,0.5)&lt;1,1,CEILING(L359,0.5)),'배송비 조회'!A$32:AY$36,2,0),-2)</f>
        <v>#REF!</v>
      </c>
      <c r="R359">
        <v>0</v>
      </c>
      <c r="S359" t="str">
        <f>ROUND((P359+Q359)*0.6,-2)</f>
        <v>#REF!</v>
      </c>
      <c r="T359" t="str">
        <f>ROUND((P359+Q359)*0.7,-2)</f>
        <v>#REF!</v>
      </c>
      <c r="U359" t="str">
        <f>ROUND(SUM(P359+Q359+R359+S359), -2)</f>
        <v>#REF!</v>
      </c>
      <c r="V359" t="str">
        <f>ROUND(P359+Q359+R359+T359, -2)</f>
        <v>#REF!</v>
      </c>
      <c r="W359">
        <v>0</v>
      </c>
      <c r="X359" t="str">
        <f>U359*0.038</f>
        <v>#REF!</v>
      </c>
      <c r="Y359" t="str">
        <f>U359*0.02</f>
        <v>#REF!</v>
      </c>
      <c r="Z359" t="str">
        <f>V359*0.1</f>
        <v>#REF!</v>
      </c>
      <c r="AA359" t="str">
        <f>U359-X359-Y359</f>
        <v>#REF!</v>
      </c>
      <c r="AB359" t="str">
        <f>V359-Z359</f>
        <v>#REF!</v>
      </c>
      <c r="AC359" t="str">
        <f>AA359*0.01</f>
        <v>#REF!</v>
      </c>
      <c r="AD359" t="str">
        <f>AA359-P359-AC359-Q359</f>
        <v>#REF!</v>
      </c>
      <c r="AE359" t="str">
        <f>AB359-P359-Q359-AC359</f>
        <v>#REF!</v>
      </c>
      <c r="AF359" t="str">
        <f>AD359/U359</f>
        <v>#REF!</v>
      </c>
      <c r="AG359" t="str">
        <f>AE359/V359</f>
        <v>#REF!</v>
      </c>
    </row>
    <row r="360">
      <c r="G360" t="str">
        <v>A</v>
      </c>
      <c r="J360" t="str">
        <f>IF(K360&gt;0,K360*0.0625,IF(L360&gt;0,L360*2.204623,))</f>
        <v>#REF!</v>
      </c>
      <c r="K360" t="str">
        <f>IF(L360&gt;0,L360*35.273962,IF(J360&gt;0,J360*16,))</f>
        <v>#REF!</v>
      </c>
      <c r="L360" t="str">
        <f>IF(J360&gt;0,J360*0.453592,IF(K360&gt;0,K360*0.02835,))</f>
        <v>#REF!</v>
      </c>
      <c r="O360">
        <f>I360+N360+M360</f>
        <v>0</v>
      </c>
      <c r="P360">
        <f>O360*C$3</f>
        <v>0</v>
      </c>
      <c r="Q360" t="str">
        <f>ROUNDUP(HLOOKUP(IF(CEILING(L360,0.5)&lt;1,1,CEILING(L360,0.5)),'배송비 조회'!A$32:AY$36,2,0),-2)</f>
        <v>#REF!</v>
      </c>
      <c r="R360">
        <v>0</v>
      </c>
      <c r="S360" t="str">
        <f>ROUND((P360+Q360)*0.6,-2)</f>
        <v>#REF!</v>
      </c>
      <c r="T360" t="str">
        <f>ROUND((P360+Q360)*0.7,-2)</f>
        <v>#REF!</v>
      </c>
      <c r="U360" t="str">
        <f>ROUND(SUM(P360+Q360+R360+S360), -2)</f>
        <v>#REF!</v>
      </c>
      <c r="V360" t="str">
        <f>ROUND(P360+Q360+R360+T360, -2)</f>
        <v>#REF!</v>
      </c>
      <c r="W360">
        <v>0</v>
      </c>
      <c r="X360" t="str">
        <f>U360*0.038</f>
        <v>#REF!</v>
      </c>
      <c r="Y360" t="str">
        <f>U360*0.02</f>
        <v>#REF!</v>
      </c>
      <c r="Z360" t="str">
        <f>V360*0.1</f>
        <v>#REF!</v>
      </c>
      <c r="AA360" t="str">
        <f>U360-X360-Y360</f>
        <v>#REF!</v>
      </c>
      <c r="AB360" t="str">
        <f>V360-Z360</f>
        <v>#REF!</v>
      </c>
      <c r="AC360" t="str">
        <f>AA360*0.01</f>
        <v>#REF!</v>
      </c>
      <c r="AD360" t="str">
        <f>AA360-P360-AC360-Q360</f>
        <v>#REF!</v>
      </c>
      <c r="AE360" t="str">
        <f>AB360-P360-Q360-AC360</f>
        <v>#REF!</v>
      </c>
      <c r="AF360" t="str">
        <f>AD360/U360</f>
        <v>#REF!</v>
      </c>
      <c r="AG360" t="str">
        <f>AE360/V360</f>
        <v>#REF!</v>
      </c>
    </row>
    <row r="361">
      <c r="G361" t="str">
        <v>A</v>
      </c>
      <c r="J361" t="str">
        <f>IF(K361&gt;0,K361*0.0625,IF(L361&gt;0,L361*2.204623,))</f>
        <v>#REF!</v>
      </c>
      <c r="K361" t="str">
        <f>IF(L361&gt;0,L361*35.273962,IF(J361&gt;0,J361*16,))</f>
        <v>#REF!</v>
      </c>
      <c r="L361" t="str">
        <f>IF(J361&gt;0,J361*0.453592,IF(K361&gt;0,K361*0.02835,))</f>
        <v>#REF!</v>
      </c>
      <c r="O361">
        <f>I361+N361+M361</f>
        <v>0</v>
      </c>
      <c r="P361">
        <f>O361*C$3</f>
        <v>0</v>
      </c>
      <c r="Q361" t="str">
        <f>ROUNDUP(HLOOKUP(IF(CEILING(L361,0.5)&lt;1,1,CEILING(L361,0.5)),'배송비 조회'!A$32:AY$36,2,0),-2)</f>
        <v>#REF!</v>
      </c>
      <c r="R361">
        <v>0</v>
      </c>
      <c r="S361" t="str">
        <f>ROUND((P361+Q361)*0.6,-2)</f>
        <v>#REF!</v>
      </c>
      <c r="T361" t="str">
        <f>ROUND((P361+Q361)*0.7,-2)</f>
        <v>#REF!</v>
      </c>
      <c r="U361" t="str">
        <f>ROUND(SUM(P361+Q361+R361+S361), -2)</f>
        <v>#REF!</v>
      </c>
      <c r="V361" t="str">
        <f>ROUND(P361+Q361+R361+T361, -2)</f>
        <v>#REF!</v>
      </c>
      <c r="W361">
        <v>0</v>
      </c>
      <c r="X361" t="str">
        <f>U361*0.038</f>
        <v>#REF!</v>
      </c>
      <c r="Y361" t="str">
        <f>U361*0.02</f>
        <v>#REF!</v>
      </c>
      <c r="Z361" t="str">
        <f>V361*0.1</f>
        <v>#REF!</v>
      </c>
      <c r="AA361" t="str">
        <f>U361-X361-Y361</f>
        <v>#REF!</v>
      </c>
      <c r="AB361" t="str">
        <f>V361-Z361</f>
        <v>#REF!</v>
      </c>
      <c r="AC361" t="str">
        <f>AA361*0.01</f>
        <v>#REF!</v>
      </c>
      <c r="AD361" t="str">
        <f>AA361-P361-AC361-Q361</f>
        <v>#REF!</v>
      </c>
      <c r="AE361" t="str">
        <f>AB361-P361-Q361-AC361</f>
        <v>#REF!</v>
      </c>
      <c r="AF361" t="str">
        <f>AD361/U361</f>
        <v>#REF!</v>
      </c>
      <c r="AG361" t="str">
        <f>AE361/V361</f>
        <v>#REF!</v>
      </c>
    </row>
    <row r="362">
      <c r="G362" t="str">
        <v>A</v>
      </c>
      <c r="J362" t="str">
        <f>IF(K362&gt;0,K362*0.0625,IF(L362&gt;0,L362*2.204623,))</f>
        <v>#REF!</v>
      </c>
      <c r="K362" t="str">
        <f>IF(L362&gt;0,L362*35.273962,IF(J362&gt;0,J362*16,))</f>
        <v>#REF!</v>
      </c>
      <c r="L362" t="str">
        <f>IF(J362&gt;0,J362*0.453592,IF(K362&gt;0,K362*0.02835,))</f>
        <v>#REF!</v>
      </c>
      <c r="O362">
        <f>I362+N362+M362</f>
        <v>0</v>
      </c>
      <c r="P362">
        <f>O362*C$3</f>
        <v>0</v>
      </c>
      <c r="Q362" t="str">
        <f>ROUNDUP(HLOOKUP(IF(CEILING(L362,0.5)&lt;1,1,CEILING(L362,0.5)),'배송비 조회'!A$32:AY$36,2,0),-2)</f>
        <v>#REF!</v>
      </c>
      <c r="R362">
        <v>0</v>
      </c>
      <c r="S362" t="str">
        <f>ROUND((P362+Q362)*0.6,-2)</f>
        <v>#REF!</v>
      </c>
      <c r="T362" t="str">
        <f>ROUND((P362+Q362)*0.7,-2)</f>
        <v>#REF!</v>
      </c>
      <c r="U362" t="str">
        <f>ROUND(SUM(P362+Q362+R362+S362), -2)</f>
        <v>#REF!</v>
      </c>
      <c r="V362" t="str">
        <f>ROUND(P362+Q362+R362+T362, -2)</f>
        <v>#REF!</v>
      </c>
      <c r="W362">
        <v>0</v>
      </c>
      <c r="X362" t="str">
        <f>U362*0.038</f>
        <v>#REF!</v>
      </c>
      <c r="Y362" t="str">
        <f>U362*0.02</f>
        <v>#REF!</v>
      </c>
      <c r="Z362" t="str">
        <f>V362*0.1</f>
        <v>#REF!</v>
      </c>
      <c r="AA362" t="str">
        <f>U362-X362-Y362</f>
        <v>#REF!</v>
      </c>
      <c r="AB362" t="str">
        <f>V362-Z362</f>
        <v>#REF!</v>
      </c>
      <c r="AC362" t="str">
        <f>AA362*0.01</f>
        <v>#REF!</v>
      </c>
      <c r="AD362" t="str">
        <f>AA362-P362-AC362-Q362</f>
        <v>#REF!</v>
      </c>
      <c r="AE362" t="str">
        <f>AB362-P362-Q362-AC362</f>
        <v>#REF!</v>
      </c>
      <c r="AF362" t="str">
        <f>AD362/U362</f>
        <v>#REF!</v>
      </c>
      <c r="AG362" t="str">
        <f>AE362/V362</f>
        <v>#REF!</v>
      </c>
    </row>
    <row r="363">
      <c r="G363" t="str">
        <v>A</v>
      </c>
      <c r="J363" t="str">
        <f>IF(K363&gt;0,K363*0.0625,IF(L363&gt;0,L363*2.204623,))</f>
        <v>#REF!</v>
      </c>
      <c r="K363" t="str">
        <f>IF(L363&gt;0,L363*35.273962,IF(J363&gt;0,J363*16,))</f>
        <v>#REF!</v>
      </c>
      <c r="L363" t="str">
        <f>IF(J363&gt;0,J363*0.453592,IF(K363&gt;0,K363*0.02835,))</f>
        <v>#REF!</v>
      </c>
      <c r="O363">
        <f>I363+N363+M363</f>
        <v>0</v>
      </c>
      <c r="P363">
        <f>O363*C$3</f>
        <v>0</v>
      </c>
      <c r="Q363" t="str">
        <f>ROUNDUP(HLOOKUP(IF(CEILING(L363,0.5)&lt;1,1,CEILING(L363,0.5)),'배송비 조회'!A$32:AY$36,2,0),-2)</f>
        <v>#REF!</v>
      </c>
      <c r="R363">
        <v>0</v>
      </c>
      <c r="S363" t="str">
        <f>ROUND((P363+Q363)*0.6,-2)</f>
        <v>#REF!</v>
      </c>
      <c r="T363" t="str">
        <f>ROUND((P363+Q363)*0.7,-2)</f>
        <v>#REF!</v>
      </c>
      <c r="U363" t="str">
        <f>ROUND(SUM(P363+Q363+R363+S363), -2)</f>
        <v>#REF!</v>
      </c>
      <c r="V363" t="str">
        <f>ROUND(P363+Q363+R363+T363, -2)</f>
        <v>#REF!</v>
      </c>
      <c r="W363">
        <v>0</v>
      </c>
      <c r="X363" t="str">
        <f>U363*0.038</f>
        <v>#REF!</v>
      </c>
      <c r="Y363" t="str">
        <f>U363*0.02</f>
        <v>#REF!</v>
      </c>
      <c r="Z363" t="str">
        <f>V363*0.1</f>
        <v>#REF!</v>
      </c>
      <c r="AA363" t="str">
        <f>U363-X363-Y363</f>
        <v>#REF!</v>
      </c>
      <c r="AB363" t="str">
        <f>V363-Z363</f>
        <v>#REF!</v>
      </c>
      <c r="AC363" t="str">
        <f>AA363*0.01</f>
        <v>#REF!</v>
      </c>
      <c r="AD363" t="str">
        <f>AA363-P363-AC363-Q363</f>
        <v>#REF!</v>
      </c>
      <c r="AE363" t="str">
        <f>AB363-P363-Q363-AC363</f>
        <v>#REF!</v>
      </c>
      <c r="AF363" t="str">
        <f>AD363/U363</f>
        <v>#REF!</v>
      </c>
      <c r="AG363" t="str">
        <f>AE363/V363</f>
        <v>#REF!</v>
      </c>
    </row>
    <row r="364">
      <c r="G364" t="str">
        <v>A</v>
      </c>
      <c r="J364" t="str">
        <f>IF(K364&gt;0,K364*0.0625,IF(L364&gt;0,L364*2.204623,))</f>
        <v>#REF!</v>
      </c>
      <c r="K364" t="str">
        <f>IF(L364&gt;0,L364*35.273962,IF(J364&gt;0,J364*16,))</f>
        <v>#REF!</v>
      </c>
      <c r="L364" t="str">
        <f>IF(J364&gt;0,J364*0.453592,IF(K364&gt;0,K364*0.02835,))</f>
        <v>#REF!</v>
      </c>
      <c r="O364">
        <f>I364+N364+M364</f>
        <v>0</v>
      </c>
      <c r="P364">
        <f>O364*C$3</f>
        <v>0</v>
      </c>
      <c r="Q364" t="str">
        <f>ROUNDUP(HLOOKUP(IF(CEILING(L364,0.5)&lt;1,1,CEILING(L364,0.5)),'배송비 조회'!A$32:AY$36,2,0),-2)</f>
        <v>#REF!</v>
      </c>
      <c r="R364">
        <v>0</v>
      </c>
      <c r="S364" t="str">
        <f>ROUND((P364+Q364)*0.6,-2)</f>
        <v>#REF!</v>
      </c>
      <c r="T364" t="str">
        <f>ROUND((P364+Q364)*0.7,-2)</f>
        <v>#REF!</v>
      </c>
      <c r="U364" t="str">
        <f>ROUND(SUM(P364+Q364+R364+S364), -2)</f>
        <v>#REF!</v>
      </c>
      <c r="V364" t="str">
        <f>ROUND(P364+Q364+R364+T364, -2)</f>
        <v>#REF!</v>
      </c>
      <c r="W364">
        <v>0</v>
      </c>
      <c r="X364" t="str">
        <f>U364*0.038</f>
        <v>#REF!</v>
      </c>
      <c r="Y364" t="str">
        <f>U364*0.02</f>
        <v>#REF!</v>
      </c>
      <c r="Z364" t="str">
        <f>V364*0.1</f>
        <v>#REF!</v>
      </c>
      <c r="AA364" t="str">
        <f>U364-X364-Y364</f>
        <v>#REF!</v>
      </c>
      <c r="AB364" t="str">
        <f>V364-Z364</f>
        <v>#REF!</v>
      </c>
      <c r="AC364" t="str">
        <f>AA364*0.01</f>
        <v>#REF!</v>
      </c>
      <c r="AD364" t="str">
        <f>AA364-P364-AC364-Q364</f>
        <v>#REF!</v>
      </c>
      <c r="AE364" t="str">
        <f>AB364-P364-Q364-AC364</f>
        <v>#REF!</v>
      </c>
      <c r="AF364" t="str">
        <f>AD364/U364</f>
        <v>#REF!</v>
      </c>
      <c r="AG364" t="str">
        <f>AE364/V364</f>
        <v>#REF!</v>
      </c>
    </row>
    <row r="365">
      <c r="G365" t="str">
        <v>A</v>
      </c>
      <c r="J365" t="str">
        <f>IF(K365&gt;0,K365*0.0625,IF(L365&gt;0,L365*2.204623,))</f>
        <v>#REF!</v>
      </c>
      <c r="K365" t="str">
        <f>IF(L365&gt;0,L365*35.273962,IF(J365&gt;0,J365*16,))</f>
        <v>#REF!</v>
      </c>
      <c r="L365" t="str">
        <f>IF(J365&gt;0,J365*0.453592,IF(K365&gt;0,K365*0.02835,))</f>
        <v>#REF!</v>
      </c>
      <c r="O365">
        <f>I365+N365+M365</f>
        <v>0</v>
      </c>
      <c r="P365">
        <f>O365*C$3</f>
        <v>0</v>
      </c>
      <c r="Q365" t="str">
        <f>ROUNDUP(HLOOKUP(IF(CEILING(L365,0.5)&lt;1,1,CEILING(L365,0.5)),'배송비 조회'!A$32:AY$36,2,0),-2)</f>
        <v>#REF!</v>
      </c>
      <c r="R365">
        <v>0</v>
      </c>
      <c r="S365" t="str">
        <f>ROUND((P365+Q365)*0.6,-2)</f>
        <v>#REF!</v>
      </c>
      <c r="T365" t="str">
        <f>ROUND((P365+Q365)*0.7,-2)</f>
        <v>#REF!</v>
      </c>
      <c r="U365" t="str">
        <f>ROUND(SUM(P365+Q365+R365+S365), -2)</f>
        <v>#REF!</v>
      </c>
      <c r="V365" t="str">
        <f>ROUND(P365+Q365+R365+T365, -2)</f>
        <v>#REF!</v>
      </c>
      <c r="W365">
        <v>0</v>
      </c>
      <c r="X365" t="str">
        <f>U365*0.038</f>
        <v>#REF!</v>
      </c>
      <c r="Y365" t="str">
        <f>U365*0.02</f>
        <v>#REF!</v>
      </c>
      <c r="Z365" t="str">
        <f>V365*0.1</f>
        <v>#REF!</v>
      </c>
      <c r="AA365" t="str">
        <f>U365-X365-Y365</f>
        <v>#REF!</v>
      </c>
      <c r="AB365" t="str">
        <f>V365-Z365</f>
        <v>#REF!</v>
      </c>
      <c r="AC365" t="str">
        <f>AA365*0.01</f>
        <v>#REF!</v>
      </c>
      <c r="AD365" t="str">
        <f>AA365-P365-AC365-Q365</f>
        <v>#REF!</v>
      </c>
      <c r="AE365" t="str">
        <f>AB365-P365-Q365-AC365</f>
        <v>#REF!</v>
      </c>
      <c r="AF365" t="str">
        <f>AD365/U365</f>
        <v>#REF!</v>
      </c>
      <c r="AG365" t="str">
        <f>AE365/V365</f>
        <v>#REF!</v>
      </c>
    </row>
    <row r="366">
      <c r="G366" t="str">
        <v>A</v>
      </c>
      <c r="J366" t="str">
        <f>IF(K366&gt;0,K366*0.0625,IF(L366&gt;0,L366*2.204623,))</f>
        <v>#REF!</v>
      </c>
      <c r="K366" t="str">
        <f>IF(L366&gt;0,L366*35.273962,IF(J366&gt;0,J366*16,))</f>
        <v>#REF!</v>
      </c>
      <c r="L366" t="str">
        <f>IF(J366&gt;0,J366*0.453592,IF(K366&gt;0,K366*0.02835,))</f>
        <v>#REF!</v>
      </c>
      <c r="O366">
        <f>I366+N366+M366</f>
        <v>0</v>
      </c>
      <c r="P366">
        <f>O366*C$3</f>
        <v>0</v>
      </c>
      <c r="Q366" t="str">
        <f>ROUNDUP(HLOOKUP(IF(CEILING(L366,0.5)&lt;1,1,CEILING(L366,0.5)),'배송비 조회'!A$32:AY$36,2,0),-2)</f>
        <v>#REF!</v>
      </c>
      <c r="R366">
        <v>0</v>
      </c>
      <c r="S366" t="str">
        <f>ROUND((P366+Q366)*0.6,-2)</f>
        <v>#REF!</v>
      </c>
      <c r="T366" t="str">
        <f>ROUND((P366+Q366)*0.7,-2)</f>
        <v>#REF!</v>
      </c>
      <c r="U366" t="str">
        <f>ROUND(SUM(P366+Q366+R366+S366), -2)</f>
        <v>#REF!</v>
      </c>
      <c r="V366" t="str">
        <f>ROUND(P366+Q366+R366+T366, -2)</f>
        <v>#REF!</v>
      </c>
      <c r="W366">
        <v>0</v>
      </c>
      <c r="X366" t="str">
        <f>U366*0.038</f>
        <v>#REF!</v>
      </c>
      <c r="Y366" t="str">
        <f>U366*0.02</f>
        <v>#REF!</v>
      </c>
      <c r="Z366" t="str">
        <f>V366*0.1</f>
        <v>#REF!</v>
      </c>
      <c r="AA366" t="str">
        <f>U366-X366-Y366</f>
        <v>#REF!</v>
      </c>
      <c r="AB366" t="str">
        <f>V366-Z366</f>
        <v>#REF!</v>
      </c>
      <c r="AC366" t="str">
        <f>AA366*0.01</f>
        <v>#REF!</v>
      </c>
      <c r="AD366" t="str">
        <f>AA366-P366-AC366-Q366</f>
        <v>#REF!</v>
      </c>
      <c r="AE366" t="str">
        <f>AB366-P366-Q366-AC366</f>
        <v>#REF!</v>
      </c>
      <c r="AF366" t="str">
        <f>AD366/U366</f>
        <v>#REF!</v>
      </c>
      <c r="AG366" t="str">
        <f>AE366/V366</f>
        <v>#REF!</v>
      </c>
    </row>
    <row r="367">
      <c r="G367" t="str">
        <v>A</v>
      </c>
      <c r="J367" t="str">
        <f>IF(K367&gt;0,K367*0.0625,IF(L367&gt;0,L367*2.204623,))</f>
        <v>#REF!</v>
      </c>
      <c r="K367" t="str">
        <f>IF(L367&gt;0,L367*35.273962,IF(J367&gt;0,J367*16,))</f>
        <v>#REF!</v>
      </c>
      <c r="L367" t="str">
        <f>IF(J367&gt;0,J367*0.453592,IF(K367&gt;0,K367*0.02835,))</f>
        <v>#REF!</v>
      </c>
      <c r="O367">
        <f>I367+N367+M367</f>
        <v>0</v>
      </c>
      <c r="P367">
        <f>O367*C$3</f>
        <v>0</v>
      </c>
      <c r="Q367" t="str">
        <f>ROUNDUP(HLOOKUP(IF(CEILING(L367,0.5)&lt;1,1,CEILING(L367,0.5)),'배송비 조회'!A$32:AY$36,2,0),-2)</f>
        <v>#REF!</v>
      </c>
      <c r="R367">
        <v>0</v>
      </c>
      <c r="S367" t="str">
        <f>ROUND((P367+Q367)*0.6,-2)</f>
        <v>#REF!</v>
      </c>
      <c r="T367" t="str">
        <f>ROUND((P367+Q367)*0.7,-2)</f>
        <v>#REF!</v>
      </c>
      <c r="U367" t="str">
        <f>ROUND(SUM(P367+Q367+R367+S367), -2)</f>
        <v>#REF!</v>
      </c>
      <c r="V367" t="str">
        <f>ROUND(P367+Q367+R367+T367, -2)</f>
        <v>#REF!</v>
      </c>
      <c r="W367">
        <v>0</v>
      </c>
      <c r="X367" t="str">
        <f>U367*0.038</f>
        <v>#REF!</v>
      </c>
      <c r="Y367" t="str">
        <f>U367*0.02</f>
        <v>#REF!</v>
      </c>
      <c r="Z367" t="str">
        <f>V367*0.1</f>
        <v>#REF!</v>
      </c>
      <c r="AA367" t="str">
        <f>U367-X367-Y367</f>
        <v>#REF!</v>
      </c>
      <c r="AB367" t="str">
        <f>V367-Z367</f>
        <v>#REF!</v>
      </c>
      <c r="AC367" t="str">
        <f>AA367*0.01</f>
        <v>#REF!</v>
      </c>
      <c r="AD367" t="str">
        <f>AA367-P367-AC367-Q367</f>
        <v>#REF!</v>
      </c>
      <c r="AE367" t="str">
        <f>AB367-P367-Q367-AC367</f>
        <v>#REF!</v>
      </c>
      <c r="AF367" t="str">
        <f>AD367/U367</f>
        <v>#REF!</v>
      </c>
      <c r="AG367" t="str">
        <f>AE367/V367</f>
        <v>#REF!</v>
      </c>
    </row>
    <row r="368">
      <c r="G368" t="str">
        <v>A</v>
      </c>
      <c r="J368" t="str">
        <f>IF(K368&gt;0,K368*0.0625,IF(L368&gt;0,L368*2.204623,))</f>
        <v>#REF!</v>
      </c>
      <c r="K368" t="str">
        <f>IF(L368&gt;0,L368*35.273962,IF(J368&gt;0,J368*16,))</f>
        <v>#REF!</v>
      </c>
      <c r="L368" t="str">
        <f>IF(J368&gt;0,J368*0.453592,IF(K368&gt;0,K368*0.02835,))</f>
        <v>#REF!</v>
      </c>
      <c r="O368">
        <f>I368+N368+M368</f>
        <v>0</v>
      </c>
      <c r="P368">
        <f>O368*C$3</f>
        <v>0</v>
      </c>
      <c r="Q368" t="str">
        <f>ROUNDUP(HLOOKUP(IF(CEILING(L368,0.5)&lt;1,1,CEILING(L368,0.5)),'배송비 조회'!A$32:AY$36,2,0),-2)</f>
        <v>#REF!</v>
      </c>
      <c r="R368">
        <v>0</v>
      </c>
      <c r="S368" t="str">
        <f>ROUND((P368+Q368)*0.6,-2)</f>
        <v>#REF!</v>
      </c>
      <c r="T368" t="str">
        <f>ROUND((P368+Q368)*0.7,-2)</f>
        <v>#REF!</v>
      </c>
      <c r="U368" t="str">
        <f>ROUND(SUM(P368+Q368+R368+S368), -2)</f>
        <v>#REF!</v>
      </c>
      <c r="V368" t="str">
        <f>ROUND(P368+Q368+R368+T368, -2)</f>
        <v>#REF!</v>
      </c>
      <c r="W368">
        <v>0</v>
      </c>
      <c r="X368" t="str">
        <f>U368*0.038</f>
        <v>#REF!</v>
      </c>
      <c r="Y368" t="str">
        <f>U368*0.02</f>
        <v>#REF!</v>
      </c>
      <c r="Z368" t="str">
        <f>V368*0.1</f>
        <v>#REF!</v>
      </c>
      <c r="AA368" t="str">
        <f>U368-X368-Y368</f>
        <v>#REF!</v>
      </c>
      <c r="AB368" t="str">
        <f>V368-Z368</f>
        <v>#REF!</v>
      </c>
      <c r="AC368" t="str">
        <f>AA368*0.01</f>
        <v>#REF!</v>
      </c>
      <c r="AD368" t="str">
        <f>AA368-P368-AC368-Q368</f>
        <v>#REF!</v>
      </c>
      <c r="AE368" t="str">
        <f>AB368-P368-Q368-AC368</f>
        <v>#REF!</v>
      </c>
      <c r="AF368" t="str">
        <f>AD368/U368</f>
        <v>#REF!</v>
      </c>
      <c r="AG368" t="str">
        <f>AE368/V368</f>
        <v>#REF!</v>
      </c>
    </row>
    <row r="369">
      <c r="G369" t="str">
        <v>A</v>
      </c>
      <c r="J369" t="str">
        <f>IF(K369&gt;0,K369*0.0625,IF(L369&gt;0,L369*2.204623,))</f>
        <v>#REF!</v>
      </c>
      <c r="K369" t="str">
        <f>IF(L369&gt;0,L369*35.273962,IF(J369&gt;0,J369*16,))</f>
        <v>#REF!</v>
      </c>
      <c r="L369" t="str">
        <f>IF(J369&gt;0,J369*0.453592,IF(K369&gt;0,K369*0.02835,))</f>
        <v>#REF!</v>
      </c>
      <c r="O369">
        <f>I369+N369+M369</f>
        <v>0</v>
      </c>
      <c r="P369">
        <f>O369*C$3</f>
        <v>0</v>
      </c>
      <c r="Q369" t="str">
        <f>ROUNDUP(HLOOKUP(IF(CEILING(L369,0.5)&lt;1,1,CEILING(L369,0.5)),'배송비 조회'!A$32:AY$36,2,0),-2)</f>
        <v>#REF!</v>
      </c>
      <c r="R369">
        <v>0</v>
      </c>
      <c r="S369" t="str">
        <f>ROUND((P369+Q369)*0.6,-2)</f>
        <v>#REF!</v>
      </c>
      <c r="T369" t="str">
        <f>ROUND((P369+Q369)*0.7,-2)</f>
        <v>#REF!</v>
      </c>
      <c r="U369" t="str">
        <f>ROUND(SUM(P369+Q369+R369+S369), -2)</f>
        <v>#REF!</v>
      </c>
      <c r="V369" t="str">
        <f>ROUND(P369+Q369+R369+T369, -2)</f>
        <v>#REF!</v>
      </c>
      <c r="W369">
        <v>0</v>
      </c>
      <c r="X369" t="str">
        <f>U369*0.038</f>
        <v>#REF!</v>
      </c>
      <c r="Y369" t="str">
        <f>U369*0.02</f>
        <v>#REF!</v>
      </c>
      <c r="Z369" t="str">
        <f>V369*0.1</f>
        <v>#REF!</v>
      </c>
      <c r="AA369" t="str">
        <f>U369-X369-Y369</f>
        <v>#REF!</v>
      </c>
      <c r="AB369" t="str">
        <f>V369-Z369</f>
        <v>#REF!</v>
      </c>
      <c r="AC369" t="str">
        <f>AA369*0.01</f>
        <v>#REF!</v>
      </c>
      <c r="AD369" t="str">
        <f>AA369-P369-AC369-Q369</f>
        <v>#REF!</v>
      </c>
      <c r="AE369" t="str">
        <f>AB369-P369-Q369-AC369</f>
        <v>#REF!</v>
      </c>
      <c r="AF369" t="str">
        <f>AD369/U369</f>
        <v>#REF!</v>
      </c>
      <c r="AG369" t="str">
        <f>AE369/V369</f>
        <v>#REF!</v>
      </c>
    </row>
    <row r="370">
      <c r="G370" t="str">
        <v>A</v>
      </c>
      <c r="J370" t="str">
        <f>IF(K370&gt;0,K370*0.0625,IF(L370&gt;0,L370*2.204623,))</f>
        <v>#REF!</v>
      </c>
      <c r="K370" t="str">
        <f>IF(L370&gt;0,L370*35.273962,IF(J370&gt;0,J370*16,))</f>
        <v>#REF!</v>
      </c>
      <c r="L370" t="str">
        <f>IF(J370&gt;0,J370*0.453592,IF(K370&gt;0,K370*0.02835,))</f>
        <v>#REF!</v>
      </c>
      <c r="O370">
        <f>I370+N370+M370</f>
        <v>0</v>
      </c>
      <c r="P370">
        <f>O370*C$3</f>
        <v>0</v>
      </c>
      <c r="Q370" t="str">
        <f>ROUNDUP(HLOOKUP(IF(CEILING(L370,0.5)&lt;1,1,CEILING(L370,0.5)),'배송비 조회'!A$32:AY$36,2,0),-2)</f>
        <v>#REF!</v>
      </c>
      <c r="R370">
        <v>0</v>
      </c>
      <c r="S370" t="str">
        <f>ROUND((P370+Q370)*0.6,-2)</f>
        <v>#REF!</v>
      </c>
      <c r="T370" t="str">
        <f>ROUND((P370+Q370)*0.7,-2)</f>
        <v>#REF!</v>
      </c>
      <c r="U370" t="str">
        <f>ROUND(SUM(P370+Q370+R370+S370), -2)</f>
        <v>#REF!</v>
      </c>
      <c r="V370" t="str">
        <f>ROUND(P370+Q370+R370+T370, -2)</f>
        <v>#REF!</v>
      </c>
      <c r="W370">
        <v>0</v>
      </c>
      <c r="X370" t="str">
        <f>U370*0.038</f>
        <v>#REF!</v>
      </c>
      <c r="Y370" t="str">
        <f>U370*0.02</f>
        <v>#REF!</v>
      </c>
      <c r="Z370" t="str">
        <f>V370*0.1</f>
        <v>#REF!</v>
      </c>
      <c r="AA370" t="str">
        <f>U370-X370-Y370</f>
        <v>#REF!</v>
      </c>
      <c r="AB370" t="str">
        <f>V370-Z370</f>
        <v>#REF!</v>
      </c>
      <c r="AC370" t="str">
        <f>AA370*0.01</f>
        <v>#REF!</v>
      </c>
      <c r="AD370" t="str">
        <f>AA370-P370-AC370-Q370</f>
        <v>#REF!</v>
      </c>
      <c r="AE370" t="str">
        <f>AB370-P370-Q370-AC370</f>
        <v>#REF!</v>
      </c>
      <c r="AF370" t="str">
        <f>AD370/U370</f>
        <v>#REF!</v>
      </c>
      <c r="AG370" t="str">
        <f>AE370/V370</f>
        <v>#REF!</v>
      </c>
    </row>
    <row r="371">
      <c r="G371" t="str">
        <v>A</v>
      </c>
      <c r="J371" t="str">
        <f>IF(K371&gt;0,K371*0.0625,IF(L371&gt;0,L371*2.204623,))</f>
        <v>#REF!</v>
      </c>
      <c r="K371" t="str">
        <f>IF(L371&gt;0,L371*35.273962,IF(J371&gt;0,J371*16,))</f>
        <v>#REF!</v>
      </c>
      <c r="L371" t="str">
        <f>IF(J371&gt;0,J371*0.453592,IF(K371&gt;0,K371*0.02835,))</f>
        <v>#REF!</v>
      </c>
      <c r="O371">
        <f>I371+N371+M371</f>
        <v>0</v>
      </c>
      <c r="P371">
        <f>O371*C$3</f>
        <v>0</v>
      </c>
      <c r="Q371" t="str">
        <f>ROUNDUP(HLOOKUP(IF(CEILING(L371,0.5)&lt;1,1,CEILING(L371,0.5)),'배송비 조회'!A$32:AY$36,2,0),-2)</f>
        <v>#REF!</v>
      </c>
      <c r="R371">
        <v>0</v>
      </c>
      <c r="S371" t="str">
        <f>ROUND((P371+Q371)*0.6,-2)</f>
        <v>#REF!</v>
      </c>
      <c r="T371" t="str">
        <f>ROUND((P371+Q371)*0.7,-2)</f>
        <v>#REF!</v>
      </c>
      <c r="U371" t="str">
        <f>ROUND(SUM(P371+Q371+R371+S371), -2)</f>
        <v>#REF!</v>
      </c>
      <c r="V371" t="str">
        <f>ROUND(P371+Q371+R371+T371, -2)</f>
        <v>#REF!</v>
      </c>
      <c r="W371">
        <v>0</v>
      </c>
      <c r="X371" t="str">
        <f>U371*0.038</f>
        <v>#REF!</v>
      </c>
      <c r="Y371" t="str">
        <f>U371*0.02</f>
        <v>#REF!</v>
      </c>
      <c r="Z371" t="str">
        <f>V371*0.1</f>
        <v>#REF!</v>
      </c>
      <c r="AA371" t="str">
        <f>U371-X371-Y371</f>
        <v>#REF!</v>
      </c>
      <c r="AB371" t="str">
        <f>V371-Z371</f>
        <v>#REF!</v>
      </c>
      <c r="AC371" t="str">
        <f>AA371*0.01</f>
        <v>#REF!</v>
      </c>
      <c r="AD371" t="str">
        <f>AA371-P371-AC371-Q371</f>
        <v>#REF!</v>
      </c>
      <c r="AE371" t="str">
        <f>AB371-P371-Q371-AC371</f>
        <v>#REF!</v>
      </c>
      <c r="AF371" t="str">
        <f>AD371/U371</f>
        <v>#REF!</v>
      </c>
      <c r="AG371" t="str">
        <f>AE371/V371</f>
        <v>#REF!</v>
      </c>
    </row>
    <row r="372">
      <c r="G372" t="str">
        <v>A</v>
      </c>
      <c r="J372" t="str">
        <f>IF(K372&gt;0,K372*0.0625,IF(L372&gt;0,L372*2.204623,))</f>
        <v>#REF!</v>
      </c>
      <c r="K372" t="str">
        <f>IF(L372&gt;0,L372*35.273962,IF(J372&gt;0,J372*16,))</f>
        <v>#REF!</v>
      </c>
      <c r="L372" t="str">
        <f>IF(J372&gt;0,J372*0.453592,IF(K372&gt;0,K372*0.02835,))</f>
        <v>#REF!</v>
      </c>
      <c r="O372">
        <f>I372+N372+M372</f>
        <v>0</v>
      </c>
      <c r="P372">
        <f>O372*C$3</f>
        <v>0</v>
      </c>
      <c r="Q372" t="str">
        <f>ROUNDUP(HLOOKUP(IF(CEILING(L372,0.5)&lt;1,1,CEILING(L372,0.5)),'배송비 조회'!A$32:AY$36,2,0),-2)</f>
        <v>#REF!</v>
      </c>
      <c r="R372">
        <v>0</v>
      </c>
      <c r="S372" t="str">
        <f>ROUND((P372+Q372)*0.6,-2)</f>
        <v>#REF!</v>
      </c>
      <c r="T372" t="str">
        <f>ROUND((P372+Q372)*0.7,-2)</f>
        <v>#REF!</v>
      </c>
      <c r="U372" t="str">
        <f>ROUND(SUM(P372+Q372+R372+S372), -2)</f>
        <v>#REF!</v>
      </c>
      <c r="V372" t="str">
        <f>ROUND(P372+Q372+R372+T372, -2)</f>
        <v>#REF!</v>
      </c>
      <c r="W372">
        <v>0</v>
      </c>
      <c r="X372" t="str">
        <f>U372*0.038</f>
        <v>#REF!</v>
      </c>
      <c r="Y372" t="str">
        <f>U372*0.02</f>
        <v>#REF!</v>
      </c>
      <c r="Z372" t="str">
        <f>V372*0.1</f>
        <v>#REF!</v>
      </c>
      <c r="AA372" t="str">
        <f>U372-X372-Y372</f>
        <v>#REF!</v>
      </c>
      <c r="AB372" t="str">
        <f>V372-Z372</f>
        <v>#REF!</v>
      </c>
      <c r="AC372" t="str">
        <f>AA372*0.01</f>
        <v>#REF!</v>
      </c>
      <c r="AD372" t="str">
        <f>AA372-P372-AC372-Q372</f>
        <v>#REF!</v>
      </c>
      <c r="AE372" t="str">
        <f>AB372-P372-Q372-AC372</f>
        <v>#REF!</v>
      </c>
      <c r="AF372" t="str">
        <f>AD372/U372</f>
        <v>#REF!</v>
      </c>
      <c r="AG372" t="str">
        <f>AE372/V372</f>
        <v>#REF!</v>
      </c>
    </row>
    <row r="373">
      <c r="G373" t="str">
        <v>A</v>
      </c>
      <c r="J373" t="str">
        <f>IF(K373&gt;0,K373*0.0625,IF(L373&gt;0,L373*2.204623,))</f>
        <v>#REF!</v>
      </c>
      <c r="K373" t="str">
        <f>IF(L373&gt;0,L373*35.273962,IF(J373&gt;0,J373*16,))</f>
        <v>#REF!</v>
      </c>
      <c r="L373" t="str">
        <f>IF(J373&gt;0,J373*0.453592,IF(K373&gt;0,K373*0.02835,))</f>
        <v>#REF!</v>
      </c>
      <c r="O373">
        <f>I373+N373+M373</f>
        <v>0</v>
      </c>
      <c r="P373">
        <f>O373*C$3</f>
        <v>0</v>
      </c>
      <c r="Q373" t="str">
        <f>ROUNDUP(HLOOKUP(IF(CEILING(L373,0.5)&lt;1,1,CEILING(L373,0.5)),'배송비 조회'!A$32:AY$36,2,0),-2)</f>
        <v>#REF!</v>
      </c>
      <c r="R373">
        <v>0</v>
      </c>
      <c r="S373" t="str">
        <f>ROUND((P373+Q373)*0.6,-2)</f>
        <v>#REF!</v>
      </c>
      <c r="T373" t="str">
        <f>ROUND((P373+Q373)*0.7,-2)</f>
        <v>#REF!</v>
      </c>
      <c r="U373" t="str">
        <f>ROUND(SUM(P373+Q373+R373+S373), -2)</f>
        <v>#REF!</v>
      </c>
      <c r="V373" t="str">
        <f>ROUND(P373+Q373+R373+T373, -2)</f>
        <v>#REF!</v>
      </c>
      <c r="W373">
        <v>0</v>
      </c>
      <c r="X373" t="str">
        <f>U373*0.038</f>
        <v>#REF!</v>
      </c>
      <c r="Y373" t="str">
        <f>U373*0.02</f>
        <v>#REF!</v>
      </c>
      <c r="Z373" t="str">
        <f>V373*0.1</f>
        <v>#REF!</v>
      </c>
      <c r="AA373" t="str">
        <f>U373-X373-Y373</f>
        <v>#REF!</v>
      </c>
      <c r="AB373" t="str">
        <f>V373-Z373</f>
        <v>#REF!</v>
      </c>
      <c r="AC373" t="str">
        <f>AA373*0.01</f>
        <v>#REF!</v>
      </c>
      <c r="AD373" t="str">
        <f>AA373-P373-AC373-Q373</f>
        <v>#REF!</v>
      </c>
      <c r="AE373" t="str">
        <f>AB373-P373-Q373-AC373</f>
        <v>#REF!</v>
      </c>
      <c r="AF373" t="str">
        <f>AD373/U373</f>
        <v>#REF!</v>
      </c>
      <c r="AG373" t="str">
        <f>AE373/V373</f>
        <v>#REF!</v>
      </c>
    </row>
    <row r="374">
      <c r="G374" t="str">
        <v>A</v>
      </c>
      <c r="J374" t="str">
        <f>IF(K374&gt;0,K374*0.0625,IF(L374&gt;0,L374*2.204623,))</f>
        <v>#REF!</v>
      </c>
      <c r="K374" t="str">
        <f>IF(L374&gt;0,L374*35.273962,IF(J374&gt;0,J374*16,))</f>
        <v>#REF!</v>
      </c>
      <c r="L374" t="str">
        <f>IF(J374&gt;0,J374*0.453592,IF(K374&gt;0,K374*0.02835,))</f>
        <v>#REF!</v>
      </c>
      <c r="O374">
        <f>I374+N374+M374</f>
        <v>0</v>
      </c>
      <c r="P374">
        <f>O374*C$3</f>
        <v>0</v>
      </c>
      <c r="Q374" t="str">
        <f>ROUNDUP(HLOOKUP(IF(CEILING(L374,0.5)&lt;1,1,CEILING(L374,0.5)),'배송비 조회'!A$32:AY$36,2,0),-2)</f>
        <v>#REF!</v>
      </c>
      <c r="R374">
        <v>0</v>
      </c>
      <c r="S374" t="str">
        <f>ROUND((P374+Q374)*0.6,-2)</f>
        <v>#REF!</v>
      </c>
      <c r="T374" t="str">
        <f>ROUND((P374+Q374)*0.7,-2)</f>
        <v>#REF!</v>
      </c>
      <c r="U374" t="str">
        <f>ROUND(SUM(P374+Q374+R374+S374), -2)</f>
        <v>#REF!</v>
      </c>
      <c r="V374" t="str">
        <f>ROUND(P374+Q374+R374+T374, -2)</f>
        <v>#REF!</v>
      </c>
      <c r="W374">
        <v>0</v>
      </c>
      <c r="X374" t="str">
        <f>U374*0.038</f>
        <v>#REF!</v>
      </c>
      <c r="Y374" t="str">
        <f>U374*0.02</f>
        <v>#REF!</v>
      </c>
      <c r="Z374" t="str">
        <f>V374*0.1</f>
        <v>#REF!</v>
      </c>
      <c r="AA374" t="str">
        <f>U374-X374-Y374</f>
        <v>#REF!</v>
      </c>
      <c r="AB374" t="str">
        <f>V374-Z374</f>
        <v>#REF!</v>
      </c>
      <c r="AC374" t="str">
        <f>AA374*0.01</f>
        <v>#REF!</v>
      </c>
      <c r="AD374" t="str">
        <f>AA374-P374-AC374-Q374</f>
        <v>#REF!</v>
      </c>
      <c r="AE374" t="str">
        <f>AB374-P374-Q374-AC374</f>
        <v>#REF!</v>
      </c>
      <c r="AF374" t="str">
        <f>AD374/U374</f>
        <v>#REF!</v>
      </c>
      <c r="AG374" t="str">
        <f>AE374/V374</f>
        <v>#REF!</v>
      </c>
    </row>
    <row r="375">
      <c r="G375" t="str">
        <v>A</v>
      </c>
      <c r="J375" t="str">
        <f>IF(K375&gt;0,K375*0.0625,IF(L375&gt;0,L375*2.204623,))</f>
        <v>#REF!</v>
      </c>
      <c r="K375" t="str">
        <f>IF(L375&gt;0,L375*35.273962,IF(J375&gt;0,J375*16,))</f>
        <v>#REF!</v>
      </c>
      <c r="L375" t="str">
        <f>IF(J375&gt;0,J375*0.453592,IF(K375&gt;0,K375*0.02835,))</f>
        <v>#REF!</v>
      </c>
      <c r="O375">
        <f>I375+N375+M375</f>
        <v>0</v>
      </c>
      <c r="P375">
        <f>O375*C$3</f>
        <v>0</v>
      </c>
      <c r="Q375" t="str">
        <f>ROUNDUP(HLOOKUP(IF(CEILING(L375,0.5)&lt;1,1,CEILING(L375,0.5)),'배송비 조회'!A$32:AY$36,2,0),-2)</f>
        <v>#REF!</v>
      </c>
      <c r="R375">
        <v>0</v>
      </c>
      <c r="S375" t="str">
        <f>ROUND((P375+Q375)*0.6,-2)</f>
        <v>#REF!</v>
      </c>
      <c r="T375" t="str">
        <f>ROUND((P375+Q375)*0.7,-2)</f>
        <v>#REF!</v>
      </c>
      <c r="U375" t="str">
        <f>ROUND(SUM(P375+Q375+R375+S375), -2)</f>
        <v>#REF!</v>
      </c>
      <c r="V375" t="str">
        <f>ROUND(P375+Q375+R375+T375, -2)</f>
        <v>#REF!</v>
      </c>
      <c r="W375">
        <v>0</v>
      </c>
      <c r="X375" t="str">
        <f>U375*0.038</f>
        <v>#REF!</v>
      </c>
      <c r="Y375" t="str">
        <f>U375*0.02</f>
        <v>#REF!</v>
      </c>
      <c r="Z375" t="str">
        <f>V375*0.1</f>
        <v>#REF!</v>
      </c>
      <c r="AA375" t="str">
        <f>U375-X375-Y375</f>
        <v>#REF!</v>
      </c>
      <c r="AB375" t="str">
        <f>V375-Z375</f>
        <v>#REF!</v>
      </c>
      <c r="AC375" t="str">
        <f>AA375*0.01</f>
        <v>#REF!</v>
      </c>
      <c r="AD375" t="str">
        <f>AA375-P375-AC375-Q375</f>
        <v>#REF!</v>
      </c>
      <c r="AE375" t="str">
        <f>AB375-P375-Q375-AC375</f>
        <v>#REF!</v>
      </c>
      <c r="AF375" t="str">
        <f>AD375/U375</f>
        <v>#REF!</v>
      </c>
      <c r="AG375" t="str">
        <f>AE375/V375</f>
        <v>#REF!</v>
      </c>
    </row>
    <row r="376">
      <c r="G376" t="str">
        <v>A</v>
      </c>
      <c r="J376" t="str">
        <f>IF(K376&gt;0,K376*0.0625,IF(L376&gt;0,L376*2.204623,))</f>
        <v>#REF!</v>
      </c>
      <c r="K376" t="str">
        <f>IF(L376&gt;0,L376*35.273962,IF(J376&gt;0,J376*16,))</f>
        <v>#REF!</v>
      </c>
      <c r="L376" t="str">
        <f>IF(J376&gt;0,J376*0.453592,IF(K376&gt;0,K376*0.02835,))</f>
        <v>#REF!</v>
      </c>
      <c r="O376">
        <f>I376+N376+M376</f>
        <v>0</v>
      </c>
      <c r="P376">
        <f>O376*C$3</f>
        <v>0</v>
      </c>
      <c r="Q376" t="str">
        <f>ROUNDUP(HLOOKUP(IF(CEILING(L376,0.5)&lt;1,1,CEILING(L376,0.5)),'배송비 조회'!A$32:AY$36,2,0),-2)</f>
        <v>#REF!</v>
      </c>
      <c r="R376">
        <v>0</v>
      </c>
      <c r="S376" t="str">
        <f>ROUND((P376+Q376)*0.6,-2)</f>
        <v>#REF!</v>
      </c>
      <c r="T376" t="str">
        <f>ROUND((P376+Q376)*0.7,-2)</f>
        <v>#REF!</v>
      </c>
      <c r="U376" t="str">
        <f>ROUND(SUM(P376+Q376+R376+S376), -2)</f>
        <v>#REF!</v>
      </c>
      <c r="V376" t="str">
        <f>ROUND(P376+Q376+R376+T376, -2)</f>
        <v>#REF!</v>
      </c>
      <c r="W376">
        <v>0</v>
      </c>
      <c r="X376" t="str">
        <f>U376*0.038</f>
        <v>#REF!</v>
      </c>
      <c r="Y376" t="str">
        <f>U376*0.02</f>
        <v>#REF!</v>
      </c>
      <c r="Z376" t="str">
        <f>V376*0.1</f>
        <v>#REF!</v>
      </c>
      <c r="AA376" t="str">
        <f>U376-X376-Y376</f>
        <v>#REF!</v>
      </c>
      <c r="AB376" t="str">
        <f>V376-Z376</f>
        <v>#REF!</v>
      </c>
      <c r="AC376" t="str">
        <f>AA376*0.01</f>
        <v>#REF!</v>
      </c>
      <c r="AD376" t="str">
        <f>AA376-P376-AC376-Q376</f>
        <v>#REF!</v>
      </c>
      <c r="AE376" t="str">
        <f>AB376-P376-Q376-AC376</f>
        <v>#REF!</v>
      </c>
      <c r="AF376" t="str">
        <f>AD376/U376</f>
        <v>#REF!</v>
      </c>
      <c r="AG376" t="str">
        <f>AE376/V376</f>
        <v>#REF!</v>
      </c>
    </row>
    <row r="377">
      <c r="G377" t="str">
        <v>A</v>
      </c>
      <c r="J377" t="str">
        <f>IF(K377&gt;0,K377*0.0625,IF(L377&gt;0,L377*2.204623,))</f>
        <v>#REF!</v>
      </c>
      <c r="K377" t="str">
        <f>IF(L377&gt;0,L377*35.273962,IF(J377&gt;0,J377*16,))</f>
        <v>#REF!</v>
      </c>
      <c r="L377" t="str">
        <f>IF(J377&gt;0,J377*0.453592,IF(K377&gt;0,K377*0.02835,))</f>
        <v>#REF!</v>
      </c>
      <c r="O377">
        <f>I377+N377+M377</f>
        <v>0</v>
      </c>
      <c r="P377">
        <f>O377*C$3</f>
        <v>0</v>
      </c>
      <c r="Q377" t="str">
        <f>ROUNDUP(HLOOKUP(IF(CEILING(L377,0.5)&lt;1,1,CEILING(L377,0.5)),'배송비 조회'!A$32:AY$36,2,0),-2)</f>
        <v>#REF!</v>
      </c>
      <c r="R377">
        <v>0</v>
      </c>
      <c r="S377" t="str">
        <f>ROUND((P377+Q377)*0.6,-2)</f>
        <v>#REF!</v>
      </c>
      <c r="T377" t="str">
        <f>ROUND((P377+Q377)*0.7,-2)</f>
        <v>#REF!</v>
      </c>
      <c r="U377" t="str">
        <f>ROUND(SUM(P377+Q377+R377+S377), -2)</f>
        <v>#REF!</v>
      </c>
      <c r="V377" t="str">
        <f>ROUND(P377+Q377+R377+T377, -2)</f>
        <v>#REF!</v>
      </c>
      <c r="W377">
        <v>0</v>
      </c>
      <c r="X377" t="str">
        <f>U377*0.038</f>
        <v>#REF!</v>
      </c>
      <c r="Y377" t="str">
        <f>U377*0.02</f>
        <v>#REF!</v>
      </c>
      <c r="Z377" t="str">
        <f>V377*0.1</f>
        <v>#REF!</v>
      </c>
      <c r="AA377" t="str">
        <f>U377-X377-Y377</f>
        <v>#REF!</v>
      </c>
      <c r="AB377" t="str">
        <f>V377-Z377</f>
        <v>#REF!</v>
      </c>
      <c r="AC377" t="str">
        <f>AA377*0.01</f>
        <v>#REF!</v>
      </c>
      <c r="AD377" t="str">
        <f>AA377-P377-AC377-Q377</f>
        <v>#REF!</v>
      </c>
      <c r="AE377" t="str">
        <f>AB377-P377-Q377-AC377</f>
        <v>#REF!</v>
      </c>
      <c r="AF377" t="str">
        <f>AD377/U377</f>
        <v>#REF!</v>
      </c>
      <c r="AG377" t="str">
        <f>AE377/V377</f>
        <v>#REF!</v>
      </c>
    </row>
    <row r="378">
      <c r="G378" t="str">
        <v>A</v>
      </c>
      <c r="J378" t="str">
        <f>IF(K378&gt;0,K378*0.0625,IF(L378&gt;0,L378*2.204623,))</f>
        <v>#REF!</v>
      </c>
      <c r="K378" t="str">
        <f>IF(L378&gt;0,L378*35.273962,IF(J378&gt;0,J378*16,))</f>
        <v>#REF!</v>
      </c>
      <c r="L378" t="str">
        <f>IF(J378&gt;0,J378*0.453592,IF(K378&gt;0,K378*0.02835,))</f>
        <v>#REF!</v>
      </c>
      <c r="O378">
        <f>I378+N378+M378</f>
        <v>0</v>
      </c>
      <c r="P378">
        <f>O378*C$3</f>
        <v>0</v>
      </c>
      <c r="Q378" t="str">
        <f>ROUNDUP(HLOOKUP(IF(CEILING(L378,0.5)&lt;1,1,CEILING(L378,0.5)),'배송비 조회'!A$32:AY$36,2,0),-2)</f>
        <v>#REF!</v>
      </c>
      <c r="R378">
        <v>0</v>
      </c>
      <c r="S378" t="str">
        <f>ROUND((P378+Q378)*0.6,-2)</f>
        <v>#REF!</v>
      </c>
      <c r="T378" t="str">
        <f>ROUND((P378+Q378)*0.7,-2)</f>
        <v>#REF!</v>
      </c>
      <c r="U378" t="str">
        <f>ROUND(SUM(P378+Q378+R378+S378), -2)</f>
        <v>#REF!</v>
      </c>
      <c r="V378" t="str">
        <f>ROUND(P378+Q378+R378+T378, -2)</f>
        <v>#REF!</v>
      </c>
      <c r="W378">
        <v>0</v>
      </c>
      <c r="X378" t="str">
        <f>U378*0.038</f>
        <v>#REF!</v>
      </c>
      <c r="Y378" t="str">
        <f>U378*0.02</f>
        <v>#REF!</v>
      </c>
      <c r="Z378" t="str">
        <f>V378*0.1</f>
        <v>#REF!</v>
      </c>
      <c r="AA378" t="str">
        <f>U378-X378-Y378</f>
        <v>#REF!</v>
      </c>
      <c r="AB378" t="str">
        <f>V378-Z378</f>
        <v>#REF!</v>
      </c>
      <c r="AC378" t="str">
        <f>AA378*0.01</f>
        <v>#REF!</v>
      </c>
      <c r="AD378" t="str">
        <f>AA378-P378-AC378-Q378</f>
        <v>#REF!</v>
      </c>
      <c r="AE378" t="str">
        <f>AB378-P378-Q378-AC378</f>
        <v>#REF!</v>
      </c>
      <c r="AF378" t="str">
        <f>AD378/U378</f>
        <v>#REF!</v>
      </c>
      <c r="AG378" t="str">
        <f>AE378/V378</f>
        <v>#REF!</v>
      </c>
    </row>
    <row r="379">
      <c r="G379" t="str">
        <v>A</v>
      </c>
      <c r="J379" t="str">
        <f>IF(K379&gt;0,K379*0.0625,IF(L379&gt;0,L379*2.204623,))</f>
        <v>#REF!</v>
      </c>
      <c r="K379" t="str">
        <f>IF(L379&gt;0,L379*35.273962,IF(J379&gt;0,J379*16,))</f>
        <v>#REF!</v>
      </c>
      <c r="L379" t="str">
        <f>IF(J379&gt;0,J379*0.453592,IF(K379&gt;0,K379*0.02835,))</f>
        <v>#REF!</v>
      </c>
      <c r="O379">
        <f>I379+N379+M379</f>
        <v>0</v>
      </c>
      <c r="P379">
        <f>O379*C$3</f>
        <v>0</v>
      </c>
      <c r="Q379" t="str">
        <f>ROUNDUP(HLOOKUP(IF(CEILING(L379,0.5)&lt;1,1,CEILING(L379,0.5)),'배송비 조회'!A$32:AY$36,2,0),-2)</f>
        <v>#REF!</v>
      </c>
      <c r="R379">
        <v>0</v>
      </c>
      <c r="S379" t="str">
        <f>ROUND((P379+Q379)*0.6,-2)</f>
        <v>#REF!</v>
      </c>
      <c r="T379" t="str">
        <f>ROUND((P379+Q379)*0.7,-2)</f>
        <v>#REF!</v>
      </c>
      <c r="U379" t="str">
        <f>ROUND(SUM(P379+Q379+R379+S379), -2)</f>
        <v>#REF!</v>
      </c>
      <c r="V379" t="str">
        <f>ROUND(P379+Q379+R379+T379, -2)</f>
        <v>#REF!</v>
      </c>
      <c r="W379">
        <v>0</v>
      </c>
      <c r="X379" t="str">
        <f>U379*0.038</f>
        <v>#REF!</v>
      </c>
      <c r="Y379" t="str">
        <f>U379*0.02</f>
        <v>#REF!</v>
      </c>
      <c r="Z379" t="str">
        <f>V379*0.1</f>
        <v>#REF!</v>
      </c>
      <c r="AA379" t="str">
        <f>U379-X379-Y379</f>
        <v>#REF!</v>
      </c>
      <c r="AB379" t="str">
        <f>V379-Z379</f>
        <v>#REF!</v>
      </c>
      <c r="AC379" t="str">
        <f>AA379*0.01</f>
        <v>#REF!</v>
      </c>
      <c r="AD379" t="str">
        <f>AA379-P379-AC379-Q379</f>
        <v>#REF!</v>
      </c>
      <c r="AE379" t="str">
        <f>AB379-P379-Q379-AC379</f>
        <v>#REF!</v>
      </c>
      <c r="AF379" t="str">
        <f>AD379/U379</f>
        <v>#REF!</v>
      </c>
      <c r="AG379" t="str">
        <f>AE379/V379</f>
        <v>#REF!</v>
      </c>
    </row>
    <row r="380">
      <c r="G380" t="str">
        <v>A</v>
      </c>
      <c r="J380" t="str">
        <f>IF(K380&gt;0,K380*0.0625,IF(L380&gt;0,L380*2.204623,))</f>
        <v>#REF!</v>
      </c>
      <c r="K380" t="str">
        <f>IF(L380&gt;0,L380*35.273962,IF(J380&gt;0,J380*16,))</f>
        <v>#REF!</v>
      </c>
      <c r="L380" t="str">
        <f>IF(J380&gt;0,J380*0.453592,IF(K380&gt;0,K380*0.02835,))</f>
        <v>#REF!</v>
      </c>
      <c r="O380">
        <f>I380+N380+M380</f>
        <v>0</v>
      </c>
      <c r="P380">
        <f>O380*C$3</f>
        <v>0</v>
      </c>
      <c r="Q380" t="str">
        <f>ROUNDUP(HLOOKUP(IF(CEILING(L380,0.5)&lt;1,1,CEILING(L380,0.5)),'배송비 조회'!A$32:AY$36,2,0),-2)</f>
        <v>#REF!</v>
      </c>
      <c r="R380">
        <v>0</v>
      </c>
      <c r="S380" t="str">
        <f>ROUND((P380+Q380)*0.6,-2)</f>
        <v>#REF!</v>
      </c>
      <c r="T380" t="str">
        <f>ROUND((P380+Q380)*0.7,-2)</f>
        <v>#REF!</v>
      </c>
      <c r="U380" t="str">
        <f>ROUND(SUM(P380+Q380+R380+S380), -2)</f>
        <v>#REF!</v>
      </c>
      <c r="V380" t="str">
        <f>ROUND(P380+Q380+R380+T380, -2)</f>
        <v>#REF!</v>
      </c>
      <c r="W380">
        <v>0</v>
      </c>
      <c r="X380" t="str">
        <f>U380*0.038</f>
        <v>#REF!</v>
      </c>
      <c r="Y380" t="str">
        <f>U380*0.02</f>
        <v>#REF!</v>
      </c>
      <c r="Z380" t="str">
        <f>V380*0.1</f>
        <v>#REF!</v>
      </c>
      <c r="AA380" t="str">
        <f>U380-X380-Y380</f>
        <v>#REF!</v>
      </c>
      <c r="AB380" t="str">
        <f>V380-Z380</f>
        <v>#REF!</v>
      </c>
      <c r="AC380" t="str">
        <f>AA380*0.01</f>
        <v>#REF!</v>
      </c>
      <c r="AD380" t="str">
        <f>AA380-P380-AC380-Q380</f>
        <v>#REF!</v>
      </c>
      <c r="AE380" t="str">
        <f>AB380-P380-Q380-AC380</f>
        <v>#REF!</v>
      </c>
      <c r="AF380" t="str">
        <f>AD380/U380</f>
        <v>#REF!</v>
      </c>
      <c r="AG380" t="str">
        <f>AE380/V380</f>
        <v>#REF!</v>
      </c>
    </row>
    <row r="381">
      <c r="G381" t="str">
        <v>A</v>
      </c>
      <c r="J381" t="str">
        <f>IF(K381&gt;0,K381*0.0625,IF(L381&gt;0,L381*2.204623,))</f>
        <v>#REF!</v>
      </c>
      <c r="K381" t="str">
        <f>IF(L381&gt;0,L381*35.273962,IF(J381&gt;0,J381*16,))</f>
        <v>#REF!</v>
      </c>
      <c r="L381" t="str">
        <f>IF(J381&gt;0,J381*0.453592,IF(K381&gt;0,K381*0.02835,))</f>
        <v>#REF!</v>
      </c>
      <c r="O381">
        <f>I381+N381+M381</f>
        <v>0</v>
      </c>
      <c r="P381">
        <f>O381*C$3</f>
        <v>0</v>
      </c>
      <c r="Q381" t="str">
        <f>ROUNDUP(HLOOKUP(IF(CEILING(L381,0.5)&lt;1,1,CEILING(L381,0.5)),'배송비 조회'!A$32:AY$36,2,0),-2)</f>
        <v>#REF!</v>
      </c>
      <c r="R381">
        <v>0</v>
      </c>
      <c r="S381" t="str">
        <f>ROUND((P381+Q381)*0.6,-2)</f>
        <v>#REF!</v>
      </c>
      <c r="T381" t="str">
        <f>ROUND((P381+Q381)*0.7,-2)</f>
        <v>#REF!</v>
      </c>
      <c r="U381" t="str">
        <f>ROUND(SUM(P381+Q381+R381+S381), -2)</f>
        <v>#REF!</v>
      </c>
      <c r="V381" t="str">
        <f>ROUND(P381+Q381+R381+T381, -2)</f>
        <v>#REF!</v>
      </c>
      <c r="W381">
        <v>0</v>
      </c>
      <c r="X381" t="str">
        <f>U381*0.038</f>
        <v>#REF!</v>
      </c>
      <c r="Y381" t="str">
        <f>U381*0.02</f>
        <v>#REF!</v>
      </c>
      <c r="Z381" t="str">
        <f>V381*0.1</f>
        <v>#REF!</v>
      </c>
      <c r="AA381" t="str">
        <f>U381-X381-Y381</f>
        <v>#REF!</v>
      </c>
      <c r="AB381" t="str">
        <f>V381-Z381</f>
        <v>#REF!</v>
      </c>
      <c r="AC381" t="str">
        <f>AA381*0.01</f>
        <v>#REF!</v>
      </c>
      <c r="AD381" t="str">
        <f>AA381-P381-AC381-Q381</f>
        <v>#REF!</v>
      </c>
      <c r="AE381" t="str">
        <f>AB381-P381-Q381-AC381</f>
        <v>#REF!</v>
      </c>
      <c r="AF381" t="str">
        <f>AD381/U381</f>
        <v>#REF!</v>
      </c>
      <c r="AG381" t="str">
        <f>AE381/V381</f>
        <v>#REF!</v>
      </c>
    </row>
    <row r="382">
      <c r="G382" t="str">
        <v>A</v>
      </c>
      <c r="J382" t="str">
        <f>IF(K382&gt;0,K382*0.0625,IF(L382&gt;0,L382*2.204623,))</f>
        <v>#REF!</v>
      </c>
      <c r="K382" t="str">
        <f>IF(L382&gt;0,L382*35.273962,IF(J382&gt;0,J382*16,))</f>
        <v>#REF!</v>
      </c>
      <c r="L382" t="str">
        <f>IF(J382&gt;0,J382*0.453592,IF(K382&gt;0,K382*0.02835,))</f>
        <v>#REF!</v>
      </c>
      <c r="O382">
        <f>I382+N382+M382</f>
        <v>0</v>
      </c>
      <c r="P382">
        <f>O382*C$3</f>
        <v>0</v>
      </c>
      <c r="Q382" t="str">
        <f>ROUNDUP(HLOOKUP(IF(CEILING(L382,0.5)&lt;1,1,CEILING(L382,0.5)),'배송비 조회'!A$32:AY$36,2,0),-2)</f>
        <v>#REF!</v>
      </c>
      <c r="R382">
        <v>0</v>
      </c>
      <c r="S382" t="str">
        <f>ROUND((P382+Q382)*0.6,-2)</f>
        <v>#REF!</v>
      </c>
      <c r="T382" t="str">
        <f>ROUND((P382+Q382)*0.7,-2)</f>
        <v>#REF!</v>
      </c>
      <c r="U382" t="str">
        <f>ROUND(SUM(P382+Q382+R382+S382), -2)</f>
        <v>#REF!</v>
      </c>
      <c r="V382" t="str">
        <f>ROUND(P382+Q382+R382+T382, -2)</f>
        <v>#REF!</v>
      </c>
      <c r="W382">
        <v>0</v>
      </c>
      <c r="X382" t="str">
        <f>U382*0.038</f>
        <v>#REF!</v>
      </c>
      <c r="Y382" t="str">
        <f>U382*0.02</f>
        <v>#REF!</v>
      </c>
      <c r="Z382" t="str">
        <f>V382*0.1</f>
        <v>#REF!</v>
      </c>
      <c r="AA382" t="str">
        <f>U382-X382-Y382</f>
        <v>#REF!</v>
      </c>
      <c r="AB382" t="str">
        <f>V382-Z382</f>
        <v>#REF!</v>
      </c>
      <c r="AC382" t="str">
        <f>AA382*0.01</f>
        <v>#REF!</v>
      </c>
      <c r="AD382" t="str">
        <f>AA382-P382-AC382-Q382</f>
        <v>#REF!</v>
      </c>
      <c r="AE382" t="str">
        <f>AB382-P382-Q382-AC382</f>
        <v>#REF!</v>
      </c>
      <c r="AF382" t="str">
        <f>AD382/U382</f>
        <v>#REF!</v>
      </c>
      <c r="AG382" t="str">
        <f>AE382/V382</f>
        <v>#REF!</v>
      </c>
    </row>
    <row r="383">
      <c r="G383" t="str">
        <v>A</v>
      </c>
      <c r="J383" t="str">
        <f>IF(K383&gt;0,K383*0.0625,IF(L383&gt;0,L383*2.204623,))</f>
        <v>#REF!</v>
      </c>
      <c r="K383" t="str">
        <f>IF(L383&gt;0,L383*35.273962,IF(J383&gt;0,J383*16,))</f>
        <v>#REF!</v>
      </c>
      <c r="L383" t="str">
        <f>IF(J383&gt;0,J383*0.453592,IF(K383&gt;0,K383*0.02835,))</f>
        <v>#REF!</v>
      </c>
      <c r="O383">
        <f>I383+N383+M383</f>
        <v>0</v>
      </c>
      <c r="P383">
        <f>O383*C$3</f>
        <v>0</v>
      </c>
      <c r="Q383" t="str">
        <f>ROUNDUP(HLOOKUP(IF(CEILING(L383,0.5)&lt;1,1,CEILING(L383,0.5)),'배송비 조회'!A$32:AY$36,2,0),-2)</f>
        <v>#REF!</v>
      </c>
      <c r="R383">
        <v>0</v>
      </c>
      <c r="S383" t="str">
        <f>ROUND((P383+Q383)*0.6,-2)</f>
        <v>#REF!</v>
      </c>
      <c r="T383" t="str">
        <f>ROUND((P383+Q383)*0.7,-2)</f>
        <v>#REF!</v>
      </c>
      <c r="U383" t="str">
        <f>ROUND(SUM(P383+Q383+R383+S383), -2)</f>
        <v>#REF!</v>
      </c>
      <c r="V383" t="str">
        <f>ROUND(P383+Q383+R383+T383, -2)</f>
        <v>#REF!</v>
      </c>
      <c r="W383">
        <v>0</v>
      </c>
      <c r="X383" t="str">
        <f>U383*0.038</f>
        <v>#REF!</v>
      </c>
      <c r="Y383" t="str">
        <f>U383*0.02</f>
        <v>#REF!</v>
      </c>
      <c r="Z383" t="str">
        <f>V383*0.1</f>
        <v>#REF!</v>
      </c>
      <c r="AA383" t="str">
        <f>U383-X383-Y383</f>
        <v>#REF!</v>
      </c>
      <c r="AB383" t="str">
        <f>V383-Z383</f>
        <v>#REF!</v>
      </c>
      <c r="AC383" t="str">
        <f>AA383*0.01</f>
        <v>#REF!</v>
      </c>
      <c r="AD383" t="str">
        <f>AA383-P383-AC383-Q383</f>
        <v>#REF!</v>
      </c>
      <c r="AE383" t="str">
        <f>AB383-P383-Q383-AC383</f>
        <v>#REF!</v>
      </c>
      <c r="AF383" t="str">
        <f>AD383/U383</f>
        <v>#REF!</v>
      </c>
      <c r="AG383" t="str">
        <f>AE383/V383</f>
        <v>#REF!</v>
      </c>
    </row>
    <row r="384">
      <c r="G384" t="str">
        <v>A</v>
      </c>
      <c r="J384" t="str">
        <f>IF(K384&gt;0,K384*0.0625,IF(L384&gt;0,L384*2.204623,))</f>
        <v>#REF!</v>
      </c>
      <c r="K384" t="str">
        <f>IF(L384&gt;0,L384*35.273962,IF(J384&gt;0,J384*16,))</f>
        <v>#REF!</v>
      </c>
      <c r="L384" t="str">
        <f>IF(J384&gt;0,J384*0.453592,IF(K384&gt;0,K384*0.02835,))</f>
        <v>#REF!</v>
      </c>
      <c r="O384">
        <f>I384+N384+M384</f>
        <v>0</v>
      </c>
      <c r="P384">
        <f>O384*C$3</f>
        <v>0</v>
      </c>
      <c r="Q384" t="str">
        <f>ROUNDUP(HLOOKUP(IF(CEILING(L384,0.5)&lt;1,1,CEILING(L384,0.5)),'배송비 조회'!A$32:AY$36,2,0),-2)</f>
        <v>#REF!</v>
      </c>
      <c r="R384">
        <v>0</v>
      </c>
      <c r="S384" t="str">
        <f>ROUND((P384+Q384)*0.6,-2)</f>
        <v>#REF!</v>
      </c>
      <c r="T384" t="str">
        <f>ROUND((P384+Q384)*0.7,-2)</f>
        <v>#REF!</v>
      </c>
      <c r="U384" t="str">
        <f>ROUND(SUM(P384+Q384+R384+S384), -2)</f>
        <v>#REF!</v>
      </c>
      <c r="V384" t="str">
        <f>ROUND(P384+Q384+R384+T384, -2)</f>
        <v>#REF!</v>
      </c>
      <c r="W384">
        <v>0</v>
      </c>
      <c r="X384" t="str">
        <f>U384*0.038</f>
        <v>#REF!</v>
      </c>
      <c r="Y384" t="str">
        <f>U384*0.02</f>
        <v>#REF!</v>
      </c>
      <c r="Z384" t="str">
        <f>V384*0.1</f>
        <v>#REF!</v>
      </c>
      <c r="AA384" t="str">
        <f>U384-X384-Y384</f>
        <v>#REF!</v>
      </c>
      <c r="AB384" t="str">
        <f>V384-Z384</f>
        <v>#REF!</v>
      </c>
      <c r="AC384" t="str">
        <f>AA384*0.01</f>
        <v>#REF!</v>
      </c>
      <c r="AD384" t="str">
        <f>AA384-P384-AC384-Q384</f>
        <v>#REF!</v>
      </c>
      <c r="AE384" t="str">
        <f>AB384-P384-Q384-AC384</f>
        <v>#REF!</v>
      </c>
      <c r="AF384" t="str">
        <f>AD384/U384</f>
        <v>#REF!</v>
      </c>
      <c r="AG384" t="str">
        <f>AE384/V384</f>
        <v>#REF!</v>
      </c>
    </row>
    <row r="385">
      <c r="G385" t="str">
        <v>A</v>
      </c>
      <c r="J385" t="str">
        <f>IF(K385&gt;0,K385*0.0625,IF(L385&gt;0,L385*2.204623,))</f>
        <v>#REF!</v>
      </c>
      <c r="K385" t="str">
        <f>IF(L385&gt;0,L385*35.273962,IF(J385&gt;0,J385*16,))</f>
        <v>#REF!</v>
      </c>
      <c r="L385" t="str">
        <f>IF(J385&gt;0,J385*0.453592,IF(K385&gt;0,K385*0.02835,))</f>
        <v>#REF!</v>
      </c>
      <c r="O385">
        <f>I385+N385+M385</f>
        <v>0</v>
      </c>
      <c r="P385">
        <f>O385*C$3</f>
        <v>0</v>
      </c>
      <c r="Q385" t="str">
        <f>ROUNDUP(HLOOKUP(IF(CEILING(L385,0.5)&lt;1,1,CEILING(L385,0.5)),'배송비 조회'!A$32:AY$36,2,0),-2)</f>
        <v>#REF!</v>
      </c>
      <c r="R385">
        <v>0</v>
      </c>
      <c r="S385" t="str">
        <f>ROUND((P385+Q385)*0.6,-2)</f>
        <v>#REF!</v>
      </c>
      <c r="T385" t="str">
        <f>ROUND((P385+Q385)*0.7,-2)</f>
        <v>#REF!</v>
      </c>
      <c r="U385" t="str">
        <f>ROUND(SUM(P385+Q385+R385+S385), -2)</f>
        <v>#REF!</v>
      </c>
      <c r="V385" t="str">
        <f>ROUND(P385+Q385+R385+T385, -2)</f>
        <v>#REF!</v>
      </c>
      <c r="W385">
        <v>0</v>
      </c>
      <c r="X385" t="str">
        <f>U385*0.038</f>
        <v>#REF!</v>
      </c>
      <c r="Y385" t="str">
        <f>U385*0.02</f>
        <v>#REF!</v>
      </c>
      <c r="Z385" t="str">
        <f>V385*0.1</f>
        <v>#REF!</v>
      </c>
      <c r="AA385" t="str">
        <f>U385-X385-Y385</f>
        <v>#REF!</v>
      </c>
      <c r="AB385" t="str">
        <f>V385-Z385</f>
        <v>#REF!</v>
      </c>
      <c r="AC385" t="str">
        <f>AA385*0.01</f>
        <v>#REF!</v>
      </c>
      <c r="AD385" t="str">
        <f>AA385-P385-AC385-Q385</f>
        <v>#REF!</v>
      </c>
      <c r="AE385" t="str">
        <f>AB385-P385-Q385-AC385</f>
        <v>#REF!</v>
      </c>
      <c r="AF385" t="str">
        <f>AD385/U385</f>
        <v>#REF!</v>
      </c>
      <c r="AG385" t="str">
        <f>AE385/V385</f>
        <v>#REF!</v>
      </c>
    </row>
    <row r="386">
      <c r="G386" t="str">
        <v>A</v>
      </c>
      <c r="J386" t="str">
        <f>IF(K386&gt;0,K386*0.0625,IF(L386&gt;0,L386*2.204623,))</f>
        <v>#REF!</v>
      </c>
      <c r="K386" t="str">
        <f>IF(L386&gt;0,L386*35.273962,IF(J386&gt;0,J386*16,))</f>
        <v>#REF!</v>
      </c>
      <c r="L386" t="str">
        <f>IF(J386&gt;0,J386*0.453592,IF(K386&gt;0,K386*0.02835,))</f>
        <v>#REF!</v>
      </c>
      <c r="O386">
        <f>I386+N386+M386</f>
        <v>0</v>
      </c>
      <c r="P386">
        <f>O386*C$3</f>
        <v>0</v>
      </c>
      <c r="Q386" t="str">
        <f>ROUNDUP(HLOOKUP(IF(CEILING(L386,0.5)&lt;1,1,CEILING(L386,0.5)),'배송비 조회'!A$32:AY$36,2,0),-2)</f>
        <v>#REF!</v>
      </c>
      <c r="R386">
        <v>0</v>
      </c>
      <c r="S386" t="str">
        <f>ROUND((P386+Q386)*0.6,-2)</f>
        <v>#REF!</v>
      </c>
      <c r="T386" t="str">
        <f>ROUND((P386+Q386)*0.7,-2)</f>
        <v>#REF!</v>
      </c>
      <c r="U386" t="str">
        <f>ROUND(SUM(P386+Q386+R386+S386), -2)</f>
        <v>#REF!</v>
      </c>
      <c r="V386" t="str">
        <f>ROUND(P386+Q386+R386+T386, -2)</f>
        <v>#REF!</v>
      </c>
      <c r="W386">
        <v>0</v>
      </c>
      <c r="X386" t="str">
        <f>U386*0.038</f>
        <v>#REF!</v>
      </c>
      <c r="Y386" t="str">
        <f>U386*0.02</f>
        <v>#REF!</v>
      </c>
      <c r="Z386" t="str">
        <f>V386*0.1</f>
        <v>#REF!</v>
      </c>
      <c r="AA386" t="str">
        <f>U386-X386-Y386</f>
        <v>#REF!</v>
      </c>
      <c r="AB386" t="str">
        <f>V386-Z386</f>
        <v>#REF!</v>
      </c>
      <c r="AC386" t="str">
        <f>AA386*0.01</f>
        <v>#REF!</v>
      </c>
      <c r="AD386" t="str">
        <f>AA386-P386-AC386-Q386</f>
        <v>#REF!</v>
      </c>
      <c r="AE386" t="str">
        <f>AB386-P386-Q386-AC386</f>
        <v>#REF!</v>
      </c>
      <c r="AF386" t="str">
        <f>AD386/U386</f>
        <v>#REF!</v>
      </c>
      <c r="AG386" t="str">
        <f>AE386/V386</f>
        <v>#REF!</v>
      </c>
    </row>
    <row r="387">
      <c r="G387" t="str">
        <v>A</v>
      </c>
      <c r="J387" t="str">
        <f>IF(K387&gt;0,K387*0.0625,IF(L387&gt;0,L387*2.204623,))</f>
        <v>#REF!</v>
      </c>
      <c r="K387" t="str">
        <f>IF(L387&gt;0,L387*35.273962,IF(J387&gt;0,J387*16,))</f>
        <v>#REF!</v>
      </c>
      <c r="L387" t="str">
        <f>IF(J387&gt;0,J387*0.453592,IF(K387&gt;0,K387*0.02835,))</f>
        <v>#REF!</v>
      </c>
      <c r="O387">
        <f>I387+N387+M387</f>
        <v>0</v>
      </c>
      <c r="P387">
        <f>O387*C$3</f>
        <v>0</v>
      </c>
      <c r="Q387" t="str">
        <f>ROUNDUP(HLOOKUP(IF(CEILING(L387,0.5)&lt;1,1,CEILING(L387,0.5)),'배송비 조회'!A$32:AY$36,2,0),-2)</f>
        <v>#REF!</v>
      </c>
      <c r="R387">
        <v>0</v>
      </c>
      <c r="S387" t="str">
        <f>ROUND((P387+Q387)*0.6,-2)</f>
        <v>#REF!</v>
      </c>
      <c r="T387" t="str">
        <f>ROUND((P387+Q387)*0.7,-2)</f>
        <v>#REF!</v>
      </c>
      <c r="U387" t="str">
        <f>ROUND(SUM(P387+Q387+R387+S387), -2)</f>
        <v>#REF!</v>
      </c>
      <c r="V387" t="str">
        <f>ROUND(P387+Q387+R387+T387, -2)</f>
        <v>#REF!</v>
      </c>
      <c r="W387">
        <v>0</v>
      </c>
      <c r="X387" t="str">
        <f>U387*0.038</f>
        <v>#REF!</v>
      </c>
      <c r="Y387" t="str">
        <f>U387*0.02</f>
        <v>#REF!</v>
      </c>
      <c r="Z387" t="str">
        <f>V387*0.1</f>
        <v>#REF!</v>
      </c>
      <c r="AA387" t="str">
        <f>U387-X387-Y387</f>
        <v>#REF!</v>
      </c>
      <c r="AB387" t="str">
        <f>V387-Z387</f>
        <v>#REF!</v>
      </c>
      <c r="AC387" t="str">
        <f>AA387*0.01</f>
        <v>#REF!</v>
      </c>
      <c r="AD387" t="str">
        <f>AA387-P387-AC387-Q387</f>
        <v>#REF!</v>
      </c>
      <c r="AE387" t="str">
        <f>AB387-P387-Q387-AC387</f>
        <v>#REF!</v>
      </c>
      <c r="AF387" t="str">
        <f>AD387/U387</f>
        <v>#REF!</v>
      </c>
      <c r="AG387" t="str">
        <f>AE387/V387</f>
        <v>#REF!</v>
      </c>
    </row>
    <row r="388">
      <c r="G388" t="str">
        <v>A</v>
      </c>
      <c r="J388" t="str">
        <f>IF(K388&gt;0,K388*0.0625,IF(L388&gt;0,L388*2.204623,))</f>
        <v>#REF!</v>
      </c>
      <c r="K388" t="str">
        <f>IF(L388&gt;0,L388*35.273962,IF(J388&gt;0,J388*16,))</f>
        <v>#REF!</v>
      </c>
      <c r="L388" t="str">
        <f>IF(J388&gt;0,J388*0.453592,IF(K388&gt;0,K388*0.02835,))</f>
        <v>#REF!</v>
      </c>
      <c r="O388">
        <f>I388+N388+M388</f>
        <v>0</v>
      </c>
      <c r="P388">
        <f>O388*C$3</f>
        <v>0</v>
      </c>
      <c r="Q388" t="str">
        <f>ROUNDUP(HLOOKUP(IF(CEILING(L388,0.5)&lt;1,1,CEILING(L388,0.5)),'배송비 조회'!A$32:AY$36,2,0),-2)</f>
        <v>#REF!</v>
      </c>
      <c r="R388">
        <v>0</v>
      </c>
      <c r="S388" t="str">
        <f>ROUND((P388+Q388)*0.6,-2)</f>
        <v>#REF!</v>
      </c>
      <c r="T388" t="str">
        <f>ROUND((P388+Q388)*0.7,-2)</f>
        <v>#REF!</v>
      </c>
      <c r="U388" t="str">
        <f>ROUND(SUM(P388+Q388+R388+S388), -2)</f>
        <v>#REF!</v>
      </c>
      <c r="V388" t="str">
        <f>ROUND(P388+Q388+R388+T388, -2)</f>
        <v>#REF!</v>
      </c>
      <c r="W388">
        <v>0</v>
      </c>
      <c r="X388" t="str">
        <f>U388*0.038</f>
        <v>#REF!</v>
      </c>
      <c r="Y388" t="str">
        <f>U388*0.02</f>
        <v>#REF!</v>
      </c>
      <c r="Z388" t="str">
        <f>V388*0.1</f>
        <v>#REF!</v>
      </c>
      <c r="AA388" t="str">
        <f>U388-X388-Y388</f>
        <v>#REF!</v>
      </c>
      <c r="AB388" t="str">
        <f>V388-Z388</f>
        <v>#REF!</v>
      </c>
      <c r="AC388" t="str">
        <f>AA388*0.01</f>
        <v>#REF!</v>
      </c>
      <c r="AD388" t="str">
        <f>AA388-P388-AC388-Q388</f>
        <v>#REF!</v>
      </c>
      <c r="AE388" t="str">
        <f>AB388-P388-Q388-AC388</f>
        <v>#REF!</v>
      </c>
      <c r="AF388" t="str">
        <f>AD388/U388</f>
        <v>#REF!</v>
      </c>
      <c r="AG388" t="str">
        <f>AE388/V388</f>
        <v>#REF!</v>
      </c>
    </row>
    <row r="389">
      <c r="G389" t="str">
        <v>A</v>
      </c>
      <c r="J389" t="str">
        <f>IF(K389&gt;0,K389*0.0625,IF(L389&gt;0,L389*2.204623,))</f>
        <v>#REF!</v>
      </c>
      <c r="K389" t="str">
        <f>IF(L389&gt;0,L389*35.273962,IF(J389&gt;0,J389*16,))</f>
        <v>#REF!</v>
      </c>
      <c r="L389" t="str">
        <f>IF(J389&gt;0,J389*0.453592,IF(K389&gt;0,K389*0.02835,))</f>
        <v>#REF!</v>
      </c>
      <c r="O389">
        <f>I389+N389+M389</f>
        <v>0</v>
      </c>
      <c r="P389">
        <f>O389*C$3</f>
        <v>0</v>
      </c>
      <c r="Q389" t="str">
        <f>ROUNDUP(HLOOKUP(IF(CEILING(L389,0.5)&lt;1,1,CEILING(L389,0.5)),'배송비 조회'!A$32:AY$36,2,0),-2)</f>
        <v>#REF!</v>
      </c>
      <c r="R389">
        <v>0</v>
      </c>
      <c r="S389" t="str">
        <f>ROUND((P389+Q389)*0.6,-2)</f>
        <v>#REF!</v>
      </c>
      <c r="T389" t="str">
        <f>ROUND((P389+Q389)*0.7,-2)</f>
        <v>#REF!</v>
      </c>
      <c r="U389" t="str">
        <f>ROUND(SUM(P389+Q389+R389+S389), -2)</f>
        <v>#REF!</v>
      </c>
      <c r="V389" t="str">
        <f>ROUND(P389+Q389+R389+T389, -2)</f>
        <v>#REF!</v>
      </c>
      <c r="W389">
        <v>0</v>
      </c>
      <c r="X389" t="str">
        <f>U389*0.038</f>
        <v>#REF!</v>
      </c>
      <c r="Y389" t="str">
        <f>U389*0.02</f>
        <v>#REF!</v>
      </c>
      <c r="Z389" t="str">
        <f>V389*0.1</f>
        <v>#REF!</v>
      </c>
      <c r="AA389" t="str">
        <f>U389-X389-Y389</f>
        <v>#REF!</v>
      </c>
      <c r="AB389" t="str">
        <f>V389-Z389</f>
        <v>#REF!</v>
      </c>
      <c r="AC389" t="str">
        <f>AA389*0.01</f>
        <v>#REF!</v>
      </c>
      <c r="AD389" t="str">
        <f>AA389-P389-AC389-Q389</f>
        <v>#REF!</v>
      </c>
      <c r="AE389" t="str">
        <f>AB389-P389-Q389-AC389</f>
        <v>#REF!</v>
      </c>
      <c r="AF389" t="str">
        <f>AD389/U389</f>
        <v>#REF!</v>
      </c>
      <c r="AG389" t="str">
        <f>AE389/V389</f>
        <v>#REF!</v>
      </c>
    </row>
    <row r="390">
      <c r="G390" t="str">
        <v>A</v>
      </c>
      <c r="J390" t="str">
        <f>IF(K390&gt;0,K390*0.0625,IF(L390&gt;0,L390*2.204623,))</f>
        <v>#REF!</v>
      </c>
      <c r="K390" t="str">
        <f>IF(L390&gt;0,L390*35.273962,IF(J390&gt;0,J390*16,))</f>
        <v>#REF!</v>
      </c>
      <c r="L390" t="str">
        <f>IF(J390&gt;0,J390*0.453592,IF(K390&gt;0,K390*0.02835,))</f>
        <v>#REF!</v>
      </c>
      <c r="O390">
        <f>I390+N390+M390</f>
        <v>0</v>
      </c>
      <c r="P390">
        <f>O390*C$3</f>
        <v>0</v>
      </c>
      <c r="Q390" t="str">
        <f>ROUNDUP(HLOOKUP(IF(CEILING(L390,0.5)&lt;1,1,CEILING(L390,0.5)),'배송비 조회'!A$32:AY$36,2,0),-2)</f>
        <v>#REF!</v>
      </c>
      <c r="R390">
        <v>0</v>
      </c>
      <c r="S390" t="str">
        <f>ROUND((P390+Q390)*0.6,-2)</f>
        <v>#REF!</v>
      </c>
      <c r="T390" t="str">
        <f>ROUND((P390+Q390)*0.7,-2)</f>
        <v>#REF!</v>
      </c>
      <c r="U390" t="str">
        <f>ROUND(SUM(P390+Q390+R390+S390), -2)</f>
        <v>#REF!</v>
      </c>
      <c r="V390" t="str">
        <f>ROUND(P390+Q390+R390+T390, -2)</f>
        <v>#REF!</v>
      </c>
      <c r="W390">
        <v>0</v>
      </c>
      <c r="X390" t="str">
        <f>U390*0.038</f>
        <v>#REF!</v>
      </c>
      <c r="Y390" t="str">
        <f>U390*0.02</f>
        <v>#REF!</v>
      </c>
      <c r="Z390" t="str">
        <f>V390*0.1</f>
        <v>#REF!</v>
      </c>
      <c r="AA390" t="str">
        <f>U390-X390-Y390</f>
        <v>#REF!</v>
      </c>
      <c r="AB390" t="str">
        <f>V390-Z390</f>
        <v>#REF!</v>
      </c>
      <c r="AC390" t="str">
        <f>AA390*0.01</f>
        <v>#REF!</v>
      </c>
      <c r="AD390" t="str">
        <f>AA390-P390-AC390-Q390</f>
        <v>#REF!</v>
      </c>
      <c r="AE390" t="str">
        <f>AB390-P390-Q390-AC390</f>
        <v>#REF!</v>
      </c>
      <c r="AF390" t="str">
        <f>AD390/U390</f>
        <v>#REF!</v>
      </c>
      <c r="AG390" t="str">
        <f>AE390/V390</f>
        <v>#REF!</v>
      </c>
    </row>
    <row r="391">
      <c r="G391" t="str">
        <v>A</v>
      </c>
      <c r="J391" t="str">
        <f>IF(K391&gt;0,K391*0.0625,IF(L391&gt;0,L391*2.204623,))</f>
        <v>#REF!</v>
      </c>
      <c r="K391" t="str">
        <f>IF(L391&gt;0,L391*35.273962,IF(J391&gt;0,J391*16,))</f>
        <v>#REF!</v>
      </c>
      <c r="L391" t="str">
        <f>IF(J391&gt;0,J391*0.453592,IF(K391&gt;0,K391*0.02835,))</f>
        <v>#REF!</v>
      </c>
      <c r="O391">
        <f>I391+N391+M391</f>
        <v>0</v>
      </c>
      <c r="P391">
        <f>O391*C$3</f>
        <v>0</v>
      </c>
      <c r="Q391" t="str">
        <f>ROUNDUP(HLOOKUP(IF(CEILING(L391,0.5)&lt;1,1,CEILING(L391,0.5)),'배송비 조회'!A$32:AY$36,2,0),-2)</f>
        <v>#REF!</v>
      </c>
      <c r="R391">
        <v>0</v>
      </c>
      <c r="S391" t="str">
        <f>ROUND((P391+Q391)*0.6,-2)</f>
        <v>#REF!</v>
      </c>
      <c r="T391" t="str">
        <f>ROUND((P391+Q391)*0.7,-2)</f>
        <v>#REF!</v>
      </c>
      <c r="U391" t="str">
        <f>ROUND(SUM(P391+Q391+R391+S391), -2)</f>
        <v>#REF!</v>
      </c>
      <c r="V391" t="str">
        <f>ROUND(P391+Q391+R391+T391, -2)</f>
        <v>#REF!</v>
      </c>
      <c r="W391">
        <v>0</v>
      </c>
      <c r="X391" t="str">
        <f>U391*0.038</f>
        <v>#REF!</v>
      </c>
      <c r="Y391" t="str">
        <f>U391*0.02</f>
        <v>#REF!</v>
      </c>
      <c r="Z391" t="str">
        <f>V391*0.1</f>
        <v>#REF!</v>
      </c>
      <c r="AA391" t="str">
        <f>U391-X391-Y391</f>
        <v>#REF!</v>
      </c>
      <c r="AB391" t="str">
        <f>V391-Z391</f>
        <v>#REF!</v>
      </c>
      <c r="AC391" t="str">
        <f>AA391*0.01</f>
        <v>#REF!</v>
      </c>
      <c r="AD391" t="str">
        <f>AA391-P391-AC391-Q391</f>
        <v>#REF!</v>
      </c>
      <c r="AE391" t="str">
        <f>AB391-P391-Q391-AC391</f>
        <v>#REF!</v>
      </c>
      <c r="AF391" t="str">
        <f>AD391/U391</f>
        <v>#REF!</v>
      </c>
      <c r="AG391" t="str">
        <f>AE391/V391</f>
        <v>#REF!</v>
      </c>
    </row>
    <row r="392">
      <c r="G392" t="str">
        <v>A</v>
      </c>
      <c r="J392" t="str">
        <f>IF(K392&gt;0,K392*0.0625,IF(L392&gt;0,L392*2.204623,))</f>
        <v>#REF!</v>
      </c>
      <c r="K392" t="str">
        <f>IF(L392&gt;0,L392*35.273962,IF(J392&gt;0,J392*16,))</f>
        <v>#REF!</v>
      </c>
      <c r="L392" t="str">
        <f>IF(J392&gt;0,J392*0.453592,IF(K392&gt;0,K392*0.02835,))</f>
        <v>#REF!</v>
      </c>
      <c r="O392">
        <f>I392+N392+M392</f>
        <v>0</v>
      </c>
      <c r="P392">
        <f>O392*C$3</f>
        <v>0</v>
      </c>
      <c r="Q392" t="str">
        <f>ROUNDUP(HLOOKUP(IF(CEILING(L392,0.5)&lt;1,1,CEILING(L392,0.5)),'배송비 조회'!A$32:AY$36,2,0),-2)</f>
        <v>#REF!</v>
      </c>
      <c r="R392">
        <v>0</v>
      </c>
      <c r="S392" t="str">
        <f>ROUND((P392+Q392)*0.6,-2)</f>
        <v>#REF!</v>
      </c>
      <c r="T392" t="str">
        <f>ROUND((P392+Q392)*0.7,-2)</f>
        <v>#REF!</v>
      </c>
      <c r="U392" t="str">
        <f>ROUND(SUM(P392+Q392+R392+S392), -2)</f>
        <v>#REF!</v>
      </c>
      <c r="V392" t="str">
        <f>ROUND(P392+Q392+R392+T392, -2)</f>
        <v>#REF!</v>
      </c>
      <c r="W392">
        <v>0</v>
      </c>
      <c r="X392" t="str">
        <f>U392*0.038</f>
        <v>#REF!</v>
      </c>
      <c r="Y392" t="str">
        <f>U392*0.02</f>
        <v>#REF!</v>
      </c>
      <c r="Z392" t="str">
        <f>V392*0.1</f>
        <v>#REF!</v>
      </c>
      <c r="AA392" t="str">
        <f>U392-X392-Y392</f>
        <v>#REF!</v>
      </c>
      <c r="AB392" t="str">
        <f>V392-Z392</f>
        <v>#REF!</v>
      </c>
      <c r="AC392" t="str">
        <f>AA392*0.01</f>
        <v>#REF!</v>
      </c>
      <c r="AD392" t="str">
        <f>AA392-P392-AC392-Q392</f>
        <v>#REF!</v>
      </c>
      <c r="AE392" t="str">
        <f>AB392-P392-Q392-AC392</f>
        <v>#REF!</v>
      </c>
      <c r="AF392" t="str">
        <f>AD392/U392</f>
        <v>#REF!</v>
      </c>
      <c r="AG392" t="str">
        <f>AE392/V392</f>
        <v>#REF!</v>
      </c>
    </row>
    <row r="393">
      <c r="G393" t="str">
        <v>A</v>
      </c>
      <c r="J393" t="str">
        <f>IF(K393&gt;0,K393*0.0625,IF(L393&gt;0,L393*2.204623,))</f>
        <v>#REF!</v>
      </c>
      <c r="K393" t="str">
        <f>IF(L393&gt;0,L393*35.273962,IF(J393&gt;0,J393*16,))</f>
        <v>#REF!</v>
      </c>
      <c r="L393" t="str">
        <f>IF(J393&gt;0,J393*0.453592,IF(K393&gt;0,K393*0.02835,))</f>
        <v>#REF!</v>
      </c>
      <c r="O393">
        <f>I393+N393+M393</f>
        <v>0</v>
      </c>
      <c r="P393">
        <f>O393*C$3</f>
        <v>0</v>
      </c>
      <c r="Q393" t="str">
        <f>ROUNDUP(HLOOKUP(IF(CEILING(L393,0.5)&lt;1,1,CEILING(L393,0.5)),'배송비 조회'!A$32:AY$36,2,0),-2)</f>
        <v>#REF!</v>
      </c>
      <c r="R393">
        <v>0</v>
      </c>
      <c r="S393" t="str">
        <f>ROUND((P393+Q393)*0.6,-2)</f>
        <v>#REF!</v>
      </c>
      <c r="T393" t="str">
        <f>ROUND((P393+Q393)*0.7,-2)</f>
        <v>#REF!</v>
      </c>
      <c r="U393" t="str">
        <f>ROUND(SUM(P393+Q393+R393+S393), -2)</f>
        <v>#REF!</v>
      </c>
      <c r="V393" t="str">
        <f>ROUND(P393+Q393+R393+T393, -2)</f>
        <v>#REF!</v>
      </c>
      <c r="W393">
        <v>0</v>
      </c>
      <c r="X393" t="str">
        <f>U393*0.038</f>
        <v>#REF!</v>
      </c>
      <c r="Y393" t="str">
        <f>U393*0.02</f>
        <v>#REF!</v>
      </c>
      <c r="Z393" t="str">
        <f>V393*0.1</f>
        <v>#REF!</v>
      </c>
      <c r="AA393" t="str">
        <f>U393-X393-Y393</f>
        <v>#REF!</v>
      </c>
      <c r="AB393" t="str">
        <f>V393-Z393</f>
        <v>#REF!</v>
      </c>
      <c r="AC393" t="str">
        <f>AA393*0.01</f>
        <v>#REF!</v>
      </c>
      <c r="AD393" t="str">
        <f>AA393-P393-AC393-Q393</f>
        <v>#REF!</v>
      </c>
      <c r="AE393" t="str">
        <f>AB393-P393-Q393-AC393</f>
        <v>#REF!</v>
      </c>
      <c r="AF393" t="str">
        <f>AD393/U393</f>
        <v>#REF!</v>
      </c>
      <c r="AG393" t="str">
        <f>AE393/V393</f>
        <v>#REF!</v>
      </c>
    </row>
    <row r="394">
      <c r="G394" t="str">
        <v>A</v>
      </c>
      <c r="J394" t="str">
        <f>IF(K394&gt;0,K394*0.0625,IF(L394&gt;0,L394*2.204623,))</f>
        <v>#REF!</v>
      </c>
      <c r="K394" t="str">
        <f>IF(L394&gt;0,L394*35.273962,IF(J394&gt;0,J394*16,))</f>
        <v>#REF!</v>
      </c>
      <c r="L394" t="str">
        <f>IF(J394&gt;0,J394*0.453592,IF(K394&gt;0,K394*0.02835,))</f>
        <v>#REF!</v>
      </c>
      <c r="O394">
        <f>I394+N394+M394</f>
        <v>0</v>
      </c>
      <c r="P394">
        <f>O394*C$3</f>
        <v>0</v>
      </c>
      <c r="Q394" t="str">
        <f>ROUNDUP(HLOOKUP(IF(CEILING(L394,0.5)&lt;1,1,CEILING(L394,0.5)),'배송비 조회'!A$32:AY$36,2,0),-2)</f>
        <v>#REF!</v>
      </c>
      <c r="R394">
        <v>0</v>
      </c>
      <c r="S394" t="str">
        <f>ROUND((P394+Q394)*0.6,-2)</f>
        <v>#REF!</v>
      </c>
      <c r="T394" t="str">
        <f>ROUND((P394+Q394)*0.7,-2)</f>
        <v>#REF!</v>
      </c>
      <c r="U394" t="str">
        <f>ROUND(SUM(P394+Q394+R394+S394), -2)</f>
        <v>#REF!</v>
      </c>
      <c r="V394" t="str">
        <f>ROUND(P394+Q394+R394+T394, -2)</f>
        <v>#REF!</v>
      </c>
      <c r="W394">
        <v>0</v>
      </c>
      <c r="X394" t="str">
        <f>U394*0.038</f>
        <v>#REF!</v>
      </c>
      <c r="Y394" t="str">
        <f>U394*0.02</f>
        <v>#REF!</v>
      </c>
      <c r="Z394" t="str">
        <f>V394*0.1</f>
        <v>#REF!</v>
      </c>
      <c r="AA394" t="str">
        <f>U394-X394-Y394</f>
        <v>#REF!</v>
      </c>
      <c r="AB394" t="str">
        <f>V394-Z394</f>
        <v>#REF!</v>
      </c>
      <c r="AC394" t="str">
        <f>AA394*0.01</f>
        <v>#REF!</v>
      </c>
      <c r="AD394" t="str">
        <f>AA394-P394-AC394-Q394</f>
        <v>#REF!</v>
      </c>
      <c r="AE394" t="str">
        <f>AB394-P394-Q394-AC394</f>
        <v>#REF!</v>
      </c>
      <c r="AF394" t="str">
        <f>AD394/U394</f>
        <v>#REF!</v>
      </c>
      <c r="AG394" t="str">
        <f>AE394/V394</f>
        <v>#REF!</v>
      </c>
    </row>
    <row r="395">
      <c r="G395" t="str">
        <v>A</v>
      </c>
      <c r="J395" t="str">
        <f>IF(K395&gt;0,K395*0.0625,IF(L395&gt;0,L395*2.204623,))</f>
        <v>#REF!</v>
      </c>
      <c r="K395" t="str">
        <f>IF(L395&gt;0,L395*35.273962,IF(J395&gt;0,J395*16,))</f>
        <v>#REF!</v>
      </c>
      <c r="L395" t="str">
        <f>IF(J395&gt;0,J395*0.453592,IF(K395&gt;0,K395*0.02835,))</f>
        <v>#REF!</v>
      </c>
      <c r="O395">
        <f>I395+N395+M395</f>
        <v>0</v>
      </c>
      <c r="P395">
        <f>O395*C$3</f>
        <v>0</v>
      </c>
      <c r="Q395" t="str">
        <f>ROUNDUP(HLOOKUP(IF(CEILING(L395,0.5)&lt;1,1,CEILING(L395,0.5)),'배송비 조회'!A$32:AY$36,2,0),-2)</f>
        <v>#REF!</v>
      </c>
      <c r="R395">
        <v>0</v>
      </c>
      <c r="S395" t="str">
        <f>ROUND((P395+Q395)*0.6,-2)</f>
        <v>#REF!</v>
      </c>
      <c r="T395" t="str">
        <f>ROUND((P395+Q395)*0.7,-2)</f>
        <v>#REF!</v>
      </c>
      <c r="U395" t="str">
        <f>ROUND(SUM(P395+Q395+R395+S395), -2)</f>
        <v>#REF!</v>
      </c>
      <c r="V395" t="str">
        <f>ROUND(P395+Q395+R395+T395, -2)</f>
        <v>#REF!</v>
      </c>
      <c r="W395">
        <v>0</v>
      </c>
      <c r="X395" t="str">
        <f>U395*0.038</f>
        <v>#REF!</v>
      </c>
      <c r="Y395" t="str">
        <f>U395*0.02</f>
        <v>#REF!</v>
      </c>
      <c r="Z395" t="str">
        <f>V395*0.1</f>
        <v>#REF!</v>
      </c>
      <c r="AA395" t="str">
        <f>U395-X395-Y395</f>
        <v>#REF!</v>
      </c>
      <c r="AB395" t="str">
        <f>V395-Z395</f>
        <v>#REF!</v>
      </c>
      <c r="AC395" t="str">
        <f>AA395*0.01</f>
        <v>#REF!</v>
      </c>
      <c r="AD395" t="str">
        <f>AA395-P395-AC395-Q395</f>
        <v>#REF!</v>
      </c>
      <c r="AE395" t="str">
        <f>AB395-P395-Q395-AC395</f>
        <v>#REF!</v>
      </c>
      <c r="AF395" t="str">
        <f>AD395/U395</f>
        <v>#REF!</v>
      </c>
      <c r="AG395" t="str">
        <f>AE395/V395</f>
        <v>#REF!</v>
      </c>
    </row>
    <row r="396">
      <c r="G396" t="str">
        <v>A</v>
      </c>
      <c r="J396" t="str">
        <f>IF(K396&gt;0,K396*0.0625,IF(L396&gt;0,L396*2.204623,))</f>
        <v>#REF!</v>
      </c>
      <c r="K396" t="str">
        <f>IF(L396&gt;0,L396*35.273962,IF(J396&gt;0,J396*16,))</f>
        <v>#REF!</v>
      </c>
      <c r="L396" t="str">
        <f>IF(J396&gt;0,J396*0.453592,IF(K396&gt;0,K396*0.02835,))</f>
        <v>#REF!</v>
      </c>
      <c r="O396">
        <f>I396+N396+M396</f>
        <v>0</v>
      </c>
      <c r="P396">
        <f>O396*C$3</f>
        <v>0</v>
      </c>
      <c r="Q396" t="str">
        <f>ROUNDUP(HLOOKUP(IF(CEILING(L396,0.5)&lt;1,1,CEILING(L396,0.5)),'배송비 조회'!A$32:AY$36,2,0),-2)</f>
        <v>#REF!</v>
      </c>
      <c r="R396">
        <v>0</v>
      </c>
      <c r="S396" t="str">
        <f>ROUND((P396+Q396)*0.6,-2)</f>
        <v>#REF!</v>
      </c>
      <c r="T396" t="str">
        <f>ROUND((P396+Q396)*0.7,-2)</f>
        <v>#REF!</v>
      </c>
      <c r="U396" t="str">
        <f>ROUND(SUM(P396+Q396+R396+S396), -2)</f>
        <v>#REF!</v>
      </c>
      <c r="V396" t="str">
        <f>ROUND(P396+Q396+R396+T396, -2)</f>
        <v>#REF!</v>
      </c>
      <c r="W396">
        <v>0</v>
      </c>
      <c r="X396" t="str">
        <f>U396*0.038</f>
        <v>#REF!</v>
      </c>
      <c r="Y396" t="str">
        <f>U396*0.02</f>
        <v>#REF!</v>
      </c>
      <c r="Z396" t="str">
        <f>V396*0.1</f>
        <v>#REF!</v>
      </c>
      <c r="AA396" t="str">
        <f>U396-X396-Y396</f>
        <v>#REF!</v>
      </c>
      <c r="AB396" t="str">
        <f>V396-Z396</f>
        <v>#REF!</v>
      </c>
      <c r="AC396" t="str">
        <f>AA396*0.01</f>
        <v>#REF!</v>
      </c>
      <c r="AD396" t="str">
        <f>AA396-P396-AC396-Q396</f>
        <v>#REF!</v>
      </c>
      <c r="AE396" t="str">
        <f>AB396-P396-Q396-AC396</f>
        <v>#REF!</v>
      </c>
      <c r="AF396" t="str">
        <f>AD396/U396</f>
        <v>#REF!</v>
      </c>
      <c r="AG396" t="str">
        <f>AE396/V396</f>
        <v>#REF!</v>
      </c>
    </row>
    <row r="397">
      <c r="G397" t="str">
        <v>A</v>
      </c>
      <c r="J397" t="str">
        <f>IF(K397&gt;0,K397*0.0625,IF(L397&gt;0,L397*2.204623,))</f>
        <v>#REF!</v>
      </c>
      <c r="K397" t="str">
        <f>IF(L397&gt;0,L397*35.273962,IF(J397&gt;0,J397*16,))</f>
        <v>#REF!</v>
      </c>
      <c r="L397" t="str">
        <f>IF(J397&gt;0,J397*0.453592,IF(K397&gt;0,K397*0.02835,))</f>
        <v>#REF!</v>
      </c>
      <c r="O397">
        <f>I397+N397+M397</f>
        <v>0</v>
      </c>
      <c r="P397">
        <f>O397*C$3</f>
        <v>0</v>
      </c>
      <c r="Q397" t="str">
        <f>ROUNDUP(HLOOKUP(IF(CEILING(L397,0.5)&lt;1,1,CEILING(L397,0.5)),'배송비 조회'!A$32:AY$36,2,0),-2)</f>
        <v>#REF!</v>
      </c>
      <c r="R397">
        <v>0</v>
      </c>
      <c r="S397" t="str">
        <f>ROUND((P397+Q397)*0.6,-2)</f>
        <v>#REF!</v>
      </c>
      <c r="T397" t="str">
        <f>ROUND((P397+Q397)*0.7,-2)</f>
        <v>#REF!</v>
      </c>
      <c r="U397" t="str">
        <f>ROUND(SUM(P397+Q397+R397+S397), -2)</f>
        <v>#REF!</v>
      </c>
      <c r="V397" t="str">
        <f>ROUND(P397+Q397+R397+T397, -2)</f>
        <v>#REF!</v>
      </c>
      <c r="W397">
        <v>0</v>
      </c>
      <c r="X397" t="str">
        <f>U397*0.038</f>
        <v>#REF!</v>
      </c>
      <c r="Y397" t="str">
        <f>U397*0.02</f>
        <v>#REF!</v>
      </c>
      <c r="Z397" t="str">
        <f>V397*0.1</f>
        <v>#REF!</v>
      </c>
      <c r="AA397" t="str">
        <f>U397-X397-Y397</f>
        <v>#REF!</v>
      </c>
      <c r="AB397" t="str">
        <f>V397-Z397</f>
        <v>#REF!</v>
      </c>
      <c r="AC397" t="str">
        <f>AA397*0.01</f>
        <v>#REF!</v>
      </c>
      <c r="AD397" t="str">
        <f>AA397-P397-AC397-Q397</f>
        <v>#REF!</v>
      </c>
      <c r="AE397" t="str">
        <f>AB397-P397-Q397-AC397</f>
        <v>#REF!</v>
      </c>
      <c r="AF397" t="str">
        <f>AD397/U397</f>
        <v>#REF!</v>
      </c>
      <c r="AG397" t="str">
        <f>AE397/V397</f>
        <v>#REF!</v>
      </c>
    </row>
    <row r="398">
      <c r="G398" t="str">
        <v>A</v>
      </c>
      <c r="J398" t="str">
        <f>IF(K398&gt;0,K398*0.0625,IF(L398&gt;0,L398*2.204623,))</f>
        <v>#REF!</v>
      </c>
      <c r="K398" t="str">
        <f>IF(L398&gt;0,L398*35.273962,IF(J398&gt;0,J398*16,))</f>
        <v>#REF!</v>
      </c>
      <c r="L398" t="str">
        <f>IF(J398&gt;0,J398*0.453592,IF(K398&gt;0,K398*0.02835,))</f>
        <v>#REF!</v>
      </c>
      <c r="O398">
        <f>I398+N398+M398</f>
        <v>0</v>
      </c>
      <c r="P398">
        <f>O398*C$3</f>
        <v>0</v>
      </c>
      <c r="Q398" t="str">
        <f>ROUNDUP(HLOOKUP(IF(CEILING(L398,0.5)&lt;1,1,CEILING(L398,0.5)),'배송비 조회'!A$32:AY$36,2,0),-2)</f>
        <v>#REF!</v>
      </c>
      <c r="R398">
        <v>0</v>
      </c>
      <c r="S398" t="str">
        <f>ROUND((P398+Q398)*0.6,-2)</f>
        <v>#REF!</v>
      </c>
      <c r="T398" t="str">
        <f>ROUND((P398+Q398)*0.7,-2)</f>
        <v>#REF!</v>
      </c>
      <c r="U398" t="str">
        <f>ROUND(SUM(P398+Q398+R398+S398), -2)</f>
        <v>#REF!</v>
      </c>
      <c r="V398" t="str">
        <f>ROUND(P398+Q398+R398+T398, -2)</f>
        <v>#REF!</v>
      </c>
      <c r="W398">
        <v>0</v>
      </c>
      <c r="X398" t="str">
        <f>U398*0.038</f>
        <v>#REF!</v>
      </c>
      <c r="Y398" t="str">
        <f>U398*0.02</f>
        <v>#REF!</v>
      </c>
      <c r="Z398" t="str">
        <f>V398*0.1</f>
        <v>#REF!</v>
      </c>
      <c r="AA398" t="str">
        <f>U398-X398-Y398</f>
        <v>#REF!</v>
      </c>
      <c r="AB398" t="str">
        <f>V398-Z398</f>
        <v>#REF!</v>
      </c>
      <c r="AC398" t="str">
        <f>AA398*0.01</f>
        <v>#REF!</v>
      </c>
      <c r="AD398" t="str">
        <f>AA398-P398-AC398-Q398</f>
        <v>#REF!</v>
      </c>
      <c r="AE398" t="str">
        <f>AB398-P398-Q398-AC398</f>
        <v>#REF!</v>
      </c>
      <c r="AF398" t="str">
        <f>AD398/U398</f>
        <v>#REF!</v>
      </c>
      <c r="AG398" t="str">
        <f>AE398/V398</f>
        <v>#REF!</v>
      </c>
    </row>
    <row r="399">
      <c r="G399" t="str">
        <v>A</v>
      </c>
      <c r="J399" t="str">
        <f>IF(K399&gt;0,K399*0.0625,IF(L399&gt;0,L399*2.204623,))</f>
        <v>#REF!</v>
      </c>
      <c r="K399" t="str">
        <f>IF(L399&gt;0,L399*35.273962,IF(J399&gt;0,J399*16,))</f>
        <v>#REF!</v>
      </c>
      <c r="L399" t="str">
        <f>IF(J399&gt;0,J399*0.453592,IF(K399&gt;0,K399*0.02835,))</f>
        <v>#REF!</v>
      </c>
      <c r="O399">
        <f>I399+N399+M399</f>
        <v>0</v>
      </c>
      <c r="P399">
        <f>O399*C$3</f>
        <v>0</v>
      </c>
      <c r="Q399" t="str">
        <f>ROUNDUP(HLOOKUP(IF(CEILING(L399,0.5)&lt;1,1,CEILING(L399,0.5)),'배송비 조회'!A$32:AY$36,2,0),-2)</f>
        <v>#REF!</v>
      </c>
      <c r="R399">
        <v>0</v>
      </c>
      <c r="S399" t="str">
        <f>ROUND((P399+Q399)*0.6,-2)</f>
        <v>#REF!</v>
      </c>
      <c r="T399" t="str">
        <f>ROUND((P399+Q399)*0.7,-2)</f>
        <v>#REF!</v>
      </c>
      <c r="U399" t="str">
        <f>ROUND(SUM(P399+Q399+R399+S399), -2)</f>
        <v>#REF!</v>
      </c>
      <c r="V399" t="str">
        <f>ROUND(P399+Q399+R399+T399, -2)</f>
        <v>#REF!</v>
      </c>
      <c r="W399">
        <v>0</v>
      </c>
      <c r="X399" t="str">
        <f>U399*0.038</f>
        <v>#REF!</v>
      </c>
      <c r="Y399" t="str">
        <f>U399*0.02</f>
        <v>#REF!</v>
      </c>
      <c r="Z399" t="str">
        <f>V399*0.1</f>
        <v>#REF!</v>
      </c>
      <c r="AA399" t="str">
        <f>U399-X399-Y399</f>
        <v>#REF!</v>
      </c>
      <c r="AB399" t="str">
        <f>V399-Z399</f>
        <v>#REF!</v>
      </c>
      <c r="AC399" t="str">
        <f>AA399*0.01</f>
        <v>#REF!</v>
      </c>
      <c r="AD399" t="str">
        <f>AA399-P399-AC399-Q399</f>
        <v>#REF!</v>
      </c>
      <c r="AE399" t="str">
        <f>AB399-P399-Q399-AC399</f>
        <v>#REF!</v>
      </c>
      <c r="AF399" t="str">
        <f>AD399/U399</f>
        <v>#REF!</v>
      </c>
      <c r="AG399" t="str">
        <f>AE399/V399</f>
        <v>#REF!</v>
      </c>
    </row>
    <row r="400">
      <c r="G400" t="str">
        <v>A</v>
      </c>
      <c r="J400" t="str">
        <f>IF(K400&gt;0,K400*0.0625,IF(L400&gt;0,L400*2.204623,))</f>
        <v>#REF!</v>
      </c>
      <c r="K400" t="str">
        <f>IF(L400&gt;0,L400*35.273962,IF(J400&gt;0,J400*16,))</f>
        <v>#REF!</v>
      </c>
      <c r="L400" t="str">
        <f>IF(J400&gt;0,J400*0.453592,IF(K400&gt;0,K400*0.02835,))</f>
        <v>#REF!</v>
      </c>
      <c r="O400">
        <f>I400+N400+M400</f>
        <v>0</v>
      </c>
      <c r="P400">
        <f>O400*C$3</f>
        <v>0</v>
      </c>
      <c r="Q400" t="str">
        <f>ROUNDUP(HLOOKUP(IF(CEILING(L400,0.5)&lt;1,1,CEILING(L400,0.5)),'배송비 조회'!A$32:AY$36,2,0),-2)</f>
        <v>#REF!</v>
      </c>
      <c r="R400">
        <v>0</v>
      </c>
      <c r="S400" t="str">
        <f>ROUND((P400+Q400)*0.6,-2)</f>
        <v>#REF!</v>
      </c>
      <c r="T400" t="str">
        <f>ROUND((P400+Q400)*0.7,-2)</f>
        <v>#REF!</v>
      </c>
      <c r="U400" t="str">
        <f>ROUND(SUM(P400+Q400+R400+S400), -2)</f>
        <v>#REF!</v>
      </c>
      <c r="V400" t="str">
        <f>ROUND(P400+Q400+R400+T400, -2)</f>
        <v>#REF!</v>
      </c>
      <c r="W400">
        <v>0</v>
      </c>
      <c r="X400" t="str">
        <f>U400*0.038</f>
        <v>#REF!</v>
      </c>
      <c r="Y400" t="str">
        <f>U400*0.02</f>
        <v>#REF!</v>
      </c>
      <c r="Z400" t="str">
        <f>V400*0.1</f>
        <v>#REF!</v>
      </c>
      <c r="AA400" t="str">
        <f>U400-X400-Y400</f>
        <v>#REF!</v>
      </c>
      <c r="AB400" t="str">
        <f>V400-Z400</f>
        <v>#REF!</v>
      </c>
      <c r="AC400" t="str">
        <f>AA400*0.01</f>
        <v>#REF!</v>
      </c>
      <c r="AD400" t="str">
        <f>AA400-P400-AC400-Q400</f>
        <v>#REF!</v>
      </c>
      <c r="AE400" t="str">
        <f>AB400-P400-Q400-AC400</f>
        <v>#REF!</v>
      </c>
      <c r="AF400" t="str">
        <f>AD400/U400</f>
        <v>#REF!</v>
      </c>
      <c r="AG400" t="str">
        <f>AE400/V400</f>
        <v>#REF!</v>
      </c>
    </row>
    <row r="401">
      <c r="G401" t="str">
        <v>A</v>
      </c>
      <c r="J401" t="str">
        <f>IF(K401&gt;0,K401*0.0625,IF(L401&gt;0,L401*2.204623,))</f>
        <v>#REF!</v>
      </c>
      <c r="K401" t="str">
        <f>IF(L401&gt;0,L401*35.273962,IF(J401&gt;0,J401*16,))</f>
        <v>#REF!</v>
      </c>
      <c r="L401" t="str">
        <f>IF(J401&gt;0,J401*0.453592,IF(K401&gt;0,K401*0.02835,))</f>
        <v>#REF!</v>
      </c>
      <c r="O401">
        <f>I401+N401+M401</f>
        <v>0</v>
      </c>
      <c r="P401">
        <f>O401*C$3</f>
        <v>0</v>
      </c>
      <c r="Q401" t="str">
        <f>ROUNDUP(HLOOKUP(IF(CEILING(L401,0.5)&lt;1,1,CEILING(L401,0.5)),'배송비 조회'!A$32:AY$36,2,0),-2)</f>
        <v>#REF!</v>
      </c>
      <c r="R401">
        <v>0</v>
      </c>
      <c r="S401" t="str">
        <f>ROUND((P401+Q401)*0.6,-2)</f>
        <v>#REF!</v>
      </c>
      <c r="T401" t="str">
        <f>ROUND((P401+Q401)*0.7,-2)</f>
        <v>#REF!</v>
      </c>
      <c r="U401" t="str">
        <f>ROUND(SUM(P401+Q401+R401+S401), -2)</f>
        <v>#REF!</v>
      </c>
      <c r="V401" t="str">
        <f>ROUND(P401+Q401+R401+T401, -2)</f>
        <v>#REF!</v>
      </c>
      <c r="W401">
        <v>0</v>
      </c>
      <c r="X401" t="str">
        <f>U401*0.038</f>
        <v>#REF!</v>
      </c>
      <c r="Y401" t="str">
        <f>U401*0.02</f>
        <v>#REF!</v>
      </c>
      <c r="Z401" t="str">
        <f>V401*0.1</f>
        <v>#REF!</v>
      </c>
      <c r="AA401" t="str">
        <f>U401-X401-Y401</f>
        <v>#REF!</v>
      </c>
      <c r="AB401" t="str">
        <f>V401-Z401</f>
        <v>#REF!</v>
      </c>
      <c r="AC401" t="str">
        <f>AA401*0.01</f>
        <v>#REF!</v>
      </c>
      <c r="AD401" t="str">
        <f>AA401-P401-AC401-Q401</f>
        <v>#REF!</v>
      </c>
      <c r="AE401" t="str">
        <f>AB401-P401-Q401-AC401</f>
        <v>#REF!</v>
      </c>
      <c r="AF401" t="str">
        <f>AD401/U401</f>
        <v>#REF!</v>
      </c>
      <c r="AG401" t="str">
        <f>AE401/V401</f>
        <v>#REF!</v>
      </c>
    </row>
    <row r="402">
      <c r="G402" t="str">
        <v>A</v>
      </c>
      <c r="J402" t="str">
        <f>IF(K402&gt;0,K402*0.0625,IF(L402&gt;0,L402*2.204623,))</f>
        <v>#REF!</v>
      </c>
      <c r="K402" t="str">
        <f>IF(L402&gt;0,L402*35.273962,IF(J402&gt;0,J402*16,))</f>
        <v>#REF!</v>
      </c>
      <c r="L402" t="str">
        <f>IF(J402&gt;0,J402*0.453592,IF(K402&gt;0,K402*0.02835,))</f>
        <v>#REF!</v>
      </c>
      <c r="O402">
        <f>I402+N402+M402</f>
        <v>0</v>
      </c>
      <c r="P402">
        <f>O402*C$3</f>
        <v>0</v>
      </c>
      <c r="Q402" t="str">
        <f>ROUNDUP(HLOOKUP(IF(CEILING(L402,0.5)&lt;1,1,CEILING(L402,0.5)),'배송비 조회'!A$32:AY$36,2,0),-2)</f>
        <v>#REF!</v>
      </c>
      <c r="R402">
        <v>0</v>
      </c>
      <c r="S402" t="str">
        <f>ROUND((P402+Q402)*0.6,-2)</f>
        <v>#REF!</v>
      </c>
      <c r="T402" t="str">
        <f>ROUND((P402+Q402)*0.7,-2)</f>
        <v>#REF!</v>
      </c>
      <c r="U402" t="str">
        <f>ROUND(SUM(P402+Q402+R402+S402), -2)</f>
        <v>#REF!</v>
      </c>
      <c r="V402" t="str">
        <f>ROUND(P402+Q402+R402+T402, -2)</f>
        <v>#REF!</v>
      </c>
      <c r="W402">
        <v>0</v>
      </c>
      <c r="X402" t="str">
        <f>U402*0.038</f>
        <v>#REF!</v>
      </c>
      <c r="Y402" t="str">
        <f>U402*0.02</f>
        <v>#REF!</v>
      </c>
      <c r="Z402" t="str">
        <f>V402*0.1</f>
        <v>#REF!</v>
      </c>
      <c r="AA402" t="str">
        <f>U402-X402-Y402</f>
        <v>#REF!</v>
      </c>
      <c r="AB402" t="str">
        <f>V402-Z402</f>
        <v>#REF!</v>
      </c>
      <c r="AC402" t="str">
        <f>AA402*0.01</f>
        <v>#REF!</v>
      </c>
      <c r="AD402" t="str">
        <f>AA402-P402-AC402-Q402</f>
        <v>#REF!</v>
      </c>
      <c r="AE402" t="str">
        <f>AB402-P402-Q402-AC402</f>
        <v>#REF!</v>
      </c>
      <c r="AF402" t="str">
        <f>AD402/U402</f>
        <v>#REF!</v>
      </c>
      <c r="AG402" t="str">
        <f>AE402/V402</f>
        <v>#REF!</v>
      </c>
    </row>
    <row r="403">
      <c r="G403" t="str">
        <v>A</v>
      </c>
      <c r="J403" t="str">
        <f>IF(K403&gt;0,K403*0.0625,IF(L403&gt;0,L403*2.204623,))</f>
        <v>#REF!</v>
      </c>
      <c r="K403" t="str">
        <f>IF(L403&gt;0,L403*35.273962,IF(J403&gt;0,J403*16,))</f>
        <v>#REF!</v>
      </c>
      <c r="L403" t="str">
        <f>IF(J403&gt;0,J403*0.453592,IF(K403&gt;0,K403*0.02835,))</f>
        <v>#REF!</v>
      </c>
      <c r="O403">
        <f>I403+N403+M403</f>
        <v>0</v>
      </c>
      <c r="P403">
        <f>O403*C$3</f>
        <v>0</v>
      </c>
      <c r="Q403" t="str">
        <f>ROUNDUP(HLOOKUP(IF(CEILING(L403,0.5)&lt;1,1,CEILING(L403,0.5)),'배송비 조회'!A$32:AY$36,2,0),-2)</f>
        <v>#REF!</v>
      </c>
      <c r="R403">
        <v>0</v>
      </c>
      <c r="S403" t="str">
        <f>ROUND((P403+Q403)*0.6,-2)</f>
        <v>#REF!</v>
      </c>
      <c r="T403" t="str">
        <f>ROUND((P403+Q403)*0.7,-2)</f>
        <v>#REF!</v>
      </c>
      <c r="U403" t="str">
        <f>ROUND(SUM(P403+Q403+R403+S403), -2)</f>
        <v>#REF!</v>
      </c>
      <c r="V403" t="str">
        <f>ROUND(P403+Q403+R403+T403, -2)</f>
        <v>#REF!</v>
      </c>
      <c r="W403">
        <v>0</v>
      </c>
      <c r="X403" t="str">
        <f>U403*0.038</f>
        <v>#REF!</v>
      </c>
      <c r="Y403" t="str">
        <f>U403*0.02</f>
        <v>#REF!</v>
      </c>
      <c r="Z403" t="str">
        <f>V403*0.1</f>
        <v>#REF!</v>
      </c>
      <c r="AA403" t="str">
        <f>U403-X403-Y403</f>
        <v>#REF!</v>
      </c>
      <c r="AB403" t="str">
        <f>V403-Z403</f>
        <v>#REF!</v>
      </c>
      <c r="AC403" t="str">
        <f>AA403*0.01</f>
        <v>#REF!</v>
      </c>
      <c r="AD403" t="str">
        <f>AA403-P403-AC403-Q403</f>
        <v>#REF!</v>
      </c>
      <c r="AE403" t="str">
        <f>AB403-P403-Q403-AC403</f>
        <v>#REF!</v>
      </c>
      <c r="AF403" t="str">
        <f>AD403/U403</f>
        <v>#REF!</v>
      </c>
      <c r="AG403" t="str">
        <f>AE403/V403</f>
        <v>#REF!</v>
      </c>
    </row>
    <row r="404">
      <c r="G404" t="str">
        <v>A</v>
      </c>
      <c r="J404" t="str">
        <f>IF(K404&gt;0,K404*0.0625,IF(L404&gt;0,L404*2.204623,))</f>
        <v>#REF!</v>
      </c>
      <c r="K404" t="str">
        <f>IF(L404&gt;0,L404*35.273962,IF(J404&gt;0,J404*16,))</f>
        <v>#REF!</v>
      </c>
      <c r="L404" t="str">
        <f>IF(J404&gt;0,J404*0.453592,IF(K404&gt;0,K404*0.02835,))</f>
        <v>#REF!</v>
      </c>
      <c r="O404">
        <f>I404+N404+M404</f>
        <v>0</v>
      </c>
      <c r="P404">
        <f>O404*C$3</f>
        <v>0</v>
      </c>
      <c r="Q404" t="str">
        <f>ROUNDUP(HLOOKUP(IF(CEILING(L404,0.5)&lt;1,1,CEILING(L404,0.5)),'배송비 조회'!A$32:AY$36,2,0),-2)</f>
        <v>#REF!</v>
      </c>
      <c r="R404">
        <v>0</v>
      </c>
      <c r="S404" t="str">
        <f>ROUND((P404+Q404)*0.6,-2)</f>
        <v>#REF!</v>
      </c>
      <c r="T404" t="str">
        <f>ROUND((P404+Q404)*0.7,-2)</f>
        <v>#REF!</v>
      </c>
      <c r="U404" t="str">
        <f>ROUND(SUM(P404+Q404+R404+S404), -2)</f>
        <v>#REF!</v>
      </c>
      <c r="V404" t="str">
        <f>ROUND(P404+Q404+R404+T404, -2)</f>
        <v>#REF!</v>
      </c>
      <c r="W404">
        <v>0</v>
      </c>
      <c r="X404" t="str">
        <f>U404*0.038</f>
        <v>#REF!</v>
      </c>
      <c r="Y404" t="str">
        <f>U404*0.02</f>
        <v>#REF!</v>
      </c>
      <c r="Z404" t="str">
        <f>V404*0.1</f>
        <v>#REF!</v>
      </c>
      <c r="AA404" t="str">
        <f>U404-X404-Y404</f>
        <v>#REF!</v>
      </c>
      <c r="AB404" t="str">
        <f>V404-Z404</f>
        <v>#REF!</v>
      </c>
      <c r="AC404" t="str">
        <f>AA404*0.01</f>
        <v>#REF!</v>
      </c>
      <c r="AD404" t="str">
        <f>AA404-P404-AC404-Q404</f>
        <v>#REF!</v>
      </c>
      <c r="AE404" t="str">
        <f>AB404-P404-Q404-AC404</f>
        <v>#REF!</v>
      </c>
      <c r="AF404" t="str">
        <f>AD404/U404</f>
        <v>#REF!</v>
      </c>
      <c r="AG404" t="str">
        <f>AE404/V404</f>
        <v>#REF!</v>
      </c>
    </row>
    <row r="405">
      <c r="G405" t="str">
        <v>A</v>
      </c>
      <c r="J405" t="str">
        <f>IF(K405&gt;0,K405*0.0625,IF(L405&gt;0,L405*2.204623,))</f>
        <v>#REF!</v>
      </c>
      <c r="K405" t="str">
        <f>IF(L405&gt;0,L405*35.273962,IF(J405&gt;0,J405*16,))</f>
        <v>#REF!</v>
      </c>
      <c r="L405" t="str">
        <f>IF(J405&gt;0,J405*0.453592,IF(K405&gt;0,K405*0.02835,))</f>
        <v>#REF!</v>
      </c>
      <c r="O405">
        <f>I405+N405+M405</f>
        <v>0</v>
      </c>
      <c r="P405">
        <f>O405*C$3</f>
        <v>0</v>
      </c>
      <c r="Q405" t="str">
        <f>ROUNDUP(HLOOKUP(IF(CEILING(L405,0.5)&lt;1,1,CEILING(L405,0.5)),'배송비 조회'!A$32:AY$36,2,0),-2)</f>
        <v>#REF!</v>
      </c>
      <c r="R405">
        <v>0</v>
      </c>
      <c r="S405" t="str">
        <f>ROUND((P405+Q405)*0.6,-2)</f>
        <v>#REF!</v>
      </c>
      <c r="T405" t="str">
        <f>ROUND((P405+Q405)*0.7,-2)</f>
        <v>#REF!</v>
      </c>
      <c r="U405" t="str">
        <f>ROUND(SUM(P405+Q405+R405+S405), -2)</f>
        <v>#REF!</v>
      </c>
      <c r="V405" t="str">
        <f>ROUND(P405+Q405+R405+T405, -2)</f>
        <v>#REF!</v>
      </c>
      <c r="W405">
        <v>0</v>
      </c>
      <c r="X405" t="str">
        <f>U405*0.038</f>
        <v>#REF!</v>
      </c>
      <c r="Y405" t="str">
        <f>U405*0.02</f>
        <v>#REF!</v>
      </c>
      <c r="Z405" t="str">
        <f>V405*0.1</f>
        <v>#REF!</v>
      </c>
      <c r="AA405" t="str">
        <f>U405-X405-Y405</f>
        <v>#REF!</v>
      </c>
      <c r="AB405" t="str">
        <f>V405-Z405</f>
        <v>#REF!</v>
      </c>
      <c r="AC405" t="str">
        <f>AA405*0.01</f>
        <v>#REF!</v>
      </c>
      <c r="AD405" t="str">
        <f>AA405-P405-AC405-Q405</f>
        <v>#REF!</v>
      </c>
      <c r="AE405" t="str">
        <f>AB405-P405-Q405-AC405</f>
        <v>#REF!</v>
      </c>
      <c r="AF405" t="str">
        <f>AD405/U405</f>
        <v>#REF!</v>
      </c>
      <c r="AG405" t="str">
        <f>AE405/V405</f>
        <v>#REF!</v>
      </c>
    </row>
    <row r="406">
      <c r="G406" t="str">
        <v>A</v>
      </c>
      <c r="J406" t="str">
        <f>IF(K406&gt;0,K406*0.0625,IF(L406&gt;0,L406*2.204623,))</f>
        <v>#REF!</v>
      </c>
      <c r="K406" t="str">
        <f>IF(L406&gt;0,L406*35.273962,IF(J406&gt;0,J406*16,))</f>
        <v>#REF!</v>
      </c>
      <c r="L406" t="str">
        <f>IF(J406&gt;0,J406*0.453592,IF(K406&gt;0,K406*0.02835,))</f>
        <v>#REF!</v>
      </c>
      <c r="O406">
        <f>I406+N406+M406</f>
        <v>0</v>
      </c>
      <c r="P406">
        <f>O406*C$3</f>
        <v>0</v>
      </c>
      <c r="Q406" t="str">
        <f>ROUNDUP(HLOOKUP(IF(CEILING(L406,0.5)&lt;1,1,CEILING(L406,0.5)),'배송비 조회'!A$32:AY$36,2,0),-2)</f>
        <v>#REF!</v>
      </c>
      <c r="R406">
        <v>0</v>
      </c>
      <c r="S406" t="str">
        <f>ROUND((P406+Q406)*0.6,-2)</f>
        <v>#REF!</v>
      </c>
      <c r="T406" t="str">
        <f>ROUND((P406+Q406)*0.7,-2)</f>
        <v>#REF!</v>
      </c>
      <c r="U406" t="str">
        <f>ROUND(SUM(P406+Q406+R406+S406), -2)</f>
        <v>#REF!</v>
      </c>
      <c r="V406" t="str">
        <f>ROUND(P406+Q406+R406+T406, -2)</f>
        <v>#REF!</v>
      </c>
      <c r="W406">
        <v>0</v>
      </c>
      <c r="X406" t="str">
        <f>U406*0.038</f>
        <v>#REF!</v>
      </c>
      <c r="Y406" t="str">
        <f>U406*0.02</f>
        <v>#REF!</v>
      </c>
      <c r="Z406" t="str">
        <f>V406*0.1</f>
        <v>#REF!</v>
      </c>
      <c r="AA406" t="str">
        <f>U406-X406-Y406</f>
        <v>#REF!</v>
      </c>
      <c r="AB406" t="str">
        <f>V406-Z406</f>
        <v>#REF!</v>
      </c>
      <c r="AC406" t="str">
        <f>AA406*0.01</f>
        <v>#REF!</v>
      </c>
      <c r="AD406" t="str">
        <f>AA406-P406-AC406-Q406</f>
        <v>#REF!</v>
      </c>
      <c r="AE406" t="str">
        <f>AB406-P406-Q406-AC406</f>
        <v>#REF!</v>
      </c>
      <c r="AF406" t="str">
        <f>AD406/U406</f>
        <v>#REF!</v>
      </c>
      <c r="AG406" t="str">
        <f>AE406/V406</f>
        <v>#REF!</v>
      </c>
    </row>
    <row r="407">
      <c r="G407" t="str">
        <v>A</v>
      </c>
      <c r="J407" t="str">
        <f>IF(K407&gt;0,K407*0.0625,IF(L407&gt;0,L407*2.204623,))</f>
        <v>#REF!</v>
      </c>
      <c r="K407" t="str">
        <f>IF(L407&gt;0,L407*35.273962,IF(J407&gt;0,J407*16,))</f>
        <v>#REF!</v>
      </c>
      <c r="L407" t="str">
        <f>IF(J407&gt;0,J407*0.453592,IF(K407&gt;0,K407*0.02835,))</f>
        <v>#REF!</v>
      </c>
      <c r="O407">
        <f>I407+N407+M407</f>
        <v>0</v>
      </c>
      <c r="P407">
        <f>O407*C$3</f>
        <v>0</v>
      </c>
      <c r="Q407" t="str">
        <f>ROUNDUP(HLOOKUP(IF(CEILING(L407,0.5)&lt;1,1,CEILING(L407,0.5)),'배송비 조회'!A$32:AY$36,2,0),-2)</f>
        <v>#REF!</v>
      </c>
      <c r="R407">
        <v>0</v>
      </c>
      <c r="S407" t="str">
        <f>ROUND((P407+Q407)*0.6,-2)</f>
        <v>#REF!</v>
      </c>
      <c r="T407" t="str">
        <f>ROUND((P407+Q407)*0.7,-2)</f>
        <v>#REF!</v>
      </c>
      <c r="U407" t="str">
        <f>ROUND(SUM(P407+Q407+R407+S407), -2)</f>
        <v>#REF!</v>
      </c>
      <c r="V407" t="str">
        <f>ROUND(P407+Q407+R407+T407, -2)</f>
        <v>#REF!</v>
      </c>
      <c r="W407">
        <v>0</v>
      </c>
      <c r="X407" t="str">
        <f>U407*0.038</f>
        <v>#REF!</v>
      </c>
      <c r="Y407" t="str">
        <f>U407*0.02</f>
        <v>#REF!</v>
      </c>
      <c r="Z407" t="str">
        <f>V407*0.1</f>
        <v>#REF!</v>
      </c>
      <c r="AA407" t="str">
        <f>U407-X407-Y407</f>
        <v>#REF!</v>
      </c>
      <c r="AB407" t="str">
        <f>V407-Z407</f>
        <v>#REF!</v>
      </c>
      <c r="AC407" t="str">
        <f>AA407*0.01</f>
        <v>#REF!</v>
      </c>
      <c r="AD407" t="str">
        <f>AA407-P407-AC407-Q407</f>
        <v>#REF!</v>
      </c>
      <c r="AE407" t="str">
        <f>AB407-P407-Q407-AC407</f>
        <v>#REF!</v>
      </c>
      <c r="AF407" t="str">
        <f>AD407/U407</f>
        <v>#REF!</v>
      </c>
      <c r="AG407" t="str">
        <f>AE407/V407</f>
        <v>#REF!</v>
      </c>
    </row>
    <row r="408">
      <c r="G408" t="str">
        <v>A</v>
      </c>
      <c r="J408" t="str">
        <f>IF(K408&gt;0,K408*0.0625,IF(L408&gt;0,L408*2.204623,))</f>
        <v>#REF!</v>
      </c>
      <c r="K408" t="str">
        <f>IF(L408&gt;0,L408*35.273962,IF(J408&gt;0,J408*16,))</f>
        <v>#REF!</v>
      </c>
      <c r="L408" t="str">
        <f>IF(J408&gt;0,J408*0.453592,IF(K408&gt;0,K408*0.02835,))</f>
        <v>#REF!</v>
      </c>
      <c r="O408">
        <f>I408+N408+M408</f>
        <v>0</v>
      </c>
      <c r="P408">
        <f>O408*C$3</f>
        <v>0</v>
      </c>
      <c r="Q408" t="str">
        <f>ROUNDUP(HLOOKUP(IF(CEILING(L408,0.5)&lt;1,1,CEILING(L408,0.5)),'배송비 조회'!A$32:AY$36,2,0),-2)</f>
        <v>#REF!</v>
      </c>
      <c r="R408">
        <v>0</v>
      </c>
      <c r="S408" t="str">
        <f>ROUND((P408+Q408)*0.6,-2)</f>
        <v>#REF!</v>
      </c>
      <c r="T408" t="str">
        <f>ROUND((P408+Q408)*0.7,-2)</f>
        <v>#REF!</v>
      </c>
      <c r="U408" t="str">
        <f>ROUND(SUM(P408+Q408+R408+S408), -2)</f>
        <v>#REF!</v>
      </c>
      <c r="V408" t="str">
        <f>ROUND(P408+Q408+R408+T408, -2)</f>
        <v>#REF!</v>
      </c>
      <c r="W408">
        <v>0</v>
      </c>
      <c r="X408" t="str">
        <f>U408*0.038</f>
        <v>#REF!</v>
      </c>
      <c r="Y408" t="str">
        <f>U408*0.02</f>
        <v>#REF!</v>
      </c>
      <c r="Z408" t="str">
        <f>V408*0.1</f>
        <v>#REF!</v>
      </c>
      <c r="AA408" t="str">
        <f>U408-X408-Y408</f>
        <v>#REF!</v>
      </c>
      <c r="AB408" t="str">
        <f>V408-Z408</f>
        <v>#REF!</v>
      </c>
      <c r="AC408" t="str">
        <f>AA408*0.01</f>
        <v>#REF!</v>
      </c>
      <c r="AD408" t="str">
        <f>AA408-P408-AC408-Q408</f>
        <v>#REF!</v>
      </c>
      <c r="AE408" t="str">
        <f>AB408-P408-Q408-AC408</f>
        <v>#REF!</v>
      </c>
      <c r="AF408" t="str">
        <f>AD408/U408</f>
        <v>#REF!</v>
      </c>
      <c r="AG408" t="str">
        <f>AE408/V408</f>
        <v>#REF!</v>
      </c>
    </row>
    <row r="409">
      <c r="G409" t="str">
        <v>A</v>
      </c>
      <c r="J409" t="str">
        <f>IF(K409&gt;0,K409*0.0625,IF(L409&gt;0,L409*2.204623,))</f>
        <v>#REF!</v>
      </c>
      <c r="K409" t="str">
        <f>IF(L409&gt;0,L409*35.273962,IF(J409&gt;0,J409*16,))</f>
        <v>#REF!</v>
      </c>
      <c r="L409" t="str">
        <f>IF(J409&gt;0,J409*0.453592,IF(K409&gt;0,K409*0.02835,))</f>
        <v>#REF!</v>
      </c>
      <c r="O409">
        <f>I409+N409+M409</f>
        <v>0</v>
      </c>
      <c r="P409">
        <f>O409*C$3</f>
        <v>0</v>
      </c>
      <c r="Q409" t="str">
        <f>ROUNDUP(HLOOKUP(IF(CEILING(L409,0.5)&lt;1,1,CEILING(L409,0.5)),'배송비 조회'!A$32:AY$36,2,0),-2)</f>
        <v>#REF!</v>
      </c>
      <c r="R409">
        <v>0</v>
      </c>
      <c r="S409" t="str">
        <f>ROUND((P409+Q409)*0.6,-2)</f>
        <v>#REF!</v>
      </c>
      <c r="T409" t="str">
        <f>ROUND((P409+Q409)*0.7,-2)</f>
        <v>#REF!</v>
      </c>
      <c r="U409" t="str">
        <f>ROUND(SUM(P409+Q409+R409+S409), -2)</f>
        <v>#REF!</v>
      </c>
      <c r="V409" t="str">
        <f>ROUND(P409+Q409+R409+T409, -2)</f>
        <v>#REF!</v>
      </c>
      <c r="W409">
        <v>0</v>
      </c>
      <c r="X409" t="str">
        <f>U409*0.038</f>
        <v>#REF!</v>
      </c>
      <c r="Y409" t="str">
        <f>U409*0.02</f>
        <v>#REF!</v>
      </c>
      <c r="Z409" t="str">
        <f>V409*0.1</f>
        <v>#REF!</v>
      </c>
      <c r="AA409" t="str">
        <f>U409-X409-Y409</f>
        <v>#REF!</v>
      </c>
      <c r="AB409" t="str">
        <f>V409-Z409</f>
        <v>#REF!</v>
      </c>
      <c r="AC409" t="str">
        <f>AA409*0.01</f>
        <v>#REF!</v>
      </c>
      <c r="AD409" t="str">
        <f>AA409-P409-AC409-Q409</f>
        <v>#REF!</v>
      </c>
      <c r="AE409" t="str">
        <f>AB409-P409-Q409-AC409</f>
        <v>#REF!</v>
      </c>
      <c r="AF409" t="str">
        <f>AD409/U409</f>
        <v>#REF!</v>
      </c>
      <c r="AG409" t="str">
        <f>AE409/V409</f>
        <v>#REF!</v>
      </c>
    </row>
    <row r="410">
      <c r="G410" t="str">
        <v>A</v>
      </c>
      <c r="J410" t="str">
        <f>IF(K410&gt;0,K410*0.0625,IF(L410&gt;0,L410*2.204623,))</f>
        <v>#REF!</v>
      </c>
      <c r="K410" t="str">
        <f>IF(L410&gt;0,L410*35.273962,IF(J410&gt;0,J410*16,))</f>
        <v>#REF!</v>
      </c>
      <c r="L410" t="str">
        <f>IF(J410&gt;0,J410*0.453592,IF(K410&gt;0,K410*0.02835,))</f>
        <v>#REF!</v>
      </c>
      <c r="O410">
        <f>I410+N410+M410</f>
        <v>0</v>
      </c>
      <c r="P410">
        <f>O410*C$3</f>
        <v>0</v>
      </c>
      <c r="Q410" t="str">
        <f>ROUNDUP(HLOOKUP(IF(CEILING(L410,0.5)&lt;1,1,CEILING(L410,0.5)),'배송비 조회'!A$32:AY$36,2,0),-2)</f>
        <v>#REF!</v>
      </c>
      <c r="R410">
        <v>0</v>
      </c>
      <c r="S410" t="str">
        <f>ROUND((P410+Q410)*0.6,-2)</f>
        <v>#REF!</v>
      </c>
      <c r="T410" t="str">
        <f>ROUND((P410+Q410)*0.7,-2)</f>
        <v>#REF!</v>
      </c>
      <c r="U410" t="str">
        <f>ROUND(SUM(P410+Q410+R410+S410), -2)</f>
        <v>#REF!</v>
      </c>
      <c r="V410" t="str">
        <f>ROUND(P410+Q410+R410+T410, -2)</f>
        <v>#REF!</v>
      </c>
      <c r="W410">
        <v>0</v>
      </c>
      <c r="X410" t="str">
        <f>U410*0.038</f>
        <v>#REF!</v>
      </c>
      <c r="Y410" t="str">
        <f>U410*0.02</f>
        <v>#REF!</v>
      </c>
      <c r="Z410" t="str">
        <f>V410*0.1</f>
        <v>#REF!</v>
      </c>
      <c r="AA410" t="str">
        <f>U410-X410-Y410</f>
        <v>#REF!</v>
      </c>
      <c r="AB410" t="str">
        <f>V410-Z410</f>
        <v>#REF!</v>
      </c>
      <c r="AC410" t="str">
        <f>AA410*0.01</f>
        <v>#REF!</v>
      </c>
      <c r="AD410" t="str">
        <f>AA410-P410-AC410-Q410</f>
        <v>#REF!</v>
      </c>
      <c r="AE410" t="str">
        <f>AB410-P410-Q410-AC410</f>
        <v>#REF!</v>
      </c>
      <c r="AF410" t="str">
        <f>AD410/U410</f>
        <v>#REF!</v>
      </c>
      <c r="AG410" t="str">
        <f>AE410/V410</f>
        <v>#REF!</v>
      </c>
    </row>
    <row r="411">
      <c r="G411" t="str">
        <v>A</v>
      </c>
      <c r="J411" t="str">
        <f>IF(K411&gt;0,K411*0.0625,IF(L411&gt;0,L411*2.204623,))</f>
        <v>#REF!</v>
      </c>
      <c r="K411" t="str">
        <f>IF(L411&gt;0,L411*35.273962,IF(J411&gt;0,J411*16,))</f>
        <v>#REF!</v>
      </c>
      <c r="L411" t="str">
        <f>IF(J411&gt;0,J411*0.453592,IF(K411&gt;0,K411*0.02835,))</f>
        <v>#REF!</v>
      </c>
      <c r="O411">
        <f>I411+N411+M411</f>
        <v>0</v>
      </c>
      <c r="P411">
        <f>O411*C$3</f>
        <v>0</v>
      </c>
      <c r="Q411" t="str">
        <f>ROUNDUP(HLOOKUP(IF(CEILING(L411,0.5)&lt;1,1,CEILING(L411,0.5)),'배송비 조회'!A$32:AY$36,2,0),-2)</f>
        <v>#REF!</v>
      </c>
      <c r="R411">
        <v>0</v>
      </c>
      <c r="S411" t="str">
        <f>ROUND((P411+Q411)*0.6,-2)</f>
        <v>#REF!</v>
      </c>
      <c r="T411" t="str">
        <f>ROUND((P411+Q411)*0.7,-2)</f>
        <v>#REF!</v>
      </c>
      <c r="U411" t="str">
        <f>ROUND(SUM(P411+Q411+R411+S411), -2)</f>
        <v>#REF!</v>
      </c>
      <c r="V411" t="str">
        <f>ROUND(P411+Q411+R411+T411, -2)</f>
        <v>#REF!</v>
      </c>
      <c r="W411">
        <v>0</v>
      </c>
      <c r="X411" t="str">
        <f>U411*0.038</f>
        <v>#REF!</v>
      </c>
      <c r="Y411" t="str">
        <f>U411*0.02</f>
        <v>#REF!</v>
      </c>
      <c r="Z411" t="str">
        <f>V411*0.1</f>
        <v>#REF!</v>
      </c>
      <c r="AA411" t="str">
        <f>U411-X411-Y411</f>
        <v>#REF!</v>
      </c>
      <c r="AB411" t="str">
        <f>V411-Z411</f>
        <v>#REF!</v>
      </c>
      <c r="AC411" t="str">
        <f>AA411*0.01</f>
        <v>#REF!</v>
      </c>
      <c r="AD411" t="str">
        <f>AA411-P411-AC411-Q411</f>
        <v>#REF!</v>
      </c>
      <c r="AE411" t="str">
        <f>AB411-P411-Q411-AC411</f>
        <v>#REF!</v>
      </c>
      <c r="AF411" t="str">
        <f>AD411/U411</f>
        <v>#REF!</v>
      </c>
      <c r="AG411" t="str">
        <f>AE411/V411</f>
        <v>#REF!</v>
      </c>
    </row>
    <row r="412">
      <c r="G412" t="str">
        <v>A</v>
      </c>
      <c r="J412" t="str">
        <f>IF(K412&gt;0,K412*0.0625,IF(L412&gt;0,L412*2.204623,))</f>
        <v>#REF!</v>
      </c>
      <c r="K412" t="str">
        <f>IF(L412&gt;0,L412*35.273962,IF(J412&gt;0,J412*16,))</f>
        <v>#REF!</v>
      </c>
      <c r="L412" t="str">
        <f>IF(J412&gt;0,J412*0.453592,IF(K412&gt;0,K412*0.02835,))</f>
        <v>#REF!</v>
      </c>
      <c r="O412">
        <f>I412+N412+M412</f>
        <v>0</v>
      </c>
      <c r="P412">
        <f>O412*C$3</f>
        <v>0</v>
      </c>
      <c r="Q412" t="str">
        <f>ROUNDUP(HLOOKUP(IF(CEILING(L412,0.5)&lt;1,1,CEILING(L412,0.5)),'배송비 조회'!A$32:AY$36,2,0),-2)</f>
        <v>#REF!</v>
      </c>
      <c r="R412">
        <v>0</v>
      </c>
      <c r="S412" t="str">
        <f>ROUND((P412+Q412)*0.6,-2)</f>
        <v>#REF!</v>
      </c>
      <c r="T412" t="str">
        <f>ROUND((P412+Q412)*0.7,-2)</f>
        <v>#REF!</v>
      </c>
      <c r="U412" t="str">
        <f>ROUND(SUM(P412+Q412+R412+S412), -2)</f>
        <v>#REF!</v>
      </c>
      <c r="V412" t="str">
        <f>ROUND(P412+Q412+R412+T412, -2)</f>
        <v>#REF!</v>
      </c>
      <c r="W412">
        <v>0</v>
      </c>
      <c r="X412" t="str">
        <f>U412*0.038</f>
        <v>#REF!</v>
      </c>
      <c r="Y412" t="str">
        <f>U412*0.02</f>
        <v>#REF!</v>
      </c>
      <c r="Z412" t="str">
        <f>V412*0.1</f>
        <v>#REF!</v>
      </c>
      <c r="AA412" t="str">
        <f>U412-X412-Y412</f>
        <v>#REF!</v>
      </c>
      <c r="AB412" t="str">
        <f>V412-Z412</f>
        <v>#REF!</v>
      </c>
      <c r="AC412" t="str">
        <f>AA412*0.01</f>
        <v>#REF!</v>
      </c>
      <c r="AD412" t="str">
        <f>AA412-P412-AC412-Q412</f>
        <v>#REF!</v>
      </c>
      <c r="AE412" t="str">
        <f>AB412-P412-Q412-AC412</f>
        <v>#REF!</v>
      </c>
      <c r="AF412" t="str">
        <f>AD412/U412</f>
        <v>#REF!</v>
      </c>
      <c r="AG412" t="str">
        <f>AE412/V412</f>
        <v>#REF!</v>
      </c>
    </row>
    <row r="413">
      <c r="G413" t="str">
        <v>A</v>
      </c>
      <c r="J413" t="str">
        <f>IF(K413&gt;0,K413*0.0625,IF(L413&gt;0,L413*2.204623,))</f>
        <v>#REF!</v>
      </c>
      <c r="K413" t="str">
        <f>IF(L413&gt;0,L413*35.273962,IF(J413&gt;0,J413*16,))</f>
        <v>#REF!</v>
      </c>
      <c r="L413" t="str">
        <f>IF(J413&gt;0,J413*0.453592,IF(K413&gt;0,K413*0.02835,))</f>
        <v>#REF!</v>
      </c>
      <c r="O413">
        <f>I413+N413+M413</f>
        <v>0</v>
      </c>
      <c r="P413">
        <f>O413*C$3</f>
        <v>0</v>
      </c>
      <c r="Q413" t="str">
        <f>ROUNDUP(HLOOKUP(IF(CEILING(L413,0.5)&lt;1,1,CEILING(L413,0.5)),'배송비 조회'!A$32:AY$36,2,0),-2)</f>
        <v>#REF!</v>
      </c>
      <c r="R413">
        <v>0</v>
      </c>
      <c r="S413" t="str">
        <f>ROUND((P413+Q413)*0.6,-2)</f>
        <v>#REF!</v>
      </c>
      <c r="T413" t="str">
        <f>ROUND((P413+Q413)*0.7,-2)</f>
        <v>#REF!</v>
      </c>
      <c r="U413" t="str">
        <f>ROUND(SUM(P413+Q413+R413+S413), -2)</f>
        <v>#REF!</v>
      </c>
      <c r="V413" t="str">
        <f>ROUND(P413+Q413+R413+T413, -2)</f>
        <v>#REF!</v>
      </c>
      <c r="W413">
        <v>0</v>
      </c>
      <c r="X413" t="str">
        <f>U413*0.038</f>
        <v>#REF!</v>
      </c>
      <c r="Y413" t="str">
        <f>U413*0.02</f>
        <v>#REF!</v>
      </c>
      <c r="Z413" t="str">
        <f>V413*0.1</f>
        <v>#REF!</v>
      </c>
      <c r="AA413" t="str">
        <f>U413-X413-Y413</f>
        <v>#REF!</v>
      </c>
      <c r="AB413" t="str">
        <f>V413-Z413</f>
        <v>#REF!</v>
      </c>
      <c r="AC413" t="str">
        <f>AA413*0.01</f>
        <v>#REF!</v>
      </c>
      <c r="AD413" t="str">
        <f>AA413-P413-AC413-Q413</f>
        <v>#REF!</v>
      </c>
      <c r="AE413" t="str">
        <f>AB413-P413-Q413-AC413</f>
        <v>#REF!</v>
      </c>
      <c r="AF413" t="str">
        <f>AD413/U413</f>
        <v>#REF!</v>
      </c>
      <c r="AG413" t="str">
        <f>AE413/V413</f>
        <v>#REF!</v>
      </c>
    </row>
    <row r="414">
      <c r="G414" t="str">
        <v>A</v>
      </c>
      <c r="J414" t="str">
        <f>IF(K414&gt;0,K414*0.0625,IF(L414&gt;0,L414*2.204623,))</f>
        <v>#REF!</v>
      </c>
      <c r="K414" t="str">
        <f>IF(L414&gt;0,L414*35.273962,IF(J414&gt;0,J414*16,))</f>
        <v>#REF!</v>
      </c>
      <c r="L414" t="str">
        <f>IF(J414&gt;0,J414*0.453592,IF(K414&gt;0,K414*0.02835,))</f>
        <v>#REF!</v>
      </c>
      <c r="O414">
        <f>I414+N414+M414</f>
        <v>0</v>
      </c>
      <c r="P414">
        <f>O414*C$3</f>
        <v>0</v>
      </c>
      <c r="Q414" t="str">
        <f>ROUNDUP(HLOOKUP(IF(CEILING(L414,0.5)&lt;1,1,CEILING(L414,0.5)),'배송비 조회'!A$32:AY$36,2,0),-2)</f>
        <v>#REF!</v>
      </c>
      <c r="R414">
        <v>0</v>
      </c>
      <c r="S414" t="str">
        <f>ROUND((P414+Q414)*0.6,-2)</f>
        <v>#REF!</v>
      </c>
      <c r="T414" t="str">
        <f>ROUND((P414+Q414)*0.7,-2)</f>
        <v>#REF!</v>
      </c>
      <c r="U414" t="str">
        <f>ROUND(SUM(P414+Q414+R414+S414), -2)</f>
        <v>#REF!</v>
      </c>
      <c r="V414" t="str">
        <f>ROUND(P414+Q414+R414+T414, -2)</f>
        <v>#REF!</v>
      </c>
      <c r="W414">
        <v>0</v>
      </c>
      <c r="X414" t="str">
        <f>U414*0.038</f>
        <v>#REF!</v>
      </c>
      <c r="Y414" t="str">
        <f>U414*0.02</f>
        <v>#REF!</v>
      </c>
      <c r="Z414" t="str">
        <f>V414*0.1</f>
        <v>#REF!</v>
      </c>
      <c r="AA414" t="str">
        <f>U414-X414-Y414</f>
        <v>#REF!</v>
      </c>
      <c r="AB414" t="str">
        <f>V414-Z414</f>
        <v>#REF!</v>
      </c>
      <c r="AC414" t="str">
        <f>AA414*0.01</f>
        <v>#REF!</v>
      </c>
      <c r="AD414" t="str">
        <f>AA414-P414-AC414-Q414</f>
        <v>#REF!</v>
      </c>
      <c r="AE414" t="str">
        <f>AB414-P414-Q414-AC414</f>
        <v>#REF!</v>
      </c>
      <c r="AF414" t="str">
        <f>AD414/U414</f>
        <v>#REF!</v>
      </c>
      <c r="AG414" t="str">
        <f>AE414/V414</f>
        <v>#REF!</v>
      </c>
    </row>
    <row r="415">
      <c r="G415" t="str">
        <v>A</v>
      </c>
      <c r="J415" t="str">
        <f>IF(K415&gt;0,K415*0.0625,IF(L415&gt;0,L415*2.204623,))</f>
        <v>#REF!</v>
      </c>
      <c r="K415" t="str">
        <f>IF(L415&gt;0,L415*35.273962,IF(J415&gt;0,J415*16,))</f>
        <v>#REF!</v>
      </c>
      <c r="L415" t="str">
        <f>IF(J415&gt;0,J415*0.453592,IF(K415&gt;0,K415*0.02835,))</f>
        <v>#REF!</v>
      </c>
      <c r="O415">
        <f>I415+N415+M415</f>
        <v>0</v>
      </c>
      <c r="P415">
        <f>O415*C$3</f>
        <v>0</v>
      </c>
      <c r="Q415" t="str">
        <f>ROUNDUP(HLOOKUP(IF(CEILING(L415,0.5)&lt;1,1,CEILING(L415,0.5)),'배송비 조회'!A$32:AY$36,2,0),-2)</f>
        <v>#REF!</v>
      </c>
      <c r="R415">
        <v>0</v>
      </c>
      <c r="S415" t="str">
        <f>ROUND((P415+Q415)*0.6,-2)</f>
        <v>#REF!</v>
      </c>
      <c r="T415" t="str">
        <f>ROUND((P415+Q415)*0.7,-2)</f>
        <v>#REF!</v>
      </c>
      <c r="U415" t="str">
        <f>ROUND(SUM(P415+Q415+R415+S415), -2)</f>
        <v>#REF!</v>
      </c>
      <c r="V415" t="str">
        <f>ROUND(P415+Q415+R415+T415, -2)</f>
        <v>#REF!</v>
      </c>
      <c r="W415">
        <v>0</v>
      </c>
      <c r="X415" t="str">
        <f>U415*0.038</f>
        <v>#REF!</v>
      </c>
      <c r="Y415" t="str">
        <f>U415*0.02</f>
        <v>#REF!</v>
      </c>
      <c r="Z415" t="str">
        <f>V415*0.1</f>
        <v>#REF!</v>
      </c>
      <c r="AA415" t="str">
        <f>U415-X415-Y415</f>
        <v>#REF!</v>
      </c>
      <c r="AB415" t="str">
        <f>V415-Z415</f>
        <v>#REF!</v>
      </c>
      <c r="AC415" t="str">
        <f>AA415*0.01</f>
        <v>#REF!</v>
      </c>
      <c r="AD415" t="str">
        <f>AA415-P415-AC415-Q415</f>
        <v>#REF!</v>
      </c>
      <c r="AE415" t="str">
        <f>AB415-P415-Q415-AC415</f>
        <v>#REF!</v>
      </c>
      <c r="AF415" t="str">
        <f>AD415/U415</f>
        <v>#REF!</v>
      </c>
      <c r="AG415" t="str">
        <f>AE415/V415</f>
        <v>#REF!</v>
      </c>
    </row>
    <row r="416">
      <c r="G416" t="str">
        <v>A</v>
      </c>
      <c r="J416" t="str">
        <f>IF(K416&gt;0,K416*0.0625,IF(L416&gt;0,L416*2.204623,))</f>
        <v>#REF!</v>
      </c>
      <c r="K416" t="str">
        <f>IF(L416&gt;0,L416*35.273962,IF(J416&gt;0,J416*16,))</f>
        <v>#REF!</v>
      </c>
      <c r="L416" t="str">
        <f>IF(J416&gt;0,J416*0.453592,IF(K416&gt;0,K416*0.02835,))</f>
        <v>#REF!</v>
      </c>
      <c r="O416">
        <f>I416+N416+M416</f>
        <v>0</v>
      </c>
      <c r="P416">
        <f>O416*C$3</f>
        <v>0</v>
      </c>
      <c r="Q416" t="str">
        <f>ROUNDUP(HLOOKUP(IF(CEILING(L416,0.5)&lt;1,1,CEILING(L416,0.5)),'배송비 조회'!A$32:AY$36,2,0),-2)</f>
        <v>#REF!</v>
      </c>
      <c r="R416">
        <v>0</v>
      </c>
      <c r="S416" t="str">
        <f>ROUND((P416+Q416)*0.6,-2)</f>
        <v>#REF!</v>
      </c>
      <c r="T416" t="str">
        <f>ROUND((P416+Q416)*0.7,-2)</f>
        <v>#REF!</v>
      </c>
      <c r="U416" t="str">
        <f>ROUND(SUM(P416+Q416+R416+S416), -2)</f>
        <v>#REF!</v>
      </c>
      <c r="V416" t="str">
        <f>ROUND(P416+Q416+R416+T416, -2)</f>
        <v>#REF!</v>
      </c>
      <c r="W416">
        <v>0</v>
      </c>
      <c r="X416" t="str">
        <f>U416*0.038</f>
        <v>#REF!</v>
      </c>
      <c r="Y416" t="str">
        <f>U416*0.02</f>
        <v>#REF!</v>
      </c>
      <c r="Z416" t="str">
        <f>V416*0.1</f>
        <v>#REF!</v>
      </c>
      <c r="AA416" t="str">
        <f>U416-X416-Y416</f>
        <v>#REF!</v>
      </c>
      <c r="AB416" t="str">
        <f>V416-Z416</f>
        <v>#REF!</v>
      </c>
      <c r="AC416" t="str">
        <f>AA416*0.01</f>
        <v>#REF!</v>
      </c>
      <c r="AD416" t="str">
        <f>AA416-P416-AC416-Q416</f>
        <v>#REF!</v>
      </c>
      <c r="AE416" t="str">
        <f>AB416-P416-Q416-AC416</f>
        <v>#REF!</v>
      </c>
      <c r="AF416" t="str">
        <f>AD416/U416</f>
        <v>#REF!</v>
      </c>
      <c r="AG416" t="str">
        <f>AE416/V416</f>
        <v>#REF!</v>
      </c>
    </row>
    <row r="417">
      <c r="G417" t="str">
        <v>A</v>
      </c>
      <c r="J417" t="str">
        <f>IF(K417&gt;0,K417*0.0625,IF(L417&gt;0,L417*2.204623,))</f>
        <v>#REF!</v>
      </c>
      <c r="K417" t="str">
        <f>IF(L417&gt;0,L417*35.273962,IF(J417&gt;0,J417*16,))</f>
        <v>#REF!</v>
      </c>
      <c r="L417" t="str">
        <f>IF(J417&gt;0,J417*0.453592,IF(K417&gt;0,K417*0.02835,))</f>
        <v>#REF!</v>
      </c>
      <c r="O417">
        <f>I417+N417+M417</f>
        <v>0</v>
      </c>
      <c r="P417">
        <f>O417*C$3</f>
        <v>0</v>
      </c>
      <c r="Q417" t="str">
        <f>ROUNDUP(HLOOKUP(IF(CEILING(L417,0.5)&lt;1,1,CEILING(L417,0.5)),'배송비 조회'!A$32:AY$36,2,0),-2)</f>
        <v>#REF!</v>
      </c>
      <c r="R417">
        <v>0</v>
      </c>
      <c r="S417" t="str">
        <f>ROUND((P417+Q417)*0.6,-2)</f>
        <v>#REF!</v>
      </c>
      <c r="T417" t="str">
        <f>ROUND((P417+Q417)*0.7,-2)</f>
        <v>#REF!</v>
      </c>
      <c r="U417" t="str">
        <f>ROUND(SUM(P417+Q417+R417+S417), -2)</f>
        <v>#REF!</v>
      </c>
      <c r="V417" t="str">
        <f>ROUND(P417+Q417+R417+T417, -2)</f>
        <v>#REF!</v>
      </c>
      <c r="W417">
        <v>0</v>
      </c>
      <c r="X417" t="str">
        <f>U417*0.038</f>
        <v>#REF!</v>
      </c>
      <c r="Y417" t="str">
        <f>U417*0.02</f>
        <v>#REF!</v>
      </c>
      <c r="Z417" t="str">
        <f>V417*0.1</f>
        <v>#REF!</v>
      </c>
      <c r="AA417" t="str">
        <f>U417-X417-Y417</f>
        <v>#REF!</v>
      </c>
      <c r="AB417" t="str">
        <f>V417-Z417</f>
        <v>#REF!</v>
      </c>
      <c r="AC417" t="str">
        <f>AA417*0.01</f>
        <v>#REF!</v>
      </c>
      <c r="AD417" t="str">
        <f>AA417-P417-AC417-Q417</f>
        <v>#REF!</v>
      </c>
      <c r="AE417" t="str">
        <f>AB417-P417-Q417-AC417</f>
        <v>#REF!</v>
      </c>
      <c r="AF417" t="str">
        <f>AD417/U417</f>
        <v>#REF!</v>
      </c>
      <c r="AG417" t="str">
        <f>AE417/V417</f>
        <v>#REF!</v>
      </c>
    </row>
    <row r="418">
      <c r="G418" t="str">
        <v>A</v>
      </c>
      <c r="J418" t="str">
        <f>IF(K418&gt;0,K418*0.0625,IF(L418&gt;0,L418*2.204623,))</f>
        <v>#REF!</v>
      </c>
      <c r="K418" t="str">
        <f>IF(L418&gt;0,L418*35.273962,IF(J418&gt;0,J418*16,))</f>
        <v>#REF!</v>
      </c>
      <c r="L418" t="str">
        <f>IF(J418&gt;0,J418*0.453592,IF(K418&gt;0,K418*0.02835,))</f>
        <v>#REF!</v>
      </c>
      <c r="O418">
        <f>I418+N418+M418</f>
        <v>0</v>
      </c>
      <c r="P418">
        <f>O418*C$3</f>
        <v>0</v>
      </c>
      <c r="Q418" t="str">
        <f>ROUNDUP(HLOOKUP(IF(CEILING(L418,0.5)&lt;1,1,CEILING(L418,0.5)),'배송비 조회'!A$32:AY$36,2,0),-2)</f>
        <v>#REF!</v>
      </c>
      <c r="R418">
        <v>0</v>
      </c>
      <c r="S418" t="str">
        <f>ROUND((P418+Q418)*0.6,-2)</f>
        <v>#REF!</v>
      </c>
      <c r="T418" t="str">
        <f>ROUND((P418+Q418)*0.7,-2)</f>
        <v>#REF!</v>
      </c>
      <c r="U418" t="str">
        <f>ROUND(SUM(P418+Q418+R418+S418), -2)</f>
        <v>#REF!</v>
      </c>
      <c r="V418" t="str">
        <f>ROUND(P418+Q418+R418+T418, -2)</f>
        <v>#REF!</v>
      </c>
      <c r="W418">
        <v>0</v>
      </c>
      <c r="X418" t="str">
        <f>U418*0.038</f>
        <v>#REF!</v>
      </c>
      <c r="Y418" t="str">
        <f>U418*0.02</f>
        <v>#REF!</v>
      </c>
      <c r="Z418" t="str">
        <f>V418*0.1</f>
        <v>#REF!</v>
      </c>
      <c r="AA418" t="str">
        <f>U418-X418-Y418</f>
        <v>#REF!</v>
      </c>
      <c r="AB418" t="str">
        <f>V418-Z418</f>
        <v>#REF!</v>
      </c>
      <c r="AC418" t="str">
        <f>AA418*0.01</f>
        <v>#REF!</v>
      </c>
      <c r="AD418" t="str">
        <f>AA418-P418-AC418-Q418</f>
        <v>#REF!</v>
      </c>
      <c r="AE418" t="str">
        <f>AB418-P418-Q418-AC418</f>
        <v>#REF!</v>
      </c>
      <c r="AF418" t="str">
        <f>AD418/U418</f>
        <v>#REF!</v>
      </c>
      <c r="AG418" t="str">
        <f>AE418/V418</f>
        <v>#REF!</v>
      </c>
    </row>
    <row r="419">
      <c r="G419" t="str">
        <v>A</v>
      </c>
      <c r="J419" t="str">
        <f>IF(K419&gt;0,K419*0.0625,IF(L419&gt;0,L419*2.204623,))</f>
        <v>#REF!</v>
      </c>
      <c r="K419" t="str">
        <f>IF(L419&gt;0,L419*35.273962,IF(J419&gt;0,J419*16,))</f>
        <v>#REF!</v>
      </c>
      <c r="L419" t="str">
        <f>IF(J419&gt;0,J419*0.453592,IF(K419&gt;0,K419*0.02835,))</f>
        <v>#REF!</v>
      </c>
      <c r="O419">
        <f>I419+N419+M419</f>
        <v>0</v>
      </c>
      <c r="P419">
        <f>O419*C$3</f>
        <v>0</v>
      </c>
      <c r="Q419" t="str">
        <f>ROUNDUP(HLOOKUP(IF(CEILING(L419,0.5)&lt;1,1,CEILING(L419,0.5)),'배송비 조회'!A$32:AY$36,2,0),-2)</f>
        <v>#REF!</v>
      </c>
      <c r="R419">
        <v>0</v>
      </c>
      <c r="S419" t="str">
        <f>ROUND((P419+Q419)*0.6,-2)</f>
        <v>#REF!</v>
      </c>
      <c r="T419" t="str">
        <f>ROUND((P419+Q419)*0.7,-2)</f>
        <v>#REF!</v>
      </c>
      <c r="U419" t="str">
        <f>ROUND(SUM(P419+Q419+R419+S419), -2)</f>
        <v>#REF!</v>
      </c>
      <c r="V419" t="str">
        <f>ROUND(P419+Q419+R419+T419, -2)</f>
        <v>#REF!</v>
      </c>
      <c r="W419">
        <v>0</v>
      </c>
      <c r="X419" t="str">
        <f>U419*0.038</f>
        <v>#REF!</v>
      </c>
      <c r="Y419" t="str">
        <f>U419*0.02</f>
        <v>#REF!</v>
      </c>
      <c r="Z419" t="str">
        <f>V419*0.1</f>
        <v>#REF!</v>
      </c>
      <c r="AA419" t="str">
        <f>U419-X419-Y419</f>
        <v>#REF!</v>
      </c>
      <c r="AB419" t="str">
        <f>V419-Z419</f>
        <v>#REF!</v>
      </c>
      <c r="AC419" t="str">
        <f>AA419*0.01</f>
        <v>#REF!</v>
      </c>
      <c r="AD419" t="str">
        <f>AA419-P419-AC419-Q419</f>
        <v>#REF!</v>
      </c>
      <c r="AE419" t="str">
        <f>AB419-P419-Q419-AC419</f>
        <v>#REF!</v>
      </c>
      <c r="AF419" t="str">
        <f>AD419/U419</f>
        <v>#REF!</v>
      </c>
      <c r="AG419" t="str">
        <f>AE419/V419</f>
        <v>#REF!</v>
      </c>
    </row>
    <row r="420">
      <c r="G420" t="str">
        <v>A</v>
      </c>
      <c r="J420" t="str">
        <f>IF(K420&gt;0,K420*0.0625,IF(L420&gt;0,L420*2.204623,))</f>
        <v>#REF!</v>
      </c>
      <c r="K420" t="str">
        <f>IF(L420&gt;0,L420*35.273962,IF(J420&gt;0,J420*16,))</f>
        <v>#REF!</v>
      </c>
      <c r="L420" t="str">
        <f>IF(J420&gt;0,J420*0.453592,IF(K420&gt;0,K420*0.02835,))</f>
        <v>#REF!</v>
      </c>
      <c r="O420">
        <f>I420+N420+M420</f>
        <v>0</v>
      </c>
      <c r="P420">
        <f>O420*C$3</f>
        <v>0</v>
      </c>
      <c r="Q420" t="str">
        <f>ROUNDUP(HLOOKUP(IF(CEILING(L420,0.5)&lt;1,1,CEILING(L420,0.5)),'배송비 조회'!A$32:AY$36,2,0),-2)</f>
        <v>#REF!</v>
      </c>
      <c r="R420">
        <v>0</v>
      </c>
      <c r="S420" t="str">
        <f>ROUND((P420+Q420)*0.6,-2)</f>
        <v>#REF!</v>
      </c>
      <c r="T420" t="str">
        <f>ROUND((P420+Q420)*0.7,-2)</f>
        <v>#REF!</v>
      </c>
      <c r="U420" t="str">
        <f>ROUND(SUM(P420+Q420+R420+S420), -2)</f>
        <v>#REF!</v>
      </c>
      <c r="V420" t="str">
        <f>ROUND(P420+Q420+R420+T420, -2)</f>
        <v>#REF!</v>
      </c>
      <c r="W420">
        <v>0</v>
      </c>
      <c r="X420" t="str">
        <f>U420*0.038</f>
        <v>#REF!</v>
      </c>
      <c r="Y420" t="str">
        <f>U420*0.02</f>
        <v>#REF!</v>
      </c>
      <c r="Z420" t="str">
        <f>V420*0.1</f>
        <v>#REF!</v>
      </c>
      <c r="AA420" t="str">
        <f>U420-X420-Y420</f>
        <v>#REF!</v>
      </c>
      <c r="AB420" t="str">
        <f>V420-Z420</f>
        <v>#REF!</v>
      </c>
      <c r="AC420" t="str">
        <f>AA420*0.01</f>
        <v>#REF!</v>
      </c>
      <c r="AD420" t="str">
        <f>AA420-P420-AC420-Q420</f>
        <v>#REF!</v>
      </c>
      <c r="AE420" t="str">
        <f>AB420-P420-Q420-AC420</f>
        <v>#REF!</v>
      </c>
      <c r="AF420" t="str">
        <f>AD420/U420</f>
        <v>#REF!</v>
      </c>
      <c r="AG420" t="str">
        <f>AE420/V420</f>
        <v>#REF!</v>
      </c>
    </row>
    <row r="421">
      <c r="G421" t="str">
        <v>A</v>
      </c>
      <c r="J421" t="str">
        <f>IF(K421&gt;0,K421*0.0625,IF(L421&gt;0,L421*2.204623,))</f>
        <v>#REF!</v>
      </c>
      <c r="K421" t="str">
        <f>IF(L421&gt;0,L421*35.273962,IF(J421&gt;0,J421*16,))</f>
        <v>#REF!</v>
      </c>
      <c r="L421" t="str">
        <f>IF(J421&gt;0,J421*0.453592,IF(K421&gt;0,K421*0.02835,))</f>
        <v>#REF!</v>
      </c>
      <c r="O421">
        <f>I421+N421+M421</f>
        <v>0</v>
      </c>
      <c r="P421">
        <f>O421*C$3</f>
        <v>0</v>
      </c>
      <c r="Q421" t="str">
        <f>ROUNDUP(HLOOKUP(IF(CEILING(L421,0.5)&lt;1,1,CEILING(L421,0.5)),'배송비 조회'!A$32:AY$36,2,0),-2)</f>
        <v>#REF!</v>
      </c>
      <c r="R421">
        <v>0</v>
      </c>
      <c r="S421" t="str">
        <f>ROUND((P421+Q421)*0.6,-2)</f>
        <v>#REF!</v>
      </c>
      <c r="T421" t="str">
        <f>ROUND((P421+Q421)*0.7,-2)</f>
        <v>#REF!</v>
      </c>
      <c r="U421" t="str">
        <f>ROUND(SUM(P421+Q421+R421+S421), -2)</f>
        <v>#REF!</v>
      </c>
      <c r="V421" t="str">
        <f>ROUND(P421+Q421+R421+T421, -2)</f>
        <v>#REF!</v>
      </c>
      <c r="W421">
        <v>0</v>
      </c>
      <c r="X421" t="str">
        <f>U421*0.038</f>
        <v>#REF!</v>
      </c>
      <c r="Y421" t="str">
        <f>U421*0.02</f>
        <v>#REF!</v>
      </c>
      <c r="Z421" t="str">
        <f>V421*0.1</f>
        <v>#REF!</v>
      </c>
      <c r="AA421" t="str">
        <f>U421-X421-Y421</f>
        <v>#REF!</v>
      </c>
      <c r="AB421" t="str">
        <f>V421-Z421</f>
        <v>#REF!</v>
      </c>
      <c r="AC421" t="str">
        <f>AA421*0.01</f>
        <v>#REF!</v>
      </c>
      <c r="AD421" t="str">
        <f>AA421-P421-AC421-Q421</f>
        <v>#REF!</v>
      </c>
      <c r="AE421" t="str">
        <f>AB421-P421-Q421-AC421</f>
        <v>#REF!</v>
      </c>
      <c r="AF421" t="str">
        <f>AD421/U421</f>
        <v>#REF!</v>
      </c>
      <c r="AG421" t="str">
        <f>AE421/V421</f>
        <v>#REF!</v>
      </c>
    </row>
    <row r="422">
      <c r="G422" t="str">
        <v>A</v>
      </c>
      <c r="J422" t="str">
        <f>IF(K422&gt;0,K422*0.0625,IF(L422&gt;0,L422*2.204623,))</f>
        <v>#REF!</v>
      </c>
      <c r="K422" t="str">
        <f>IF(L422&gt;0,L422*35.273962,IF(J422&gt;0,J422*16,))</f>
        <v>#REF!</v>
      </c>
      <c r="L422" t="str">
        <f>IF(J422&gt;0,J422*0.453592,IF(K422&gt;0,K422*0.02835,))</f>
        <v>#REF!</v>
      </c>
      <c r="O422">
        <f>I422+N422+M422</f>
        <v>0</v>
      </c>
      <c r="P422">
        <f>O422*C$3</f>
        <v>0</v>
      </c>
      <c r="Q422" t="str">
        <f>ROUNDUP(HLOOKUP(IF(CEILING(L422,0.5)&lt;1,1,CEILING(L422,0.5)),'배송비 조회'!A$32:AY$36,2,0),-2)</f>
        <v>#REF!</v>
      </c>
      <c r="R422">
        <v>0</v>
      </c>
      <c r="S422" t="str">
        <f>ROUND((P422+Q422)*0.6,-2)</f>
        <v>#REF!</v>
      </c>
      <c r="T422" t="str">
        <f>ROUND((P422+Q422)*0.7,-2)</f>
        <v>#REF!</v>
      </c>
      <c r="U422" t="str">
        <f>ROUND(SUM(P422+Q422+R422+S422), -2)</f>
        <v>#REF!</v>
      </c>
      <c r="V422" t="str">
        <f>ROUND(P422+Q422+R422+T422, -2)</f>
        <v>#REF!</v>
      </c>
      <c r="W422">
        <v>0</v>
      </c>
      <c r="X422" t="str">
        <f>U422*0.038</f>
        <v>#REF!</v>
      </c>
      <c r="Y422" t="str">
        <f>U422*0.02</f>
        <v>#REF!</v>
      </c>
      <c r="Z422" t="str">
        <f>V422*0.1</f>
        <v>#REF!</v>
      </c>
      <c r="AA422" t="str">
        <f>U422-X422-Y422</f>
        <v>#REF!</v>
      </c>
      <c r="AB422" t="str">
        <f>V422-Z422</f>
        <v>#REF!</v>
      </c>
      <c r="AC422" t="str">
        <f>AA422*0.01</f>
        <v>#REF!</v>
      </c>
      <c r="AD422" t="str">
        <f>AA422-P422-AC422-Q422</f>
        <v>#REF!</v>
      </c>
      <c r="AE422" t="str">
        <f>AB422-P422-Q422-AC422</f>
        <v>#REF!</v>
      </c>
      <c r="AF422" t="str">
        <f>AD422/U422</f>
        <v>#REF!</v>
      </c>
      <c r="AG422" t="str">
        <f>AE422/V422</f>
        <v>#REF!</v>
      </c>
    </row>
    <row r="423">
      <c r="G423" t="str">
        <v>A</v>
      </c>
      <c r="J423" t="str">
        <f>IF(K423&gt;0,K423*0.0625,IF(L423&gt;0,L423*2.204623,))</f>
        <v>#REF!</v>
      </c>
      <c r="K423" t="str">
        <f>IF(L423&gt;0,L423*35.273962,IF(J423&gt;0,J423*16,))</f>
        <v>#REF!</v>
      </c>
      <c r="L423" t="str">
        <f>IF(J423&gt;0,J423*0.453592,IF(K423&gt;0,K423*0.02835,))</f>
        <v>#REF!</v>
      </c>
      <c r="O423">
        <f>I423+N423+M423</f>
        <v>0</v>
      </c>
      <c r="P423">
        <f>O423*C$3</f>
        <v>0</v>
      </c>
      <c r="Q423" t="str">
        <f>ROUNDUP(HLOOKUP(IF(CEILING(L423,0.5)&lt;1,1,CEILING(L423,0.5)),'배송비 조회'!A$32:AY$36,2,0),-2)</f>
        <v>#REF!</v>
      </c>
      <c r="R423">
        <v>0</v>
      </c>
      <c r="S423" t="str">
        <f>ROUND((P423+Q423)*0.6,-2)</f>
        <v>#REF!</v>
      </c>
      <c r="T423" t="str">
        <f>ROUND((P423+Q423)*0.7,-2)</f>
        <v>#REF!</v>
      </c>
      <c r="U423" t="str">
        <f>ROUND(SUM(P423+Q423+R423+S423), -2)</f>
        <v>#REF!</v>
      </c>
      <c r="V423" t="str">
        <f>ROUND(P423+Q423+R423+T423, -2)</f>
        <v>#REF!</v>
      </c>
      <c r="W423">
        <v>0</v>
      </c>
      <c r="X423" t="str">
        <f>U423*0.038</f>
        <v>#REF!</v>
      </c>
      <c r="Y423" t="str">
        <f>U423*0.02</f>
        <v>#REF!</v>
      </c>
      <c r="Z423" t="str">
        <f>V423*0.1</f>
        <v>#REF!</v>
      </c>
      <c r="AA423" t="str">
        <f>U423-X423-Y423</f>
        <v>#REF!</v>
      </c>
      <c r="AB423" t="str">
        <f>V423-Z423</f>
        <v>#REF!</v>
      </c>
      <c r="AC423" t="str">
        <f>AA423*0.01</f>
        <v>#REF!</v>
      </c>
      <c r="AD423" t="str">
        <f>AA423-P423-AC423-Q423</f>
        <v>#REF!</v>
      </c>
      <c r="AE423" t="str">
        <f>AB423-P423-Q423-AC423</f>
        <v>#REF!</v>
      </c>
      <c r="AF423" t="str">
        <f>AD423/U423</f>
        <v>#REF!</v>
      </c>
      <c r="AG423" t="str">
        <f>AE423/V423</f>
        <v>#REF!</v>
      </c>
    </row>
    <row r="424">
      <c r="G424" t="str">
        <v>A</v>
      </c>
      <c r="J424" t="str">
        <f>IF(K424&gt;0,K424*0.0625,IF(L424&gt;0,L424*2.204623,))</f>
        <v>#REF!</v>
      </c>
      <c r="K424" t="str">
        <f>IF(L424&gt;0,L424*35.273962,IF(J424&gt;0,J424*16,))</f>
        <v>#REF!</v>
      </c>
      <c r="L424" t="str">
        <f>IF(J424&gt;0,J424*0.453592,IF(K424&gt;0,K424*0.02835,))</f>
        <v>#REF!</v>
      </c>
      <c r="O424">
        <f>I424+N424+M424</f>
        <v>0</v>
      </c>
      <c r="P424">
        <f>O424*C$3</f>
        <v>0</v>
      </c>
      <c r="Q424" t="str">
        <f>ROUNDUP(HLOOKUP(IF(CEILING(L424,0.5)&lt;1,1,CEILING(L424,0.5)),'배송비 조회'!A$32:AY$36,2,0),-2)</f>
        <v>#REF!</v>
      </c>
      <c r="R424">
        <v>0</v>
      </c>
      <c r="S424" t="str">
        <f>ROUND((P424+Q424)*0.6,-2)</f>
        <v>#REF!</v>
      </c>
      <c r="T424" t="str">
        <f>ROUND((P424+Q424)*0.7,-2)</f>
        <v>#REF!</v>
      </c>
      <c r="U424" t="str">
        <f>ROUND(SUM(P424+Q424+R424+S424), -2)</f>
        <v>#REF!</v>
      </c>
      <c r="V424" t="str">
        <f>ROUND(P424+Q424+R424+T424, -2)</f>
        <v>#REF!</v>
      </c>
      <c r="W424">
        <v>0</v>
      </c>
      <c r="X424" t="str">
        <f>U424*0.038</f>
        <v>#REF!</v>
      </c>
      <c r="Y424" t="str">
        <f>U424*0.02</f>
        <v>#REF!</v>
      </c>
      <c r="Z424" t="str">
        <f>V424*0.1</f>
        <v>#REF!</v>
      </c>
      <c r="AA424" t="str">
        <f>U424-X424-Y424</f>
        <v>#REF!</v>
      </c>
      <c r="AB424" t="str">
        <f>V424-Z424</f>
        <v>#REF!</v>
      </c>
      <c r="AC424" t="str">
        <f>AA424*0.01</f>
        <v>#REF!</v>
      </c>
      <c r="AD424" t="str">
        <f>AA424-P424-AC424-Q424</f>
        <v>#REF!</v>
      </c>
      <c r="AE424" t="str">
        <f>AB424-P424-Q424-AC424</f>
        <v>#REF!</v>
      </c>
      <c r="AF424" t="str">
        <f>AD424/U424</f>
        <v>#REF!</v>
      </c>
      <c r="AG424" t="str">
        <f>AE424/V424</f>
        <v>#REF!</v>
      </c>
    </row>
    <row r="425">
      <c r="G425" t="str">
        <v>A</v>
      </c>
      <c r="J425" t="str">
        <f>IF(K425&gt;0,K425*0.0625,IF(L425&gt;0,L425*2.204623,))</f>
        <v>#REF!</v>
      </c>
      <c r="K425" t="str">
        <f>IF(L425&gt;0,L425*35.273962,IF(J425&gt;0,J425*16,))</f>
        <v>#REF!</v>
      </c>
      <c r="L425" t="str">
        <f>IF(J425&gt;0,J425*0.453592,IF(K425&gt;0,K425*0.02835,))</f>
        <v>#REF!</v>
      </c>
      <c r="O425">
        <f>I425+N425+M425</f>
        <v>0</v>
      </c>
      <c r="P425">
        <f>O425*C$3</f>
        <v>0</v>
      </c>
      <c r="Q425" t="str">
        <f>ROUNDUP(HLOOKUP(IF(CEILING(L425,0.5)&lt;1,1,CEILING(L425,0.5)),'배송비 조회'!A$32:AY$36,2,0),-2)</f>
        <v>#REF!</v>
      </c>
      <c r="R425">
        <v>0</v>
      </c>
      <c r="S425" t="str">
        <f>ROUND((P425+Q425)*0.6,-2)</f>
        <v>#REF!</v>
      </c>
      <c r="T425" t="str">
        <f>ROUND((P425+Q425)*0.7,-2)</f>
        <v>#REF!</v>
      </c>
      <c r="U425" t="str">
        <f>ROUND(SUM(P425+Q425+R425+S425), -2)</f>
        <v>#REF!</v>
      </c>
      <c r="V425" t="str">
        <f>ROUND(P425+Q425+R425+T425, -2)</f>
        <v>#REF!</v>
      </c>
      <c r="W425">
        <v>0</v>
      </c>
      <c r="X425" t="str">
        <f>U425*0.038</f>
        <v>#REF!</v>
      </c>
      <c r="Y425" t="str">
        <f>U425*0.02</f>
        <v>#REF!</v>
      </c>
      <c r="Z425" t="str">
        <f>V425*0.1</f>
        <v>#REF!</v>
      </c>
      <c r="AA425" t="str">
        <f>U425-X425-Y425</f>
        <v>#REF!</v>
      </c>
      <c r="AB425" t="str">
        <f>V425-Z425</f>
        <v>#REF!</v>
      </c>
      <c r="AC425" t="str">
        <f>AA425*0.01</f>
        <v>#REF!</v>
      </c>
      <c r="AD425" t="str">
        <f>AA425-P425-AC425-Q425</f>
        <v>#REF!</v>
      </c>
      <c r="AE425" t="str">
        <f>AB425-P425-Q425-AC425</f>
        <v>#REF!</v>
      </c>
      <c r="AF425" t="str">
        <f>AD425/U425</f>
        <v>#REF!</v>
      </c>
      <c r="AG425" t="str">
        <f>AE425/V425</f>
        <v>#REF!</v>
      </c>
    </row>
    <row r="426">
      <c r="G426" t="str">
        <v>A</v>
      </c>
      <c r="J426" t="str">
        <f>IF(K426&gt;0,K426*0.0625,IF(L426&gt;0,L426*2.204623,))</f>
        <v>#REF!</v>
      </c>
      <c r="K426" t="str">
        <f>IF(L426&gt;0,L426*35.273962,IF(J426&gt;0,J426*16,))</f>
        <v>#REF!</v>
      </c>
      <c r="L426" t="str">
        <f>IF(J426&gt;0,J426*0.453592,IF(K426&gt;0,K426*0.02835,))</f>
        <v>#REF!</v>
      </c>
      <c r="O426">
        <f>I426+N426+M426</f>
        <v>0</v>
      </c>
      <c r="P426">
        <f>O426*C$3</f>
        <v>0</v>
      </c>
      <c r="Q426" t="str">
        <f>ROUNDUP(HLOOKUP(IF(CEILING(L426,0.5)&lt;1,1,CEILING(L426,0.5)),'배송비 조회'!A$32:AY$36,2,0),-2)</f>
        <v>#REF!</v>
      </c>
      <c r="R426">
        <v>0</v>
      </c>
      <c r="S426" t="str">
        <f>ROUND((P426+Q426)*0.6,-2)</f>
        <v>#REF!</v>
      </c>
      <c r="T426" t="str">
        <f>ROUND((P426+Q426)*0.7,-2)</f>
        <v>#REF!</v>
      </c>
      <c r="U426" t="str">
        <f>ROUND(SUM(P426+Q426+R426+S426), -2)</f>
        <v>#REF!</v>
      </c>
      <c r="V426" t="str">
        <f>ROUND(P426+Q426+R426+T426, -2)</f>
        <v>#REF!</v>
      </c>
      <c r="W426">
        <v>0</v>
      </c>
      <c r="X426" t="str">
        <f>U426*0.038</f>
        <v>#REF!</v>
      </c>
      <c r="Y426" t="str">
        <f>U426*0.02</f>
        <v>#REF!</v>
      </c>
      <c r="Z426" t="str">
        <f>V426*0.1</f>
        <v>#REF!</v>
      </c>
      <c r="AA426" t="str">
        <f>U426-X426-Y426</f>
        <v>#REF!</v>
      </c>
      <c r="AB426" t="str">
        <f>V426-Z426</f>
        <v>#REF!</v>
      </c>
      <c r="AC426" t="str">
        <f>AA426*0.01</f>
        <v>#REF!</v>
      </c>
      <c r="AD426" t="str">
        <f>AA426-P426-AC426-Q426</f>
        <v>#REF!</v>
      </c>
      <c r="AE426" t="str">
        <f>AB426-P426-Q426-AC426</f>
        <v>#REF!</v>
      </c>
      <c r="AF426" t="str">
        <f>AD426/U426</f>
        <v>#REF!</v>
      </c>
      <c r="AG426" t="str">
        <f>AE426/V426</f>
        <v>#REF!</v>
      </c>
    </row>
    <row r="427">
      <c r="G427" t="str">
        <v>A</v>
      </c>
      <c r="J427" t="str">
        <f>IF(K427&gt;0,K427*0.0625,IF(L427&gt;0,L427*2.204623,))</f>
        <v>#REF!</v>
      </c>
      <c r="K427" t="str">
        <f>IF(L427&gt;0,L427*35.273962,IF(J427&gt;0,J427*16,))</f>
        <v>#REF!</v>
      </c>
      <c r="L427" t="str">
        <f>IF(J427&gt;0,J427*0.453592,IF(K427&gt;0,K427*0.02835,))</f>
        <v>#REF!</v>
      </c>
      <c r="O427">
        <f>I427+N427+M427</f>
        <v>0</v>
      </c>
      <c r="P427">
        <f>O427*C$3</f>
        <v>0</v>
      </c>
      <c r="Q427" t="str">
        <f>ROUNDUP(HLOOKUP(IF(CEILING(L427,0.5)&lt;1,1,CEILING(L427,0.5)),'배송비 조회'!A$32:AY$36,2,0),-2)</f>
        <v>#REF!</v>
      </c>
      <c r="R427">
        <v>0</v>
      </c>
      <c r="S427" t="str">
        <f>ROUND((P427+Q427)*0.6,-2)</f>
        <v>#REF!</v>
      </c>
      <c r="T427" t="str">
        <f>ROUND((P427+Q427)*0.7,-2)</f>
        <v>#REF!</v>
      </c>
      <c r="U427" t="str">
        <f>ROUND(SUM(P427+Q427+R427+S427), -2)</f>
        <v>#REF!</v>
      </c>
      <c r="V427" t="str">
        <f>ROUND(P427+Q427+R427+T427, -2)</f>
        <v>#REF!</v>
      </c>
      <c r="W427">
        <v>0</v>
      </c>
      <c r="X427" t="str">
        <f>U427*0.038</f>
        <v>#REF!</v>
      </c>
      <c r="Y427" t="str">
        <f>U427*0.02</f>
        <v>#REF!</v>
      </c>
      <c r="Z427" t="str">
        <f>V427*0.1</f>
        <v>#REF!</v>
      </c>
      <c r="AA427" t="str">
        <f>U427-X427-Y427</f>
        <v>#REF!</v>
      </c>
      <c r="AB427" t="str">
        <f>V427-Z427</f>
        <v>#REF!</v>
      </c>
      <c r="AC427" t="str">
        <f>AA427*0.01</f>
        <v>#REF!</v>
      </c>
      <c r="AD427" t="str">
        <f>AA427-P427-AC427-Q427</f>
        <v>#REF!</v>
      </c>
      <c r="AE427" t="str">
        <f>AB427-P427-Q427-AC427</f>
        <v>#REF!</v>
      </c>
      <c r="AF427" t="str">
        <f>AD427/U427</f>
        <v>#REF!</v>
      </c>
      <c r="AG427" t="str">
        <f>AE427/V427</f>
        <v>#REF!</v>
      </c>
    </row>
    <row r="428">
      <c r="G428" t="str">
        <v>A</v>
      </c>
      <c r="J428" t="str">
        <f>IF(K428&gt;0,K428*0.0625,IF(L428&gt;0,L428*2.204623,))</f>
        <v>#REF!</v>
      </c>
      <c r="K428" t="str">
        <f>IF(L428&gt;0,L428*35.273962,IF(J428&gt;0,J428*16,))</f>
        <v>#REF!</v>
      </c>
      <c r="L428" t="str">
        <f>IF(J428&gt;0,J428*0.453592,IF(K428&gt;0,K428*0.02835,))</f>
        <v>#REF!</v>
      </c>
      <c r="O428">
        <f>I428+N428+M428</f>
        <v>0</v>
      </c>
      <c r="P428">
        <f>O428*C$3</f>
        <v>0</v>
      </c>
      <c r="Q428" t="str">
        <f>ROUNDUP(HLOOKUP(IF(CEILING(L428,0.5)&lt;1,1,CEILING(L428,0.5)),'배송비 조회'!A$32:AY$36,2,0),-2)</f>
        <v>#REF!</v>
      </c>
      <c r="R428">
        <v>0</v>
      </c>
      <c r="S428" t="str">
        <f>ROUND((P428+Q428)*0.6,-2)</f>
        <v>#REF!</v>
      </c>
      <c r="T428" t="str">
        <f>ROUND((P428+Q428)*0.7,-2)</f>
        <v>#REF!</v>
      </c>
      <c r="U428" t="str">
        <f>ROUND(SUM(P428+Q428+R428+S428), -2)</f>
        <v>#REF!</v>
      </c>
      <c r="V428" t="str">
        <f>ROUND(P428+Q428+R428+T428, -2)</f>
        <v>#REF!</v>
      </c>
      <c r="W428">
        <v>0</v>
      </c>
      <c r="X428" t="str">
        <f>U428*0.038</f>
        <v>#REF!</v>
      </c>
      <c r="Y428" t="str">
        <f>U428*0.02</f>
        <v>#REF!</v>
      </c>
      <c r="Z428" t="str">
        <f>V428*0.1</f>
        <v>#REF!</v>
      </c>
      <c r="AA428" t="str">
        <f>U428-X428-Y428</f>
        <v>#REF!</v>
      </c>
      <c r="AB428" t="str">
        <f>V428-Z428</f>
        <v>#REF!</v>
      </c>
      <c r="AC428" t="str">
        <f>AA428*0.01</f>
        <v>#REF!</v>
      </c>
      <c r="AD428" t="str">
        <f>AA428-P428-AC428-Q428</f>
        <v>#REF!</v>
      </c>
      <c r="AE428" t="str">
        <f>AB428-P428-Q428-AC428</f>
        <v>#REF!</v>
      </c>
      <c r="AF428" t="str">
        <f>AD428/U428</f>
        <v>#REF!</v>
      </c>
      <c r="AG428" t="str">
        <f>AE428/V428</f>
        <v>#REF!</v>
      </c>
    </row>
    <row r="429">
      <c r="G429" t="str">
        <v>A</v>
      </c>
      <c r="J429" t="str">
        <f>IF(K429&gt;0,K429*0.0625,IF(L429&gt;0,L429*2.204623,))</f>
        <v>#REF!</v>
      </c>
      <c r="K429" t="str">
        <f>IF(L429&gt;0,L429*35.273962,IF(J429&gt;0,J429*16,))</f>
        <v>#REF!</v>
      </c>
      <c r="L429" t="str">
        <f>IF(J429&gt;0,J429*0.453592,IF(K429&gt;0,K429*0.02835,))</f>
        <v>#REF!</v>
      </c>
      <c r="O429">
        <f>I429+N429+M429</f>
        <v>0</v>
      </c>
      <c r="P429">
        <f>O429*C$3</f>
        <v>0</v>
      </c>
      <c r="Q429" t="str">
        <f>ROUNDUP(HLOOKUP(IF(CEILING(L429,0.5)&lt;1,1,CEILING(L429,0.5)),'배송비 조회'!A$32:AY$36,2,0),-2)</f>
        <v>#REF!</v>
      </c>
      <c r="R429">
        <v>0</v>
      </c>
      <c r="S429" t="str">
        <f>ROUND((P429+Q429)*0.6,-2)</f>
        <v>#REF!</v>
      </c>
      <c r="T429" t="str">
        <f>ROUND((P429+Q429)*0.7,-2)</f>
        <v>#REF!</v>
      </c>
      <c r="U429" t="str">
        <f>ROUND(SUM(P429+Q429+R429+S429), -2)</f>
        <v>#REF!</v>
      </c>
      <c r="V429" t="str">
        <f>ROUND(P429+Q429+R429+T429, -2)</f>
        <v>#REF!</v>
      </c>
      <c r="W429">
        <v>0</v>
      </c>
      <c r="X429" t="str">
        <f>U429*0.038</f>
        <v>#REF!</v>
      </c>
      <c r="Y429" t="str">
        <f>U429*0.02</f>
        <v>#REF!</v>
      </c>
      <c r="Z429" t="str">
        <f>V429*0.1</f>
        <v>#REF!</v>
      </c>
      <c r="AA429" t="str">
        <f>U429-X429-Y429</f>
        <v>#REF!</v>
      </c>
      <c r="AB429" t="str">
        <f>V429-Z429</f>
        <v>#REF!</v>
      </c>
      <c r="AC429" t="str">
        <f>AA429*0.01</f>
        <v>#REF!</v>
      </c>
      <c r="AD429" t="str">
        <f>AA429-P429-AC429-Q429</f>
        <v>#REF!</v>
      </c>
      <c r="AE429" t="str">
        <f>AB429-P429-Q429-AC429</f>
        <v>#REF!</v>
      </c>
      <c r="AF429" t="str">
        <f>AD429/U429</f>
        <v>#REF!</v>
      </c>
      <c r="AG429" t="str">
        <f>AE429/V429</f>
        <v>#REF!</v>
      </c>
    </row>
    <row r="430">
      <c r="G430" t="str">
        <v>A</v>
      </c>
      <c r="J430" t="str">
        <f>IF(K430&gt;0,K430*0.0625,IF(L430&gt;0,L430*2.204623,))</f>
        <v>#REF!</v>
      </c>
      <c r="K430" t="str">
        <f>IF(L430&gt;0,L430*35.273962,IF(J430&gt;0,J430*16,))</f>
        <v>#REF!</v>
      </c>
      <c r="L430" t="str">
        <f>IF(J430&gt;0,J430*0.453592,IF(K430&gt;0,K430*0.02835,))</f>
        <v>#REF!</v>
      </c>
      <c r="O430">
        <f>I430+N430+M430</f>
        <v>0</v>
      </c>
      <c r="P430">
        <f>O430*C$3</f>
        <v>0</v>
      </c>
      <c r="Q430" t="str">
        <f>ROUNDUP(HLOOKUP(IF(CEILING(L430,0.5)&lt;1,1,CEILING(L430,0.5)),'배송비 조회'!A$32:AY$36,2,0),-2)</f>
        <v>#REF!</v>
      </c>
      <c r="R430">
        <v>0</v>
      </c>
      <c r="S430" t="str">
        <f>ROUND((P430+Q430)*0.6,-2)</f>
        <v>#REF!</v>
      </c>
      <c r="T430" t="str">
        <f>ROUND((P430+Q430)*0.7,-2)</f>
        <v>#REF!</v>
      </c>
      <c r="U430" t="str">
        <f>ROUND(SUM(P430+Q430+R430+S430), -2)</f>
        <v>#REF!</v>
      </c>
      <c r="V430" t="str">
        <f>ROUND(P430+Q430+R430+T430, -2)</f>
        <v>#REF!</v>
      </c>
      <c r="W430">
        <v>0</v>
      </c>
      <c r="X430" t="str">
        <f>U430*0.038</f>
        <v>#REF!</v>
      </c>
      <c r="Y430" t="str">
        <f>U430*0.02</f>
        <v>#REF!</v>
      </c>
      <c r="Z430" t="str">
        <f>V430*0.1</f>
        <v>#REF!</v>
      </c>
      <c r="AA430" t="str">
        <f>U430-X430-Y430</f>
        <v>#REF!</v>
      </c>
      <c r="AB430" t="str">
        <f>V430-Z430</f>
        <v>#REF!</v>
      </c>
      <c r="AC430" t="str">
        <f>AA430*0.01</f>
        <v>#REF!</v>
      </c>
      <c r="AD430" t="str">
        <f>AA430-P430-AC430-Q430</f>
        <v>#REF!</v>
      </c>
      <c r="AE430" t="str">
        <f>AB430-P430-Q430-AC430</f>
        <v>#REF!</v>
      </c>
      <c r="AF430" t="str">
        <f>AD430/U430</f>
        <v>#REF!</v>
      </c>
      <c r="AG430" t="str">
        <f>AE430/V430</f>
        <v>#REF!</v>
      </c>
    </row>
    <row r="431">
      <c r="G431" t="str">
        <v>A</v>
      </c>
      <c r="J431" t="str">
        <f>IF(K431&gt;0,K431*0.0625,IF(L431&gt;0,L431*2.204623,))</f>
        <v>#REF!</v>
      </c>
      <c r="K431" t="str">
        <f>IF(L431&gt;0,L431*35.273962,IF(J431&gt;0,J431*16,))</f>
        <v>#REF!</v>
      </c>
      <c r="L431" t="str">
        <f>IF(J431&gt;0,J431*0.453592,IF(K431&gt;0,K431*0.02835,))</f>
        <v>#REF!</v>
      </c>
      <c r="O431">
        <f>I431+N431+M431</f>
        <v>0</v>
      </c>
      <c r="P431">
        <f>O431*C$3</f>
        <v>0</v>
      </c>
      <c r="Q431" t="str">
        <f>ROUNDUP(HLOOKUP(IF(CEILING(L431,0.5)&lt;1,1,CEILING(L431,0.5)),'배송비 조회'!A$32:AY$36,2,0),-2)</f>
        <v>#REF!</v>
      </c>
      <c r="R431">
        <v>0</v>
      </c>
      <c r="S431" t="str">
        <f>ROUND((P431+Q431)*0.6,-2)</f>
        <v>#REF!</v>
      </c>
      <c r="T431" t="str">
        <f>ROUND((P431+Q431)*0.7,-2)</f>
        <v>#REF!</v>
      </c>
      <c r="U431" t="str">
        <f>ROUND(SUM(P431+Q431+R431+S431), -2)</f>
        <v>#REF!</v>
      </c>
      <c r="V431" t="str">
        <f>ROUND(P431+Q431+R431+T431, -2)</f>
        <v>#REF!</v>
      </c>
      <c r="W431">
        <v>0</v>
      </c>
      <c r="X431" t="str">
        <f>U431*0.038</f>
        <v>#REF!</v>
      </c>
      <c r="Y431" t="str">
        <f>U431*0.02</f>
        <v>#REF!</v>
      </c>
      <c r="Z431" t="str">
        <f>V431*0.1</f>
        <v>#REF!</v>
      </c>
      <c r="AA431" t="str">
        <f>U431-X431-Y431</f>
        <v>#REF!</v>
      </c>
      <c r="AB431" t="str">
        <f>V431-Z431</f>
        <v>#REF!</v>
      </c>
      <c r="AC431" t="str">
        <f>AA431*0.01</f>
        <v>#REF!</v>
      </c>
      <c r="AD431" t="str">
        <f>AA431-P431-AC431-Q431</f>
        <v>#REF!</v>
      </c>
      <c r="AE431" t="str">
        <f>AB431-P431-Q431-AC431</f>
        <v>#REF!</v>
      </c>
      <c r="AF431" t="str">
        <f>AD431/U431</f>
        <v>#REF!</v>
      </c>
      <c r="AG431" t="str">
        <f>AE431/V431</f>
        <v>#REF!</v>
      </c>
    </row>
    <row r="432">
      <c r="G432" t="str">
        <v>A</v>
      </c>
      <c r="J432" t="str">
        <f>IF(K432&gt;0,K432*0.0625,IF(L432&gt;0,L432*2.204623,))</f>
        <v>#REF!</v>
      </c>
      <c r="K432" t="str">
        <f>IF(L432&gt;0,L432*35.273962,IF(J432&gt;0,J432*16,))</f>
        <v>#REF!</v>
      </c>
      <c r="L432" t="str">
        <f>IF(J432&gt;0,J432*0.453592,IF(K432&gt;0,K432*0.02835,))</f>
        <v>#REF!</v>
      </c>
      <c r="O432">
        <f>I432+N432+M432</f>
        <v>0</v>
      </c>
      <c r="P432">
        <f>O432*C$3</f>
        <v>0</v>
      </c>
      <c r="Q432" t="str">
        <f>ROUNDUP(HLOOKUP(IF(CEILING(L432,0.5)&lt;1,1,CEILING(L432,0.5)),'배송비 조회'!A$32:AY$36,2,0),-2)</f>
        <v>#REF!</v>
      </c>
      <c r="R432">
        <v>0</v>
      </c>
      <c r="S432" t="str">
        <f>ROUND((P432+Q432)*0.6,-2)</f>
        <v>#REF!</v>
      </c>
      <c r="T432" t="str">
        <f>ROUND((P432+Q432)*0.7,-2)</f>
        <v>#REF!</v>
      </c>
      <c r="U432" t="str">
        <f>ROUND(SUM(P432+Q432+R432+S432), -2)</f>
        <v>#REF!</v>
      </c>
      <c r="V432" t="str">
        <f>ROUND(P432+Q432+R432+T432, -2)</f>
        <v>#REF!</v>
      </c>
      <c r="W432">
        <v>0</v>
      </c>
      <c r="X432" t="str">
        <f>U432*0.038</f>
        <v>#REF!</v>
      </c>
      <c r="Y432" t="str">
        <f>U432*0.02</f>
        <v>#REF!</v>
      </c>
      <c r="Z432" t="str">
        <f>V432*0.1</f>
        <v>#REF!</v>
      </c>
      <c r="AA432" t="str">
        <f>U432-X432-Y432</f>
        <v>#REF!</v>
      </c>
      <c r="AB432" t="str">
        <f>V432-Z432</f>
        <v>#REF!</v>
      </c>
      <c r="AC432" t="str">
        <f>AA432*0.01</f>
        <v>#REF!</v>
      </c>
      <c r="AD432" t="str">
        <f>AA432-P432-AC432-Q432</f>
        <v>#REF!</v>
      </c>
      <c r="AE432" t="str">
        <f>AB432-P432-Q432-AC432</f>
        <v>#REF!</v>
      </c>
      <c r="AF432" t="str">
        <f>AD432/U432</f>
        <v>#REF!</v>
      </c>
      <c r="AG432" t="str">
        <f>AE432/V432</f>
        <v>#REF!</v>
      </c>
    </row>
    <row r="433">
      <c r="G433" t="str">
        <v>A</v>
      </c>
      <c r="J433" t="str">
        <f>IF(K433&gt;0,K433*0.0625,IF(L433&gt;0,L433*2.204623,))</f>
        <v>#REF!</v>
      </c>
      <c r="K433" t="str">
        <f>IF(L433&gt;0,L433*35.273962,IF(J433&gt;0,J433*16,))</f>
        <v>#REF!</v>
      </c>
      <c r="L433" t="str">
        <f>IF(J433&gt;0,J433*0.453592,IF(K433&gt;0,K433*0.02835,))</f>
        <v>#REF!</v>
      </c>
      <c r="O433">
        <f>I433+N433+M433</f>
        <v>0</v>
      </c>
      <c r="P433">
        <f>O433*C$3</f>
        <v>0</v>
      </c>
      <c r="Q433" t="str">
        <f>ROUNDUP(HLOOKUP(IF(CEILING(L433,0.5)&lt;1,1,CEILING(L433,0.5)),'배송비 조회'!A$32:AY$36,2,0),-2)</f>
        <v>#REF!</v>
      </c>
      <c r="R433">
        <v>0</v>
      </c>
      <c r="S433" t="str">
        <f>ROUND((P433+Q433)*0.6,-2)</f>
        <v>#REF!</v>
      </c>
      <c r="T433" t="str">
        <f>ROUND((P433+Q433)*0.7,-2)</f>
        <v>#REF!</v>
      </c>
      <c r="U433" t="str">
        <f>ROUND(SUM(P433+Q433+R433+S433), -2)</f>
        <v>#REF!</v>
      </c>
      <c r="V433" t="str">
        <f>ROUND(P433+Q433+R433+T433, -2)</f>
        <v>#REF!</v>
      </c>
      <c r="W433">
        <v>0</v>
      </c>
      <c r="X433" t="str">
        <f>U433*0.038</f>
        <v>#REF!</v>
      </c>
      <c r="Y433" t="str">
        <f>U433*0.02</f>
        <v>#REF!</v>
      </c>
      <c r="Z433" t="str">
        <f>V433*0.1</f>
        <v>#REF!</v>
      </c>
      <c r="AA433" t="str">
        <f>U433-X433-Y433</f>
        <v>#REF!</v>
      </c>
      <c r="AB433" t="str">
        <f>V433-Z433</f>
        <v>#REF!</v>
      </c>
      <c r="AC433" t="str">
        <f>AA433*0.01</f>
        <v>#REF!</v>
      </c>
      <c r="AD433" t="str">
        <f>AA433-P433-AC433-Q433</f>
        <v>#REF!</v>
      </c>
      <c r="AE433" t="str">
        <f>AB433-P433-Q433-AC433</f>
        <v>#REF!</v>
      </c>
      <c r="AF433" t="str">
        <f>AD433/U433</f>
        <v>#REF!</v>
      </c>
      <c r="AG433" t="str">
        <f>AE433/V433</f>
        <v>#REF!</v>
      </c>
    </row>
    <row r="434">
      <c r="G434" t="str">
        <v>A</v>
      </c>
      <c r="J434" t="str">
        <f>IF(K434&gt;0,K434*0.0625,IF(L434&gt;0,L434*2.204623,))</f>
        <v>#REF!</v>
      </c>
      <c r="K434" t="str">
        <f>IF(L434&gt;0,L434*35.273962,IF(J434&gt;0,J434*16,))</f>
        <v>#REF!</v>
      </c>
      <c r="L434" t="str">
        <f>IF(J434&gt;0,J434*0.453592,IF(K434&gt;0,K434*0.02835,))</f>
        <v>#REF!</v>
      </c>
      <c r="O434">
        <f>I434+N434+M434</f>
        <v>0</v>
      </c>
      <c r="P434">
        <f>O434*C$3</f>
        <v>0</v>
      </c>
      <c r="Q434" t="str">
        <f>ROUNDUP(HLOOKUP(IF(CEILING(L434,0.5)&lt;1,1,CEILING(L434,0.5)),'배송비 조회'!A$32:AY$36,2,0),-2)</f>
        <v>#REF!</v>
      </c>
      <c r="R434">
        <v>0</v>
      </c>
      <c r="S434" t="str">
        <f>ROUND((P434+Q434)*0.6,-2)</f>
        <v>#REF!</v>
      </c>
      <c r="T434" t="str">
        <f>ROUND((P434+Q434)*0.7,-2)</f>
        <v>#REF!</v>
      </c>
      <c r="U434" t="str">
        <f>ROUND(SUM(P434+Q434+R434+S434), -2)</f>
        <v>#REF!</v>
      </c>
      <c r="V434" t="str">
        <f>ROUND(P434+Q434+R434+T434, -2)</f>
        <v>#REF!</v>
      </c>
      <c r="W434">
        <v>0</v>
      </c>
      <c r="X434" t="str">
        <f>U434*0.038</f>
        <v>#REF!</v>
      </c>
      <c r="Y434" t="str">
        <f>U434*0.02</f>
        <v>#REF!</v>
      </c>
      <c r="Z434" t="str">
        <f>V434*0.1</f>
        <v>#REF!</v>
      </c>
      <c r="AA434" t="str">
        <f>U434-X434-Y434</f>
        <v>#REF!</v>
      </c>
      <c r="AB434" t="str">
        <f>V434-Z434</f>
        <v>#REF!</v>
      </c>
      <c r="AC434" t="str">
        <f>AA434*0.01</f>
        <v>#REF!</v>
      </c>
      <c r="AD434" t="str">
        <f>AA434-P434-AC434-Q434</f>
        <v>#REF!</v>
      </c>
      <c r="AE434" t="str">
        <f>AB434-P434-Q434-AC434</f>
        <v>#REF!</v>
      </c>
      <c r="AF434" t="str">
        <f>AD434/U434</f>
        <v>#REF!</v>
      </c>
      <c r="AG434" t="str">
        <f>AE434/V434</f>
        <v>#REF!</v>
      </c>
    </row>
    <row r="435">
      <c r="G435" t="str">
        <v>A</v>
      </c>
      <c r="J435" t="str">
        <f>IF(K435&gt;0,K435*0.0625,IF(L435&gt;0,L435*2.204623,))</f>
        <v>#REF!</v>
      </c>
      <c r="K435" t="str">
        <f>IF(L435&gt;0,L435*35.273962,IF(J435&gt;0,J435*16,))</f>
        <v>#REF!</v>
      </c>
      <c r="L435" t="str">
        <f>IF(J435&gt;0,J435*0.453592,IF(K435&gt;0,K435*0.02835,))</f>
        <v>#REF!</v>
      </c>
      <c r="O435">
        <f>I435+N435+M435</f>
        <v>0</v>
      </c>
      <c r="P435">
        <f>O435*C$3</f>
        <v>0</v>
      </c>
      <c r="Q435" t="str">
        <f>ROUNDUP(HLOOKUP(IF(CEILING(L435,0.5)&lt;1,1,CEILING(L435,0.5)),'배송비 조회'!A$32:AY$36,2,0),-2)</f>
        <v>#REF!</v>
      </c>
      <c r="R435">
        <v>0</v>
      </c>
      <c r="S435" t="str">
        <f>ROUND((P435+Q435)*0.6,-2)</f>
        <v>#REF!</v>
      </c>
      <c r="T435" t="str">
        <f>ROUND((P435+Q435)*0.7,-2)</f>
        <v>#REF!</v>
      </c>
      <c r="U435" t="str">
        <f>ROUND(SUM(P435+Q435+R435+S435), -2)</f>
        <v>#REF!</v>
      </c>
      <c r="V435" t="str">
        <f>ROUND(P435+Q435+R435+T435, -2)</f>
        <v>#REF!</v>
      </c>
      <c r="W435">
        <v>0</v>
      </c>
      <c r="X435" t="str">
        <f>U435*0.038</f>
        <v>#REF!</v>
      </c>
      <c r="Y435" t="str">
        <f>U435*0.02</f>
        <v>#REF!</v>
      </c>
      <c r="Z435" t="str">
        <f>V435*0.1</f>
        <v>#REF!</v>
      </c>
      <c r="AA435" t="str">
        <f>U435-X435-Y435</f>
        <v>#REF!</v>
      </c>
      <c r="AB435" t="str">
        <f>V435-Z435</f>
        <v>#REF!</v>
      </c>
      <c r="AC435" t="str">
        <f>AA435*0.01</f>
        <v>#REF!</v>
      </c>
      <c r="AD435" t="str">
        <f>AA435-P435-AC435-Q435</f>
        <v>#REF!</v>
      </c>
      <c r="AE435" t="str">
        <f>AB435-P435-Q435-AC435</f>
        <v>#REF!</v>
      </c>
      <c r="AF435" t="str">
        <f>AD435/U435</f>
        <v>#REF!</v>
      </c>
      <c r="AG435" t="str">
        <f>AE435/V435</f>
        <v>#REF!</v>
      </c>
    </row>
    <row r="436">
      <c r="G436" t="str">
        <v>A</v>
      </c>
      <c r="J436" t="str">
        <f>IF(K436&gt;0,K436*0.0625,IF(L436&gt;0,L436*2.204623,))</f>
        <v>#REF!</v>
      </c>
      <c r="K436" t="str">
        <f>IF(L436&gt;0,L436*35.273962,IF(J436&gt;0,J436*16,))</f>
        <v>#REF!</v>
      </c>
      <c r="L436" t="str">
        <f>IF(J436&gt;0,J436*0.453592,IF(K436&gt;0,K436*0.02835,))</f>
        <v>#REF!</v>
      </c>
      <c r="O436">
        <f>I436+N436+M436</f>
        <v>0</v>
      </c>
      <c r="P436">
        <f>O436*C$3</f>
        <v>0</v>
      </c>
      <c r="Q436" t="str">
        <f>ROUNDUP(HLOOKUP(IF(CEILING(L436,0.5)&lt;1,1,CEILING(L436,0.5)),'배송비 조회'!A$32:AY$36,2,0),-2)</f>
        <v>#REF!</v>
      </c>
      <c r="R436">
        <v>0</v>
      </c>
      <c r="S436" t="str">
        <f>ROUND((P436+Q436)*0.6,-2)</f>
        <v>#REF!</v>
      </c>
      <c r="T436" t="str">
        <f>ROUND((P436+Q436)*0.7,-2)</f>
        <v>#REF!</v>
      </c>
      <c r="U436" t="str">
        <f>ROUND(SUM(P436+Q436+R436+S436), -2)</f>
        <v>#REF!</v>
      </c>
      <c r="V436" t="str">
        <f>ROUND(P436+Q436+R436+T436, -2)</f>
        <v>#REF!</v>
      </c>
      <c r="W436">
        <v>0</v>
      </c>
      <c r="X436" t="str">
        <f>U436*0.038</f>
        <v>#REF!</v>
      </c>
      <c r="Y436" t="str">
        <f>U436*0.02</f>
        <v>#REF!</v>
      </c>
      <c r="Z436" t="str">
        <f>V436*0.1</f>
        <v>#REF!</v>
      </c>
      <c r="AA436" t="str">
        <f>U436-X436-Y436</f>
        <v>#REF!</v>
      </c>
      <c r="AB436" t="str">
        <f>V436-Z436</f>
        <v>#REF!</v>
      </c>
      <c r="AC436" t="str">
        <f>AA436*0.01</f>
        <v>#REF!</v>
      </c>
      <c r="AD436" t="str">
        <f>AA436-P436-AC436-Q436</f>
        <v>#REF!</v>
      </c>
      <c r="AE436" t="str">
        <f>AB436-P436-Q436-AC436</f>
        <v>#REF!</v>
      </c>
      <c r="AF436" t="str">
        <f>AD436/U436</f>
        <v>#REF!</v>
      </c>
      <c r="AG436" t="str">
        <f>AE436/V436</f>
        <v>#REF!</v>
      </c>
    </row>
    <row r="437">
      <c r="G437" t="str">
        <v>A</v>
      </c>
      <c r="J437" t="str">
        <f>IF(K437&gt;0,K437*0.0625,IF(L437&gt;0,L437*2.204623,))</f>
        <v>#REF!</v>
      </c>
      <c r="K437" t="str">
        <f>IF(L437&gt;0,L437*35.273962,IF(J437&gt;0,J437*16,))</f>
        <v>#REF!</v>
      </c>
      <c r="L437" t="str">
        <f>IF(J437&gt;0,J437*0.453592,IF(K437&gt;0,K437*0.02835,))</f>
        <v>#REF!</v>
      </c>
      <c r="O437">
        <f>I437+N437+M437</f>
        <v>0</v>
      </c>
      <c r="P437">
        <f>O437*C$3</f>
        <v>0</v>
      </c>
      <c r="Q437" t="str">
        <f>ROUNDUP(HLOOKUP(IF(CEILING(L437,0.5)&lt;1,1,CEILING(L437,0.5)),'배송비 조회'!A$32:AY$36,2,0),-2)</f>
        <v>#REF!</v>
      </c>
      <c r="R437">
        <v>0</v>
      </c>
      <c r="S437" t="str">
        <f>ROUND((P437+Q437)*0.6,-2)</f>
        <v>#REF!</v>
      </c>
      <c r="T437" t="str">
        <f>ROUND((P437+Q437)*0.7,-2)</f>
        <v>#REF!</v>
      </c>
      <c r="U437" t="str">
        <f>ROUND(SUM(P437+Q437+R437+S437), -2)</f>
        <v>#REF!</v>
      </c>
      <c r="V437" t="str">
        <f>ROUND(P437+Q437+R437+T437, -2)</f>
        <v>#REF!</v>
      </c>
      <c r="W437">
        <v>0</v>
      </c>
      <c r="X437" t="str">
        <f>U437*0.038</f>
        <v>#REF!</v>
      </c>
      <c r="Y437" t="str">
        <f>U437*0.02</f>
        <v>#REF!</v>
      </c>
      <c r="Z437" t="str">
        <f>V437*0.1</f>
        <v>#REF!</v>
      </c>
      <c r="AA437" t="str">
        <f>U437-X437-Y437</f>
        <v>#REF!</v>
      </c>
      <c r="AB437" t="str">
        <f>V437-Z437</f>
        <v>#REF!</v>
      </c>
      <c r="AC437" t="str">
        <f>AA437*0.01</f>
        <v>#REF!</v>
      </c>
      <c r="AD437" t="str">
        <f>AA437-P437-AC437-Q437</f>
        <v>#REF!</v>
      </c>
      <c r="AE437" t="str">
        <f>AB437-P437-Q437-AC437</f>
        <v>#REF!</v>
      </c>
      <c r="AF437" t="str">
        <f>AD437/U437</f>
        <v>#REF!</v>
      </c>
      <c r="AG437" t="str">
        <f>AE437/V437</f>
        <v>#REF!</v>
      </c>
    </row>
    <row r="438">
      <c r="G438" t="str">
        <v>A</v>
      </c>
      <c r="J438" t="str">
        <f>IF(K438&gt;0,K438*0.0625,IF(L438&gt;0,L438*2.204623,))</f>
        <v>#REF!</v>
      </c>
      <c r="K438" t="str">
        <f>IF(L438&gt;0,L438*35.273962,IF(J438&gt;0,J438*16,))</f>
        <v>#REF!</v>
      </c>
      <c r="L438" t="str">
        <f>IF(J438&gt;0,J438*0.453592,IF(K438&gt;0,K438*0.02835,))</f>
        <v>#REF!</v>
      </c>
      <c r="O438">
        <f>I438+N438+M438</f>
        <v>0</v>
      </c>
      <c r="P438">
        <f>O438*C$3</f>
        <v>0</v>
      </c>
      <c r="Q438" t="str">
        <f>ROUNDUP(HLOOKUP(IF(CEILING(L438,0.5)&lt;1,1,CEILING(L438,0.5)),'배송비 조회'!A$32:AY$36,2,0),-2)</f>
        <v>#REF!</v>
      </c>
      <c r="R438">
        <v>0</v>
      </c>
      <c r="S438" t="str">
        <f>ROUND((P438+Q438)*0.6,-2)</f>
        <v>#REF!</v>
      </c>
      <c r="T438" t="str">
        <f>ROUND((P438+Q438)*0.7,-2)</f>
        <v>#REF!</v>
      </c>
      <c r="U438" t="str">
        <f>ROUND(SUM(P438+Q438+R438+S438), -2)</f>
        <v>#REF!</v>
      </c>
      <c r="V438" t="str">
        <f>ROUND(P438+Q438+R438+T438, -2)</f>
        <v>#REF!</v>
      </c>
      <c r="W438">
        <v>0</v>
      </c>
      <c r="X438" t="str">
        <f>U438*0.038</f>
        <v>#REF!</v>
      </c>
      <c r="Y438" t="str">
        <f>U438*0.02</f>
        <v>#REF!</v>
      </c>
      <c r="Z438" t="str">
        <f>V438*0.1</f>
        <v>#REF!</v>
      </c>
      <c r="AA438" t="str">
        <f>U438-X438-Y438</f>
        <v>#REF!</v>
      </c>
      <c r="AB438" t="str">
        <f>V438-Z438</f>
        <v>#REF!</v>
      </c>
      <c r="AC438" t="str">
        <f>AA438*0.01</f>
        <v>#REF!</v>
      </c>
      <c r="AD438" t="str">
        <f>AA438-P438-AC438-Q438</f>
        <v>#REF!</v>
      </c>
      <c r="AE438" t="str">
        <f>AB438-P438-Q438-AC438</f>
        <v>#REF!</v>
      </c>
      <c r="AF438" t="str">
        <f>AD438/U438</f>
        <v>#REF!</v>
      </c>
      <c r="AG438" t="str">
        <f>AE438/V438</f>
        <v>#REF!</v>
      </c>
    </row>
    <row r="439">
      <c r="G439" t="str">
        <v>A</v>
      </c>
      <c r="J439" t="str">
        <f>IF(K439&gt;0,K439*0.0625,IF(L439&gt;0,L439*2.204623,))</f>
        <v>#REF!</v>
      </c>
      <c r="K439" t="str">
        <f>IF(L439&gt;0,L439*35.273962,IF(J439&gt;0,J439*16,))</f>
        <v>#REF!</v>
      </c>
      <c r="L439" t="str">
        <f>IF(J439&gt;0,J439*0.453592,IF(K439&gt;0,K439*0.02835,))</f>
        <v>#REF!</v>
      </c>
      <c r="O439">
        <f>I439+N439+M439</f>
        <v>0</v>
      </c>
      <c r="P439">
        <f>O439*C$3</f>
        <v>0</v>
      </c>
      <c r="Q439" t="str">
        <f>ROUNDUP(HLOOKUP(IF(CEILING(L439,0.5)&lt;1,1,CEILING(L439,0.5)),'배송비 조회'!A$32:AY$36,2,0),-2)</f>
        <v>#REF!</v>
      </c>
      <c r="R439">
        <v>0</v>
      </c>
      <c r="S439" t="str">
        <f>ROUND((P439+Q439)*0.6,-2)</f>
        <v>#REF!</v>
      </c>
      <c r="T439" t="str">
        <f>ROUND((P439+Q439)*0.7,-2)</f>
        <v>#REF!</v>
      </c>
      <c r="U439" t="str">
        <f>ROUND(SUM(P439+Q439+R439+S439), -2)</f>
        <v>#REF!</v>
      </c>
      <c r="V439" t="str">
        <f>ROUND(P439+Q439+R439+T439, -2)</f>
        <v>#REF!</v>
      </c>
      <c r="W439">
        <v>0</v>
      </c>
      <c r="X439" t="str">
        <f>U439*0.038</f>
        <v>#REF!</v>
      </c>
      <c r="Y439" t="str">
        <f>U439*0.02</f>
        <v>#REF!</v>
      </c>
      <c r="Z439" t="str">
        <f>V439*0.1</f>
        <v>#REF!</v>
      </c>
      <c r="AA439" t="str">
        <f>U439-X439-Y439</f>
        <v>#REF!</v>
      </c>
      <c r="AB439" t="str">
        <f>V439-Z439</f>
        <v>#REF!</v>
      </c>
      <c r="AC439" t="str">
        <f>AA439*0.01</f>
        <v>#REF!</v>
      </c>
      <c r="AD439" t="str">
        <f>AA439-P439-AC439-Q439</f>
        <v>#REF!</v>
      </c>
      <c r="AE439" t="str">
        <f>AB439-P439-Q439-AC439</f>
        <v>#REF!</v>
      </c>
      <c r="AF439" t="str">
        <f>AD439/U439</f>
        <v>#REF!</v>
      </c>
      <c r="AG439" t="str">
        <f>AE439/V439</f>
        <v>#REF!</v>
      </c>
    </row>
    <row r="440">
      <c r="G440" t="str">
        <v>A</v>
      </c>
      <c r="J440" t="str">
        <f>IF(K440&gt;0,K440*0.0625,IF(L440&gt;0,L440*2.204623,))</f>
        <v>#REF!</v>
      </c>
      <c r="K440" t="str">
        <f>IF(L440&gt;0,L440*35.273962,IF(J440&gt;0,J440*16,))</f>
        <v>#REF!</v>
      </c>
      <c r="L440" t="str">
        <f>IF(J440&gt;0,J440*0.453592,IF(K440&gt;0,K440*0.02835,))</f>
        <v>#REF!</v>
      </c>
      <c r="O440">
        <f>I440+N440+M440</f>
        <v>0</v>
      </c>
      <c r="P440">
        <f>O440*C$3</f>
        <v>0</v>
      </c>
      <c r="Q440" t="str">
        <f>ROUNDUP(HLOOKUP(IF(CEILING(L440,0.5)&lt;1,1,CEILING(L440,0.5)),'배송비 조회'!A$32:AY$36,2,0),-2)</f>
        <v>#REF!</v>
      </c>
      <c r="R440">
        <v>0</v>
      </c>
      <c r="S440" t="str">
        <f>ROUND((P440+Q440)*0.6,-2)</f>
        <v>#REF!</v>
      </c>
      <c r="T440" t="str">
        <f>ROUND((P440+Q440)*0.7,-2)</f>
        <v>#REF!</v>
      </c>
      <c r="U440" t="str">
        <f>ROUND(SUM(P440+Q440+R440+S440), -2)</f>
        <v>#REF!</v>
      </c>
      <c r="V440" t="str">
        <f>ROUND(P440+Q440+R440+T440, -2)</f>
        <v>#REF!</v>
      </c>
      <c r="W440">
        <v>0</v>
      </c>
      <c r="X440" t="str">
        <f>U440*0.038</f>
        <v>#REF!</v>
      </c>
      <c r="Y440" t="str">
        <f>U440*0.02</f>
        <v>#REF!</v>
      </c>
      <c r="Z440" t="str">
        <f>V440*0.1</f>
        <v>#REF!</v>
      </c>
      <c r="AA440" t="str">
        <f>U440-X440-Y440</f>
        <v>#REF!</v>
      </c>
      <c r="AB440" t="str">
        <f>V440-Z440</f>
        <v>#REF!</v>
      </c>
      <c r="AC440" t="str">
        <f>AA440*0.01</f>
        <v>#REF!</v>
      </c>
      <c r="AD440" t="str">
        <f>AA440-P440-AC440-Q440</f>
        <v>#REF!</v>
      </c>
      <c r="AE440" t="str">
        <f>AB440-P440-Q440-AC440</f>
        <v>#REF!</v>
      </c>
      <c r="AF440" t="str">
        <f>AD440/U440</f>
        <v>#REF!</v>
      </c>
      <c r="AG440" t="str">
        <f>AE440/V440</f>
        <v>#REF!</v>
      </c>
    </row>
    <row r="441">
      <c r="G441" t="str">
        <v>A</v>
      </c>
      <c r="J441" t="str">
        <f>IF(K441&gt;0,K441*0.0625,IF(L441&gt;0,L441*2.204623,))</f>
        <v>#REF!</v>
      </c>
      <c r="K441" t="str">
        <f>IF(L441&gt;0,L441*35.273962,IF(J441&gt;0,J441*16,))</f>
        <v>#REF!</v>
      </c>
      <c r="L441" t="str">
        <f>IF(J441&gt;0,J441*0.453592,IF(K441&gt;0,K441*0.02835,))</f>
        <v>#REF!</v>
      </c>
      <c r="O441">
        <f>I441+N441+M441</f>
        <v>0</v>
      </c>
      <c r="P441">
        <f>O441*C$3</f>
        <v>0</v>
      </c>
      <c r="Q441" t="str">
        <f>ROUNDUP(HLOOKUP(IF(CEILING(L441,0.5)&lt;1,1,CEILING(L441,0.5)),'배송비 조회'!A$32:AY$36,2,0),-2)</f>
        <v>#REF!</v>
      </c>
      <c r="R441">
        <v>0</v>
      </c>
      <c r="S441" t="str">
        <f>ROUND((P441+Q441)*0.6,-2)</f>
        <v>#REF!</v>
      </c>
      <c r="T441" t="str">
        <f>ROUND((P441+Q441)*0.7,-2)</f>
        <v>#REF!</v>
      </c>
      <c r="U441" t="str">
        <f>ROUND(SUM(P441+Q441+R441+S441), -2)</f>
        <v>#REF!</v>
      </c>
      <c r="V441" t="str">
        <f>ROUND(P441+Q441+R441+T441, -2)</f>
        <v>#REF!</v>
      </c>
      <c r="W441">
        <v>0</v>
      </c>
      <c r="X441" t="str">
        <f>U441*0.038</f>
        <v>#REF!</v>
      </c>
      <c r="Y441" t="str">
        <f>U441*0.02</f>
        <v>#REF!</v>
      </c>
      <c r="Z441" t="str">
        <f>V441*0.1</f>
        <v>#REF!</v>
      </c>
      <c r="AA441" t="str">
        <f>U441-X441-Y441</f>
        <v>#REF!</v>
      </c>
      <c r="AB441" t="str">
        <f>V441-Z441</f>
        <v>#REF!</v>
      </c>
      <c r="AC441" t="str">
        <f>AA441*0.01</f>
        <v>#REF!</v>
      </c>
      <c r="AD441" t="str">
        <f>AA441-P441-AC441-Q441</f>
        <v>#REF!</v>
      </c>
      <c r="AE441" t="str">
        <f>AB441-P441-Q441-AC441</f>
        <v>#REF!</v>
      </c>
      <c r="AF441" t="str">
        <f>AD441/U441</f>
        <v>#REF!</v>
      </c>
      <c r="AG441" t="str">
        <f>AE441/V441</f>
        <v>#REF!</v>
      </c>
    </row>
    <row r="442">
      <c r="G442" t="str">
        <v>A</v>
      </c>
      <c r="J442" t="str">
        <f>IF(K442&gt;0,K442*0.0625,IF(L442&gt;0,L442*2.204623,))</f>
        <v>#REF!</v>
      </c>
      <c r="K442" t="str">
        <f>IF(L442&gt;0,L442*35.273962,IF(J442&gt;0,J442*16,))</f>
        <v>#REF!</v>
      </c>
      <c r="L442" t="str">
        <f>IF(J442&gt;0,J442*0.453592,IF(K442&gt;0,K442*0.02835,))</f>
        <v>#REF!</v>
      </c>
      <c r="O442">
        <f>I442+N442+M442</f>
        <v>0</v>
      </c>
      <c r="P442">
        <f>O442*C$3</f>
        <v>0</v>
      </c>
      <c r="Q442" t="str">
        <f>ROUNDUP(HLOOKUP(IF(CEILING(L442,0.5)&lt;1,1,CEILING(L442,0.5)),'배송비 조회'!A$32:AY$36,2,0),-2)</f>
        <v>#REF!</v>
      </c>
      <c r="R442">
        <v>0</v>
      </c>
      <c r="S442" t="str">
        <f>ROUND((P442+Q442)*0.6,-2)</f>
        <v>#REF!</v>
      </c>
      <c r="T442" t="str">
        <f>ROUND((P442+Q442)*0.7,-2)</f>
        <v>#REF!</v>
      </c>
      <c r="U442" t="str">
        <f>ROUND(SUM(P442+Q442+R442+S442), -2)</f>
        <v>#REF!</v>
      </c>
      <c r="V442" t="str">
        <f>ROUND(P442+Q442+R442+T442, -2)</f>
        <v>#REF!</v>
      </c>
      <c r="W442">
        <v>0</v>
      </c>
      <c r="X442" t="str">
        <f>U442*0.038</f>
        <v>#REF!</v>
      </c>
      <c r="Y442" t="str">
        <f>U442*0.02</f>
        <v>#REF!</v>
      </c>
      <c r="Z442" t="str">
        <f>V442*0.1</f>
        <v>#REF!</v>
      </c>
      <c r="AA442" t="str">
        <f>U442-X442-Y442</f>
        <v>#REF!</v>
      </c>
      <c r="AB442" t="str">
        <f>V442-Z442</f>
        <v>#REF!</v>
      </c>
      <c r="AC442" t="str">
        <f>AA442*0.01</f>
        <v>#REF!</v>
      </c>
      <c r="AD442" t="str">
        <f>AA442-P442-AC442-Q442</f>
        <v>#REF!</v>
      </c>
      <c r="AE442" t="str">
        <f>AB442-P442-Q442-AC442</f>
        <v>#REF!</v>
      </c>
      <c r="AF442" t="str">
        <f>AD442/U442</f>
        <v>#REF!</v>
      </c>
      <c r="AG442" t="str">
        <f>AE442/V442</f>
        <v>#REF!</v>
      </c>
    </row>
    <row r="443">
      <c r="G443" t="str">
        <v>A</v>
      </c>
      <c r="J443" t="str">
        <f>IF(K443&gt;0,K443*0.0625,IF(L443&gt;0,L443*2.204623,))</f>
        <v>#REF!</v>
      </c>
      <c r="K443" t="str">
        <f>IF(L443&gt;0,L443*35.273962,IF(J443&gt;0,J443*16,))</f>
        <v>#REF!</v>
      </c>
      <c r="L443" t="str">
        <f>IF(J443&gt;0,J443*0.453592,IF(K443&gt;0,K443*0.02835,))</f>
        <v>#REF!</v>
      </c>
      <c r="O443">
        <f>I443+N443+M443</f>
        <v>0</v>
      </c>
      <c r="P443">
        <f>O443*C$3</f>
        <v>0</v>
      </c>
      <c r="Q443" t="str">
        <f>ROUNDUP(HLOOKUP(IF(CEILING(L443,0.5)&lt;1,1,CEILING(L443,0.5)),'배송비 조회'!A$32:AY$36,2,0),-2)</f>
        <v>#REF!</v>
      </c>
      <c r="R443">
        <v>0</v>
      </c>
      <c r="S443" t="str">
        <f>ROUND((P443+Q443)*0.6,-2)</f>
        <v>#REF!</v>
      </c>
      <c r="T443" t="str">
        <f>ROUND((P443+Q443)*0.7,-2)</f>
        <v>#REF!</v>
      </c>
      <c r="U443" t="str">
        <f>ROUND(SUM(P443+Q443+R443+S443), -2)</f>
        <v>#REF!</v>
      </c>
      <c r="V443" t="str">
        <f>ROUND(P443+Q443+R443+T443, -2)</f>
        <v>#REF!</v>
      </c>
      <c r="W443">
        <v>0</v>
      </c>
      <c r="X443" t="str">
        <f>U443*0.038</f>
        <v>#REF!</v>
      </c>
      <c r="Y443" t="str">
        <f>U443*0.02</f>
        <v>#REF!</v>
      </c>
      <c r="Z443" t="str">
        <f>V443*0.1</f>
        <v>#REF!</v>
      </c>
      <c r="AA443" t="str">
        <f>U443-X443-Y443</f>
        <v>#REF!</v>
      </c>
      <c r="AB443" t="str">
        <f>V443-Z443</f>
        <v>#REF!</v>
      </c>
      <c r="AC443" t="str">
        <f>AA443*0.01</f>
        <v>#REF!</v>
      </c>
      <c r="AD443" t="str">
        <f>AA443-P443-AC443-Q443</f>
        <v>#REF!</v>
      </c>
      <c r="AE443" t="str">
        <f>AB443-P443-Q443-AC443</f>
        <v>#REF!</v>
      </c>
      <c r="AF443" t="str">
        <f>AD443/U443</f>
        <v>#REF!</v>
      </c>
      <c r="AG443" t="str">
        <f>AE443/V443</f>
        <v>#REF!</v>
      </c>
    </row>
    <row r="444">
      <c r="G444" t="str">
        <v>A</v>
      </c>
      <c r="J444" t="str">
        <f>IF(K444&gt;0,K444*0.0625,IF(L444&gt;0,L444*2.204623,))</f>
        <v>#REF!</v>
      </c>
      <c r="K444" t="str">
        <f>IF(L444&gt;0,L444*35.273962,IF(J444&gt;0,J444*16,))</f>
        <v>#REF!</v>
      </c>
      <c r="L444" t="str">
        <f>IF(J444&gt;0,J444*0.453592,IF(K444&gt;0,K444*0.02835,))</f>
        <v>#REF!</v>
      </c>
      <c r="O444">
        <f>I444+N444+M444</f>
        <v>0</v>
      </c>
      <c r="P444">
        <f>O444*C$3</f>
        <v>0</v>
      </c>
      <c r="Q444" t="str">
        <f>ROUNDUP(HLOOKUP(IF(CEILING(L444,0.5)&lt;1,1,CEILING(L444,0.5)),'배송비 조회'!A$32:AY$36,2,0),-2)</f>
        <v>#REF!</v>
      </c>
      <c r="R444">
        <v>0</v>
      </c>
      <c r="S444" t="str">
        <f>ROUND((P444+Q444)*0.6,-2)</f>
        <v>#REF!</v>
      </c>
      <c r="T444" t="str">
        <f>ROUND((P444+Q444)*0.7,-2)</f>
        <v>#REF!</v>
      </c>
      <c r="U444" t="str">
        <f>ROUND(SUM(P444+Q444+R444+S444), -2)</f>
        <v>#REF!</v>
      </c>
      <c r="V444" t="str">
        <f>ROUND(P444+Q444+R444+T444, -2)</f>
        <v>#REF!</v>
      </c>
      <c r="W444">
        <v>0</v>
      </c>
      <c r="X444" t="str">
        <f>U444*0.038</f>
        <v>#REF!</v>
      </c>
      <c r="Y444" t="str">
        <f>U444*0.02</f>
        <v>#REF!</v>
      </c>
      <c r="Z444" t="str">
        <f>V444*0.1</f>
        <v>#REF!</v>
      </c>
      <c r="AA444" t="str">
        <f>U444-X444-Y444</f>
        <v>#REF!</v>
      </c>
      <c r="AB444" t="str">
        <f>V444-Z444</f>
        <v>#REF!</v>
      </c>
      <c r="AC444" t="str">
        <f>AA444*0.01</f>
        <v>#REF!</v>
      </c>
      <c r="AD444" t="str">
        <f>AA444-P444-AC444-Q444</f>
        <v>#REF!</v>
      </c>
      <c r="AE444" t="str">
        <f>AB444-P444-Q444-AC444</f>
        <v>#REF!</v>
      </c>
      <c r="AF444" t="str">
        <f>AD444/U444</f>
        <v>#REF!</v>
      </c>
      <c r="AG444" t="str">
        <f>AE444/V444</f>
        <v>#REF!</v>
      </c>
    </row>
    <row r="445">
      <c r="G445" t="str">
        <v>A</v>
      </c>
      <c r="J445" t="str">
        <f>IF(K445&gt;0,K445*0.0625,IF(L445&gt;0,L445*2.204623,))</f>
        <v>#REF!</v>
      </c>
      <c r="K445" t="str">
        <f>IF(L445&gt;0,L445*35.273962,IF(J445&gt;0,J445*16,))</f>
        <v>#REF!</v>
      </c>
      <c r="L445" t="str">
        <f>IF(J445&gt;0,J445*0.453592,IF(K445&gt;0,K445*0.02835,))</f>
        <v>#REF!</v>
      </c>
      <c r="O445">
        <f>I445+N445+M445</f>
        <v>0</v>
      </c>
      <c r="P445">
        <f>O445*C$3</f>
        <v>0</v>
      </c>
      <c r="Q445" t="str">
        <f>ROUNDUP(HLOOKUP(IF(CEILING(L445,0.5)&lt;1,1,CEILING(L445,0.5)),'배송비 조회'!A$32:AY$36,2,0),-2)</f>
        <v>#REF!</v>
      </c>
      <c r="R445">
        <v>0</v>
      </c>
      <c r="S445" t="str">
        <f>ROUND((P445+Q445)*0.6,-2)</f>
        <v>#REF!</v>
      </c>
      <c r="T445" t="str">
        <f>ROUND((P445+Q445)*0.7,-2)</f>
        <v>#REF!</v>
      </c>
      <c r="U445" t="str">
        <f>ROUND(SUM(P445+Q445+R445+S445), -2)</f>
        <v>#REF!</v>
      </c>
      <c r="V445" t="str">
        <f>ROUND(P445+Q445+R445+T445, -2)</f>
        <v>#REF!</v>
      </c>
      <c r="W445">
        <v>0</v>
      </c>
      <c r="X445" t="str">
        <f>U445*0.038</f>
        <v>#REF!</v>
      </c>
      <c r="Y445" t="str">
        <f>U445*0.02</f>
        <v>#REF!</v>
      </c>
      <c r="Z445" t="str">
        <f>V445*0.1</f>
        <v>#REF!</v>
      </c>
      <c r="AA445" t="str">
        <f>U445-X445-Y445</f>
        <v>#REF!</v>
      </c>
      <c r="AB445" t="str">
        <f>V445-Z445</f>
        <v>#REF!</v>
      </c>
      <c r="AC445" t="str">
        <f>AA445*0.01</f>
        <v>#REF!</v>
      </c>
      <c r="AD445" t="str">
        <f>AA445-P445-AC445-Q445</f>
        <v>#REF!</v>
      </c>
      <c r="AE445" t="str">
        <f>AB445-P445-Q445-AC445</f>
        <v>#REF!</v>
      </c>
      <c r="AF445" t="str">
        <f>AD445/U445</f>
        <v>#REF!</v>
      </c>
      <c r="AG445" t="str">
        <f>AE445/V445</f>
        <v>#REF!</v>
      </c>
    </row>
    <row r="446">
      <c r="G446" t="str">
        <v>A</v>
      </c>
      <c r="J446" t="str">
        <f>IF(K446&gt;0,K446*0.0625,IF(L446&gt;0,L446*2.204623,))</f>
        <v>#REF!</v>
      </c>
      <c r="K446" t="str">
        <f>IF(L446&gt;0,L446*35.273962,IF(J446&gt;0,J446*16,))</f>
        <v>#REF!</v>
      </c>
      <c r="L446" t="str">
        <f>IF(J446&gt;0,J446*0.453592,IF(K446&gt;0,K446*0.02835,))</f>
        <v>#REF!</v>
      </c>
      <c r="O446">
        <f>I446+N446+M446</f>
        <v>0</v>
      </c>
      <c r="P446">
        <f>O446*C$3</f>
        <v>0</v>
      </c>
      <c r="Q446" t="str">
        <f>ROUNDUP(HLOOKUP(IF(CEILING(L446,0.5)&lt;1,1,CEILING(L446,0.5)),'배송비 조회'!A$32:AY$36,2,0),-2)</f>
        <v>#REF!</v>
      </c>
      <c r="R446">
        <v>0</v>
      </c>
      <c r="S446" t="str">
        <f>ROUND((P446+Q446)*0.6,-2)</f>
        <v>#REF!</v>
      </c>
      <c r="T446" t="str">
        <f>ROUND((P446+Q446)*0.7,-2)</f>
        <v>#REF!</v>
      </c>
      <c r="U446" t="str">
        <f>ROUND(SUM(P446+Q446+R446+S446), -2)</f>
        <v>#REF!</v>
      </c>
      <c r="V446" t="str">
        <f>ROUND(P446+Q446+R446+T446, -2)</f>
        <v>#REF!</v>
      </c>
      <c r="W446">
        <v>0</v>
      </c>
      <c r="X446" t="str">
        <f>U446*0.038</f>
        <v>#REF!</v>
      </c>
      <c r="Y446" t="str">
        <f>U446*0.02</f>
        <v>#REF!</v>
      </c>
      <c r="Z446" t="str">
        <f>V446*0.1</f>
        <v>#REF!</v>
      </c>
      <c r="AA446" t="str">
        <f>U446-X446-Y446</f>
        <v>#REF!</v>
      </c>
      <c r="AB446" t="str">
        <f>V446-Z446</f>
        <v>#REF!</v>
      </c>
      <c r="AC446" t="str">
        <f>AA446*0.01</f>
        <v>#REF!</v>
      </c>
      <c r="AD446" t="str">
        <f>AA446-P446-AC446-Q446</f>
        <v>#REF!</v>
      </c>
      <c r="AE446" t="str">
        <f>AB446-P446-Q446-AC446</f>
        <v>#REF!</v>
      </c>
      <c r="AF446" t="str">
        <f>AD446/U446</f>
        <v>#REF!</v>
      </c>
      <c r="AG446" t="str">
        <f>AE446/V446</f>
        <v>#REF!</v>
      </c>
    </row>
    <row r="447">
      <c r="G447" t="str">
        <v>A</v>
      </c>
      <c r="J447" t="str">
        <f>IF(K447&gt;0,K447*0.0625,IF(L447&gt;0,L447*2.204623,))</f>
        <v>#REF!</v>
      </c>
      <c r="K447" t="str">
        <f>IF(L447&gt;0,L447*35.273962,IF(J447&gt;0,J447*16,))</f>
        <v>#REF!</v>
      </c>
      <c r="L447" t="str">
        <f>IF(J447&gt;0,J447*0.453592,IF(K447&gt;0,K447*0.02835,))</f>
        <v>#REF!</v>
      </c>
      <c r="O447">
        <f>I447+N447+M447</f>
        <v>0</v>
      </c>
      <c r="P447">
        <f>O447*C$3</f>
        <v>0</v>
      </c>
      <c r="Q447" t="str">
        <f>ROUNDUP(HLOOKUP(IF(CEILING(L447,0.5)&lt;1,1,CEILING(L447,0.5)),'배송비 조회'!A$32:AY$36,2,0),-2)</f>
        <v>#REF!</v>
      </c>
      <c r="R447">
        <v>0</v>
      </c>
      <c r="S447" t="str">
        <f>ROUND((P447+Q447)*0.6,-2)</f>
        <v>#REF!</v>
      </c>
      <c r="T447" t="str">
        <f>ROUND((P447+Q447)*0.7,-2)</f>
        <v>#REF!</v>
      </c>
      <c r="U447" t="str">
        <f>ROUND(SUM(P447+Q447+R447+S447), -2)</f>
        <v>#REF!</v>
      </c>
      <c r="V447" t="str">
        <f>ROUND(P447+Q447+R447+T447, -2)</f>
        <v>#REF!</v>
      </c>
      <c r="W447">
        <v>0</v>
      </c>
      <c r="X447" t="str">
        <f>U447*0.038</f>
        <v>#REF!</v>
      </c>
      <c r="Y447" t="str">
        <f>U447*0.02</f>
        <v>#REF!</v>
      </c>
      <c r="Z447" t="str">
        <f>V447*0.1</f>
        <v>#REF!</v>
      </c>
      <c r="AA447" t="str">
        <f>U447-X447-Y447</f>
        <v>#REF!</v>
      </c>
      <c r="AB447" t="str">
        <f>V447-Z447</f>
        <v>#REF!</v>
      </c>
      <c r="AC447" t="str">
        <f>AA447*0.01</f>
        <v>#REF!</v>
      </c>
      <c r="AD447" t="str">
        <f>AA447-P447-AC447-Q447</f>
        <v>#REF!</v>
      </c>
      <c r="AE447" t="str">
        <f>AB447-P447-Q447-AC447</f>
        <v>#REF!</v>
      </c>
      <c r="AF447" t="str">
        <f>AD447/U447</f>
        <v>#REF!</v>
      </c>
      <c r="AG447" t="str">
        <f>AE447/V447</f>
        <v>#REF!</v>
      </c>
    </row>
    <row r="448">
      <c r="G448" t="str">
        <v>A</v>
      </c>
      <c r="J448" t="str">
        <f>IF(K448&gt;0,K448*0.0625,IF(L448&gt;0,L448*2.204623,))</f>
        <v>#REF!</v>
      </c>
      <c r="K448" t="str">
        <f>IF(L448&gt;0,L448*35.273962,IF(J448&gt;0,J448*16,))</f>
        <v>#REF!</v>
      </c>
      <c r="L448" t="str">
        <f>IF(J448&gt;0,J448*0.453592,IF(K448&gt;0,K448*0.02835,))</f>
        <v>#REF!</v>
      </c>
      <c r="O448">
        <f>I448+N448+M448</f>
        <v>0</v>
      </c>
      <c r="P448">
        <f>O448*C$3</f>
        <v>0</v>
      </c>
      <c r="Q448" t="str">
        <f>ROUNDUP(HLOOKUP(IF(CEILING(L448,0.5)&lt;1,1,CEILING(L448,0.5)),'배송비 조회'!A$32:AY$36,2,0),-2)</f>
        <v>#REF!</v>
      </c>
      <c r="R448">
        <v>0</v>
      </c>
      <c r="S448" t="str">
        <f>ROUND((P448+Q448)*0.6,-2)</f>
        <v>#REF!</v>
      </c>
      <c r="T448" t="str">
        <f>ROUND((P448+Q448)*0.7,-2)</f>
        <v>#REF!</v>
      </c>
      <c r="U448" t="str">
        <f>ROUND(SUM(P448+Q448+R448+S448), -2)</f>
        <v>#REF!</v>
      </c>
      <c r="V448" t="str">
        <f>ROUND(P448+Q448+R448+T448, -2)</f>
        <v>#REF!</v>
      </c>
      <c r="W448">
        <v>0</v>
      </c>
      <c r="X448" t="str">
        <f>U448*0.038</f>
        <v>#REF!</v>
      </c>
      <c r="Y448" t="str">
        <f>U448*0.02</f>
        <v>#REF!</v>
      </c>
      <c r="Z448" t="str">
        <f>V448*0.1</f>
        <v>#REF!</v>
      </c>
      <c r="AA448" t="str">
        <f>U448-X448-Y448</f>
        <v>#REF!</v>
      </c>
      <c r="AB448" t="str">
        <f>V448-Z448</f>
        <v>#REF!</v>
      </c>
      <c r="AC448" t="str">
        <f>AA448*0.01</f>
        <v>#REF!</v>
      </c>
      <c r="AD448" t="str">
        <f>AA448-P448-AC448-Q448</f>
        <v>#REF!</v>
      </c>
      <c r="AE448" t="str">
        <f>AB448-P448-Q448-AC448</f>
        <v>#REF!</v>
      </c>
      <c r="AF448" t="str">
        <f>AD448/U448</f>
        <v>#REF!</v>
      </c>
      <c r="AG448" t="str">
        <f>AE448/V448</f>
        <v>#REF!</v>
      </c>
    </row>
    <row r="449">
      <c r="G449" t="str">
        <v>A</v>
      </c>
      <c r="J449" t="str">
        <f>IF(K449&gt;0,K449*0.0625,IF(L449&gt;0,L449*2.204623,))</f>
        <v>#REF!</v>
      </c>
      <c r="K449" t="str">
        <f>IF(L449&gt;0,L449*35.273962,IF(J449&gt;0,J449*16,))</f>
        <v>#REF!</v>
      </c>
      <c r="L449" t="str">
        <f>IF(J449&gt;0,J449*0.453592,IF(K449&gt;0,K449*0.02835,))</f>
        <v>#REF!</v>
      </c>
      <c r="O449">
        <f>I449+N449+M449</f>
        <v>0</v>
      </c>
      <c r="P449">
        <f>O449*C$3</f>
        <v>0</v>
      </c>
      <c r="Q449" t="str">
        <f>ROUNDUP(HLOOKUP(IF(CEILING(L449,0.5)&lt;1,1,CEILING(L449,0.5)),'배송비 조회'!A$32:AY$36,2,0),-2)</f>
        <v>#REF!</v>
      </c>
      <c r="R449">
        <v>0</v>
      </c>
      <c r="S449" t="str">
        <f>ROUND((P449+Q449)*0.6,-2)</f>
        <v>#REF!</v>
      </c>
      <c r="T449" t="str">
        <f>ROUND((P449+Q449)*0.7,-2)</f>
        <v>#REF!</v>
      </c>
      <c r="U449" t="str">
        <f>ROUND(SUM(P449+Q449+R449+S449), -2)</f>
        <v>#REF!</v>
      </c>
      <c r="V449" t="str">
        <f>ROUND(P449+Q449+R449+T449, -2)</f>
        <v>#REF!</v>
      </c>
      <c r="W449">
        <v>0</v>
      </c>
      <c r="X449" t="str">
        <f>U449*0.038</f>
        <v>#REF!</v>
      </c>
      <c r="Y449" t="str">
        <f>U449*0.02</f>
        <v>#REF!</v>
      </c>
      <c r="Z449" t="str">
        <f>V449*0.1</f>
        <v>#REF!</v>
      </c>
      <c r="AA449" t="str">
        <f>U449-X449-Y449</f>
        <v>#REF!</v>
      </c>
      <c r="AB449" t="str">
        <f>V449-Z449</f>
        <v>#REF!</v>
      </c>
      <c r="AC449" t="str">
        <f>AA449*0.01</f>
        <v>#REF!</v>
      </c>
      <c r="AD449" t="str">
        <f>AA449-P449-AC449-Q449</f>
        <v>#REF!</v>
      </c>
      <c r="AE449" t="str">
        <f>AB449-P449-Q449-AC449</f>
        <v>#REF!</v>
      </c>
      <c r="AF449" t="str">
        <f>AD449/U449</f>
        <v>#REF!</v>
      </c>
      <c r="AG449" t="str">
        <f>AE449/V449</f>
        <v>#REF!</v>
      </c>
    </row>
    <row r="450">
      <c r="G450" t="str">
        <v>A</v>
      </c>
      <c r="J450" t="str">
        <f>IF(K450&gt;0,K450*0.0625,IF(L450&gt;0,L450*2.204623,))</f>
        <v>#REF!</v>
      </c>
      <c r="K450" t="str">
        <f>IF(L450&gt;0,L450*35.273962,IF(J450&gt;0,J450*16,))</f>
        <v>#REF!</v>
      </c>
      <c r="L450" t="str">
        <f>IF(J450&gt;0,J450*0.453592,IF(K450&gt;0,K450*0.02835,))</f>
        <v>#REF!</v>
      </c>
      <c r="O450">
        <f>I450+N450+M450</f>
        <v>0</v>
      </c>
      <c r="P450">
        <f>O450*C$3</f>
        <v>0</v>
      </c>
      <c r="Q450" t="str">
        <f>ROUNDUP(HLOOKUP(IF(CEILING(L450,0.5)&lt;1,1,CEILING(L450,0.5)),'배송비 조회'!A$32:AY$36,2,0),-2)</f>
        <v>#REF!</v>
      </c>
      <c r="R450">
        <v>0</v>
      </c>
      <c r="S450" t="str">
        <f>ROUND((P450+Q450)*0.6,-2)</f>
        <v>#REF!</v>
      </c>
      <c r="T450" t="str">
        <f>ROUND((P450+Q450)*0.7,-2)</f>
        <v>#REF!</v>
      </c>
      <c r="U450" t="str">
        <f>ROUND(SUM(P450+Q450+R450+S450), -2)</f>
        <v>#REF!</v>
      </c>
      <c r="V450" t="str">
        <f>ROUND(P450+Q450+R450+T450, -2)</f>
        <v>#REF!</v>
      </c>
      <c r="W450">
        <v>0</v>
      </c>
      <c r="X450" t="str">
        <f>U450*0.038</f>
        <v>#REF!</v>
      </c>
      <c r="Y450" t="str">
        <f>U450*0.02</f>
        <v>#REF!</v>
      </c>
      <c r="Z450" t="str">
        <f>V450*0.1</f>
        <v>#REF!</v>
      </c>
      <c r="AA450" t="str">
        <f>U450-X450-Y450</f>
        <v>#REF!</v>
      </c>
      <c r="AB450" t="str">
        <f>V450-Z450</f>
        <v>#REF!</v>
      </c>
      <c r="AC450" t="str">
        <f>AA450*0.01</f>
        <v>#REF!</v>
      </c>
      <c r="AD450" t="str">
        <f>AA450-P450-AC450-Q450</f>
        <v>#REF!</v>
      </c>
      <c r="AE450" t="str">
        <f>AB450-P450-Q450-AC450</f>
        <v>#REF!</v>
      </c>
      <c r="AF450" t="str">
        <f>AD450/U450</f>
        <v>#REF!</v>
      </c>
      <c r="AG450" t="str">
        <f>AE450/V450</f>
        <v>#REF!</v>
      </c>
    </row>
    <row r="451">
      <c r="G451" t="str">
        <v>A</v>
      </c>
      <c r="J451" t="str">
        <f>IF(K451&gt;0,K451*0.0625,IF(L451&gt;0,L451*2.204623,))</f>
        <v>#REF!</v>
      </c>
      <c r="K451" t="str">
        <f>IF(L451&gt;0,L451*35.273962,IF(J451&gt;0,J451*16,))</f>
        <v>#REF!</v>
      </c>
      <c r="L451" t="str">
        <f>IF(J451&gt;0,J451*0.453592,IF(K451&gt;0,K451*0.02835,))</f>
        <v>#REF!</v>
      </c>
      <c r="O451">
        <f>I451+N451+M451</f>
        <v>0</v>
      </c>
      <c r="P451">
        <f>O451*C$3</f>
        <v>0</v>
      </c>
      <c r="Q451" t="str">
        <f>ROUNDUP(HLOOKUP(IF(CEILING(L451,0.5)&lt;1,1,CEILING(L451,0.5)),'배송비 조회'!A$32:AY$36,2,0),-2)</f>
        <v>#REF!</v>
      </c>
      <c r="R451">
        <v>0</v>
      </c>
      <c r="S451" t="str">
        <f>ROUND((P451+Q451)*0.6,-2)</f>
        <v>#REF!</v>
      </c>
      <c r="T451" t="str">
        <f>ROUND((P451+Q451)*0.7,-2)</f>
        <v>#REF!</v>
      </c>
      <c r="U451" t="str">
        <f>ROUND(SUM(P451+Q451+R451+S451), -2)</f>
        <v>#REF!</v>
      </c>
      <c r="V451" t="str">
        <f>ROUND(P451+Q451+R451+T451, -2)</f>
        <v>#REF!</v>
      </c>
      <c r="W451">
        <v>0</v>
      </c>
      <c r="X451" t="str">
        <f>U451*0.038</f>
        <v>#REF!</v>
      </c>
      <c r="Y451" t="str">
        <f>U451*0.02</f>
        <v>#REF!</v>
      </c>
      <c r="Z451" t="str">
        <f>V451*0.1</f>
        <v>#REF!</v>
      </c>
      <c r="AA451" t="str">
        <f>U451-X451-Y451</f>
        <v>#REF!</v>
      </c>
      <c r="AB451" t="str">
        <f>V451-Z451</f>
        <v>#REF!</v>
      </c>
      <c r="AC451" t="str">
        <f>AA451*0.01</f>
        <v>#REF!</v>
      </c>
      <c r="AD451" t="str">
        <f>AA451-P451-AC451-Q451</f>
        <v>#REF!</v>
      </c>
      <c r="AE451" t="str">
        <f>AB451-P451-Q451-AC451</f>
        <v>#REF!</v>
      </c>
      <c r="AF451" t="str">
        <f>AD451/U451</f>
        <v>#REF!</v>
      </c>
      <c r="AG451" t="str">
        <f>AE451/V451</f>
        <v>#REF!</v>
      </c>
    </row>
    <row r="452">
      <c r="G452" t="str">
        <v>A</v>
      </c>
      <c r="J452" t="str">
        <f>IF(K452&gt;0,K452*0.0625,IF(L452&gt;0,L452*2.204623,))</f>
        <v>#REF!</v>
      </c>
      <c r="K452" t="str">
        <f>IF(L452&gt;0,L452*35.273962,IF(J452&gt;0,J452*16,))</f>
        <v>#REF!</v>
      </c>
      <c r="L452" t="str">
        <f>IF(J452&gt;0,J452*0.453592,IF(K452&gt;0,K452*0.02835,))</f>
        <v>#REF!</v>
      </c>
      <c r="O452">
        <f>I452+N452+M452</f>
        <v>0</v>
      </c>
      <c r="P452">
        <f>O452*C$3</f>
        <v>0</v>
      </c>
      <c r="Q452" t="str">
        <f>ROUNDUP(HLOOKUP(IF(CEILING(L452,0.5)&lt;1,1,CEILING(L452,0.5)),'배송비 조회'!A$32:AY$36,2,0),-2)</f>
        <v>#REF!</v>
      </c>
      <c r="R452">
        <v>0</v>
      </c>
      <c r="S452" t="str">
        <f>ROUND((P452+Q452)*0.6,-2)</f>
        <v>#REF!</v>
      </c>
      <c r="T452" t="str">
        <f>ROUND((P452+Q452)*0.7,-2)</f>
        <v>#REF!</v>
      </c>
      <c r="U452" t="str">
        <f>ROUND(SUM(P452+Q452+R452+S452), -2)</f>
        <v>#REF!</v>
      </c>
      <c r="V452" t="str">
        <f>ROUND(P452+Q452+R452+T452, -2)</f>
        <v>#REF!</v>
      </c>
      <c r="W452">
        <v>0</v>
      </c>
      <c r="X452" t="str">
        <f>U452*0.038</f>
        <v>#REF!</v>
      </c>
      <c r="Y452" t="str">
        <f>U452*0.02</f>
        <v>#REF!</v>
      </c>
      <c r="Z452" t="str">
        <f>V452*0.1</f>
        <v>#REF!</v>
      </c>
      <c r="AA452" t="str">
        <f>U452-X452-Y452</f>
        <v>#REF!</v>
      </c>
      <c r="AB452" t="str">
        <f>V452-Z452</f>
        <v>#REF!</v>
      </c>
      <c r="AC452" t="str">
        <f>AA452*0.01</f>
        <v>#REF!</v>
      </c>
      <c r="AD452" t="str">
        <f>AA452-P452-AC452-Q452</f>
        <v>#REF!</v>
      </c>
      <c r="AE452" t="str">
        <f>AB452-P452-Q452-AC452</f>
        <v>#REF!</v>
      </c>
      <c r="AF452" t="str">
        <f>AD452/U452</f>
        <v>#REF!</v>
      </c>
      <c r="AG452" t="str">
        <f>AE452/V452</f>
        <v>#REF!</v>
      </c>
    </row>
    <row r="453">
      <c r="G453" t="str">
        <v>A</v>
      </c>
      <c r="J453" t="str">
        <f>IF(K453&gt;0,K453*0.0625,IF(L453&gt;0,L453*2.204623,))</f>
        <v>#REF!</v>
      </c>
      <c r="K453" t="str">
        <f>IF(L453&gt;0,L453*35.273962,IF(J453&gt;0,J453*16,))</f>
        <v>#REF!</v>
      </c>
      <c r="L453" t="str">
        <f>IF(J453&gt;0,J453*0.453592,IF(K453&gt;0,K453*0.02835,))</f>
        <v>#REF!</v>
      </c>
      <c r="O453">
        <f>I453+N453+M453</f>
        <v>0</v>
      </c>
      <c r="P453">
        <f>O453*C$3</f>
        <v>0</v>
      </c>
      <c r="Q453" t="str">
        <f>ROUNDUP(HLOOKUP(IF(CEILING(L453,0.5)&lt;1,1,CEILING(L453,0.5)),'배송비 조회'!A$32:AY$36,2,0),-2)</f>
        <v>#REF!</v>
      </c>
      <c r="R453">
        <v>0</v>
      </c>
      <c r="S453" t="str">
        <f>ROUND((P453+Q453)*0.6,-2)</f>
        <v>#REF!</v>
      </c>
      <c r="T453" t="str">
        <f>ROUND((P453+Q453)*0.7,-2)</f>
        <v>#REF!</v>
      </c>
      <c r="U453" t="str">
        <f>ROUND(SUM(P453+Q453+R453+S453), -2)</f>
        <v>#REF!</v>
      </c>
      <c r="V453" t="str">
        <f>ROUND(P453+Q453+R453+T453, -2)</f>
        <v>#REF!</v>
      </c>
      <c r="W453">
        <v>0</v>
      </c>
      <c r="X453" t="str">
        <f>U453*0.038</f>
        <v>#REF!</v>
      </c>
      <c r="Y453" t="str">
        <f>U453*0.02</f>
        <v>#REF!</v>
      </c>
      <c r="Z453" t="str">
        <f>V453*0.1</f>
        <v>#REF!</v>
      </c>
      <c r="AA453" t="str">
        <f>U453-X453-Y453</f>
        <v>#REF!</v>
      </c>
      <c r="AB453" t="str">
        <f>V453-Z453</f>
        <v>#REF!</v>
      </c>
      <c r="AC453" t="str">
        <f>AA453*0.01</f>
        <v>#REF!</v>
      </c>
      <c r="AD453" t="str">
        <f>AA453-P453-AC453-Q453</f>
        <v>#REF!</v>
      </c>
      <c r="AE453" t="str">
        <f>AB453-P453-Q453-AC453</f>
        <v>#REF!</v>
      </c>
      <c r="AF453" t="str">
        <f>AD453/U453</f>
        <v>#REF!</v>
      </c>
      <c r="AG453" t="str">
        <f>AE453/V453</f>
        <v>#REF!</v>
      </c>
    </row>
    <row r="454">
      <c r="G454" t="str">
        <v>A</v>
      </c>
      <c r="J454" t="str">
        <f>IF(K454&gt;0,K454*0.0625,IF(L454&gt;0,L454*2.204623,))</f>
        <v>#REF!</v>
      </c>
      <c r="K454" t="str">
        <f>IF(L454&gt;0,L454*35.273962,IF(J454&gt;0,J454*16,))</f>
        <v>#REF!</v>
      </c>
      <c r="L454" t="str">
        <f>IF(J454&gt;0,J454*0.453592,IF(K454&gt;0,K454*0.02835,))</f>
        <v>#REF!</v>
      </c>
      <c r="O454">
        <f>I454+N454+M454</f>
        <v>0</v>
      </c>
      <c r="P454">
        <f>O454*C$3</f>
        <v>0</v>
      </c>
      <c r="Q454" t="str">
        <f>ROUNDUP(HLOOKUP(IF(CEILING(L454,0.5)&lt;1,1,CEILING(L454,0.5)),'배송비 조회'!A$32:AY$36,2,0),-2)</f>
        <v>#REF!</v>
      </c>
      <c r="R454">
        <v>0</v>
      </c>
      <c r="S454" t="str">
        <f>ROUND((P454+Q454)*0.6,-2)</f>
        <v>#REF!</v>
      </c>
      <c r="T454" t="str">
        <f>ROUND((P454+Q454)*0.7,-2)</f>
        <v>#REF!</v>
      </c>
      <c r="U454" t="str">
        <f>ROUND(SUM(P454+Q454+R454+S454), -2)</f>
        <v>#REF!</v>
      </c>
      <c r="V454" t="str">
        <f>ROUND(P454+Q454+R454+T454, -2)</f>
        <v>#REF!</v>
      </c>
      <c r="W454">
        <v>0</v>
      </c>
      <c r="X454" t="str">
        <f>U454*0.038</f>
        <v>#REF!</v>
      </c>
      <c r="Y454" t="str">
        <f>U454*0.02</f>
        <v>#REF!</v>
      </c>
      <c r="Z454" t="str">
        <f>V454*0.1</f>
        <v>#REF!</v>
      </c>
      <c r="AA454" t="str">
        <f>U454-X454-Y454</f>
        <v>#REF!</v>
      </c>
      <c r="AB454" t="str">
        <f>V454-Z454</f>
        <v>#REF!</v>
      </c>
      <c r="AC454" t="str">
        <f>AA454*0.01</f>
        <v>#REF!</v>
      </c>
      <c r="AD454" t="str">
        <f>AA454-P454-AC454-Q454</f>
        <v>#REF!</v>
      </c>
      <c r="AE454" t="str">
        <f>AB454-P454-Q454-AC454</f>
        <v>#REF!</v>
      </c>
      <c r="AF454" t="str">
        <f>AD454/U454</f>
        <v>#REF!</v>
      </c>
      <c r="AG454" t="str">
        <f>AE454/V454</f>
        <v>#REF!</v>
      </c>
    </row>
    <row r="455">
      <c r="G455" t="str">
        <v>A</v>
      </c>
      <c r="J455" t="str">
        <f>IF(K455&gt;0,K455*0.0625,IF(L455&gt;0,L455*2.204623,))</f>
        <v>#REF!</v>
      </c>
      <c r="K455" t="str">
        <f>IF(L455&gt;0,L455*35.273962,IF(J455&gt;0,J455*16,))</f>
        <v>#REF!</v>
      </c>
      <c r="L455" t="str">
        <f>IF(J455&gt;0,J455*0.453592,IF(K455&gt;0,K455*0.02835,))</f>
        <v>#REF!</v>
      </c>
      <c r="O455">
        <f>I455+N455+M455</f>
        <v>0</v>
      </c>
      <c r="P455">
        <f>O455*C$3</f>
        <v>0</v>
      </c>
      <c r="Q455" t="str">
        <f>ROUNDUP(HLOOKUP(IF(CEILING(L455,0.5)&lt;1,1,CEILING(L455,0.5)),'배송비 조회'!A$32:AY$36,2,0),-2)</f>
        <v>#REF!</v>
      </c>
      <c r="R455">
        <v>0</v>
      </c>
      <c r="S455" t="str">
        <f>ROUND((P455+Q455)*0.6,-2)</f>
        <v>#REF!</v>
      </c>
      <c r="T455" t="str">
        <f>ROUND((P455+Q455)*0.7,-2)</f>
        <v>#REF!</v>
      </c>
      <c r="U455" t="str">
        <f>ROUND(SUM(P455+Q455+R455+S455), -2)</f>
        <v>#REF!</v>
      </c>
      <c r="V455" t="str">
        <f>ROUND(P455+Q455+R455+T455, -2)</f>
        <v>#REF!</v>
      </c>
      <c r="W455">
        <v>0</v>
      </c>
      <c r="X455" t="str">
        <f>U455*0.038</f>
        <v>#REF!</v>
      </c>
      <c r="Y455" t="str">
        <f>U455*0.02</f>
        <v>#REF!</v>
      </c>
      <c r="Z455" t="str">
        <f>V455*0.1</f>
        <v>#REF!</v>
      </c>
      <c r="AA455" t="str">
        <f>U455-X455-Y455</f>
        <v>#REF!</v>
      </c>
      <c r="AB455" t="str">
        <f>V455-Z455</f>
        <v>#REF!</v>
      </c>
      <c r="AC455" t="str">
        <f>AA455*0.01</f>
        <v>#REF!</v>
      </c>
      <c r="AD455" t="str">
        <f>AA455-P455-AC455-Q455</f>
        <v>#REF!</v>
      </c>
      <c r="AE455" t="str">
        <f>AB455-P455-Q455-AC455</f>
        <v>#REF!</v>
      </c>
      <c r="AF455" t="str">
        <f>AD455/U455</f>
        <v>#REF!</v>
      </c>
      <c r="AG455" t="str">
        <f>AE455/V455</f>
        <v>#REF!</v>
      </c>
    </row>
    <row r="456">
      <c r="G456" t="str">
        <v>A</v>
      </c>
      <c r="J456" t="str">
        <f>IF(K456&gt;0,K456*0.0625,IF(L456&gt;0,L456*2.204623,))</f>
        <v>#REF!</v>
      </c>
      <c r="K456" t="str">
        <f>IF(L456&gt;0,L456*35.273962,IF(J456&gt;0,J456*16,))</f>
        <v>#REF!</v>
      </c>
      <c r="L456" t="str">
        <f>IF(J456&gt;0,J456*0.453592,IF(K456&gt;0,K456*0.02835,))</f>
        <v>#REF!</v>
      </c>
      <c r="O456">
        <f>I456+N456+M456</f>
        <v>0</v>
      </c>
      <c r="P456">
        <f>O456*C$3</f>
        <v>0</v>
      </c>
      <c r="Q456" t="str">
        <f>ROUNDUP(HLOOKUP(IF(CEILING(L456,0.5)&lt;1,1,CEILING(L456,0.5)),'배송비 조회'!A$32:AY$36,2,0),-2)</f>
        <v>#REF!</v>
      </c>
      <c r="R456">
        <v>0</v>
      </c>
      <c r="S456" t="str">
        <f>ROUND((P456+Q456)*0.6,-2)</f>
        <v>#REF!</v>
      </c>
      <c r="T456" t="str">
        <f>ROUND((P456+Q456)*0.7,-2)</f>
        <v>#REF!</v>
      </c>
      <c r="U456" t="str">
        <f>ROUND(SUM(P456+Q456+R456+S456), -2)</f>
        <v>#REF!</v>
      </c>
      <c r="V456" t="str">
        <f>ROUND(P456+Q456+R456+T456, -2)</f>
        <v>#REF!</v>
      </c>
      <c r="W456">
        <v>0</v>
      </c>
      <c r="X456" t="str">
        <f>U456*0.038</f>
        <v>#REF!</v>
      </c>
      <c r="Y456" t="str">
        <f>U456*0.02</f>
        <v>#REF!</v>
      </c>
      <c r="Z456" t="str">
        <f>V456*0.1</f>
        <v>#REF!</v>
      </c>
      <c r="AA456" t="str">
        <f>U456-X456-Y456</f>
        <v>#REF!</v>
      </c>
      <c r="AB456" t="str">
        <f>V456-Z456</f>
        <v>#REF!</v>
      </c>
      <c r="AC456" t="str">
        <f>AA456*0.01</f>
        <v>#REF!</v>
      </c>
      <c r="AD456" t="str">
        <f>AA456-P456-AC456-Q456</f>
        <v>#REF!</v>
      </c>
      <c r="AE456" t="str">
        <f>AB456-P456-Q456-AC456</f>
        <v>#REF!</v>
      </c>
      <c r="AF456" t="str">
        <f>AD456/U456</f>
        <v>#REF!</v>
      </c>
      <c r="AG456" t="str">
        <f>AE456/V456</f>
        <v>#REF!</v>
      </c>
    </row>
    <row r="457">
      <c r="G457" t="str">
        <v>A</v>
      </c>
      <c r="J457" t="str">
        <f>IF(K457&gt;0,K457*0.0625,IF(L457&gt;0,L457*2.204623,))</f>
        <v>#REF!</v>
      </c>
      <c r="K457" t="str">
        <f>IF(L457&gt;0,L457*35.273962,IF(J457&gt;0,J457*16,))</f>
        <v>#REF!</v>
      </c>
      <c r="L457" t="str">
        <f>IF(J457&gt;0,J457*0.453592,IF(K457&gt;0,K457*0.02835,))</f>
        <v>#REF!</v>
      </c>
      <c r="O457">
        <f>I457+N457+M457</f>
        <v>0</v>
      </c>
      <c r="P457">
        <f>O457*C$3</f>
        <v>0</v>
      </c>
      <c r="Q457" t="str">
        <f>ROUNDUP(HLOOKUP(IF(CEILING(L457,0.5)&lt;1,1,CEILING(L457,0.5)),'배송비 조회'!A$32:AY$36,2,0),-2)</f>
        <v>#REF!</v>
      </c>
      <c r="R457">
        <v>0</v>
      </c>
      <c r="S457" t="str">
        <f>ROUND((P457+Q457)*0.6,-2)</f>
        <v>#REF!</v>
      </c>
      <c r="T457" t="str">
        <f>ROUND((P457+Q457)*0.7,-2)</f>
        <v>#REF!</v>
      </c>
      <c r="U457" t="str">
        <f>ROUND(SUM(P457+Q457+R457+S457), -2)</f>
        <v>#REF!</v>
      </c>
      <c r="V457" t="str">
        <f>ROUND(P457+Q457+R457+T457, -2)</f>
        <v>#REF!</v>
      </c>
      <c r="W457">
        <v>0</v>
      </c>
      <c r="X457" t="str">
        <f>U457*0.038</f>
        <v>#REF!</v>
      </c>
      <c r="Y457" t="str">
        <f>U457*0.02</f>
        <v>#REF!</v>
      </c>
      <c r="Z457" t="str">
        <f>V457*0.1</f>
        <v>#REF!</v>
      </c>
      <c r="AA457" t="str">
        <f>U457-X457-Y457</f>
        <v>#REF!</v>
      </c>
      <c r="AB457" t="str">
        <f>V457-Z457</f>
        <v>#REF!</v>
      </c>
      <c r="AC457" t="str">
        <f>AA457*0.01</f>
        <v>#REF!</v>
      </c>
      <c r="AD457" t="str">
        <f>AA457-P457-AC457-Q457</f>
        <v>#REF!</v>
      </c>
      <c r="AE457" t="str">
        <f>AB457-P457-Q457-AC457</f>
        <v>#REF!</v>
      </c>
      <c r="AF457" t="str">
        <f>AD457/U457</f>
        <v>#REF!</v>
      </c>
      <c r="AG457" t="str">
        <f>AE457/V457</f>
        <v>#REF!</v>
      </c>
    </row>
    <row r="458">
      <c r="G458" t="str">
        <v>A</v>
      </c>
      <c r="J458" t="str">
        <f>IF(K458&gt;0,K458*0.0625,IF(L458&gt;0,L458*2.204623,))</f>
        <v>#REF!</v>
      </c>
      <c r="K458" t="str">
        <f>IF(L458&gt;0,L458*35.273962,IF(J458&gt;0,J458*16,))</f>
        <v>#REF!</v>
      </c>
      <c r="L458" t="str">
        <f>IF(J458&gt;0,J458*0.453592,IF(K458&gt;0,K458*0.02835,))</f>
        <v>#REF!</v>
      </c>
      <c r="O458">
        <f>I458+N458+M458</f>
        <v>0</v>
      </c>
      <c r="P458">
        <f>O458*C$3</f>
        <v>0</v>
      </c>
      <c r="Q458" t="str">
        <f>ROUNDUP(HLOOKUP(IF(CEILING(L458,0.5)&lt;1,1,CEILING(L458,0.5)),'배송비 조회'!A$32:AY$36,2,0),-2)</f>
        <v>#REF!</v>
      </c>
      <c r="R458">
        <v>0</v>
      </c>
      <c r="S458" t="str">
        <f>ROUND((P458+Q458)*0.6,-2)</f>
        <v>#REF!</v>
      </c>
      <c r="T458" t="str">
        <f>ROUND((P458+Q458)*0.7,-2)</f>
        <v>#REF!</v>
      </c>
      <c r="U458" t="str">
        <f>ROUND(SUM(P458+Q458+R458+S458), -2)</f>
        <v>#REF!</v>
      </c>
      <c r="V458" t="str">
        <f>ROUND(P458+Q458+R458+T458, -2)</f>
        <v>#REF!</v>
      </c>
      <c r="W458">
        <v>0</v>
      </c>
      <c r="X458" t="str">
        <f>U458*0.038</f>
        <v>#REF!</v>
      </c>
      <c r="Y458" t="str">
        <f>U458*0.02</f>
        <v>#REF!</v>
      </c>
      <c r="Z458" t="str">
        <f>V458*0.1</f>
        <v>#REF!</v>
      </c>
      <c r="AA458" t="str">
        <f>U458-X458-Y458</f>
        <v>#REF!</v>
      </c>
      <c r="AB458" t="str">
        <f>V458-Z458</f>
        <v>#REF!</v>
      </c>
      <c r="AC458" t="str">
        <f>AA458*0.01</f>
        <v>#REF!</v>
      </c>
      <c r="AD458" t="str">
        <f>AA458-P458-AC458-Q458</f>
        <v>#REF!</v>
      </c>
      <c r="AE458" t="str">
        <f>AB458-P458-Q458-AC458</f>
        <v>#REF!</v>
      </c>
      <c r="AF458" t="str">
        <f>AD458/U458</f>
        <v>#REF!</v>
      </c>
      <c r="AG458" t="str">
        <f>AE458/V458</f>
        <v>#REF!</v>
      </c>
    </row>
    <row r="459">
      <c r="G459" t="str">
        <v>A</v>
      </c>
      <c r="J459" t="str">
        <f>IF(K459&gt;0,K459*0.0625,IF(L459&gt;0,L459*2.204623,))</f>
        <v>#REF!</v>
      </c>
      <c r="K459" t="str">
        <f>IF(L459&gt;0,L459*35.273962,IF(J459&gt;0,J459*16,))</f>
        <v>#REF!</v>
      </c>
      <c r="L459" t="str">
        <f>IF(J459&gt;0,J459*0.453592,IF(K459&gt;0,K459*0.02835,))</f>
        <v>#REF!</v>
      </c>
      <c r="O459">
        <f>I459+N459+M459</f>
        <v>0</v>
      </c>
      <c r="P459">
        <f>O459*C$3</f>
        <v>0</v>
      </c>
      <c r="Q459" t="str">
        <f>ROUNDUP(HLOOKUP(IF(CEILING(L459,0.5)&lt;1,1,CEILING(L459,0.5)),'배송비 조회'!A$32:AY$36,2,0),-2)</f>
        <v>#REF!</v>
      </c>
      <c r="R459">
        <v>0</v>
      </c>
      <c r="S459" t="str">
        <f>ROUND((P459+Q459)*0.6,-2)</f>
        <v>#REF!</v>
      </c>
      <c r="T459" t="str">
        <f>ROUND((P459+Q459)*0.7,-2)</f>
        <v>#REF!</v>
      </c>
      <c r="U459" t="str">
        <f>ROUND(SUM(P459+Q459+R459+S459), -2)</f>
        <v>#REF!</v>
      </c>
      <c r="V459" t="str">
        <f>ROUND(P459+Q459+R459+T459, -2)</f>
        <v>#REF!</v>
      </c>
      <c r="W459">
        <v>0</v>
      </c>
      <c r="X459" t="str">
        <f>U459*0.038</f>
        <v>#REF!</v>
      </c>
      <c r="Y459" t="str">
        <f>U459*0.02</f>
        <v>#REF!</v>
      </c>
      <c r="Z459" t="str">
        <f>V459*0.1</f>
        <v>#REF!</v>
      </c>
      <c r="AA459" t="str">
        <f>U459-X459-Y459</f>
        <v>#REF!</v>
      </c>
      <c r="AB459" t="str">
        <f>V459-Z459</f>
        <v>#REF!</v>
      </c>
      <c r="AC459" t="str">
        <f>AA459*0.01</f>
        <v>#REF!</v>
      </c>
      <c r="AD459" t="str">
        <f>AA459-P459-AC459-Q459</f>
        <v>#REF!</v>
      </c>
      <c r="AE459" t="str">
        <f>AB459-P459-Q459-AC459</f>
        <v>#REF!</v>
      </c>
      <c r="AF459" t="str">
        <f>AD459/U459</f>
        <v>#REF!</v>
      </c>
      <c r="AG459" t="str">
        <f>AE459/V459</f>
        <v>#REF!</v>
      </c>
    </row>
    <row r="460">
      <c r="G460" t="str">
        <v>A</v>
      </c>
      <c r="J460" t="str">
        <f>IF(K460&gt;0,K460*0.0625,IF(L460&gt;0,L460*2.204623,))</f>
        <v>#REF!</v>
      </c>
      <c r="K460" t="str">
        <f>IF(L460&gt;0,L460*35.273962,IF(J460&gt;0,J460*16,))</f>
        <v>#REF!</v>
      </c>
      <c r="L460" t="str">
        <f>IF(J460&gt;0,J460*0.453592,IF(K460&gt;0,K460*0.02835,))</f>
        <v>#REF!</v>
      </c>
      <c r="O460">
        <f>I460+N460+M460</f>
        <v>0</v>
      </c>
      <c r="P460">
        <f>O460*C$3</f>
        <v>0</v>
      </c>
      <c r="Q460" t="str">
        <f>ROUNDUP(HLOOKUP(IF(CEILING(L460,0.5)&lt;1,1,CEILING(L460,0.5)),'배송비 조회'!A$32:AY$36,2,0),-2)</f>
        <v>#REF!</v>
      </c>
      <c r="R460">
        <v>0</v>
      </c>
      <c r="S460" t="str">
        <f>ROUND((P460+Q460)*0.6,-2)</f>
        <v>#REF!</v>
      </c>
      <c r="T460" t="str">
        <f>ROUND((P460+Q460)*0.7,-2)</f>
        <v>#REF!</v>
      </c>
      <c r="U460" t="str">
        <f>ROUND(SUM(P460+Q460+R460+S460), -2)</f>
        <v>#REF!</v>
      </c>
      <c r="V460" t="str">
        <f>ROUND(P460+Q460+R460+T460, -2)</f>
        <v>#REF!</v>
      </c>
      <c r="W460">
        <v>0</v>
      </c>
      <c r="X460" t="str">
        <f>U460*0.038</f>
        <v>#REF!</v>
      </c>
      <c r="Y460" t="str">
        <f>U460*0.02</f>
        <v>#REF!</v>
      </c>
      <c r="Z460" t="str">
        <f>V460*0.1</f>
        <v>#REF!</v>
      </c>
      <c r="AA460" t="str">
        <f>U460-X460-Y460</f>
        <v>#REF!</v>
      </c>
      <c r="AB460" t="str">
        <f>V460-Z460</f>
        <v>#REF!</v>
      </c>
      <c r="AC460" t="str">
        <f>AA460*0.01</f>
        <v>#REF!</v>
      </c>
      <c r="AD460" t="str">
        <f>AA460-P460-AC460-Q460</f>
        <v>#REF!</v>
      </c>
      <c r="AE460" t="str">
        <f>AB460-P460-Q460-AC460</f>
        <v>#REF!</v>
      </c>
      <c r="AF460" t="str">
        <f>AD460/U460</f>
        <v>#REF!</v>
      </c>
      <c r="AG460" t="str">
        <f>AE460/V460</f>
        <v>#REF!</v>
      </c>
    </row>
    <row r="461">
      <c r="G461" t="str">
        <v>A</v>
      </c>
      <c r="J461" t="str">
        <f>IF(K461&gt;0,K461*0.0625,IF(L461&gt;0,L461*2.204623,))</f>
        <v>#REF!</v>
      </c>
      <c r="K461" t="str">
        <f>IF(L461&gt;0,L461*35.273962,IF(J461&gt;0,J461*16,))</f>
        <v>#REF!</v>
      </c>
      <c r="L461" t="str">
        <f>IF(J461&gt;0,J461*0.453592,IF(K461&gt;0,K461*0.02835,))</f>
        <v>#REF!</v>
      </c>
      <c r="O461">
        <f>I461+N461+M461</f>
        <v>0</v>
      </c>
      <c r="P461">
        <f>O461*C$3</f>
        <v>0</v>
      </c>
      <c r="Q461" t="str">
        <f>ROUNDUP(HLOOKUP(IF(CEILING(L461,0.5)&lt;1,1,CEILING(L461,0.5)),'배송비 조회'!A$32:AY$36,2,0),-2)</f>
        <v>#REF!</v>
      </c>
      <c r="R461">
        <v>0</v>
      </c>
      <c r="S461" t="str">
        <f>ROUND((P461+Q461)*0.6,-2)</f>
        <v>#REF!</v>
      </c>
      <c r="T461" t="str">
        <f>ROUND((P461+Q461)*0.7,-2)</f>
        <v>#REF!</v>
      </c>
      <c r="U461" t="str">
        <f>ROUND(SUM(P461+Q461+R461+S461), -2)</f>
        <v>#REF!</v>
      </c>
      <c r="V461" t="str">
        <f>ROUND(P461+Q461+R461+T461, -2)</f>
        <v>#REF!</v>
      </c>
      <c r="W461">
        <v>0</v>
      </c>
      <c r="X461" t="str">
        <f>U461*0.038</f>
        <v>#REF!</v>
      </c>
      <c r="Y461" t="str">
        <f>U461*0.02</f>
        <v>#REF!</v>
      </c>
      <c r="Z461" t="str">
        <f>V461*0.1</f>
        <v>#REF!</v>
      </c>
      <c r="AA461" t="str">
        <f>U461-X461-Y461</f>
        <v>#REF!</v>
      </c>
      <c r="AB461" t="str">
        <f>V461-Z461</f>
        <v>#REF!</v>
      </c>
      <c r="AC461" t="str">
        <f>AA461*0.01</f>
        <v>#REF!</v>
      </c>
      <c r="AD461" t="str">
        <f>AA461-P461-AC461-Q461</f>
        <v>#REF!</v>
      </c>
      <c r="AE461" t="str">
        <f>AB461-P461-Q461-AC461</f>
        <v>#REF!</v>
      </c>
      <c r="AF461" t="str">
        <f>AD461/U461</f>
        <v>#REF!</v>
      </c>
      <c r="AG461" t="str">
        <f>AE461/V461</f>
        <v>#REF!</v>
      </c>
    </row>
    <row r="462">
      <c r="G462" t="str">
        <v>A</v>
      </c>
      <c r="J462" t="str">
        <f>IF(K462&gt;0,K462*0.0625,IF(L462&gt;0,L462*2.204623,))</f>
        <v>#REF!</v>
      </c>
      <c r="K462" t="str">
        <f>IF(L462&gt;0,L462*35.273962,IF(J462&gt;0,J462*16,))</f>
        <v>#REF!</v>
      </c>
      <c r="L462" t="str">
        <f>IF(J462&gt;0,J462*0.453592,IF(K462&gt;0,K462*0.02835,))</f>
        <v>#REF!</v>
      </c>
      <c r="O462">
        <f>I462+N462+M462</f>
        <v>0</v>
      </c>
      <c r="P462">
        <f>O462*C$3</f>
        <v>0</v>
      </c>
      <c r="Q462" t="str">
        <f>ROUNDUP(HLOOKUP(IF(CEILING(L462,0.5)&lt;1,1,CEILING(L462,0.5)),'배송비 조회'!A$32:AY$36,2,0),-2)</f>
        <v>#REF!</v>
      </c>
      <c r="R462">
        <v>0</v>
      </c>
      <c r="S462" t="str">
        <f>ROUND((P462+Q462)*0.6,-2)</f>
        <v>#REF!</v>
      </c>
      <c r="T462" t="str">
        <f>ROUND((P462+Q462)*0.7,-2)</f>
        <v>#REF!</v>
      </c>
      <c r="U462" t="str">
        <f>ROUND(SUM(P462+Q462+R462+S462), -2)</f>
        <v>#REF!</v>
      </c>
      <c r="V462" t="str">
        <f>ROUND(P462+Q462+R462+T462, -2)</f>
        <v>#REF!</v>
      </c>
      <c r="W462">
        <v>0</v>
      </c>
      <c r="X462" t="str">
        <f>U462*0.038</f>
        <v>#REF!</v>
      </c>
      <c r="Y462" t="str">
        <f>U462*0.02</f>
        <v>#REF!</v>
      </c>
      <c r="Z462" t="str">
        <f>V462*0.1</f>
        <v>#REF!</v>
      </c>
      <c r="AA462" t="str">
        <f>U462-X462-Y462</f>
        <v>#REF!</v>
      </c>
      <c r="AB462" t="str">
        <f>V462-Z462</f>
        <v>#REF!</v>
      </c>
      <c r="AC462" t="str">
        <f>AA462*0.01</f>
        <v>#REF!</v>
      </c>
      <c r="AD462" t="str">
        <f>AA462-P462-AC462-Q462</f>
        <v>#REF!</v>
      </c>
      <c r="AE462" t="str">
        <f>AB462-P462-Q462-AC462</f>
        <v>#REF!</v>
      </c>
      <c r="AF462" t="str">
        <f>AD462/U462</f>
        <v>#REF!</v>
      </c>
      <c r="AG462" t="str">
        <f>AE462/V462</f>
        <v>#REF!</v>
      </c>
    </row>
    <row r="463">
      <c r="G463" t="str">
        <v>A</v>
      </c>
      <c r="J463" t="str">
        <f>IF(K463&gt;0,K463*0.0625,IF(L463&gt;0,L463*2.204623,))</f>
        <v>#REF!</v>
      </c>
      <c r="K463" t="str">
        <f>IF(L463&gt;0,L463*35.273962,IF(J463&gt;0,J463*16,))</f>
        <v>#REF!</v>
      </c>
      <c r="L463" t="str">
        <f>IF(J463&gt;0,J463*0.453592,IF(K463&gt;0,K463*0.02835,))</f>
        <v>#REF!</v>
      </c>
      <c r="O463">
        <f>I463+N463+M463</f>
        <v>0</v>
      </c>
      <c r="P463">
        <f>O463*C$3</f>
        <v>0</v>
      </c>
      <c r="Q463" t="str">
        <f>ROUNDUP(HLOOKUP(IF(CEILING(L463,0.5)&lt;1,1,CEILING(L463,0.5)),'배송비 조회'!A$32:AY$36,2,0),-2)</f>
        <v>#REF!</v>
      </c>
      <c r="R463">
        <v>0</v>
      </c>
      <c r="S463" t="str">
        <f>ROUND((P463+Q463)*0.6,-2)</f>
        <v>#REF!</v>
      </c>
      <c r="T463" t="str">
        <f>ROUND((P463+Q463)*0.7,-2)</f>
        <v>#REF!</v>
      </c>
      <c r="U463" t="str">
        <f>ROUND(SUM(P463+Q463+R463+S463), -2)</f>
        <v>#REF!</v>
      </c>
      <c r="V463" t="str">
        <f>ROUND(P463+Q463+R463+T463, -2)</f>
        <v>#REF!</v>
      </c>
      <c r="W463">
        <v>0</v>
      </c>
      <c r="X463" t="str">
        <f>U463*0.038</f>
        <v>#REF!</v>
      </c>
      <c r="Y463" t="str">
        <f>U463*0.02</f>
        <v>#REF!</v>
      </c>
      <c r="Z463" t="str">
        <f>V463*0.1</f>
        <v>#REF!</v>
      </c>
      <c r="AA463" t="str">
        <f>U463-X463-Y463</f>
        <v>#REF!</v>
      </c>
      <c r="AB463" t="str">
        <f>V463-Z463</f>
        <v>#REF!</v>
      </c>
      <c r="AC463" t="str">
        <f>AA463*0.01</f>
        <v>#REF!</v>
      </c>
      <c r="AD463" t="str">
        <f>AA463-P463-AC463-Q463</f>
        <v>#REF!</v>
      </c>
      <c r="AE463" t="str">
        <f>AB463-P463-Q463-AC463</f>
        <v>#REF!</v>
      </c>
      <c r="AF463" t="str">
        <f>AD463/U463</f>
        <v>#REF!</v>
      </c>
      <c r="AG463" t="str">
        <f>AE463/V463</f>
        <v>#REF!</v>
      </c>
    </row>
    <row r="464">
      <c r="G464" t="str">
        <v>A</v>
      </c>
      <c r="J464" t="str">
        <f>IF(K464&gt;0,K464*0.0625,IF(L464&gt;0,L464*2.204623,))</f>
        <v>#REF!</v>
      </c>
      <c r="K464" t="str">
        <f>IF(L464&gt;0,L464*35.273962,IF(J464&gt;0,J464*16,))</f>
        <v>#REF!</v>
      </c>
      <c r="L464" t="str">
        <f>IF(J464&gt;0,J464*0.453592,IF(K464&gt;0,K464*0.02835,))</f>
        <v>#REF!</v>
      </c>
      <c r="O464">
        <f>I464+N464+M464</f>
        <v>0</v>
      </c>
      <c r="P464">
        <f>O464*C$3</f>
        <v>0</v>
      </c>
      <c r="Q464" t="str">
        <f>ROUNDUP(HLOOKUP(IF(CEILING(L464,0.5)&lt;1,1,CEILING(L464,0.5)),'배송비 조회'!A$32:AY$36,2,0),-2)</f>
        <v>#REF!</v>
      </c>
      <c r="R464">
        <v>0</v>
      </c>
      <c r="S464" t="str">
        <f>ROUND((P464+Q464)*0.6,-2)</f>
        <v>#REF!</v>
      </c>
      <c r="T464" t="str">
        <f>ROUND((P464+Q464)*0.7,-2)</f>
        <v>#REF!</v>
      </c>
      <c r="U464" t="str">
        <f>ROUND(SUM(P464+Q464+R464+S464), -2)</f>
        <v>#REF!</v>
      </c>
      <c r="V464" t="str">
        <f>ROUND(P464+Q464+R464+T464, -2)</f>
        <v>#REF!</v>
      </c>
      <c r="W464">
        <v>0</v>
      </c>
      <c r="X464" t="str">
        <f>U464*0.038</f>
        <v>#REF!</v>
      </c>
      <c r="Y464" t="str">
        <f>U464*0.02</f>
        <v>#REF!</v>
      </c>
      <c r="Z464" t="str">
        <f>V464*0.1</f>
        <v>#REF!</v>
      </c>
      <c r="AA464" t="str">
        <f>U464-X464-Y464</f>
        <v>#REF!</v>
      </c>
      <c r="AB464" t="str">
        <f>V464-Z464</f>
        <v>#REF!</v>
      </c>
      <c r="AC464" t="str">
        <f>AA464*0.01</f>
        <v>#REF!</v>
      </c>
      <c r="AD464" t="str">
        <f>AA464-P464-AC464-Q464</f>
        <v>#REF!</v>
      </c>
      <c r="AE464" t="str">
        <f>AB464-P464-Q464-AC464</f>
        <v>#REF!</v>
      </c>
      <c r="AF464" t="str">
        <f>AD464/U464</f>
        <v>#REF!</v>
      </c>
      <c r="AG464" t="str">
        <f>AE464/V464</f>
        <v>#REF!</v>
      </c>
    </row>
    <row r="465">
      <c r="G465" t="str">
        <v>A</v>
      </c>
      <c r="J465" t="str">
        <f>IF(K465&gt;0,K465*0.0625,IF(L465&gt;0,L465*2.204623,))</f>
        <v>#REF!</v>
      </c>
      <c r="K465" t="str">
        <f>IF(L465&gt;0,L465*35.273962,IF(J465&gt;0,J465*16,))</f>
        <v>#REF!</v>
      </c>
      <c r="L465" t="str">
        <f>IF(J465&gt;0,J465*0.453592,IF(K465&gt;0,K465*0.02835,))</f>
        <v>#REF!</v>
      </c>
      <c r="O465">
        <f>I465+N465+M465</f>
        <v>0</v>
      </c>
      <c r="P465">
        <f>O465*C$3</f>
        <v>0</v>
      </c>
      <c r="Q465" t="str">
        <f>ROUNDUP(HLOOKUP(IF(CEILING(L465,0.5)&lt;1,1,CEILING(L465,0.5)),'배송비 조회'!A$32:AY$36,2,0),-2)</f>
        <v>#REF!</v>
      </c>
      <c r="R465">
        <v>0</v>
      </c>
      <c r="S465" t="str">
        <f>ROUND((P465+Q465)*0.6,-2)</f>
        <v>#REF!</v>
      </c>
      <c r="T465" t="str">
        <f>ROUND((P465+Q465)*0.7,-2)</f>
        <v>#REF!</v>
      </c>
      <c r="U465" t="str">
        <f>ROUND(SUM(P465+Q465+R465+S465), -2)</f>
        <v>#REF!</v>
      </c>
      <c r="V465" t="str">
        <f>ROUND(P465+Q465+R465+T465, -2)</f>
        <v>#REF!</v>
      </c>
      <c r="W465">
        <v>0</v>
      </c>
      <c r="X465" t="str">
        <f>U465*0.038</f>
        <v>#REF!</v>
      </c>
      <c r="Y465" t="str">
        <f>U465*0.02</f>
        <v>#REF!</v>
      </c>
      <c r="Z465" t="str">
        <f>V465*0.1</f>
        <v>#REF!</v>
      </c>
      <c r="AA465" t="str">
        <f>U465-X465-Y465</f>
        <v>#REF!</v>
      </c>
      <c r="AB465" t="str">
        <f>V465-Z465</f>
        <v>#REF!</v>
      </c>
      <c r="AC465" t="str">
        <f>AA465*0.01</f>
        <v>#REF!</v>
      </c>
      <c r="AD465" t="str">
        <f>AA465-P465-AC465-Q465</f>
        <v>#REF!</v>
      </c>
      <c r="AE465" t="str">
        <f>AB465-P465-Q465-AC465</f>
        <v>#REF!</v>
      </c>
      <c r="AF465" t="str">
        <f>AD465/U465</f>
        <v>#REF!</v>
      </c>
      <c r="AG465" t="str">
        <f>AE465/V465</f>
        <v>#REF!</v>
      </c>
    </row>
    <row r="466">
      <c r="G466" t="str">
        <v>A</v>
      </c>
      <c r="J466" t="str">
        <f>IF(K466&gt;0,K466*0.0625,IF(L466&gt;0,L466*2.204623,))</f>
        <v>#REF!</v>
      </c>
      <c r="K466" t="str">
        <f>IF(L466&gt;0,L466*35.273962,IF(J466&gt;0,J466*16,))</f>
        <v>#REF!</v>
      </c>
      <c r="L466" t="str">
        <f>IF(J466&gt;0,J466*0.453592,IF(K466&gt;0,K466*0.02835,))</f>
        <v>#REF!</v>
      </c>
      <c r="O466">
        <f>I466+N466+M466</f>
        <v>0</v>
      </c>
      <c r="P466">
        <f>O466*C$3</f>
        <v>0</v>
      </c>
      <c r="Q466" t="str">
        <f>ROUNDUP(HLOOKUP(IF(CEILING(L466,0.5)&lt;1,1,CEILING(L466,0.5)),'배송비 조회'!A$32:AY$36,2,0),-2)</f>
        <v>#REF!</v>
      </c>
      <c r="R466">
        <v>0</v>
      </c>
      <c r="S466" t="str">
        <f>ROUND((P466+Q466)*0.6,-2)</f>
        <v>#REF!</v>
      </c>
      <c r="T466" t="str">
        <f>ROUND((P466+Q466)*0.7,-2)</f>
        <v>#REF!</v>
      </c>
      <c r="U466" t="str">
        <f>ROUND(SUM(P466+Q466+R466+S466), -2)</f>
        <v>#REF!</v>
      </c>
      <c r="V466" t="str">
        <f>ROUND(P466+Q466+R466+T466, -2)</f>
        <v>#REF!</v>
      </c>
      <c r="W466">
        <v>0</v>
      </c>
      <c r="X466" t="str">
        <f>U466*0.038</f>
        <v>#REF!</v>
      </c>
      <c r="Y466" t="str">
        <f>U466*0.02</f>
        <v>#REF!</v>
      </c>
      <c r="Z466" t="str">
        <f>V466*0.1</f>
        <v>#REF!</v>
      </c>
      <c r="AA466" t="str">
        <f>U466-X466-Y466</f>
        <v>#REF!</v>
      </c>
      <c r="AB466" t="str">
        <f>V466-Z466</f>
        <v>#REF!</v>
      </c>
      <c r="AC466" t="str">
        <f>AA466*0.01</f>
        <v>#REF!</v>
      </c>
      <c r="AD466" t="str">
        <f>AA466-P466-AC466-Q466</f>
        <v>#REF!</v>
      </c>
      <c r="AE466" t="str">
        <f>AB466-P466-Q466-AC466</f>
        <v>#REF!</v>
      </c>
      <c r="AF466" t="str">
        <f>AD466/U466</f>
        <v>#REF!</v>
      </c>
      <c r="AG466" t="str">
        <f>AE466/V466</f>
        <v>#REF!</v>
      </c>
    </row>
    <row r="467">
      <c r="G467" t="str">
        <v>A</v>
      </c>
      <c r="J467" t="str">
        <f>IF(K467&gt;0,K467*0.0625,IF(L467&gt;0,L467*2.204623,))</f>
        <v>#REF!</v>
      </c>
      <c r="K467" t="str">
        <f>IF(L467&gt;0,L467*35.273962,IF(J467&gt;0,J467*16,))</f>
        <v>#REF!</v>
      </c>
      <c r="L467" t="str">
        <f>IF(J467&gt;0,J467*0.453592,IF(K467&gt;0,K467*0.02835,))</f>
        <v>#REF!</v>
      </c>
      <c r="O467">
        <f>I467+N467+M467</f>
        <v>0</v>
      </c>
      <c r="P467">
        <f>O467*C$3</f>
        <v>0</v>
      </c>
      <c r="Q467" t="str">
        <f>ROUNDUP(HLOOKUP(IF(CEILING(L467,0.5)&lt;1,1,CEILING(L467,0.5)),'배송비 조회'!A$32:AY$36,2,0),-2)</f>
        <v>#REF!</v>
      </c>
      <c r="R467">
        <v>0</v>
      </c>
      <c r="S467" t="str">
        <f>ROUND((P467+Q467)*0.6,-2)</f>
        <v>#REF!</v>
      </c>
      <c r="T467" t="str">
        <f>ROUND((P467+Q467)*0.7,-2)</f>
        <v>#REF!</v>
      </c>
      <c r="U467" t="str">
        <f>ROUND(SUM(P467+Q467+R467+S467), -2)</f>
        <v>#REF!</v>
      </c>
      <c r="V467" t="str">
        <f>ROUND(P467+Q467+R467+T467, -2)</f>
        <v>#REF!</v>
      </c>
      <c r="W467">
        <v>0</v>
      </c>
      <c r="X467" t="str">
        <f>U467*0.038</f>
        <v>#REF!</v>
      </c>
      <c r="Y467" t="str">
        <f>U467*0.02</f>
        <v>#REF!</v>
      </c>
      <c r="Z467" t="str">
        <f>V467*0.1</f>
        <v>#REF!</v>
      </c>
      <c r="AA467" t="str">
        <f>U467-X467-Y467</f>
        <v>#REF!</v>
      </c>
      <c r="AB467" t="str">
        <f>V467-Z467</f>
        <v>#REF!</v>
      </c>
      <c r="AC467" t="str">
        <f>AA467*0.01</f>
        <v>#REF!</v>
      </c>
      <c r="AD467" t="str">
        <f>AA467-P467-AC467-Q467</f>
        <v>#REF!</v>
      </c>
      <c r="AE467" t="str">
        <f>AB467-P467-Q467-AC467</f>
        <v>#REF!</v>
      </c>
      <c r="AF467" t="str">
        <f>AD467/U467</f>
        <v>#REF!</v>
      </c>
      <c r="AG467" t="str">
        <f>AE467/V467</f>
        <v>#REF!</v>
      </c>
    </row>
    <row r="468">
      <c r="G468" t="str">
        <v>A</v>
      </c>
      <c r="J468" t="str">
        <f>IF(K468&gt;0,K468*0.0625,IF(L468&gt;0,L468*2.204623,))</f>
        <v>#REF!</v>
      </c>
      <c r="K468" t="str">
        <f>IF(L468&gt;0,L468*35.273962,IF(J468&gt;0,J468*16,))</f>
        <v>#REF!</v>
      </c>
      <c r="L468" t="str">
        <f>IF(J468&gt;0,J468*0.453592,IF(K468&gt;0,K468*0.02835,))</f>
        <v>#REF!</v>
      </c>
      <c r="O468">
        <f>I468+N468+M468</f>
        <v>0</v>
      </c>
      <c r="P468">
        <f>O468*C$3</f>
        <v>0</v>
      </c>
      <c r="Q468" t="str">
        <f>ROUNDUP(HLOOKUP(IF(CEILING(L468,0.5)&lt;1,1,CEILING(L468,0.5)),'배송비 조회'!A$32:AY$36,2,0),-2)</f>
        <v>#REF!</v>
      </c>
      <c r="R468">
        <v>0</v>
      </c>
      <c r="S468" t="str">
        <f>ROUND((P468+Q468)*0.6,-2)</f>
        <v>#REF!</v>
      </c>
      <c r="T468" t="str">
        <f>ROUND((P468+Q468)*0.7,-2)</f>
        <v>#REF!</v>
      </c>
      <c r="U468" t="str">
        <f>ROUND(SUM(P468+Q468+R468+S468), -2)</f>
        <v>#REF!</v>
      </c>
      <c r="V468" t="str">
        <f>ROUND(P468+Q468+R468+T468, -2)</f>
        <v>#REF!</v>
      </c>
      <c r="W468">
        <v>0</v>
      </c>
      <c r="X468" t="str">
        <f>U468*0.038</f>
        <v>#REF!</v>
      </c>
      <c r="Y468" t="str">
        <f>U468*0.02</f>
        <v>#REF!</v>
      </c>
      <c r="Z468" t="str">
        <f>V468*0.1</f>
        <v>#REF!</v>
      </c>
      <c r="AA468" t="str">
        <f>U468-X468-Y468</f>
        <v>#REF!</v>
      </c>
      <c r="AB468" t="str">
        <f>V468-Z468</f>
        <v>#REF!</v>
      </c>
      <c r="AC468" t="str">
        <f>AA468*0.01</f>
        <v>#REF!</v>
      </c>
      <c r="AD468" t="str">
        <f>AA468-P468-AC468-Q468</f>
        <v>#REF!</v>
      </c>
      <c r="AE468" t="str">
        <f>AB468-P468-Q468-AC468</f>
        <v>#REF!</v>
      </c>
      <c r="AF468" t="str">
        <f>AD468/U468</f>
        <v>#REF!</v>
      </c>
      <c r="AG468" t="str">
        <f>AE468/V468</f>
        <v>#REF!</v>
      </c>
    </row>
    <row r="469">
      <c r="G469" t="str">
        <v>A</v>
      </c>
      <c r="J469" t="str">
        <f>IF(K469&gt;0,K469*0.0625,IF(L469&gt;0,L469*2.204623,))</f>
        <v>#REF!</v>
      </c>
      <c r="K469" t="str">
        <f>IF(L469&gt;0,L469*35.273962,IF(J469&gt;0,J469*16,))</f>
        <v>#REF!</v>
      </c>
      <c r="L469" t="str">
        <f>IF(J469&gt;0,J469*0.453592,IF(K469&gt;0,K469*0.02835,))</f>
        <v>#REF!</v>
      </c>
      <c r="O469">
        <f>I469+N469+M469</f>
        <v>0</v>
      </c>
      <c r="P469">
        <f>O469*C$3</f>
        <v>0</v>
      </c>
      <c r="Q469" t="str">
        <f>ROUNDUP(HLOOKUP(IF(CEILING(L469,0.5)&lt;1,1,CEILING(L469,0.5)),'배송비 조회'!A$32:AY$36,2,0),-2)</f>
        <v>#REF!</v>
      </c>
      <c r="R469">
        <v>0</v>
      </c>
      <c r="S469" t="str">
        <f>ROUND((P469+Q469)*0.6,-2)</f>
        <v>#REF!</v>
      </c>
      <c r="T469" t="str">
        <f>ROUND((P469+Q469)*0.7,-2)</f>
        <v>#REF!</v>
      </c>
      <c r="U469" t="str">
        <f>ROUND(SUM(P469+Q469+R469+S469), -2)</f>
        <v>#REF!</v>
      </c>
      <c r="V469" t="str">
        <f>ROUND(P469+Q469+R469+T469, -2)</f>
        <v>#REF!</v>
      </c>
      <c r="W469">
        <v>0</v>
      </c>
      <c r="X469" t="str">
        <f>U469*0.038</f>
        <v>#REF!</v>
      </c>
      <c r="Y469" t="str">
        <f>U469*0.02</f>
        <v>#REF!</v>
      </c>
      <c r="Z469" t="str">
        <f>V469*0.1</f>
        <v>#REF!</v>
      </c>
      <c r="AA469" t="str">
        <f>U469-X469-Y469</f>
        <v>#REF!</v>
      </c>
      <c r="AB469" t="str">
        <f>V469-Z469</f>
        <v>#REF!</v>
      </c>
      <c r="AC469" t="str">
        <f>AA469*0.01</f>
        <v>#REF!</v>
      </c>
      <c r="AD469" t="str">
        <f>AA469-P469-AC469-Q469</f>
        <v>#REF!</v>
      </c>
      <c r="AE469" t="str">
        <f>AB469-P469-Q469-AC469</f>
        <v>#REF!</v>
      </c>
      <c r="AF469" t="str">
        <f>AD469/U469</f>
        <v>#REF!</v>
      </c>
      <c r="AG469" t="str">
        <f>AE469/V469</f>
        <v>#REF!</v>
      </c>
    </row>
    <row r="470">
      <c r="G470" t="str">
        <v>A</v>
      </c>
      <c r="J470" t="str">
        <f>IF(K470&gt;0,K470*0.0625,IF(L470&gt;0,L470*2.204623,))</f>
        <v>#REF!</v>
      </c>
      <c r="K470" t="str">
        <f>IF(L470&gt;0,L470*35.273962,IF(J470&gt;0,J470*16,))</f>
        <v>#REF!</v>
      </c>
      <c r="L470" t="str">
        <f>IF(J470&gt;0,J470*0.453592,IF(K470&gt;0,K470*0.02835,))</f>
        <v>#REF!</v>
      </c>
      <c r="O470">
        <f>I470+N470+M470</f>
        <v>0</v>
      </c>
      <c r="P470">
        <f>O470*C$3</f>
        <v>0</v>
      </c>
      <c r="Q470" t="str">
        <f>ROUNDUP(HLOOKUP(IF(CEILING(L470,0.5)&lt;1,1,CEILING(L470,0.5)),'배송비 조회'!A$32:AY$36,2,0),-2)</f>
        <v>#REF!</v>
      </c>
      <c r="R470">
        <v>0</v>
      </c>
      <c r="S470" t="str">
        <f>ROUND((P470+Q470)*0.6,-2)</f>
        <v>#REF!</v>
      </c>
      <c r="T470" t="str">
        <f>ROUND((P470+Q470)*0.7,-2)</f>
        <v>#REF!</v>
      </c>
      <c r="U470" t="str">
        <f>ROUND(SUM(P470+Q470+R470+S470), -2)</f>
        <v>#REF!</v>
      </c>
      <c r="V470" t="str">
        <f>ROUND(P470+Q470+R470+T470, -2)</f>
        <v>#REF!</v>
      </c>
      <c r="W470">
        <v>0</v>
      </c>
      <c r="X470" t="str">
        <f>U470*0.038</f>
        <v>#REF!</v>
      </c>
      <c r="Y470" t="str">
        <f>U470*0.02</f>
        <v>#REF!</v>
      </c>
      <c r="Z470" t="str">
        <f>V470*0.1</f>
        <v>#REF!</v>
      </c>
      <c r="AA470" t="str">
        <f>U470-X470-Y470</f>
        <v>#REF!</v>
      </c>
      <c r="AB470" t="str">
        <f>V470-Z470</f>
        <v>#REF!</v>
      </c>
      <c r="AC470" t="str">
        <f>AA470*0.01</f>
        <v>#REF!</v>
      </c>
      <c r="AD470" t="str">
        <f>AA470-P470-AC470-Q470</f>
        <v>#REF!</v>
      </c>
      <c r="AE470" t="str">
        <f>AB470-P470-Q470-AC470</f>
        <v>#REF!</v>
      </c>
      <c r="AF470" t="str">
        <f>AD470/U470</f>
        <v>#REF!</v>
      </c>
      <c r="AG470" t="str">
        <f>AE470/V470</f>
        <v>#REF!</v>
      </c>
    </row>
    <row r="471">
      <c r="G471" t="str">
        <v>A</v>
      </c>
      <c r="J471" t="str">
        <f>IF(K471&gt;0,K471*0.0625,IF(L471&gt;0,L471*2.204623,))</f>
        <v>#REF!</v>
      </c>
      <c r="K471" t="str">
        <f>IF(L471&gt;0,L471*35.273962,IF(J471&gt;0,J471*16,))</f>
        <v>#REF!</v>
      </c>
      <c r="L471" t="str">
        <f>IF(J471&gt;0,J471*0.453592,IF(K471&gt;0,K471*0.02835,))</f>
        <v>#REF!</v>
      </c>
      <c r="O471">
        <f>I471+N471+M471</f>
        <v>0</v>
      </c>
      <c r="P471">
        <f>O471*C$3</f>
        <v>0</v>
      </c>
      <c r="Q471" t="str">
        <f>ROUNDUP(HLOOKUP(IF(CEILING(L471,0.5)&lt;1,1,CEILING(L471,0.5)),'배송비 조회'!A$32:AY$36,2,0),-2)</f>
        <v>#REF!</v>
      </c>
      <c r="R471">
        <v>0</v>
      </c>
      <c r="S471" t="str">
        <f>ROUND((P471+Q471)*0.6,-2)</f>
        <v>#REF!</v>
      </c>
      <c r="T471" t="str">
        <f>ROUND((P471+Q471)*0.7,-2)</f>
        <v>#REF!</v>
      </c>
      <c r="U471" t="str">
        <f>ROUND(SUM(P471+Q471+R471+S471), -2)</f>
        <v>#REF!</v>
      </c>
      <c r="V471" t="str">
        <f>ROUND(P471+Q471+R471+T471, -2)</f>
        <v>#REF!</v>
      </c>
      <c r="W471">
        <v>0</v>
      </c>
      <c r="X471" t="str">
        <f>U471*0.038</f>
        <v>#REF!</v>
      </c>
      <c r="Y471" t="str">
        <f>U471*0.02</f>
        <v>#REF!</v>
      </c>
      <c r="Z471" t="str">
        <f>V471*0.1</f>
        <v>#REF!</v>
      </c>
      <c r="AA471" t="str">
        <f>U471-X471-Y471</f>
        <v>#REF!</v>
      </c>
      <c r="AB471" t="str">
        <f>V471-Z471</f>
        <v>#REF!</v>
      </c>
      <c r="AC471" t="str">
        <f>AA471*0.01</f>
        <v>#REF!</v>
      </c>
      <c r="AD471" t="str">
        <f>AA471-P471-AC471-Q471</f>
        <v>#REF!</v>
      </c>
      <c r="AE471" t="str">
        <f>AB471-P471-Q471-AC471</f>
        <v>#REF!</v>
      </c>
      <c r="AF471" t="str">
        <f>AD471/U471</f>
        <v>#REF!</v>
      </c>
      <c r="AG471" t="str">
        <f>AE471/V471</f>
        <v>#REF!</v>
      </c>
    </row>
    <row r="472">
      <c r="G472" t="str">
        <v>A</v>
      </c>
      <c r="J472" t="str">
        <f>IF(K472&gt;0,K472*0.0625,IF(L472&gt;0,L472*2.204623,))</f>
        <v>#REF!</v>
      </c>
      <c r="K472" t="str">
        <f>IF(L472&gt;0,L472*35.273962,IF(J472&gt;0,J472*16,))</f>
        <v>#REF!</v>
      </c>
      <c r="L472" t="str">
        <f>IF(J472&gt;0,J472*0.453592,IF(K472&gt;0,K472*0.02835,))</f>
        <v>#REF!</v>
      </c>
      <c r="O472">
        <f>I472+N472+M472</f>
        <v>0</v>
      </c>
      <c r="P472">
        <f>O472*C$3</f>
        <v>0</v>
      </c>
      <c r="Q472" t="str">
        <f>ROUNDUP(HLOOKUP(IF(CEILING(L472,0.5)&lt;1,1,CEILING(L472,0.5)),'배송비 조회'!A$32:AY$36,2,0),-2)</f>
        <v>#REF!</v>
      </c>
      <c r="R472">
        <v>0</v>
      </c>
      <c r="S472" t="str">
        <f>ROUND((P472+Q472)*0.6,-2)</f>
        <v>#REF!</v>
      </c>
      <c r="T472" t="str">
        <f>ROUND((P472+Q472)*0.7,-2)</f>
        <v>#REF!</v>
      </c>
      <c r="U472" t="str">
        <f>ROUND(SUM(P472+Q472+R472+S472), -2)</f>
        <v>#REF!</v>
      </c>
      <c r="V472" t="str">
        <f>ROUND(P472+Q472+R472+T472, -2)</f>
        <v>#REF!</v>
      </c>
      <c r="W472">
        <v>0</v>
      </c>
      <c r="X472" t="str">
        <f>U472*0.038</f>
        <v>#REF!</v>
      </c>
      <c r="Y472" t="str">
        <f>U472*0.02</f>
        <v>#REF!</v>
      </c>
      <c r="Z472" t="str">
        <f>V472*0.1</f>
        <v>#REF!</v>
      </c>
      <c r="AA472" t="str">
        <f>U472-X472-Y472</f>
        <v>#REF!</v>
      </c>
      <c r="AB472" t="str">
        <f>V472-Z472</f>
        <v>#REF!</v>
      </c>
      <c r="AC472" t="str">
        <f>AA472*0.01</f>
        <v>#REF!</v>
      </c>
      <c r="AD472" t="str">
        <f>AA472-P472-AC472-Q472</f>
        <v>#REF!</v>
      </c>
      <c r="AE472" t="str">
        <f>AB472-P472-Q472-AC472</f>
        <v>#REF!</v>
      </c>
      <c r="AF472" t="str">
        <f>AD472/U472</f>
        <v>#REF!</v>
      </c>
      <c r="AG472" t="str">
        <f>AE472/V472</f>
        <v>#REF!</v>
      </c>
    </row>
    <row r="473">
      <c r="G473" t="str">
        <v>A</v>
      </c>
      <c r="J473" t="str">
        <f>IF(K473&gt;0,K473*0.0625,IF(L473&gt;0,L473*2.204623,))</f>
        <v>#REF!</v>
      </c>
      <c r="K473" t="str">
        <f>IF(L473&gt;0,L473*35.273962,IF(J473&gt;0,J473*16,))</f>
        <v>#REF!</v>
      </c>
      <c r="L473" t="str">
        <f>IF(J473&gt;0,J473*0.453592,IF(K473&gt;0,K473*0.02835,))</f>
        <v>#REF!</v>
      </c>
      <c r="O473">
        <f>I473+N473+M473</f>
        <v>0</v>
      </c>
      <c r="P473">
        <f>O473*C$3</f>
        <v>0</v>
      </c>
      <c r="Q473" t="str">
        <f>ROUNDUP(HLOOKUP(IF(CEILING(L473,0.5)&lt;1,1,CEILING(L473,0.5)),'배송비 조회'!A$32:AY$36,2,0),-2)</f>
        <v>#REF!</v>
      </c>
      <c r="R473">
        <v>0</v>
      </c>
      <c r="S473" t="str">
        <f>ROUND((P473+Q473)*0.6,-2)</f>
        <v>#REF!</v>
      </c>
      <c r="T473" t="str">
        <f>ROUND((P473+Q473)*0.7,-2)</f>
        <v>#REF!</v>
      </c>
      <c r="U473" t="str">
        <f>ROUND(SUM(P473+Q473+R473+S473), -2)</f>
        <v>#REF!</v>
      </c>
      <c r="V473" t="str">
        <f>ROUND(P473+Q473+R473+T473, -2)</f>
        <v>#REF!</v>
      </c>
      <c r="W473">
        <v>0</v>
      </c>
      <c r="X473" t="str">
        <f>U473*0.038</f>
        <v>#REF!</v>
      </c>
      <c r="Y473" t="str">
        <f>U473*0.02</f>
        <v>#REF!</v>
      </c>
      <c r="Z473" t="str">
        <f>V473*0.1</f>
        <v>#REF!</v>
      </c>
      <c r="AA473" t="str">
        <f>U473-X473-Y473</f>
        <v>#REF!</v>
      </c>
      <c r="AB473" t="str">
        <f>V473-Z473</f>
        <v>#REF!</v>
      </c>
      <c r="AC473" t="str">
        <f>AA473*0.01</f>
        <v>#REF!</v>
      </c>
      <c r="AD473" t="str">
        <f>AA473-P473-AC473-Q473</f>
        <v>#REF!</v>
      </c>
      <c r="AE473" t="str">
        <f>AB473-P473-Q473-AC473</f>
        <v>#REF!</v>
      </c>
      <c r="AF473" t="str">
        <f>AD473/U473</f>
        <v>#REF!</v>
      </c>
      <c r="AG473" t="str">
        <f>AE473/V473</f>
        <v>#REF!</v>
      </c>
    </row>
    <row r="474">
      <c r="G474" t="str">
        <v>A</v>
      </c>
      <c r="J474" t="str">
        <f>IF(K474&gt;0,K474*0.0625,IF(L474&gt;0,L474*2.204623,))</f>
        <v>#REF!</v>
      </c>
      <c r="K474" t="str">
        <f>IF(L474&gt;0,L474*35.273962,IF(J474&gt;0,J474*16,))</f>
        <v>#REF!</v>
      </c>
      <c r="L474" t="str">
        <f>IF(J474&gt;0,J474*0.453592,IF(K474&gt;0,K474*0.02835,))</f>
        <v>#REF!</v>
      </c>
      <c r="O474">
        <f>I474+N474+M474</f>
        <v>0</v>
      </c>
      <c r="P474">
        <f>O474*C$3</f>
        <v>0</v>
      </c>
      <c r="Q474" t="str">
        <f>ROUNDUP(HLOOKUP(IF(CEILING(L474,0.5)&lt;1,1,CEILING(L474,0.5)),'배송비 조회'!A$32:AY$36,2,0),-2)</f>
        <v>#REF!</v>
      </c>
      <c r="R474">
        <v>0</v>
      </c>
      <c r="S474" t="str">
        <f>ROUND((P474+Q474)*0.6,-2)</f>
        <v>#REF!</v>
      </c>
      <c r="T474" t="str">
        <f>ROUND((P474+Q474)*0.7,-2)</f>
        <v>#REF!</v>
      </c>
      <c r="U474" t="str">
        <f>ROUND(SUM(P474+Q474+R474+S474), -2)</f>
        <v>#REF!</v>
      </c>
      <c r="V474" t="str">
        <f>ROUND(P474+Q474+R474+T474, -2)</f>
        <v>#REF!</v>
      </c>
      <c r="W474">
        <v>0</v>
      </c>
      <c r="X474" t="str">
        <f>U474*0.038</f>
        <v>#REF!</v>
      </c>
      <c r="Y474" t="str">
        <f>U474*0.02</f>
        <v>#REF!</v>
      </c>
      <c r="Z474" t="str">
        <f>V474*0.1</f>
        <v>#REF!</v>
      </c>
      <c r="AA474" t="str">
        <f>U474-X474-Y474</f>
        <v>#REF!</v>
      </c>
      <c r="AB474" t="str">
        <f>V474-Z474</f>
        <v>#REF!</v>
      </c>
      <c r="AC474" t="str">
        <f>AA474*0.01</f>
        <v>#REF!</v>
      </c>
      <c r="AD474" t="str">
        <f>AA474-P474-AC474-Q474</f>
        <v>#REF!</v>
      </c>
      <c r="AE474" t="str">
        <f>AB474-P474-Q474-AC474</f>
        <v>#REF!</v>
      </c>
      <c r="AF474" t="str">
        <f>AD474/U474</f>
        <v>#REF!</v>
      </c>
      <c r="AG474" t="str">
        <f>AE474/V474</f>
        <v>#REF!</v>
      </c>
    </row>
    <row r="475">
      <c r="G475" t="str">
        <v>A</v>
      </c>
      <c r="J475" t="str">
        <f>IF(K475&gt;0,K475*0.0625,IF(L475&gt;0,L475*2.204623,))</f>
        <v>#REF!</v>
      </c>
      <c r="K475" t="str">
        <f>IF(L475&gt;0,L475*35.273962,IF(J475&gt;0,J475*16,))</f>
        <v>#REF!</v>
      </c>
      <c r="L475" t="str">
        <f>IF(J475&gt;0,J475*0.453592,IF(K475&gt;0,K475*0.02835,))</f>
        <v>#REF!</v>
      </c>
      <c r="O475">
        <f>I475+N475+M475</f>
        <v>0</v>
      </c>
      <c r="P475">
        <f>O475*C$3</f>
        <v>0</v>
      </c>
      <c r="Q475" t="str">
        <f>ROUNDUP(HLOOKUP(IF(CEILING(L475,0.5)&lt;1,1,CEILING(L475,0.5)),'배송비 조회'!A$32:AY$36,2,0),-2)</f>
        <v>#REF!</v>
      </c>
      <c r="R475">
        <v>0</v>
      </c>
      <c r="S475" t="str">
        <f>ROUND((P475+Q475)*0.6,-2)</f>
        <v>#REF!</v>
      </c>
      <c r="T475" t="str">
        <f>ROUND((P475+Q475)*0.7,-2)</f>
        <v>#REF!</v>
      </c>
      <c r="U475" t="str">
        <f>ROUND(SUM(P475+Q475+R475+S475), -2)</f>
        <v>#REF!</v>
      </c>
      <c r="V475" t="str">
        <f>ROUND(P475+Q475+R475+T475, -2)</f>
        <v>#REF!</v>
      </c>
      <c r="W475">
        <v>0</v>
      </c>
      <c r="X475" t="str">
        <f>U475*0.038</f>
        <v>#REF!</v>
      </c>
      <c r="Y475" t="str">
        <f>U475*0.02</f>
        <v>#REF!</v>
      </c>
      <c r="Z475" t="str">
        <f>V475*0.1</f>
        <v>#REF!</v>
      </c>
      <c r="AA475" t="str">
        <f>U475-X475-Y475</f>
        <v>#REF!</v>
      </c>
      <c r="AB475" t="str">
        <f>V475-Z475</f>
        <v>#REF!</v>
      </c>
      <c r="AC475" t="str">
        <f>AA475*0.01</f>
        <v>#REF!</v>
      </c>
      <c r="AD475" t="str">
        <f>AA475-P475-AC475-Q475</f>
        <v>#REF!</v>
      </c>
      <c r="AE475" t="str">
        <f>AB475-P475-Q475-AC475</f>
        <v>#REF!</v>
      </c>
      <c r="AF475" t="str">
        <f>AD475/U475</f>
        <v>#REF!</v>
      </c>
      <c r="AG475" t="str">
        <f>AE475/V475</f>
        <v>#REF!</v>
      </c>
    </row>
    <row r="476">
      <c r="G476" t="str">
        <v>A</v>
      </c>
      <c r="J476" t="str">
        <f>IF(K476&gt;0,K476*0.0625,IF(L476&gt;0,L476*2.204623,))</f>
        <v>#REF!</v>
      </c>
      <c r="K476" t="str">
        <f>IF(L476&gt;0,L476*35.273962,IF(J476&gt;0,J476*16,))</f>
        <v>#REF!</v>
      </c>
      <c r="L476" t="str">
        <f>IF(J476&gt;0,J476*0.453592,IF(K476&gt;0,K476*0.02835,))</f>
        <v>#REF!</v>
      </c>
      <c r="O476">
        <f>I476+N476+M476</f>
        <v>0</v>
      </c>
      <c r="P476">
        <f>O476*C$3</f>
        <v>0</v>
      </c>
      <c r="Q476" t="str">
        <f>ROUNDUP(HLOOKUP(IF(CEILING(L476,0.5)&lt;1,1,CEILING(L476,0.5)),'배송비 조회'!A$32:AY$36,2,0),-2)</f>
        <v>#REF!</v>
      </c>
      <c r="R476">
        <v>0</v>
      </c>
      <c r="S476" t="str">
        <f>ROUND((P476+Q476)*0.6,-2)</f>
        <v>#REF!</v>
      </c>
      <c r="T476" t="str">
        <f>ROUND((P476+Q476)*0.7,-2)</f>
        <v>#REF!</v>
      </c>
      <c r="U476" t="str">
        <f>ROUND(SUM(P476+Q476+R476+S476), -2)</f>
        <v>#REF!</v>
      </c>
      <c r="V476" t="str">
        <f>ROUND(P476+Q476+R476+T476, -2)</f>
        <v>#REF!</v>
      </c>
      <c r="W476">
        <v>0</v>
      </c>
      <c r="X476" t="str">
        <f>U476*0.038</f>
        <v>#REF!</v>
      </c>
      <c r="Y476" t="str">
        <f>U476*0.02</f>
        <v>#REF!</v>
      </c>
      <c r="Z476" t="str">
        <f>V476*0.1</f>
        <v>#REF!</v>
      </c>
      <c r="AA476" t="str">
        <f>U476-X476-Y476</f>
        <v>#REF!</v>
      </c>
      <c r="AB476" t="str">
        <f>V476-Z476</f>
        <v>#REF!</v>
      </c>
      <c r="AC476" t="str">
        <f>AA476*0.01</f>
        <v>#REF!</v>
      </c>
      <c r="AD476" t="str">
        <f>AA476-P476-AC476-Q476</f>
        <v>#REF!</v>
      </c>
      <c r="AE476" t="str">
        <f>AB476-P476-Q476-AC476</f>
        <v>#REF!</v>
      </c>
      <c r="AF476" t="str">
        <f>AD476/U476</f>
        <v>#REF!</v>
      </c>
      <c r="AG476" t="str">
        <f>AE476/V476</f>
        <v>#REF!</v>
      </c>
    </row>
    <row r="477">
      <c r="G477" t="str">
        <v>A</v>
      </c>
      <c r="J477" t="str">
        <f>IF(K477&gt;0,K477*0.0625,IF(L477&gt;0,L477*2.204623,))</f>
        <v>#REF!</v>
      </c>
      <c r="K477" t="str">
        <f>IF(L477&gt;0,L477*35.273962,IF(J477&gt;0,J477*16,))</f>
        <v>#REF!</v>
      </c>
      <c r="L477" t="str">
        <f>IF(J477&gt;0,J477*0.453592,IF(K477&gt;0,K477*0.02835,))</f>
        <v>#REF!</v>
      </c>
      <c r="O477">
        <f>I477+N477+M477</f>
        <v>0</v>
      </c>
      <c r="P477">
        <f>O477*C$3</f>
        <v>0</v>
      </c>
      <c r="Q477" t="str">
        <f>ROUNDUP(HLOOKUP(IF(CEILING(L477,0.5)&lt;1,1,CEILING(L477,0.5)),'배송비 조회'!A$32:AY$36,2,0),-2)</f>
        <v>#REF!</v>
      </c>
      <c r="R477">
        <v>0</v>
      </c>
      <c r="S477" t="str">
        <f>ROUND((P477+Q477)*0.6,-2)</f>
        <v>#REF!</v>
      </c>
      <c r="T477" t="str">
        <f>ROUND((P477+Q477)*0.7,-2)</f>
        <v>#REF!</v>
      </c>
      <c r="U477" t="str">
        <f>ROUND(SUM(P477+Q477+R477+S477), -2)</f>
        <v>#REF!</v>
      </c>
      <c r="V477" t="str">
        <f>ROUND(P477+Q477+R477+T477, -2)</f>
        <v>#REF!</v>
      </c>
      <c r="W477">
        <v>0</v>
      </c>
      <c r="X477" t="str">
        <f>U477*0.038</f>
        <v>#REF!</v>
      </c>
      <c r="Y477" t="str">
        <f>U477*0.02</f>
        <v>#REF!</v>
      </c>
      <c r="Z477" t="str">
        <f>V477*0.1</f>
        <v>#REF!</v>
      </c>
      <c r="AA477" t="str">
        <f>U477-X477-Y477</f>
        <v>#REF!</v>
      </c>
      <c r="AB477" t="str">
        <f>V477-Z477</f>
        <v>#REF!</v>
      </c>
      <c r="AC477" t="str">
        <f>AA477*0.01</f>
        <v>#REF!</v>
      </c>
      <c r="AD477" t="str">
        <f>AA477-P477-AC477-Q477</f>
        <v>#REF!</v>
      </c>
      <c r="AE477" t="str">
        <f>AB477-P477-Q477-AC477</f>
        <v>#REF!</v>
      </c>
      <c r="AF477" t="str">
        <f>AD477/U477</f>
        <v>#REF!</v>
      </c>
      <c r="AG477" t="str">
        <f>AE477/V477</f>
        <v>#REF!</v>
      </c>
    </row>
    <row r="478">
      <c r="G478" t="str">
        <v>A</v>
      </c>
      <c r="J478" t="str">
        <f>IF(K478&gt;0,K478*0.0625,IF(L478&gt;0,L478*2.204623,))</f>
        <v>#REF!</v>
      </c>
      <c r="K478" t="str">
        <f>IF(L478&gt;0,L478*35.273962,IF(J478&gt;0,J478*16,))</f>
        <v>#REF!</v>
      </c>
      <c r="L478" t="str">
        <f>IF(J478&gt;0,J478*0.453592,IF(K478&gt;0,K478*0.02835,))</f>
        <v>#REF!</v>
      </c>
      <c r="O478">
        <f>I478+N478+M478</f>
        <v>0</v>
      </c>
      <c r="P478">
        <f>O478*C$3</f>
        <v>0</v>
      </c>
      <c r="Q478" t="str">
        <f>ROUNDUP(HLOOKUP(IF(CEILING(L478,0.5)&lt;1,1,CEILING(L478,0.5)),'배송비 조회'!A$32:AY$36,2,0),-2)</f>
        <v>#REF!</v>
      </c>
      <c r="R478">
        <v>0</v>
      </c>
      <c r="S478" t="str">
        <f>ROUND((P478+Q478)*0.6,-2)</f>
        <v>#REF!</v>
      </c>
      <c r="T478" t="str">
        <f>ROUND((P478+Q478)*0.7,-2)</f>
        <v>#REF!</v>
      </c>
      <c r="U478" t="str">
        <f>ROUND(SUM(P478+Q478+R478+S478), -2)</f>
        <v>#REF!</v>
      </c>
      <c r="V478" t="str">
        <f>ROUND(P478+Q478+R478+T478, -2)</f>
        <v>#REF!</v>
      </c>
      <c r="W478">
        <v>0</v>
      </c>
      <c r="X478" t="str">
        <f>U478*0.038</f>
        <v>#REF!</v>
      </c>
      <c r="Y478" t="str">
        <f>U478*0.02</f>
        <v>#REF!</v>
      </c>
      <c r="Z478" t="str">
        <f>V478*0.1</f>
        <v>#REF!</v>
      </c>
      <c r="AA478" t="str">
        <f>U478-X478-Y478</f>
        <v>#REF!</v>
      </c>
      <c r="AB478" t="str">
        <f>V478-Z478</f>
        <v>#REF!</v>
      </c>
      <c r="AC478" t="str">
        <f>AA478*0.01</f>
        <v>#REF!</v>
      </c>
      <c r="AD478" t="str">
        <f>AA478-P478-AC478-Q478</f>
        <v>#REF!</v>
      </c>
      <c r="AE478" t="str">
        <f>AB478-P478-Q478-AC478</f>
        <v>#REF!</v>
      </c>
      <c r="AF478" t="str">
        <f>AD478/U478</f>
        <v>#REF!</v>
      </c>
      <c r="AG478" t="str">
        <f>AE478/V478</f>
        <v>#REF!</v>
      </c>
    </row>
    <row r="479">
      <c r="G479" t="str">
        <v>A</v>
      </c>
      <c r="J479" t="str">
        <f>IF(K479&gt;0,K479*0.0625,IF(L479&gt;0,L479*2.204623,))</f>
        <v>#REF!</v>
      </c>
      <c r="K479" t="str">
        <f>IF(L479&gt;0,L479*35.273962,IF(J479&gt;0,J479*16,))</f>
        <v>#REF!</v>
      </c>
      <c r="L479" t="str">
        <f>IF(J479&gt;0,J479*0.453592,IF(K479&gt;0,K479*0.02835,))</f>
        <v>#REF!</v>
      </c>
      <c r="O479">
        <f>I479+N479+M479</f>
        <v>0</v>
      </c>
      <c r="P479">
        <f>O479*C$3</f>
        <v>0</v>
      </c>
      <c r="Q479" t="str">
        <f>ROUNDUP(HLOOKUP(IF(CEILING(L479,0.5)&lt;1,1,CEILING(L479,0.5)),'배송비 조회'!A$32:AY$36,2,0),-2)</f>
        <v>#REF!</v>
      </c>
      <c r="R479">
        <v>0</v>
      </c>
      <c r="S479" t="str">
        <f>ROUND((P479+Q479)*0.6,-2)</f>
        <v>#REF!</v>
      </c>
      <c r="T479" t="str">
        <f>ROUND((P479+Q479)*0.7,-2)</f>
        <v>#REF!</v>
      </c>
      <c r="U479" t="str">
        <f>ROUND(SUM(P479+Q479+R479+S479), -2)</f>
        <v>#REF!</v>
      </c>
      <c r="V479" t="str">
        <f>ROUND(P479+Q479+R479+T479, -2)</f>
        <v>#REF!</v>
      </c>
      <c r="W479">
        <v>0</v>
      </c>
      <c r="X479" t="str">
        <f>U479*0.038</f>
        <v>#REF!</v>
      </c>
      <c r="Y479" t="str">
        <f>U479*0.02</f>
        <v>#REF!</v>
      </c>
      <c r="Z479" t="str">
        <f>V479*0.1</f>
        <v>#REF!</v>
      </c>
      <c r="AA479" t="str">
        <f>U479-X479-Y479</f>
        <v>#REF!</v>
      </c>
      <c r="AB479" t="str">
        <f>V479-Z479</f>
        <v>#REF!</v>
      </c>
      <c r="AC479" t="str">
        <f>AA479*0.01</f>
        <v>#REF!</v>
      </c>
      <c r="AD479" t="str">
        <f>AA479-P479-AC479-Q479</f>
        <v>#REF!</v>
      </c>
      <c r="AE479" t="str">
        <f>AB479-P479-Q479-AC479</f>
        <v>#REF!</v>
      </c>
      <c r="AF479" t="str">
        <f>AD479/U479</f>
        <v>#REF!</v>
      </c>
      <c r="AG479" t="str">
        <f>AE479/V479</f>
        <v>#REF!</v>
      </c>
    </row>
    <row r="480">
      <c r="G480" t="str">
        <v>A</v>
      </c>
      <c r="J480" t="str">
        <f>IF(K480&gt;0,K480*0.0625,IF(L480&gt;0,L480*2.204623,))</f>
        <v>#REF!</v>
      </c>
      <c r="K480" t="str">
        <f>IF(L480&gt;0,L480*35.273962,IF(J480&gt;0,J480*16,))</f>
        <v>#REF!</v>
      </c>
      <c r="L480" t="str">
        <f>IF(J480&gt;0,J480*0.453592,IF(K480&gt;0,K480*0.02835,))</f>
        <v>#REF!</v>
      </c>
      <c r="O480">
        <f>I480+N480+M480</f>
        <v>0</v>
      </c>
      <c r="P480">
        <f>O480*C$3</f>
        <v>0</v>
      </c>
      <c r="Q480" t="str">
        <f>ROUNDUP(HLOOKUP(IF(CEILING(L480,0.5)&lt;1,1,CEILING(L480,0.5)),'배송비 조회'!A$32:AY$36,2,0),-2)</f>
        <v>#REF!</v>
      </c>
      <c r="R480">
        <v>0</v>
      </c>
      <c r="S480" t="str">
        <f>ROUND((P480+Q480)*0.6,-2)</f>
        <v>#REF!</v>
      </c>
      <c r="T480" t="str">
        <f>ROUND((P480+Q480)*0.7,-2)</f>
        <v>#REF!</v>
      </c>
      <c r="U480" t="str">
        <f>ROUND(SUM(P480+Q480+R480+S480), -2)</f>
        <v>#REF!</v>
      </c>
      <c r="V480" t="str">
        <f>ROUND(P480+Q480+R480+T480, -2)</f>
        <v>#REF!</v>
      </c>
      <c r="W480">
        <v>0</v>
      </c>
      <c r="X480" t="str">
        <f>U480*0.038</f>
        <v>#REF!</v>
      </c>
      <c r="Y480" t="str">
        <f>U480*0.02</f>
        <v>#REF!</v>
      </c>
      <c r="Z480" t="str">
        <f>V480*0.1</f>
        <v>#REF!</v>
      </c>
      <c r="AA480" t="str">
        <f>U480-X480-Y480</f>
        <v>#REF!</v>
      </c>
      <c r="AB480" t="str">
        <f>V480-Z480</f>
        <v>#REF!</v>
      </c>
      <c r="AC480" t="str">
        <f>AA480*0.01</f>
        <v>#REF!</v>
      </c>
      <c r="AD480" t="str">
        <f>AA480-P480-AC480-Q480</f>
        <v>#REF!</v>
      </c>
      <c r="AE480" t="str">
        <f>AB480-P480-Q480-AC480</f>
        <v>#REF!</v>
      </c>
      <c r="AF480" t="str">
        <f>AD480/U480</f>
        <v>#REF!</v>
      </c>
      <c r="AG480" t="str">
        <f>AE480/V480</f>
        <v>#REF!</v>
      </c>
    </row>
    <row r="481">
      <c r="G481" t="str">
        <v>A</v>
      </c>
      <c r="J481" t="str">
        <f>IF(K481&gt;0,K481*0.0625,IF(L481&gt;0,L481*2.204623,))</f>
        <v>#REF!</v>
      </c>
      <c r="K481" t="str">
        <f>IF(L481&gt;0,L481*35.273962,IF(J481&gt;0,J481*16,))</f>
        <v>#REF!</v>
      </c>
      <c r="L481" t="str">
        <f>IF(J481&gt;0,J481*0.453592,IF(K481&gt;0,K481*0.02835,))</f>
        <v>#REF!</v>
      </c>
      <c r="O481">
        <f>I481+N481+M481</f>
        <v>0</v>
      </c>
      <c r="P481">
        <f>O481*C$3</f>
        <v>0</v>
      </c>
      <c r="Q481" t="str">
        <f>ROUNDUP(HLOOKUP(IF(CEILING(L481,0.5)&lt;1,1,CEILING(L481,0.5)),'배송비 조회'!A$32:AY$36,2,0),-2)</f>
        <v>#REF!</v>
      </c>
      <c r="R481">
        <v>0</v>
      </c>
      <c r="S481" t="str">
        <f>ROUND((P481+Q481)*0.6,-2)</f>
        <v>#REF!</v>
      </c>
      <c r="T481" t="str">
        <f>ROUND((P481+Q481)*0.7,-2)</f>
        <v>#REF!</v>
      </c>
      <c r="U481" t="str">
        <f>ROUND(SUM(P481+Q481+R481+S481), -2)</f>
        <v>#REF!</v>
      </c>
      <c r="V481" t="str">
        <f>ROUND(P481+Q481+R481+T481, -2)</f>
        <v>#REF!</v>
      </c>
      <c r="W481">
        <v>0</v>
      </c>
      <c r="X481" t="str">
        <f>U481*0.038</f>
        <v>#REF!</v>
      </c>
      <c r="Y481" t="str">
        <f>U481*0.02</f>
        <v>#REF!</v>
      </c>
      <c r="Z481" t="str">
        <f>V481*0.1</f>
        <v>#REF!</v>
      </c>
      <c r="AA481" t="str">
        <f>U481-X481-Y481</f>
        <v>#REF!</v>
      </c>
      <c r="AB481" t="str">
        <f>V481-Z481</f>
        <v>#REF!</v>
      </c>
      <c r="AC481" t="str">
        <f>AA481*0.01</f>
        <v>#REF!</v>
      </c>
      <c r="AD481" t="str">
        <f>AA481-P481-AC481-Q481</f>
        <v>#REF!</v>
      </c>
      <c r="AE481" t="str">
        <f>AB481-P481-Q481-AC481</f>
        <v>#REF!</v>
      </c>
      <c r="AF481" t="str">
        <f>AD481/U481</f>
        <v>#REF!</v>
      </c>
      <c r="AG481" t="str">
        <f>AE481/V481</f>
        <v>#REF!</v>
      </c>
    </row>
    <row r="482">
      <c r="G482" t="str">
        <v>A</v>
      </c>
      <c r="J482" t="str">
        <f>IF(K482&gt;0,K482*0.0625,IF(L482&gt;0,L482*2.204623,))</f>
        <v>#REF!</v>
      </c>
      <c r="K482" t="str">
        <f>IF(L482&gt;0,L482*35.273962,IF(J482&gt;0,J482*16,))</f>
        <v>#REF!</v>
      </c>
      <c r="L482" t="str">
        <f>IF(J482&gt;0,J482*0.453592,IF(K482&gt;0,K482*0.02835,))</f>
        <v>#REF!</v>
      </c>
      <c r="O482">
        <f>I482+N482+M482</f>
        <v>0</v>
      </c>
      <c r="P482">
        <f>O482*C$3</f>
        <v>0</v>
      </c>
      <c r="Q482" t="str">
        <f>ROUNDUP(HLOOKUP(IF(CEILING(L482,0.5)&lt;1,1,CEILING(L482,0.5)),'배송비 조회'!A$32:AY$36,2,0),-2)</f>
        <v>#REF!</v>
      </c>
      <c r="R482">
        <v>0</v>
      </c>
      <c r="S482" t="str">
        <f>ROUND((P482+Q482)*0.6,-2)</f>
        <v>#REF!</v>
      </c>
      <c r="T482" t="str">
        <f>ROUND((P482+Q482)*0.7,-2)</f>
        <v>#REF!</v>
      </c>
      <c r="U482" t="str">
        <f>ROUND(SUM(P482+Q482+R482+S482), -2)</f>
        <v>#REF!</v>
      </c>
      <c r="V482" t="str">
        <f>ROUND(P482+Q482+R482+T482, -2)</f>
        <v>#REF!</v>
      </c>
      <c r="W482">
        <v>0</v>
      </c>
      <c r="X482" t="str">
        <f>U482*0.038</f>
        <v>#REF!</v>
      </c>
      <c r="Y482" t="str">
        <f>U482*0.02</f>
        <v>#REF!</v>
      </c>
      <c r="Z482" t="str">
        <f>V482*0.1</f>
        <v>#REF!</v>
      </c>
      <c r="AA482" t="str">
        <f>U482-X482-Y482</f>
        <v>#REF!</v>
      </c>
      <c r="AB482" t="str">
        <f>V482-Z482</f>
        <v>#REF!</v>
      </c>
      <c r="AC482" t="str">
        <f>AA482*0.01</f>
        <v>#REF!</v>
      </c>
      <c r="AD482" t="str">
        <f>AA482-P482-AC482-Q482</f>
        <v>#REF!</v>
      </c>
      <c r="AE482" t="str">
        <f>AB482-P482-Q482-AC482</f>
        <v>#REF!</v>
      </c>
      <c r="AF482" t="str">
        <f>AD482/U482</f>
        <v>#REF!</v>
      </c>
      <c r="AG482" t="str">
        <f>AE482/V482</f>
        <v>#REF!</v>
      </c>
    </row>
    <row r="483">
      <c r="G483" t="str">
        <v>A</v>
      </c>
      <c r="J483" t="str">
        <f>IF(K483&gt;0,K483*0.0625,IF(L483&gt;0,L483*2.204623,))</f>
        <v>#REF!</v>
      </c>
      <c r="K483" t="str">
        <f>IF(L483&gt;0,L483*35.273962,IF(J483&gt;0,J483*16,))</f>
        <v>#REF!</v>
      </c>
      <c r="L483" t="str">
        <f>IF(J483&gt;0,J483*0.453592,IF(K483&gt;0,K483*0.02835,))</f>
        <v>#REF!</v>
      </c>
      <c r="O483">
        <f>I483+N483+M483</f>
        <v>0</v>
      </c>
      <c r="P483">
        <f>O483*C$3</f>
        <v>0</v>
      </c>
      <c r="Q483" t="str">
        <f>ROUNDUP(HLOOKUP(IF(CEILING(L483,0.5)&lt;1,1,CEILING(L483,0.5)),'배송비 조회'!A$32:AY$36,2,0),-2)</f>
        <v>#REF!</v>
      </c>
      <c r="R483">
        <v>0</v>
      </c>
      <c r="S483" t="str">
        <f>ROUND((P483+Q483)*0.6,-2)</f>
        <v>#REF!</v>
      </c>
      <c r="T483" t="str">
        <f>ROUND((P483+Q483)*0.7,-2)</f>
        <v>#REF!</v>
      </c>
      <c r="U483" t="str">
        <f>ROUND(SUM(P483+Q483+R483+S483), -2)</f>
        <v>#REF!</v>
      </c>
      <c r="V483" t="str">
        <f>ROUND(P483+Q483+R483+T483, -2)</f>
        <v>#REF!</v>
      </c>
      <c r="W483">
        <v>0</v>
      </c>
      <c r="X483" t="str">
        <f>U483*0.038</f>
        <v>#REF!</v>
      </c>
      <c r="Y483" t="str">
        <f>U483*0.02</f>
        <v>#REF!</v>
      </c>
      <c r="Z483" t="str">
        <f>V483*0.1</f>
        <v>#REF!</v>
      </c>
      <c r="AA483" t="str">
        <f>U483-X483-Y483</f>
        <v>#REF!</v>
      </c>
      <c r="AB483" t="str">
        <f>V483-Z483</f>
        <v>#REF!</v>
      </c>
      <c r="AC483" t="str">
        <f>AA483*0.01</f>
        <v>#REF!</v>
      </c>
      <c r="AD483" t="str">
        <f>AA483-P483-AC483-Q483</f>
        <v>#REF!</v>
      </c>
      <c r="AE483" t="str">
        <f>AB483-P483-Q483-AC483</f>
        <v>#REF!</v>
      </c>
      <c r="AF483" t="str">
        <f>AD483/U483</f>
        <v>#REF!</v>
      </c>
      <c r="AG483" t="str">
        <f>AE483/V483</f>
        <v>#REF!</v>
      </c>
    </row>
    <row r="484">
      <c r="G484" t="str">
        <v>A</v>
      </c>
      <c r="J484" t="str">
        <f>IF(K484&gt;0,K484*0.0625,IF(L484&gt;0,L484*2.204623,))</f>
        <v>#REF!</v>
      </c>
      <c r="K484" t="str">
        <f>IF(L484&gt;0,L484*35.273962,IF(J484&gt;0,J484*16,))</f>
        <v>#REF!</v>
      </c>
      <c r="L484" t="str">
        <f>IF(J484&gt;0,J484*0.453592,IF(K484&gt;0,K484*0.02835,))</f>
        <v>#REF!</v>
      </c>
      <c r="O484">
        <f>I484+N484+M484</f>
        <v>0</v>
      </c>
      <c r="P484">
        <f>O484*C$3</f>
        <v>0</v>
      </c>
      <c r="Q484" t="str">
        <f>ROUNDUP(HLOOKUP(IF(CEILING(L484,0.5)&lt;1,1,CEILING(L484,0.5)),'배송비 조회'!A$32:AY$36,2,0),-2)</f>
        <v>#REF!</v>
      </c>
      <c r="R484">
        <v>0</v>
      </c>
      <c r="S484" t="str">
        <f>ROUND((P484+Q484)*0.6,-2)</f>
        <v>#REF!</v>
      </c>
      <c r="T484" t="str">
        <f>ROUND((P484+Q484)*0.7,-2)</f>
        <v>#REF!</v>
      </c>
      <c r="U484" t="str">
        <f>ROUND(SUM(P484+Q484+R484+S484), -2)</f>
        <v>#REF!</v>
      </c>
      <c r="V484" t="str">
        <f>ROUND(P484+Q484+R484+T484, -2)</f>
        <v>#REF!</v>
      </c>
      <c r="W484">
        <v>0</v>
      </c>
      <c r="X484" t="str">
        <f>U484*0.038</f>
        <v>#REF!</v>
      </c>
      <c r="Y484" t="str">
        <f>U484*0.02</f>
        <v>#REF!</v>
      </c>
      <c r="Z484" t="str">
        <f>V484*0.1</f>
        <v>#REF!</v>
      </c>
      <c r="AA484" t="str">
        <f>U484-X484-Y484</f>
        <v>#REF!</v>
      </c>
      <c r="AB484" t="str">
        <f>V484-Z484</f>
        <v>#REF!</v>
      </c>
      <c r="AC484" t="str">
        <f>AA484*0.01</f>
        <v>#REF!</v>
      </c>
      <c r="AD484" t="str">
        <f>AA484-P484-AC484-Q484</f>
        <v>#REF!</v>
      </c>
      <c r="AE484" t="str">
        <f>AB484-P484-Q484-AC484</f>
        <v>#REF!</v>
      </c>
      <c r="AF484" t="str">
        <f>AD484/U484</f>
        <v>#REF!</v>
      </c>
      <c r="AG484" t="str">
        <f>AE484/V484</f>
        <v>#REF!</v>
      </c>
    </row>
    <row r="485">
      <c r="G485" t="str">
        <v>A</v>
      </c>
      <c r="J485" t="str">
        <f>IF(K485&gt;0,K485*0.0625,IF(L485&gt;0,L485*2.204623,))</f>
        <v>#REF!</v>
      </c>
      <c r="K485" t="str">
        <f>IF(L485&gt;0,L485*35.273962,IF(J485&gt;0,J485*16,))</f>
        <v>#REF!</v>
      </c>
      <c r="L485" t="str">
        <f>IF(J485&gt;0,J485*0.453592,IF(K485&gt;0,K485*0.02835,))</f>
        <v>#REF!</v>
      </c>
      <c r="O485">
        <f>I485+N485+M485</f>
        <v>0</v>
      </c>
      <c r="P485">
        <f>O485*C$3</f>
        <v>0</v>
      </c>
      <c r="Q485" t="str">
        <f>ROUNDUP(HLOOKUP(IF(CEILING(L485,0.5)&lt;1,1,CEILING(L485,0.5)),'배송비 조회'!A$32:AY$36,2,0),-2)</f>
        <v>#REF!</v>
      </c>
      <c r="R485">
        <v>0</v>
      </c>
      <c r="S485" t="str">
        <f>ROUND((P485+Q485)*0.6,-2)</f>
        <v>#REF!</v>
      </c>
      <c r="T485" t="str">
        <f>ROUND((P485+Q485)*0.7,-2)</f>
        <v>#REF!</v>
      </c>
      <c r="U485" t="str">
        <f>ROUND(SUM(P485+Q485+R485+S485), -2)</f>
        <v>#REF!</v>
      </c>
      <c r="V485" t="str">
        <f>ROUND(P485+Q485+R485+T485, -2)</f>
        <v>#REF!</v>
      </c>
      <c r="W485">
        <v>0</v>
      </c>
      <c r="X485" t="str">
        <f>U485*0.038</f>
        <v>#REF!</v>
      </c>
      <c r="Y485" t="str">
        <f>U485*0.02</f>
        <v>#REF!</v>
      </c>
      <c r="Z485" t="str">
        <f>V485*0.1</f>
        <v>#REF!</v>
      </c>
      <c r="AA485" t="str">
        <f>U485-X485-Y485</f>
        <v>#REF!</v>
      </c>
      <c r="AB485" t="str">
        <f>V485-Z485</f>
        <v>#REF!</v>
      </c>
      <c r="AC485" t="str">
        <f>AA485*0.01</f>
        <v>#REF!</v>
      </c>
      <c r="AD485" t="str">
        <f>AA485-P485-AC485-Q485</f>
        <v>#REF!</v>
      </c>
      <c r="AE485" t="str">
        <f>AB485-P485-Q485-AC485</f>
        <v>#REF!</v>
      </c>
      <c r="AF485" t="str">
        <f>AD485/U485</f>
        <v>#REF!</v>
      </c>
      <c r="AG485" t="str">
        <f>AE485/V485</f>
        <v>#REF!</v>
      </c>
    </row>
    <row r="486">
      <c r="G486" t="str">
        <v>A</v>
      </c>
      <c r="J486" t="str">
        <f>IF(K486&gt;0,K486*0.0625,IF(L486&gt;0,L486*2.204623,))</f>
        <v>#REF!</v>
      </c>
      <c r="K486" t="str">
        <f>IF(L486&gt;0,L486*35.273962,IF(J486&gt;0,J486*16,))</f>
        <v>#REF!</v>
      </c>
      <c r="L486" t="str">
        <f>IF(J486&gt;0,J486*0.453592,IF(K486&gt;0,K486*0.02835,))</f>
        <v>#REF!</v>
      </c>
      <c r="O486">
        <f>I486+N486+M486</f>
        <v>0</v>
      </c>
      <c r="P486">
        <f>O486*C$3</f>
        <v>0</v>
      </c>
      <c r="Q486" t="str">
        <f>ROUNDUP(HLOOKUP(IF(CEILING(L486,0.5)&lt;1,1,CEILING(L486,0.5)),'배송비 조회'!A$32:AY$36,2,0),-2)</f>
        <v>#REF!</v>
      </c>
      <c r="R486">
        <v>0</v>
      </c>
      <c r="S486" t="str">
        <f>ROUND((P486+Q486)*0.6,-2)</f>
        <v>#REF!</v>
      </c>
      <c r="T486" t="str">
        <f>ROUND((P486+Q486)*0.7,-2)</f>
        <v>#REF!</v>
      </c>
      <c r="U486" t="str">
        <f>ROUND(SUM(P486+Q486+R486+S486), -2)</f>
        <v>#REF!</v>
      </c>
      <c r="V486" t="str">
        <f>ROUND(P486+Q486+R486+T486, -2)</f>
        <v>#REF!</v>
      </c>
      <c r="W486">
        <v>0</v>
      </c>
      <c r="X486" t="str">
        <f>U486*0.038</f>
        <v>#REF!</v>
      </c>
      <c r="Y486" t="str">
        <f>U486*0.02</f>
        <v>#REF!</v>
      </c>
      <c r="Z486" t="str">
        <f>V486*0.1</f>
        <v>#REF!</v>
      </c>
      <c r="AA486" t="str">
        <f>U486-X486-Y486</f>
        <v>#REF!</v>
      </c>
      <c r="AB486" t="str">
        <f>V486-Z486</f>
        <v>#REF!</v>
      </c>
      <c r="AC486" t="str">
        <f>AA486*0.01</f>
        <v>#REF!</v>
      </c>
      <c r="AD486" t="str">
        <f>AA486-P486-AC486-Q486</f>
        <v>#REF!</v>
      </c>
      <c r="AE486" t="str">
        <f>AB486-P486-Q486-AC486</f>
        <v>#REF!</v>
      </c>
      <c r="AF486" t="str">
        <f>AD486/U486</f>
        <v>#REF!</v>
      </c>
      <c r="AG486" t="str">
        <f>AE486/V486</f>
        <v>#REF!</v>
      </c>
    </row>
    <row r="487">
      <c r="G487" t="str">
        <v>A</v>
      </c>
      <c r="J487" t="str">
        <f>IF(K487&gt;0,K487*0.0625,IF(L487&gt;0,L487*2.204623,))</f>
        <v>#REF!</v>
      </c>
      <c r="K487" t="str">
        <f>IF(L487&gt;0,L487*35.273962,IF(J487&gt;0,J487*16,))</f>
        <v>#REF!</v>
      </c>
      <c r="L487" t="str">
        <f>IF(J487&gt;0,J487*0.453592,IF(K487&gt;0,K487*0.02835,))</f>
        <v>#REF!</v>
      </c>
      <c r="O487">
        <f>I487+N487+M487</f>
        <v>0</v>
      </c>
      <c r="P487">
        <f>O487*C$3</f>
        <v>0</v>
      </c>
      <c r="Q487" t="str">
        <f>ROUNDUP(HLOOKUP(IF(CEILING(L487,0.5)&lt;1,1,CEILING(L487,0.5)),'배송비 조회'!A$32:AY$36,2,0),-2)</f>
        <v>#REF!</v>
      </c>
      <c r="R487">
        <v>0</v>
      </c>
      <c r="S487" t="str">
        <f>ROUND((P487+Q487)*0.6,-2)</f>
        <v>#REF!</v>
      </c>
      <c r="T487" t="str">
        <f>ROUND((P487+Q487)*0.7,-2)</f>
        <v>#REF!</v>
      </c>
      <c r="U487" t="str">
        <f>ROUND(SUM(P487+Q487+R487+S487), -2)</f>
        <v>#REF!</v>
      </c>
      <c r="V487" t="str">
        <f>ROUND(P487+Q487+R487+T487, -2)</f>
        <v>#REF!</v>
      </c>
      <c r="W487">
        <v>0</v>
      </c>
      <c r="X487" t="str">
        <f>U487*0.038</f>
        <v>#REF!</v>
      </c>
      <c r="Y487" t="str">
        <f>U487*0.02</f>
        <v>#REF!</v>
      </c>
      <c r="Z487" t="str">
        <f>V487*0.1</f>
        <v>#REF!</v>
      </c>
      <c r="AA487" t="str">
        <f>U487-X487-Y487</f>
        <v>#REF!</v>
      </c>
      <c r="AB487" t="str">
        <f>V487-Z487</f>
        <v>#REF!</v>
      </c>
      <c r="AC487" t="str">
        <f>AA487*0.01</f>
        <v>#REF!</v>
      </c>
      <c r="AD487" t="str">
        <f>AA487-P487-AC487-Q487</f>
        <v>#REF!</v>
      </c>
      <c r="AE487" t="str">
        <f>AB487-P487-Q487-AC487</f>
        <v>#REF!</v>
      </c>
      <c r="AF487" t="str">
        <f>AD487/U487</f>
        <v>#REF!</v>
      </c>
      <c r="AG487" t="str">
        <f>AE487/V487</f>
        <v>#REF!</v>
      </c>
    </row>
    <row r="488">
      <c r="G488" t="str">
        <v>A</v>
      </c>
      <c r="J488" t="str">
        <f>IF(K488&gt;0,K488*0.0625,IF(L488&gt;0,L488*2.204623,))</f>
        <v>#REF!</v>
      </c>
      <c r="K488" t="str">
        <f>IF(L488&gt;0,L488*35.273962,IF(J488&gt;0,J488*16,))</f>
        <v>#REF!</v>
      </c>
      <c r="L488" t="str">
        <f>IF(J488&gt;0,J488*0.453592,IF(K488&gt;0,K488*0.02835,))</f>
        <v>#REF!</v>
      </c>
      <c r="O488">
        <f>I488+N488+M488</f>
        <v>0</v>
      </c>
      <c r="P488">
        <f>O488*C$3</f>
        <v>0</v>
      </c>
      <c r="Q488" t="str">
        <f>ROUNDUP(HLOOKUP(IF(CEILING(L488,0.5)&lt;1,1,CEILING(L488,0.5)),'배송비 조회'!A$32:AY$36,2,0),-2)</f>
        <v>#REF!</v>
      </c>
      <c r="R488">
        <v>0</v>
      </c>
      <c r="S488" t="str">
        <f>ROUND((P488+Q488)*0.6,-2)</f>
        <v>#REF!</v>
      </c>
      <c r="T488" t="str">
        <f>ROUND((P488+Q488)*0.7,-2)</f>
        <v>#REF!</v>
      </c>
      <c r="U488" t="str">
        <f>ROUND(SUM(P488+Q488+R488+S488), -2)</f>
        <v>#REF!</v>
      </c>
      <c r="V488" t="str">
        <f>ROUND(P488+Q488+R488+T488, -2)</f>
        <v>#REF!</v>
      </c>
      <c r="W488">
        <v>0</v>
      </c>
      <c r="X488" t="str">
        <f>U488*0.038</f>
        <v>#REF!</v>
      </c>
      <c r="Y488" t="str">
        <f>U488*0.02</f>
        <v>#REF!</v>
      </c>
      <c r="Z488" t="str">
        <f>V488*0.1</f>
        <v>#REF!</v>
      </c>
      <c r="AA488" t="str">
        <f>U488-X488-Y488</f>
        <v>#REF!</v>
      </c>
      <c r="AB488" t="str">
        <f>V488-Z488</f>
        <v>#REF!</v>
      </c>
      <c r="AC488" t="str">
        <f>AA488*0.01</f>
        <v>#REF!</v>
      </c>
      <c r="AD488" t="str">
        <f>AA488-P488-AC488-Q488</f>
        <v>#REF!</v>
      </c>
      <c r="AE488" t="str">
        <f>AB488-P488-Q488-AC488</f>
        <v>#REF!</v>
      </c>
      <c r="AF488" t="str">
        <f>AD488/U488</f>
        <v>#REF!</v>
      </c>
      <c r="AG488" t="str">
        <f>AE488/V488</f>
        <v>#REF!</v>
      </c>
    </row>
    <row r="489">
      <c r="G489" t="str">
        <v>A</v>
      </c>
      <c r="J489" t="str">
        <f>IF(K489&gt;0,K489*0.0625,IF(L489&gt;0,L489*2.204623,))</f>
        <v>#REF!</v>
      </c>
      <c r="K489" t="str">
        <f>IF(L489&gt;0,L489*35.273962,IF(J489&gt;0,J489*16,))</f>
        <v>#REF!</v>
      </c>
      <c r="L489" t="str">
        <f>IF(J489&gt;0,J489*0.453592,IF(K489&gt;0,K489*0.02835,))</f>
        <v>#REF!</v>
      </c>
      <c r="O489">
        <f>I489+N489+M489</f>
        <v>0</v>
      </c>
      <c r="P489">
        <f>O489*C$3</f>
        <v>0</v>
      </c>
      <c r="Q489" t="str">
        <f>ROUNDUP(HLOOKUP(IF(CEILING(L489,0.5)&lt;1,1,CEILING(L489,0.5)),'배송비 조회'!A$32:AY$36,2,0),-2)</f>
        <v>#REF!</v>
      </c>
      <c r="R489">
        <v>0</v>
      </c>
      <c r="S489" t="str">
        <f>ROUND((P489+Q489)*0.6,-2)</f>
        <v>#REF!</v>
      </c>
      <c r="T489" t="str">
        <f>ROUND((P489+Q489)*0.7,-2)</f>
        <v>#REF!</v>
      </c>
      <c r="U489" t="str">
        <f>ROUND(SUM(P489+Q489+R489+S489), -2)</f>
        <v>#REF!</v>
      </c>
      <c r="V489" t="str">
        <f>ROUND(P489+Q489+R489+T489, -2)</f>
        <v>#REF!</v>
      </c>
      <c r="W489">
        <v>0</v>
      </c>
      <c r="X489" t="str">
        <f>U489*0.038</f>
        <v>#REF!</v>
      </c>
      <c r="Y489" t="str">
        <f>U489*0.02</f>
        <v>#REF!</v>
      </c>
      <c r="Z489" t="str">
        <f>V489*0.1</f>
        <v>#REF!</v>
      </c>
      <c r="AA489" t="str">
        <f>U489-X489-Y489</f>
        <v>#REF!</v>
      </c>
      <c r="AB489" t="str">
        <f>V489-Z489</f>
        <v>#REF!</v>
      </c>
      <c r="AC489" t="str">
        <f>AA489*0.01</f>
        <v>#REF!</v>
      </c>
      <c r="AD489" t="str">
        <f>AA489-P489-AC489-Q489</f>
        <v>#REF!</v>
      </c>
      <c r="AE489" t="str">
        <f>AB489-P489-Q489-AC489</f>
        <v>#REF!</v>
      </c>
      <c r="AF489" t="str">
        <f>AD489/U489</f>
        <v>#REF!</v>
      </c>
      <c r="AG489" t="str">
        <f>AE489/V489</f>
        <v>#REF!</v>
      </c>
    </row>
    <row r="490">
      <c r="G490" t="str">
        <v>A</v>
      </c>
      <c r="J490" t="str">
        <f>IF(K490&gt;0,K490*0.0625,IF(L490&gt;0,L490*2.204623,))</f>
        <v>#REF!</v>
      </c>
      <c r="K490" t="str">
        <f>IF(L490&gt;0,L490*35.273962,IF(J490&gt;0,J490*16,))</f>
        <v>#REF!</v>
      </c>
      <c r="L490" t="str">
        <f>IF(J490&gt;0,J490*0.453592,IF(K490&gt;0,K490*0.02835,))</f>
        <v>#REF!</v>
      </c>
      <c r="O490">
        <f>I490+N490+M490</f>
        <v>0</v>
      </c>
      <c r="P490">
        <f>O490*C$3</f>
        <v>0</v>
      </c>
      <c r="Q490" t="str">
        <f>ROUNDUP(HLOOKUP(IF(CEILING(L490,0.5)&lt;1,1,CEILING(L490,0.5)),'배송비 조회'!A$32:AY$36,2,0),-2)</f>
        <v>#REF!</v>
      </c>
      <c r="R490">
        <v>0</v>
      </c>
      <c r="S490" t="str">
        <f>ROUND((P490+Q490)*0.6,-2)</f>
        <v>#REF!</v>
      </c>
      <c r="T490" t="str">
        <f>ROUND((P490+Q490)*0.7,-2)</f>
        <v>#REF!</v>
      </c>
      <c r="U490" t="str">
        <f>ROUND(SUM(P490+Q490+R490+S490), -2)</f>
        <v>#REF!</v>
      </c>
      <c r="V490" t="str">
        <f>ROUND(P490+Q490+R490+T490, -2)</f>
        <v>#REF!</v>
      </c>
      <c r="W490">
        <v>0</v>
      </c>
      <c r="X490" t="str">
        <f>U490*0.038</f>
        <v>#REF!</v>
      </c>
      <c r="Y490" t="str">
        <f>U490*0.02</f>
        <v>#REF!</v>
      </c>
      <c r="Z490" t="str">
        <f>V490*0.1</f>
        <v>#REF!</v>
      </c>
      <c r="AA490" t="str">
        <f>U490-X490-Y490</f>
        <v>#REF!</v>
      </c>
      <c r="AB490" t="str">
        <f>V490-Z490</f>
        <v>#REF!</v>
      </c>
      <c r="AC490" t="str">
        <f>AA490*0.01</f>
        <v>#REF!</v>
      </c>
      <c r="AD490" t="str">
        <f>AA490-P490-AC490-Q490</f>
        <v>#REF!</v>
      </c>
      <c r="AE490" t="str">
        <f>AB490-P490-Q490-AC490</f>
        <v>#REF!</v>
      </c>
      <c r="AF490" t="str">
        <f>AD490/U490</f>
        <v>#REF!</v>
      </c>
      <c r="AG490" t="str">
        <f>AE490/V490</f>
        <v>#REF!</v>
      </c>
    </row>
    <row r="491">
      <c r="G491" t="str">
        <v>A</v>
      </c>
      <c r="J491" t="str">
        <f>IF(K491&gt;0,K491*0.0625,IF(L491&gt;0,L491*2.204623,))</f>
        <v>#REF!</v>
      </c>
      <c r="K491" t="str">
        <f>IF(L491&gt;0,L491*35.273962,IF(J491&gt;0,J491*16,))</f>
        <v>#REF!</v>
      </c>
      <c r="L491" t="str">
        <f>IF(J491&gt;0,J491*0.453592,IF(K491&gt;0,K491*0.02835,))</f>
        <v>#REF!</v>
      </c>
      <c r="O491">
        <f>I491+N491+M491</f>
        <v>0</v>
      </c>
      <c r="P491">
        <f>O491*C$3</f>
        <v>0</v>
      </c>
      <c r="Q491" t="str">
        <f>ROUNDUP(HLOOKUP(IF(CEILING(L491,0.5)&lt;1,1,CEILING(L491,0.5)),'배송비 조회'!A$32:AY$36,2,0),-2)</f>
        <v>#REF!</v>
      </c>
      <c r="R491">
        <v>0</v>
      </c>
      <c r="S491" t="str">
        <f>ROUND((P491+Q491)*0.6,-2)</f>
        <v>#REF!</v>
      </c>
      <c r="T491" t="str">
        <f>ROUND((P491+Q491)*0.7,-2)</f>
        <v>#REF!</v>
      </c>
      <c r="U491" t="str">
        <f>ROUND(SUM(P491+Q491+R491+S491), -2)</f>
        <v>#REF!</v>
      </c>
      <c r="V491" t="str">
        <f>ROUND(P491+Q491+R491+T491, -2)</f>
        <v>#REF!</v>
      </c>
      <c r="W491">
        <v>0</v>
      </c>
      <c r="X491" t="str">
        <f>U491*0.038</f>
        <v>#REF!</v>
      </c>
      <c r="Y491" t="str">
        <f>U491*0.02</f>
        <v>#REF!</v>
      </c>
      <c r="Z491" t="str">
        <f>V491*0.1</f>
        <v>#REF!</v>
      </c>
      <c r="AA491" t="str">
        <f>U491-X491-Y491</f>
        <v>#REF!</v>
      </c>
      <c r="AB491" t="str">
        <f>V491-Z491</f>
        <v>#REF!</v>
      </c>
      <c r="AC491" t="str">
        <f>AA491*0.01</f>
        <v>#REF!</v>
      </c>
      <c r="AD491" t="str">
        <f>AA491-P491-AC491-Q491</f>
        <v>#REF!</v>
      </c>
      <c r="AE491" t="str">
        <f>AB491-P491-Q491-AC491</f>
        <v>#REF!</v>
      </c>
      <c r="AF491" t="str">
        <f>AD491/U491</f>
        <v>#REF!</v>
      </c>
      <c r="AG491" t="str">
        <f>AE491/V491</f>
        <v>#REF!</v>
      </c>
    </row>
    <row r="492">
      <c r="G492" t="str">
        <v>A</v>
      </c>
      <c r="J492" t="str">
        <f>IF(K492&gt;0,K492*0.0625,IF(L492&gt;0,L492*2.204623,))</f>
        <v>#REF!</v>
      </c>
      <c r="K492" t="str">
        <f>IF(L492&gt;0,L492*35.273962,IF(J492&gt;0,J492*16,))</f>
        <v>#REF!</v>
      </c>
      <c r="L492" t="str">
        <f>IF(J492&gt;0,J492*0.453592,IF(K492&gt;0,K492*0.02835,))</f>
        <v>#REF!</v>
      </c>
      <c r="O492">
        <f>I492+N492+M492</f>
        <v>0</v>
      </c>
      <c r="P492">
        <f>O492*C$3</f>
        <v>0</v>
      </c>
      <c r="Q492" t="str">
        <f>ROUNDUP(HLOOKUP(IF(CEILING(L492,0.5)&lt;1,1,CEILING(L492,0.5)),'배송비 조회'!A$32:AY$36,2,0),-2)</f>
        <v>#REF!</v>
      </c>
      <c r="R492">
        <v>0</v>
      </c>
      <c r="S492" t="str">
        <f>ROUND((P492+Q492)*0.6,-2)</f>
        <v>#REF!</v>
      </c>
      <c r="T492" t="str">
        <f>ROUND((P492+Q492)*0.7,-2)</f>
        <v>#REF!</v>
      </c>
      <c r="U492" t="str">
        <f>ROUND(SUM(P492+Q492+R492+S492), -2)</f>
        <v>#REF!</v>
      </c>
      <c r="V492" t="str">
        <f>ROUND(P492+Q492+R492+T492, -2)</f>
        <v>#REF!</v>
      </c>
      <c r="W492">
        <v>0</v>
      </c>
      <c r="X492" t="str">
        <f>U492*0.038</f>
        <v>#REF!</v>
      </c>
      <c r="Y492" t="str">
        <f>U492*0.02</f>
        <v>#REF!</v>
      </c>
      <c r="Z492" t="str">
        <f>V492*0.1</f>
        <v>#REF!</v>
      </c>
      <c r="AA492" t="str">
        <f>U492-X492-Y492</f>
        <v>#REF!</v>
      </c>
      <c r="AB492" t="str">
        <f>V492-Z492</f>
        <v>#REF!</v>
      </c>
      <c r="AC492" t="str">
        <f>AA492*0.01</f>
        <v>#REF!</v>
      </c>
      <c r="AD492" t="str">
        <f>AA492-P492-AC492-Q492</f>
        <v>#REF!</v>
      </c>
      <c r="AE492" t="str">
        <f>AB492-P492-Q492-AC492</f>
        <v>#REF!</v>
      </c>
      <c r="AF492" t="str">
        <f>AD492/U492</f>
        <v>#REF!</v>
      </c>
      <c r="AG492" t="str">
        <f>AE492/V492</f>
        <v>#REF!</v>
      </c>
    </row>
    <row r="493">
      <c r="G493" t="str">
        <v>A</v>
      </c>
      <c r="J493" t="str">
        <f>IF(K493&gt;0,K493*0.0625,IF(L493&gt;0,L493*2.204623,))</f>
        <v>#REF!</v>
      </c>
      <c r="K493" t="str">
        <f>IF(L493&gt;0,L493*35.273962,IF(J493&gt;0,J493*16,))</f>
        <v>#REF!</v>
      </c>
      <c r="L493" t="str">
        <f>IF(J493&gt;0,J493*0.453592,IF(K493&gt;0,K493*0.02835,))</f>
        <v>#REF!</v>
      </c>
      <c r="O493">
        <f>I493+N493+M493</f>
        <v>0</v>
      </c>
      <c r="P493">
        <f>O493*C$3</f>
        <v>0</v>
      </c>
      <c r="Q493" t="str">
        <f>ROUNDUP(HLOOKUP(IF(CEILING(L493,0.5)&lt;1,1,CEILING(L493,0.5)),'배송비 조회'!A$32:AY$36,2,0),-2)</f>
        <v>#REF!</v>
      </c>
      <c r="R493">
        <v>0</v>
      </c>
      <c r="S493" t="str">
        <f>ROUND((P493+Q493)*0.6,-2)</f>
        <v>#REF!</v>
      </c>
      <c r="T493" t="str">
        <f>ROUND((P493+Q493)*0.7,-2)</f>
        <v>#REF!</v>
      </c>
      <c r="U493" t="str">
        <f>ROUND(SUM(P493+Q493+R493+S493), -2)</f>
        <v>#REF!</v>
      </c>
      <c r="V493" t="str">
        <f>ROUND(P493+Q493+R493+T493, -2)</f>
        <v>#REF!</v>
      </c>
      <c r="W493">
        <v>0</v>
      </c>
      <c r="X493" t="str">
        <f>U493*0.038</f>
        <v>#REF!</v>
      </c>
      <c r="Y493" t="str">
        <f>U493*0.02</f>
        <v>#REF!</v>
      </c>
      <c r="Z493" t="str">
        <f>V493*0.1</f>
        <v>#REF!</v>
      </c>
      <c r="AA493" t="str">
        <f>U493-X493-Y493</f>
        <v>#REF!</v>
      </c>
      <c r="AB493" t="str">
        <f>V493-Z493</f>
        <v>#REF!</v>
      </c>
      <c r="AC493" t="str">
        <f>AA493*0.01</f>
        <v>#REF!</v>
      </c>
      <c r="AD493" t="str">
        <f>AA493-P493-AC493-Q493</f>
        <v>#REF!</v>
      </c>
      <c r="AE493" t="str">
        <f>AB493-P493-Q493-AC493</f>
        <v>#REF!</v>
      </c>
      <c r="AF493" t="str">
        <f>AD493/U493</f>
        <v>#REF!</v>
      </c>
      <c r="AG493" t="str">
        <f>AE493/V493</f>
        <v>#REF!</v>
      </c>
    </row>
    <row r="494">
      <c r="G494" t="str">
        <v>A</v>
      </c>
      <c r="J494" t="str">
        <f>IF(K494&gt;0,K494*0.0625,IF(L494&gt;0,L494*2.204623,))</f>
        <v>#REF!</v>
      </c>
      <c r="K494" t="str">
        <f>IF(L494&gt;0,L494*35.273962,IF(J494&gt;0,J494*16,))</f>
        <v>#REF!</v>
      </c>
      <c r="L494" t="str">
        <f>IF(J494&gt;0,J494*0.453592,IF(K494&gt;0,K494*0.02835,))</f>
        <v>#REF!</v>
      </c>
      <c r="O494">
        <f>I494+N494+M494</f>
        <v>0</v>
      </c>
      <c r="P494">
        <f>O494*C$3</f>
        <v>0</v>
      </c>
      <c r="Q494" t="str">
        <f>ROUNDUP(HLOOKUP(IF(CEILING(L494,0.5)&lt;1,1,CEILING(L494,0.5)),'배송비 조회'!A$32:AY$36,2,0),-2)</f>
        <v>#REF!</v>
      </c>
      <c r="R494">
        <v>0</v>
      </c>
      <c r="S494" t="str">
        <f>ROUND((P494+Q494)*0.6,-2)</f>
        <v>#REF!</v>
      </c>
      <c r="T494" t="str">
        <f>ROUND((P494+Q494)*0.7,-2)</f>
        <v>#REF!</v>
      </c>
      <c r="U494" t="str">
        <f>ROUND(SUM(P494+Q494+R494+S494), -2)</f>
        <v>#REF!</v>
      </c>
      <c r="V494" t="str">
        <f>ROUND(P494+Q494+R494+T494, -2)</f>
        <v>#REF!</v>
      </c>
      <c r="W494">
        <v>0</v>
      </c>
      <c r="X494" t="str">
        <f>U494*0.038</f>
        <v>#REF!</v>
      </c>
      <c r="Y494" t="str">
        <f>U494*0.02</f>
        <v>#REF!</v>
      </c>
      <c r="Z494" t="str">
        <f>V494*0.1</f>
        <v>#REF!</v>
      </c>
      <c r="AA494" t="str">
        <f>U494-X494-Y494</f>
        <v>#REF!</v>
      </c>
      <c r="AB494" t="str">
        <f>V494-Z494</f>
        <v>#REF!</v>
      </c>
      <c r="AC494" t="str">
        <f>AA494*0.01</f>
        <v>#REF!</v>
      </c>
      <c r="AD494" t="str">
        <f>AA494-P494-AC494-Q494</f>
        <v>#REF!</v>
      </c>
      <c r="AE494" t="str">
        <f>AB494-P494-Q494-AC494</f>
        <v>#REF!</v>
      </c>
      <c r="AF494" t="str">
        <f>AD494/U494</f>
        <v>#REF!</v>
      </c>
      <c r="AG494" t="str">
        <f>AE494/V494</f>
        <v>#REF!</v>
      </c>
    </row>
    <row r="495">
      <c r="G495" t="str">
        <v>A</v>
      </c>
      <c r="J495" t="str">
        <f>IF(K495&gt;0,K495*0.0625,IF(L495&gt;0,L495*2.204623,))</f>
        <v>#REF!</v>
      </c>
      <c r="K495" t="str">
        <f>IF(L495&gt;0,L495*35.273962,IF(J495&gt;0,J495*16,))</f>
        <v>#REF!</v>
      </c>
      <c r="L495" t="str">
        <f>IF(J495&gt;0,J495*0.453592,IF(K495&gt;0,K495*0.02835,))</f>
        <v>#REF!</v>
      </c>
      <c r="O495">
        <f>I495+N495+M495</f>
        <v>0</v>
      </c>
      <c r="P495">
        <f>O495*C$3</f>
        <v>0</v>
      </c>
      <c r="Q495" t="str">
        <f>ROUNDUP(HLOOKUP(IF(CEILING(L495,0.5)&lt;1,1,CEILING(L495,0.5)),'배송비 조회'!A$32:AY$36,2,0),-2)</f>
        <v>#REF!</v>
      </c>
      <c r="R495">
        <v>0</v>
      </c>
      <c r="S495" t="str">
        <f>ROUND((P495+Q495)*0.6,-2)</f>
        <v>#REF!</v>
      </c>
      <c r="T495" t="str">
        <f>ROUND((P495+Q495)*0.7,-2)</f>
        <v>#REF!</v>
      </c>
      <c r="U495" t="str">
        <f>ROUND(SUM(P495+Q495+R495+S495), -2)</f>
        <v>#REF!</v>
      </c>
      <c r="V495" t="str">
        <f>ROUND(P495+Q495+R495+T495, -2)</f>
        <v>#REF!</v>
      </c>
      <c r="W495">
        <v>0</v>
      </c>
      <c r="X495" t="str">
        <f>U495*0.038</f>
        <v>#REF!</v>
      </c>
      <c r="Y495" t="str">
        <f>U495*0.02</f>
        <v>#REF!</v>
      </c>
      <c r="Z495" t="str">
        <f>V495*0.1</f>
        <v>#REF!</v>
      </c>
      <c r="AA495" t="str">
        <f>U495-X495-Y495</f>
        <v>#REF!</v>
      </c>
      <c r="AB495" t="str">
        <f>V495-Z495</f>
        <v>#REF!</v>
      </c>
      <c r="AC495" t="str">
        <f>AA495*0.01</f>
        <v>#REF!</v>
      </c>
      <c r="AD495" t="str">
        <f>AA495-P495-AC495-Q495</f>
        <v>#REF!</v>
      </c>
      <c r="AE495" t="str">
        <f>AB495-P495-Q495-AC495</f>
        <v>#REF!</v>
      </c>
      <c r="AF495" t="str">
        <f>AD495/U495</f>
        <v>#REF!</v>
      </c>
      <c r="AG495" t="str">
        <f>AE495/V495</f>
        <v>#REF!</v>
      </c>
    </row>
    <row r="496">
      <c r="G496" t="str">
        <v>A</v>
      </c>
      <c r="J496" t="str">
        <f>IF(K496&gt;0,K496*0.0625,IF(L496&gt;0,L496*2.204623,))</f>
        <v>#REF!</v>
      </c>
      <c r="K496" t="str">
        <f>IF(L496&gt;0,L496*35.273962,IF(J496&gt;0,J496*16,))</f>
        <v>#REF!</v>
      </c>
      <c r="L496" t="str">
        <f>IF(J496&gt;0,J496*0.453592,IF(K496&gt;0,K496*0.02835,))</f>
        <v>#REF!</v>
      </c>
      <c r="O496">
        <f>I496+N496+M496</f>
        <v>0</v>
      </c>
      <c r="P496">
        <f>O496*C$3</f>
        <v>0</v>
      </c>
      <c r="Q496" t="str">
        <f>ROUNDUP(HLOOKUP(IF(CEILING(L496,0.5)&lt;1,1,CEILING(L496,0.5)),'배송비 조회'!A$32:AY$36,2,0),-2)</f>
        <v>#REF!</v>
      </c>
      <c r="R496">
        <v>0</v>
      </c>
      <c r="S496" t="str">
        <f>ROUND((P496+Q496)*0.6,-2)</f>
        <v>#REF!</v>
      </c>
      <c r="T496" t="str">
        <f>ROUND((P496+Q496)*0.7,-2)</f>
        <v>#REF!</v>
      </c>
      <c r="U496" t="str">
        <f>ROUND(SUM(P496+Q496+R496+S496), -2)</f>
        <v>#REF!</v>
      </c>
      <c r="V496" t="str">
        <f>ROUND(P496+Q496+R496+T496, -2)</f>
        <v>#REF!</v>
      </c>
      <c r="W496">
        <v>0</v>
      </c>
      <c r="X496" t="str">
        <f>U496*0.038</f>
        <v>#REF!</v>
      </c>
      <c r="Y496" t="str">
        <f>U496*0.02</f>
        <v>#REF!</v>
      </c>
      <c r="Z496" t="str">
        <f>V496*0.1</f>
        <v>#REF!</v>
      </c>
      <c r="AA496" t="str">
        <f>U496-X496-Y496</f>
        <v>#REF!</v>
      </c>
      <c r="AB496" t="str">
        <f>V496-Z496</f>
        <v>#REF!</v>
      </c>
      <c r="AC496" t="str">
        <f>AA496*0.01</f>
        <v>#REF!</v>
      </c>
      <c r="AD496" t="str">
        <f>AA496-P496-AC496-Q496</f>
        <v>#REF!</v>
      </c>
      <c r="AE496" t="str">
        <f>AB496-P496-Q496-AC496</f>
        <v>#REF!</v>
      </c>
      <c r="AF496" t="str">
        <f>AD496/U496</f>
        <v>#REF!</v>
      </c>
      <c r="AG496" t="str">
        <f>AE496/V496</f>
        <v>#REF!</v>
      </c>
    </row>
    <row r="497">
      <c r="G497" t="str">
        <v>A</v>
      </c>
      <c r="J497" t="str">
        <f>IF(K497&gt;0,K497*0.0625,IF(L497&gt;0,L497*2.204623,))</f>
        <v>#REF!</v>
      </c>
      <c r="K497" t="str">
        <f>IF(L497&gt;0,L497*35.273962,IF(J497&gt;0,J497*16,))</f>
        <v>#REF!</v>
      </c>
      <c r="L497" t="str">
        <f>IF(J497&gt;0,J497*0.453592,IF(K497&gt;0,K497*0.02835,))</f>
        <v>#REF!</v>
      </c>
      <c r="O497">
        <f>I497+N497+M497</f>
        <v>0</v>
      </c>
      <c r="P497">
        <f>O497*C$3</f>
        <v>0</v>
      </c>
      <c r="Q497" t="str">
        <f>ROUNDUP(HLOOKUP(IF(CEILING(L497,0.5)&lt;1,1,CEILING(L497,0.5)),'배송비 조회'!A$32:AY$36,2,0),-2)</f>
        <v>#REF!</v>
      </c>
      <c r="R497">
        <v>0</v>
      </c>
      <c r="S497" t="str">
        <f>ROUND((P497+Q497)*0.6,-2)</f>
        <v>#REF!</v>
      </c>
      <c r="T497" t="str">
        <f>ROUND((P497+Q497)*0.7,-2)</f>
        <v>#REF!</v>
      </c>
      <c r="U497" t="str">
        <f>ROUND(SUM(P497+Q497+R497+S497), -2)</f>
        <v>#REF!</v>
      </c>
      <c r="V497" t="str">
        <f>ROUND(P497+Q497+R497+T497, -2)</f>
        <v>#REF!</v>
      </c>
      <c r="W497">
        <v>0</v>
      </c>
      <c r="X497" t="str">
        <f>U497*0.038</f>
        <v>#REF!</v>
      </c>
      <c r="Y497" t="str">
        <f>U497*0.02</f>
        <v>#REF!</v>
      </c>
      <c r="Z497" t="str">
        <f>V497*0.1</f>
        <v>#REF!</v>
      </c>
      <c r="AA497" t="str">
        <f>U497-X497-Y497</f>
        <v>#REF!</v>
      </c>
      <c r="AB497" t="str">
        <f>V497-Z497</f>
        <v>#REF!</v>
      </c>
      <c r="AC497" t="str">
        <f>AA497*0.01</f>
        <v>#REF!</v>
      </c>
      <c r="AD497" t="str">
        <f>AA497-P497-AC497-Q497</f>
        <v>#REF!</v>
      </c>
      <c r="AE497" t="str">
        <f>AB497-P497-Q497-AC497</f>
        <v>#REF!</v>
      </c>
      <c r="AF497" t="str">
        <f>AD497/U497</f>
        <v>#REF!</v>
      </c>
      <c r="AG497" t="str">
        <f>AE497/V497</f>
        <v>#REF!</v>
      </c>
    </row>
    <row r="498">
      <c r="G498" t="str">
        <v>A</v>
      </c>
      <c r="J498" t="str">
        <f>IF(K498&gt;0,K498*0.0625,IF(L498&gt;0,L498*2.204623,))</f>
        <v>#REF!</v>
      </c>
      <c r="K498" t="str">
        <f>IF(L498&gt;0,L498*35.273962,IF(J498&gt;0,J498*16,))</f>
        <v>#REF!</v>
      </c>
      <c r="L498" t="str">
        <f>IF(J498&gt;0,J498*0.453592,IF(K498&gt;0,K498*0.02835,))</f>
        <v>#REF!</v>
      </c>
      <c r="O498">
        <f>I498+N498+M498</f>
        <v>0</v>
      </c>
      <c r="P498">
        <f>O498*C$3</f>
        <v>0</v>
      </c>
      <c r="Q498" t="str">
        <f>ROUNDUP(HLOOKUP(IF(CEILING(L498,0.5)&lt;1,1,CEILING(L498,0.5)),'배송비 조회'!A$32:AY$36,2,0),-2)</f>
        <v>#REF!</v>
      </c>
      <c r="R498">
        <v>0</v>
      </c>
      <c r="S498" t="str">
        <f>ROUND((P498+Q498)*0.6,-2)</f>
        <v>#REF!</v>
      </c>
      <c r="T498" t="str">
        <f>ROUND((P498+Q498)*0.7,-2)</f>
        <v>#REF!</v>
      </c>
      <c r="U498" t="str">
        <f>ROUND(SUM(P498+Q498+R498+S498), -2)</f>
        <v>#REF!</v>
      </c>
      <c r="V498" t="str">
        <f>ROUND(P498+Q498+R498+T498, -2)</f>
        <v>#REF!</v>
      </c>
      <c r="W498">
        <v>0</v>
      </c>
      <c r="X498" t="str">
        <f>U498*0.038</f>
        <v>#REF!</v>
      </c>
      <c r="Y498" t="str">
        <f>U498*0.02</f>
        <v>#REF!</v>
      </c>
      <c r="Z498" t="str">
        <f>V498*0.1</f>
        <v>#REF!</v>
      </c>
      <c r="AA498" t="str">
        <f>U498-X498-Y498</f>
        <v>#REF!</v>
      </c>
      <c r="AB498" t="str">
        <f>V498-Z498</f>
        <v>#REF!</v>
      </c>
      <c r="AC498" t="str">
        <f>AA498*0.01</f>
        <v>#REF!</v>
      </c>
      <c r="AD498" t="str">
        <f>AA498-P498-AC498-Q498</f>
        <v>#REF!</v>
      </c>
      <c r="AE498" t="str">
        <f>AB498-P498-Q498-AC498</f>
        <v>#REF!</v>
      </c>
      <c r="AF498" t="str">
        <f>AD498/U498</f>
        <v>#REF!</v>
      </c>
      <c r="AG498" t="str">
        <f>AE498/V498</f>
        <v>#REF!</v>
      </c>
    </row>
    <row r="499">
      <c r="G499" t="str">
        <v>A</v>
      </c>
      <c r="J499" t="str">
        <f>IF(K499&gt;0,K499*0.0625,IF(L499&gt;0,L499*2.204623,))</f>
        <v>#REF!</v>
      </c>
      <c r="K499" t="str">
        <f>IF(L499&gt;0,L499*35.273962,IF(J499&gt;0,J499*16,))</f>
        <v>#REF!</v>
      </c>
      <c r="L499" t="str">
        <f>IF(J499&gt;0,J499*0.453592,IF(K499&gt;0,K499*0.02835,))</f>
        <v>#REF!</v>
      </c>
      <c r="O499">
        <f>I499+N499+M499</f>
        <v>0</v>
      </c>
      <c r="P499">
        <f>O499*C$3</f>
        <v>0</v>
      </c>
      <c r="Q499" t="str">
        <f>ROUNDUP(HLOOKUP(IF(CEILING(L499,0.5)&lt;1,1,CEILING(L499,0.5)),'배송비 조회'!A$32:AY$36,2,0),-2)</f>
        <v>#REF!</v>
      </c>
      <c r="R499">
        <v>0</v>
      </c>
      <c r="S499" t="str">
        <f>ROUND((P499+Q499)*0.6,-2)</f>
        <v>#REF!</v>
      </c>
      <c r="T499" t="str">
        <f>ROUND((P499+Q499)*0.7,-2)</f>
        <v>#REF!</v>
      </c>
      <c r="U499" t="str">
        <f>ROUND(SUM(P499+Q499+R499+S499), -2)</f>
        <v>#REF!</v>
      </c>
      <c r="V499" t="str">
        <f>ROUND(P499+Q499+R499+T499, -2)</f>
        <v>#REF!</v>
      </c>
      <c r="W499">
        <v>0</v>
      </c>
      <c r="X499" t="str">
        <f>U499*0.038</f>
        <v>#REF!</v>
      </c>
      <c r="Y499" t="str">
        <f>U499*0.02</f>
        <v>#REF!</v>
      </c>
      <c r="Z499" t="str">
        <f>V499*0.1</f>
        <v>#REF!</v>
      </c>
      <c r="AA499" t="str">
        <f>U499-X499-Y499</f>
        <v>#REF!</v>
      </c>
      <c r="AB499" t="str">
        <f>V499-Z499</f>
        <v>#REF!</v>
      </c>
      <c r="AC499" t="str">
        <f>AA499*0.01</f>
        <v>#REF!</v>
      </c>
      <c r="AD499" t="str">
        <f>AA499-P499-AC499-Q499</f>
        <v>#REF!</v>
      </c>
      <c r="AE499" t="str">
        <f>AB499-P499-Q499-AC499</f>
        <v>#REF!</v>
      </c>
      <c r="AF499" t="str">
        <f>AD499/U499</f>
        <v>#REF!</v>
      </c>
      <c r="AG499" t="str">
        <f>AE499/V499</f>
        <v>#REF!</v>
      </c>
    </row>
    <row r="500">
      <c r="G500" t="str">
        <v>A</v>
      </c>
      <c r="J500" t="str">
        <f>IF(K500&gt;0,K500*0.0625,IF(L500&gt;0,L500*2.204623,))</f>
        <v>#REF!</v>
      </c>
      <c r="K500" t="str">
        <f>IF(L500&gt;0,L500*35.273962,IF(J500&gt;0,J500*16,))</f>
        <v>#REF!</v>
      </c>
      <c r="L500" t="str">
        <f>IF(J500&gt;0,J500*0.453592,IF(K500&gt;0,K500*0.02835,))</f>
        <v>#REF!</v>
      </c>
      <c r="O500">
        <f>I500+N500+M500</f>
        <v>0</v>
      </c>
      <c r="P500">
        <f>O500*C$3</f>
        <v>0</v>
      </c>
      <c r="Q500" t="str">
        <f>ROUNDUP(HLOOKUP(IF(CEILING(L500,0.5)&lt;1,1,CEILING(L500,0.5)),'배송비 조회'!A$32:AY$36,2,0),-2)</f>
        <v>#REF!</v>
      </c>
      <c r="R500">
        <v>0</v>
      </c>
      <c r="S500" t="str">
        <f>ROUND((P500+Q500)*0.6,-2)</f>
        <v>#REF!</v>
      </c>
      <c r="T500" t="str">
        <f>ROUND((P500+Q500)*0.7,-2)</f>
        <v>#REF!</v>
      </c>
      <c r="U500" t="str">
        <f>ROUND(SUM(P500+Q500+R500+S500), -2)</f>
        <v>#REF!</v>
      </c>
      <c r="V500" t="str">
        <f>ROUND(P500+Q500+R500+T500, -2)</f>
        <v>#REF!</v>
      </c>
      <c r="W500">
        <v>0</v>
      </c>
      <c r="X500" t="str">
        <f>U500*0.038</f>
        <v>#REF!</v>
      </c>
      <c r="Y500" t="str">
        <f>U500*0.02</f>
        <v>#REF!</v>
      </c>
      <c r="Z500" t="str">
        <f>V500*0.1</f>
        <v>#REF!</v>
      </c>
      <c r="AA500" t="str">
        <f>U500-X500-Y500</f>
        <v>#REF!</v>
      </c>
      <c r="AB500" t="str">
        <f>V500-Z500</f>
        <v>#REF!</v>
      </c>
      <c r="AC500" t="str">
        <f>AA500*0.01</f>
        <v>#REF!</v>
      </c>
      <c r="AD500" t="str">
        <f>AA500-P500-AC500-Q500</f>
        <v>#REF!</v>
      </c>
      <c r="AE500" t="str">
        <f>AB500-P500-Q500-AC500</f>
        <v>#REF!</v>
      </c>
      <c r="AF500" t="str">
        <f>AD500/U500</f>
        <v>#REF!</v>
      </c>
      <c r="AG500" t="str">
        <f>AE500/V500</f>
        <v>#REF!</v>
      </c>
    </row>
    <row r="501">
      <c r="G501" t="str">
        <v>A</v>
      </c>
      <c r="J501" t="str">
        <f>IF(K501&gt;0,K501*0.0625,IF(L501&gt;0,L501*2.204623,))</f>
        <v>#REF!</v>
      </c>
      <c r="K501" t="str">
        <f>IF(L501&gt;0,L501*35.273962,IF(J501&gt;0,J501*16,))</f>
        <v>#REF!</v>
      </c>
      <c r="L501" t="str">
        <f>IF(J501&gt;0,J501*0.453592,IF(K501&gt;0,K501*0.02835,))</f>
        <v>#REF!</v>
      </c>
      <c r="O501">
        <f>I501+N501+M501</f>
        <v>0</v>
      </c>
      <c r="P501">
        <f>O501*C$3</f>
        <v>0</v>
      </c>
      <c r="Q501" t="str">
        <f>ROUNDUP(HLOOKUP(IF(CEILING(L501,0.5)&lt;1,1,CEILING(L501,0.5)),'배송비 조회'!A$32:AY$36,2,0),-2)</f>
        <v>#REF!</v>
      </c>
      <c r="R501">
        <v>0</v>
      </c>
      <c r="S501" t="str">
        <f>ROUND((P501+Q501)*0.6,-2)</f>
        <v>#REF!</v>
      </c>
      <c r="T501" t="str">
        <f>ROUND((P501+Q501)*0.7,-2)</f>
        <v>#REF!</v>
      </c>
      <c r="U501" t="str">
        <f>ROUND(SUM(P501+Q501+R501+S501), -2)</f>
        <v>#REF!</v>
      </c>
      <c r="V501" t="str">
        <f>ROUND(P501+Q501+R501+T501, -2)</f>
        <v>#REF!</v>
      </c>
      <c r="W501">
        <v>0</v>
      </c>
      <c r="X501" t="str">
        <f>U501*0.038</f>
        <v>#REF!</v>
      </c>
      <c r="Y501" t="str">
        <f>U501*0.02</f>
        <v>#REF!</v>
      </c>
      <c r="Z501" t="str">
        <f>V501*0.1</f>
        <v>#REF!</v>
      </c>
      <c r="AA501" t="str">
        <f>U501-X501-Y501</f>
        <v>#REF!</v>
      </c>
      <c r="AB501" t="str">
        <f>V501-Z501</f>
        <v>#REF!</v>
      </c>
      <c r="AC501" t="str">
        <f>AA501*0.01</f>
        <v>#REF!</v>
      </c>
      <c r="AD501" t="str">
        <f>AA501-P501-AC501-Q501</f>
        <v>#REF!</v>
      </c>
      <c r="AE501" t="str">
        <f>AB501-P501-Q501-AC501</f>
        <v>#REF!</v>
      </c>
      <c r="AF501" t="str">
        <f>AD501/U501</f>
        <v>#REF!</v>
      </c>
      <c r="AG501" t="str">
        <f>AE501/V501</f>
        <v>#REF!</v>
      </c>
    </row>
    <row r="502">
      <c r="G502" t="str">
        <v>A</v>
      </c>
      <c r="J502" t="str">
        <f>IF(K502&gt;0,K502*0.0625,IF(L502&gt;0,L502*2.204623,))</f>
        <v>#REF!</v>
      </c>
      <c r="K502" t="str">
        <f>IF(L502&gt;0,L502*35.273962,IF(J502&gt;0,J502*16,))</f>
        <v>#REF!</v>
      </c>
      <c r="L502" t="str">
        <f>IF(J502&gt;0,J502*0.453592,IF(K502&gt;0,K502*0.02835,))</f>
        <v>#REF!</v>
      </c>
      <c r="O502">
        <f>I502+N502+M502</f>
        <v>0</v>
      </c>
      <c r="P502">
        <f>O502*C$3</f>
        <v>0</v>
      </c>
      <c r="Q502" t="str">
        <f>ROUNDUP(HLOOKUP(IF(CEILING(L502,0.5)&lt;1,1,CEILING(L502,0.5)),'배송비 조회'!A$32:AY$36,2,0),-2)</f>
        <v>#REF!</v>
      </c>
      <c r="R502">
        <v>0</v>
      </c>
      <c r="S502" t="str">
        <f>ROUND((P502+Q502)*0.6,-2)</f>
        <v>#REF!</v>
      </c>
      <c r="T502" t="str">
        <f>ROUND((P502+Q502)*0.7,-2)</f>
        <v>#REF!</v>
      </c>
      <c r="U502" t="str">
        <f>ROUND(SUM(P502+Q502+R502+S502), -2)</f>
        <v>#REF!</v>
      </c>
      <c r="V502" t="str">
        <f>ROUND(P502+Q502+R502+T502, -2)</f>
        <v>#REF!</v>
      </c>
      <c r="W502">
        <v>0</v>
      </c>
      <c r="X502" t="str">
        <f>U502*0.038</f>
        <v>#REF!</v>
      </c>
      <c r="Y502" t="str">
        <f>U502*0.02</f>
        <v>#REF!</v>
      </c>
      <c r="Z502" t="str">
        <f>V502*0.1</f>
        <v>#REF!</v>
      </c>
      <c r="AA502" t="str">
        <f>U502-X502-Y502</f>
        <v>#REF!</v>
      </c>
      <c r="AB502" t="str">
        <f>V502-Z502</f>
        <v>#REF!</v>
      </c>
      <c r="AC502" t="str">
        <f>AA502*0.01</f>
        <v>#REF!</v>
      </c>
      <c r="AD502" t="str">
        <f>AA502-P502-AC502-Q502</f>
        <v>#REF!</v>
      </c>
      <c r="AE502" t="str">
        <f>AB502-P502-Q502-AC502</f>
        <v>#REF!</v>
      </c>
      <c r="AF502" t="str">
        <f>AD502/U502</f>
        <v>#REF!</v>
      </c>
      <c r="AG502" t="str">
        <f>AE502/V502</f>
        <v>#REF!</v>
      </c>
    </row>
    <row r="503">
      <c r="G503" t="str">
        <v>A</v>
      </c>
      <c r="J503" t="str">
        <f>IF(K503&gt;0,K503*0.0625,IF(L503&gt;0,L503*2.204623,))</f>
        <v>#REF!</v>
      </c>
      <c r="K503" t="str">
        <f>IF(L503&gt;0,L503*35.273962,IF(J503&gt;0,J503*16,))</f>
        <v>#REF!</v>
      </c>
      <c r="L503" t="str">
        <f>IF(J503&gt;0,J503*0.453592,IF(K503&gt;0,K503*0.02835,))</f>
        <v>#REF!</v>
      </c>
      <c r="O503">
        <f>I503+N503+M503</f>
        <v>0</v>
      </c>
      <c r="P503">
        <f>O503*C$3</f>
        <v>0</v>
      </c>
      <c r="Q503" t="str">
        <f>ROUNDUP(HLOOKUP(IF(CEILING(L503,0.5)&lt;1,1,CEILING(L503,0.5)),'배송비 조회'!A$32:AY$36,2,0),-2)</f>
        <v>#REF!</v>
      </c>
      <c r="R503">
        <v>0</v>
      </c>
      <c r="S503" t="str">
        <f>ROUND((P503+Q503)*0.6,-2)</f>
        <v>#REF!</v>
      </c>
      <c r="T503" t="str">
        <f>ROUND((P503+Q503)*0.7,-2)</f>
        <v>#REF!</v>
      </c>
      <c r="U503" t="str">
        <f>ROUND(SUM(P503+Q503+R503+S503), -2)</f>
        <v>#REF!</v>
      </c>
      <c r="V503" t="str">
        <f>ROUND(P503+Q503+R503+T503, -2)</f>
        <v>#REF!</v>
      </c>
      <c r="W503">
        <v>0</v>
      </c>
      <c r="X503" t="str">
        <f>U503*0.038</f>
        <v>#REF!</v>
      </c>
      <c r="Y503" t="str">
        <f>U503*0.02</f>
        <v>#REF!</v>
      </c>
      <c r="Z503" t="str">
        <f>V503*0.1</f>
        <v>#REF!</v>
      </c>
      <c r="AA503" t="str">
        <f>U503-X503-Y503</f>
        <v>#REF!</v>
      </c>
      <c r="AB503" t="str">
        <f>V503-Z503</f>
        <v>#REF!</v>
      </c>
      <c r="AC503" t="str">
        <f>AA503*0.01</f>
        <v>#REF!</v>
      </c>
      <c r="AD503" t="str">
        <f>AA503-P503-AC503-Q503</f>
        <v>#REF!</v>
      </c>
      <c r="AE503" t="str">
        <f>AB503-P503-Q503-AC503</f>
        <v>#REF!</v>
      </c>
      <c r="AF503" t="str">
        <f>AD503/U503</f>
        <v>#REF!</v>
      </c>
      <c r="AG503" t="str">
        <f>AE503/V503</f>
        <v>#REF!</v>
      </c>
    </row>
    <row r="504">
      <c r="G504" t="str">
        <v>A</v>
      </c>
      <c r="J504" t="str">
        <f>IF(K504&gt;0,K504*0.0625,IF(L504&gt;0,L504*2.204623,))</f>
        <v>#REF!</v>
      </c>
      <c r="K504" t="str">
        <f>IF(L504&gt;0,L504*35.273962,IF(J504&gt;0,J504*16,))</f>
        <v>#REF!</v>
      </c>
      <c r="L504" t="str">
        <f>IF(J504&gt;0,J504*0.453592,IF(K504&gt;0,K504*0.02835,))</f>
        <v>#REF!</v>
      </c>
      <c r="O504">
        <f>I504+N504+M504</f>
        <v>0</v>
      </c>
      <c r="P504">
        <f>O504*C$3</f>
        <v>0</v>
      </c>
      <c r="Q504" t="str">
        <f>ROUNDUP(HLOOKUP(IF(CEILING(L504,0.5)&lt;1,1,CEILING(L504,0.5)),'배송비 조회'!A$32:AY$36,2,0),-2)</f>
        <v>#REF!</v>
      </c>
      <c r="R504">
        <v>0</v>
      </c>
      <c r="S504" t="str">
        <f>ROUND((P504+Q504)*0.6,-2)</f>
        <v>#REF!</v>
      </c>
      <c r="T504" t="str">
        <f>ROUND((P504+Q504)*0.7,-2)</f>
        <v>#REF!</v>
      </c>
      <c r="U504" t="str">
        <f>ROUND(SUM(P504+Q504+R504+S504), -2)</f>
        <v>#REF!</v>
      </c>
      <c r="V504" t="str">
        <f>ROUND(P504+Q504+R504+T504, -2)</f>
        <v>#REF!</v>
      </c>
      <c r="W504">
        <v>0</v>
      </c>
      <c r="X504" t="str">
        <f>U504*0.038</f>
        <v>#REF!</v>
      </c>
      <c r="Y504" t="str">
        <f>U504*0.02</f>
        <v>#REF!</v>
      </c>
      <c r="Z504" t="str">
        <f>V504*0.1</f>
        <v>#REF!</v>
      </c>
      <c r="AA504" t="str">
        <f>U504-X504-Y504</f>
        <v>#REF!</v>
      </c>
      <c r="AB504" t="str">
        <f>V504-Z504</f>
        <v>#REF!</v>
      </c>
      <c r="AC504" t="str">
        <f>AA504*0.01</f>
        <v>#REF!</v>
      </c>
      <c r="AD504" t="str">
        <f>AA504-P504-AC504-Q504</f>
        <v>#REF!</v>
      </c>
      <c r="AE504" t="str">
        <f>AB504-P504-Q504-AC504</f>
        <v>#REF!</v>
      </c>
      <c r="AF504" t="str">
        <f>AD504/U504</f>
        <v>#REF!</v>
      </c>
      <c r="AG504" t="str">
        <f>AE504/V504</f>
        <v>#REF!</v>
      </c>
    </row>
    <row r="505">
      <c r="G505" t="str">
        <v>A</v>
      </c>
      <c r="J505" t="str">
        <f>IF(K505&gt;0,K505*0.0625,IF(L505&gt;0,L505*2.204623,))</f>
        <v>#REF!</v>
      </c>
      <c r="K505" t="str">
        <f>IF(L505&gt;0,L505*35.273962,IF(J505&gt;0,J505*16,))</f>
        <v>#REF!</v>
      </c>
      <c r="L505" t="str">
        <f>IF(J505&gt;0,J505*0.453592,IF(K505&gt;0,K505*0.02835,))</f>
        <v>#REF!</v>
      </c>
      <c r="O505">
        <f>I505+N505+M505</f>
        <v>0</v>
      </c>
      <c r="P505">
        <f>O505*C$3</f>
        <v>0</v>
      </c>
      <c r="Q505" t="str">
        <f>ROUNDUP(HLOOKUP(IF(CEILING(L505,0.5)&lt;1,1,CEILING(L505,0.5)),'배송비 조회'!A$32:AY$36,2,0),-2)</f>
        <v>#REF!</v>
      </c>
      <c r="R505">
        <v>0</v>
      </c>
      <c r="S505" t="str">
        <f>ROUND((P505+Q505)*0.6,-2)</f>
        <v>#REF!</v>
      </c>
      <c r="T505" t="str">
        <f>ROUND((P505+Q505)*0.7,-2)</f>
        <v>#REF!</v>
      </c>
      <c r="U505" t="str">
        <f>ROUND(SUM(P505+Q505+R505+S505), -2)</f>
        <v>#REF!</v>
      </c>
      <c r="V505" t="str">
        <f>ROUND(P505+Q505+R505+T505, -2)</f>
        <v>#REF!</v>
      </c>
      <c r="W505">
        <v>0</v>
      </c>
      <c r="X505" t="str">
        <f>U505*0.038</f>
        <v>#REF!</v>
      </c>
      <c r="Y505" t="str">
        <f>U505*0.02</f>
        <v>#REF!</v>
      </c>
      <c r="Z505" t="str">
        <f>V505*0.1</f>
        <v>#REF!</v>
      </c>
      <c r="AA505" t="str">
        <f>U505-X505-Y505</f>
        <v>#REF!</v>
      </c>
      <c r="AB505" t="str">
        <f>V505-Z505</f>
        <v>#REF!</v>
      </c>
      <c r="AC505" t="str">
        <f>AA505*0.01</f>
        <v>#REF!</v>
      </c>
      <c r="AD505" t="str">
        <f>AA505-P505-AC505-Q505</f>
        <v>#REF!</v>
      </c>
      <c r="AE505" t="str">
        <f>AB505-P505-Q505-AC505</f>
        <v>#REF!</v>
      </c>
      <c r="AF505" t="str">
        <f>AD505/U505</f>
        <v>#REF!</v>
      </c>
      <c r="AG505" t="str">
        <f>AE505/V505</f>
        <v>#REF!</v>
      </c>
    </row>
    <row r="506">
      <c r="G506" t="str">
        <v>A</v>
      </c>
      <c r="J506" t="str">
        <f>IF(K506&gt;0,K506*0.0625,IF(L506&gt;0,L506*2.204623,))</f>
        <v>#REF!</v>
      </c>
      <c r="K506" t="str">
        <f>IF(L506&gt;0,L506*35.273962,IF(J506&gt;0,J506*16,))</f>
        <v>#REF!</v>
      </c>
      <c r="L506" t="str">
        <f>IF(J506&gt;0,J506*0.453592,IF(K506&gt;0,K506*0.02835,))</f>
        <v>#REF!</v>
      </c>
      <c r="O506">
        <f>I506+N506+M506</f>
        <v>0</v>
      </c>
      <c r="P506">
        <f>O506*C$3</f>
        <v>0</v>
      </c>
      <c r="Q506" t="str">
        <f>ROUNDUP(HLOOKUP(IF(CEILING(L506,0.5)&lt;1,1,CEILING(L506,0.5)),'배송비 조회'!A$32:AY$36,2,0),-2)</f>
        <v>#REF!</v>
      </c>
      <c r="R506">
        <v>0</v>
      </c>
      <c r="S506" t="str">
        <f>ROUND((P506+Q506)*0.6,-2)</f>
        <v>#REF!</v>
      </c>
      <c r="T506" t="str">
        <f>ROUND((P506+Q506)*0.7,-2)</f>
        <v>#REF!</v>
      </c>
      <c r="U506" t="str">
        <f>ROUND(SUM(P506+Q506+R506+S506), -2)</f>
        <v>#REF!</v>
      </c>
      <c r="V506" t="str">
        <f>ROUND(P506+Q506+R506+T506, -2)</f>
        <v>#REF!</v>
      </c>
      <c r="W506">
        <v>0</v>
      </c>
      <c r="X506" t="str">
        <f>U506*0.038</f>
        <v>#REF!</v>
      </c>
      <c r="Y506" t="str">
        <f>U506*0.02</f>
        <v>#REF!</v>
      </c>
      <c r="Z506" t="str">
        <f>V506*0.1</f>
        <v>#REF!</v>
      </c>
      <c r="AA506" t="str">
        <f>U506-X506-Y506</f>
        <v>#REF!</v>
      </c>
      <c r="AB506" t="str">
        <f>V506-Z506</f>
        <v>#REF!</v>
      </c>
      <c r="AC506" t="str">
        <f>AA506*0.01</f>
        <v>#REF!</v>
      </c>
      <c r="AD506" t="str">
        <f>AA506-P506-AC506-Q506</f>
        <v>#REF!</v>
      </c>
      <c r="AE506" t="str">
        <f>AB506-P506-Q506-AC506</f>
        <v>#REF!</v>
      </c>
      <c r="AF506" t="str">
        <f>AD506/U506</f>
        <v>#REF!</v>
      </c>
      <c r="AG506" t="str">
        <f>AE506/V506</f>
        <v>#REF!</v>
      </c>
    </row>
    <row r="507">
      <c r="G507" t="str">
        <v>A</v>
      </c>
      <c r="J507" t="str">
        <f>IF(K507&gt;0,K507*0.0625,IF(L507&gt;0,L507*2.204623,))</f>
        <v>#REF!</v>
      </c>
      <c r="K507" t="str">
        <f>IF(L507&gt;0,L507*35.273962,IF(J507&gt;0,J507*16,))</f>
        <v>#REF!</v>
      </c>
      <c r="L507" t="str">
        <f>IF(J507&gt;0,J507*0.453592,IF(K507&gt;0,K507*0.02835,))</f>
        <v>#REF!</v>
      </c>
      <c r="O507">
        <f>I507+N507+M507</f>
        <v>0</v>
      </c>
      <c r="P507">
        <f>O507*C$3</f>
        <v>0</v>
      </c>
      <c r="Q507" t="str">
        <f>ROUNDUP(HLOOKUP(IF(CEILING(L507,0.5)&lt;1,1,CEILING(L507,0.5)),'배송비 조회'!A$32:AY$36,2,0),-2)</f>
        <v>#REF!</v>
      </c>
      <c r="R507">
        <v>0</v>
      </c>
      <c r="S507" t="str">
        <f>ROUND((P507+Q507)*0.6,-2)</f>
        <v>#REF!</v>
      </c>
      <c r="T507" t="str">
        <f>ROUND((P507+Q507)*0.7,-2)</f>
        <v>#REF!</v>
      </c>
      <c r="U507" t="str">
        <f>ROUND(SUM(P507+Q507+R507+S507), -2)</f>
        <v>#REF!</v>
      </c>
      <c r="V507" t="str">
        <f>ROUND(P507+Q507+R507+T507, -2)</f>
        <v>#REF!</v>
      </c>
      <c r="W507">
        <v>0</v>
      </c>
      <c r="X507" t="str">
        <f>U507*0.038</f>
        <v>#REF!</v>
      </c>
      <c r="Y507" t="str">
        <f>U507*0.02</f>
        <v>#REF!</v>
      </c>
      <c r="Z507" t="str">
        <f>V507*0.1</f>
        <v>#REF!</v>
      </c>
      <c r="AA507" t="str">
        <f>U507-X507-Y507</f>
        <v>#REF!</v>
      </c>
      <c r="AB507" t="str">
        <f>V507-Z507</f>
        <v>#REF!</v>
      </c>
      <c r="AC507" t="str">
        <f>AA507*0.01</f>
        <v>#REF!</v>
      </c>
      <c r="AD507" t="str">
        <f>AA507-P507-AC507-Q507</f>
        <v>#REF!</v>
      </c>
      <c r="AE507" t="str">
        <f>AB507-P507-Q507-AC507</f>
        <v>#REF!</v>
      </c>
      <c r="AF507" t="str">
        <f>AD507/U507</f>
        <v>#REF!</v>
      </c>
      <c r="AG507" t="str">
        <f>AE507/V507</f>
        <v>#REF!</v>
      </c>
    </row>
    <row r="508">
      <c r="G508" t="str">
        <v>A</v>
      </c>
      <c r="J508" t="str">
        <f>IF(K508&gt;0,K508*0.0625,IF(L508&gt;0,L508*2.204623,))</f>
        <v>#REF!</v>
      </c>
      <c r="K508" t="str">
        <f>IF(L508&gt;0,L508*35.273962,IF(J508&gt;0,J508*16,))</f>
        <v>#REF!</v>
      </c>
      <c r="L508" t="str">
        <f>IF(J508&gt;0,J508*0.453592,IF(K508&gt;0,K508*0.02835,))</f>
        <v>#REF!</v>
      </c>
      <c r="O508">
        <f>I508+N508+M508</f>
        <v>0</v>
      </c>
      <c r="P508">
        <f>O508*C$3</f>
        <v>0</v>
      </c>
      <c r="Q508" t="str">
        <f>ROUNDUP(HLOOKUP(IF(CEILING(L508,0.5)&lt;1,1,CEILING(L508,0.5)),'배송비 조회'!A$32:AY$36,2,0),-2)</f>
        <v>#REF!</v>
      </c>
      <c r="R508">
        <v>0</v>
      </c>
      <c r="S508" t="str">
        <f>ROUND((P508+Q508)*0.6,-2)</f>
        <v>#REF!</v>
      </c>
      <c r="T508" t="str">
        <f>ROUND((P508+Q508)*0.7,-2)</f>
        <v>#REF!</v>
      </c>
      <c r="U508" t="str">
        <f>ROUND(SUM(P508+Q508+R508+S508), -2)</f>
        <v>#REF!</v>
      </c>
      <c r="V508" t="str">
        <f>ROUND(P508+Q508+R508+T508, -2)</f>
        <v>#REF!</v>
      </c>
      <c r="W508">
        <v>0</v>
      </c>
      <c r="X508" t="str">
        <f>U508*0.038</f>
        <v>#REF!</v>
      </c>
      <c r="Y508" t="str">
        <f>U508*0.02</f>
        <v>#REF!</v>
      </c>
      <c r="Z508" t="str">
        <f>V508*0.1</f>
        <v>#REF!</v>
      </c>
      <c r="AA508" t="str">
        <f>U508-X508-Y508</f>
        <v>#REF!</v>
      </c>
      <c r="AB508" t="str">
        <f>V508-Z508</f>
        <v>#REF!</v>
      </c>
      <c r="AC508" t="str">
        <f>AA508*0.01</f>
        <v>#REF!</v>
      </c>
      <c r="AD508" t="str">
        <f>AA508-P508-AC508-Q508</f>
        <v>#REF!</v>
      </c>
      <c r="AE508" t="str">
        <f>AB508-P508-Q508-AC508</f>
        <v>#REF!</v>
      </c>
      <c r="AF508" t="str">
        <f>AD508/U508</f>
        <v>#REF!</v>
      </c>
      <c r="AG508" t="str">
        <f>AE508/V508</f>
        <v>#REF!</v>
      </c>
    </row>
    <row r="509">
      <c r="G509" t="str">
        <v>A</v>
      </c>
      <c r="J509" t="str">
        <f>IF(K509&gt;0,K509*0.0625,IF(L509&gt;0,L509*2.204623,))</f>
        <v>#REF!</v>
      </c>
      <c r="K509" t="str">
        <f>IF(L509&gt;0,L509*35.273962,IF(J509&gt;0,J509*16,))</f>
        <v>#REF!</v>
      </c>
      <c r="L509" t="str">
        <f>IF(J509&gt;0,J509*0.453592,IF(K509&gt;0,K509*0.02835,))</f>
        <v>#REF!</v>
      </c>
      <c r="O509">
        <f>I509+N509+M509</f>
        <v>0</v>
      </c>
      <c r="P509">
        <f>O509*C$3</f>
        <v>0</v>
      </c>
      <c r="Q509" t="str">
        <f>ROUNDUP(HLOOKUP(IF(CEILING(L509,0.5)&lt;1,1,CEILING(L509,0.5)),'배송비 조회'!A$32:AY$36,2,0),-2)</f>
        <v>#REF!</v>
      </c>
      <c r="R509">
        <v>0</v>
      </c>
      <c r="S509" t="str">
        <f>ROUND((P509+Q509)*0.6,-2)</f>
        <v>#REF!</v>
      </c>
      <c r="T509" t="str">
        <f>ROUND((P509+Q509)*0.7,-2)</f>
        <v>#REF!</v>
      </c>
      <c r="U509" t="str">
        <f>ROUND(SUM(P509+Q509+R509+S509), -2)</f>
        <v>#REF!</v>
      </c>
      <c r="V509" t="str">
        <f>ROUND(P509+Q509+R509+T509, -2)</f>
        <v>#REF!</v>
      </c>
      <c r="W509">
        <v>0</v>
      </c>
      <c r="X509" t="str">
        <f>U509*0.038</f>
        <v>#REF!</v>
      </c>
      <c r="Y509" t="str">
        <f>U509*0.02</f>
        <v>#REF!</v>
      </c>
      <c r="Z509" t="str">
        <f>V509*0.1</f>
        <v>#REF!</v>
      </c>
      <c r="AA509" t="str">
        <f>U509-X509-Y509</f>
        <v>#REF!</v>
      </c>
      <c r="AB509" t="str">
        <f>V509-Z509</f>
        <v>#REF!</v>
      </c>
      <c r="AC509" t="str">
        <f>AA509*0.01</f>
        <v>#REF!</v>
      </c>
      <c r="AD509" t="str">
        <f>AA509-P509-AC509-Q509</f>
        <v>#REF!</v>
      </c>
      <c r="AE509" t="str">
        <f>AB509-P509-Q509-AC509</f>
        <v>#REF!</v>
      </c>
      <c r="AF509" t="str">
        <f>AD509/U509</f>
        <v>#REF!</v>
      </c>
      <c r="AG509" t="str">
        <f>AE509/V509</f>
        <v>#REF!</v>
      </c>
    </row>
    <row r="510">
      <c r="G510" t="str">
        <v>A</v>
      </c>
      <c r="J510" t="str">
        <f>IF(K510&gt;0,K510*0.0625,IF(L510&gt;0,L510*2.204623,))</f>
        <v>#REF!</v>
      </c>
      <c r="K510" t="str">
        <f>IF(L510&gt;0,L510*35.273962,IF(J510&gt;0,J510*16,))</f>
        <v>#REF!</v>
      </c>
      <c r="L510" t="str">
        <f>IF(J510&gt;0,J510*0.453592,IF(K510&gt;0,K510*0.02835,))</f>
        <v>#REF!</v>
      </c>
      <c r="O510">
        <f>I510+N510+M510</f>
        <v>0</v>
      </c>
      <c r="P510">
        <f>O510*C$3</f>
        <v>0</v>
      </c>
      <c r="Q510" t="str">
        <f>ROUNDUP(HLOOKUP(IF(CEILING(L510,0.5)&lt;1,1,CEILING(L510,0.5)),'배송비 조회'!A$32:AY$36,2,0),-2)</f>
        <v>#REF!</v>
      </c>
      <c r="R510">
        <v>0</v>
      </c>
      <c r="S510" t="str">
        <f>ROUND((P510+Q510)*0.6,-2)</f>
        <v>#REF!</v>
      </c>
      <c r="T510" t="str">
        <f>ROUND((P510+Q510)*0.7,-2)</f>
        <v>#REF!</v>
      </c>
      <c r="U510" t="str">
        <f>ROUND(SUM(P510+Q510+R510+S510), -2)</f>
        <v>#REF!</v>
      </c>
      <c r="V510" t="str">
        <f>ROUND(P510+Q510+R510+T510, -2)</f>
        <v>#REF!</v>
      </c>
      <c r="W510">
        <v>0</v>
      </c>
      <c r="X510" t="str">
        <f>U510*0.038</f>
        <v>#REF!</v>
      </c>
      <c r="Y510" t="str">
        <f>U510*0.02</f>
        <v>#REF!</v>
      </c>
      <c r="Z510" t="str">
        <f>V510*0.1</f>
        <v>#REF!</v>
      </c>
      <c r="AA510" t="str">
        <f>U510-X510-Y510</f>
        <v>#REF!</v>
      </c>
      <c r="AB510" t="str">
        <f>V510-Z510</f>
        <v>#REF!</v>
      </c>
      <c r="AC510" t="str">
        <f>AA510*0.01</f>
        <v>#REF!</v>
      </c>
      <c r="AD510" t="str">
        <f>AA510-P510-AC510-Q510</f>
        <v>#REF!</v>
      </c>
      <c r="AE510" t="str">
        <f>AB510-P510-Q510-AC510</f>
        <v>#REF!</v>
      </c>
      <c r="AF510" t="str">
        <f>AD510/U510</f>
        <v>#REF!</v>
      </c>
      <c r="AG510" t="str">
        <f>AE510/V510</f>
        <v>#REF!</v>
      </c>
    </row>
    <row r="511">
      <c r="G511" t="str">
        <v>A</v>
      </c>
      <c r="J511" t="str">
        <f>IF(K511&gt;0,K511*0.0625,IF(L511&gt;0,L511*2.204623,))</f>
        <v>#REF!</v>
      </c>
      <c r="K511" t="str">
        <f>IF(L511&gt;0,L511*35.273962,IF(J511&gt;0,J511*16,))</f>
        <v>#REF!</v>
      </c>
      <c r="L511" t="str">
        <f>IF(J511&gt;0,J511*0.453592,IF(K511&gt;0,K511*0.02835,))</f>
        <v>#REF!</v>
      </c>
      <c r="O511">
        <f>I511+N511+M511</f>
        <v>0</v>
      </c>
      <c r="P511">
        <f>O511*C$3</f>
        <v>0</v>
      </c>
      <c r="Q511" t="str">
        <f>ROUNDUP(HLOOKUP(IF(CEILING(L511,0.5)&lt;1,1,CEILING(L511,0.5)),'배송비 조회'!A$32:AY$36,2,0),-2)</f>
        <v>#REF!</v>
      </c>
      <c r="R511">
        <v>0</v>
      </c>
      <c r="S511" t="str">
        <f>ROUND((P511+Q511)*0.6,-2)</f>
        <v>#REF!</v>
      </c>
      <c r="T511" t="str">
        <f>ROUND((P511+Q511)*0.7,-2)</f>
        <v>#REF!</v>
      </c>
      <c r="U511" t="str">
        <f>ROUND(SUM(P511+Q511+R511+S511), -2)</f>
        <v>#REF!</v>
      </c>
      <c r="V511" t="str">
        <f>ROUND(P511+Q511+R511+T511, -2)</f>
        <v>#REF!</v>
      </c>
      <c r="W511">
        <v>0</v>
      </c>
      <c r="X511" t="str">
        <f>U511*0.038</f>
        <v>#REF!</v>
      </c>
      <c r="Y511" t="str">
        <f>U511*0.02</f>
        <v>#REF!</v>
      </c>
      <c r="Z511" t="str">
        <f>V511*0.1</f>
        <v>#REF!</v>
      </c>
      <c r="AA511" t="str">
        <f>U511-X511-Y511</f>
        <v>#REF!</v>
      </c>
      <c r="AB511" t="str">
        <f>V511-Z511</f>
        <v>#REF!</v>
      </c>
      <c r="AC511" t="str">
        <f>AA511*0.01</f>
        <v>#REF!</v>
      </c>
      <c r="AD511" t="str">
        <f>AA511-P511-AC511-Q511</f>
        <v>#REF!</v>
      </c>
      <c r="AE511" t="str">
        <f>AB511-P511-Q511-AC511</f>
        <v>#REF!</v>
      </c>
      <c r="AF511" t="str">
        <f>AD511/U511</f>
        <v>#REF!</v>
      </c>
      <c r="AG511" t="str">
        <f>AE511/V511</f>
        <v>#REF!</v>
      </c>
    </row>
    <row r="512">
      <c r="G512" t="str">
        <v>A</v>
      </c>
      <c r="J512" t="str">
        <f>IF(K512&gt;0,K512*0.0625,IF(L512&gt;0,L512*2.204623,))</f>
        <v>#REF!</v>
      </c>
      <c r="K512" t="str">
        <f>IF(L512&gt;0,L512*35.273962,IF(J512&gt;0,J512*16,))</f>
        <v>#REF!</v>
      </c>
      <c r="L512" t="str">
        <f>IF(J512&gt;0,J512*0.453592,IF(K512&gt;0,K512*0.02835,))</f>
        <v>#REF!</v>
      </c>
      <c r="O512">
        <f>I512+N512+M512</f>
        <v>0</v>
      </c>
      <c r="P512">
        <f>O512*C$3</f>
        <v>0</v>
      </c>
      <c r="Q512" t="str">
        <f>ROUNDUP(HLOOKUP(IF(CEILING(L512,0.5)&lt;1,1,CEILING(L512,0.5)),'배송비 조회'!A$32:AY$36,2,0),-2)</f>
        <v>#REF!</v>
      </c>
      <c r="R512">
        <v>0</v>
      </c>
      <c r="S512" t="str">
        <f>ROUND((P512+Q512)*0.6,-2)</f>
        <v>#REF!</v>
      </c>
      <c r="T512" t="str">
        <f>ROUND((P512+Q512)*0.7,-2)</f>
        <v>#REF!</v>
      </c>
      <c r="U512" t="str">
        <f>ROUND(SUM(P512+Q512+R512+S512), -2)</f>
        <v>#REF!</v>
      </c>
      <c r="V512" t="str">
        <f>ROUND(P512+Q512+R512+T512, -2)</f>
        <v>#REF!</v>
      </c>
      <c r="W512">
        <v>0</v>
      </c>
      <c r="X512" t="str">
        <f>U512*0.038</f>
        <v>#REF!</v>
      </c>
      <c r="Y512" t="str">
        <f>U512*0.02</f>
        <v>#REF!</v>
      </c>
      <c r="Z512" t="str">
        <f>V512*0.1</f>
        <v>#REF!</v>
      </c>
      <c r="AA512" t="str">
        <f>U512-X512-Y512</f>
        <v>#REF!</v>
      </c>
      <c r="AB512" t="str">
        <f>V512-Z512</f>
        <v>#REF!</v>
      </c>
      <c r="AC512" t="str">
        <f>AA512*0.01</f>
        <v>#REF!</v>
      </c>
      <c r="AD512" t="str">
        <f>AA512-P512-AC512-Q512</f>
        <v>#REF!</v>
      </c>
      <c r="AE512" t="str">
        <f>AB512-P512-Q512-AC512</f>
        <v>#REF!</v>
      </c>
      <c r="AF512" t="str">
        <f>AD512/U512</f>
        <v>#REF!</v>
      </c>
      <c r="AG512" t="str">
        <f>AE512/V512</f>
        <v>#REF!</v>
      </c>
    </row>
    <row r="513">
      <c r="G513" t="str">
        <v>A</v>
      </c>
      <c r="J513" t="str">
        <f>IF(K513&gt;0,K513*0.0625,IF(L513&gt;0,L513*2.204623,))</f>
        <v>#REF!</v>
      </c>
      <c r="K513" t="str">
        <f>IF(L513&gt;0,L513*35.273962,IF(J513&gt;0,J513*16,))</f>
        <v>#REF!</v>
      </c>
      <c r="L513" t="str">
        <f>IF(J513&gt;0,J513*0.453592,IF(K513&gt;0,K513*0.02835,))</f>
        <v>#REF!</v>
      </c>
      <c r="O513">
        <f>I513+N513+M513</f>
        <v>0</v>
      </c>
      <c r="P513">
        <f>O513*C$3</f>
        <v>0</v>
      </c>
      <c r="Q513" t="str">
        <f>ROUNDUP(HLOOKUP(IF(CEILING(L513,0.5)&lt;1,1,CEILING(L513,0.5)),'배송비 조회'!A$32:AY$36,2,0),-2)</f>
        <v>#REF!</v>
      </c>
      <c r="R513">
        <v>0</v>
      </c>
      <c r="S513" t="str">
        <f>ROUND((P513+Q513)*0.6,-2)</f>
        <v>#REF!</v>
      </c>
      <c r="T513" t="str">
        <f>ROUND((P513+Q513)*0.7,-2)</f>
        <v>#REF!</v>
      </c>
      <c r="U513" t="str">
        <f>ROUND(SUM(P513+Q513+R513+S513), -2)</f>
        <v>#REF!</v>
      </c>
      <c r="V513" t="str">
        <f>ROUND(P513+Q513+R513+T513, -2)</f>
        <v>#REF!</v>
      </c>
      <c r="W513">
        <v>0</v>
      </c>
      <c r="X513" t="str">
        <f>U513*0.038</f>
        <v>#REF!</v>
      </c>
      <c r="Y513" t="str">
        <f>U513*0.02</f>
        <v>#REF!</v>
      </c>
      <c r="Z513" t="str">
        <f>V513*0.1</f>
        <v>#REF!</v>
      </c>
      <c r="AA513" t="str">
        <f>U513-X513-Y513</f>
        <v>#REF!</v>
      </c>
      <c r="AB513" t="str">
        <f>V513-Z513</f>
        <v>#REF!</v>
      </c>
      <c r="AC513" t="str">
        <f>AA513*0.01</f>
        <v>#REF!</v>
      </c>
      <c r="AD513" t="str">
        <f>AA513-P513-AC513-Q513</f>
        <v>#REF!</v>
      </c>
      <c r="AE513" t="str">
        <f>AB513-P513-Q513-AC513</f>
        <v>#REF!</v>
      </c>
      <c r="AF513" t="str">
        <f>AD513/U513</f>
        <v>#REF!</v>
      </c>
      <c r="AG513" t="str">
        <f>AE513/V513</f>
        <v>#REF!</v>
      </c>
    </row>
    <row r="514">
      <c r="G514" t="str">
        <v>A</v>
      </c>
      <c r="J514" t="str">
        <f>IF(K514&gt;0,K514*0.0625,IF(L514&gt;0,L514*2.204623,))</f>
        <v>#REF!</v>
      </c>
      <c r="K514" t="str">
        <f>IF(L514&gt;0,L514*35.273962,IF(J514&gt;0,J514*16,))</f>
        <v>#REF!</v>
      </c>
      <c r="L514" t="str">
        <f>IF(J514&gt;0,J514*0.453592,IF(K514&gt;0,K514*0.02835,))</f>
        <v>#REF!</v>
      </c>
      <c r="O514">
        <f>I514+N514+M514</f>
        <v>0</v>
      </c>
      <c r="P514">
        <f>O514*C$3</f>
        <v>0</v>
      </c>
      <c r="Q514" t="str">
        <f>ROUNDUP(HLOOKUP(IF(CEILING(L514,0.5)&lt;1,1,CEILING(L514,0.5)),'배송비 조회'!A$32:AY$36,2,0),-2)</f>
        <v>#REF!</v>
      </c>
      <c r="R514">
        <v>0</v>
      </c>
      <c r="S514" t="str">
        <f>ROUND((P514+Q514)*0.6,-2)</f>
        <v>#REF!</v>
      </c>
      <c r="T514" t="str">
        <f>ROUND((P514+Q514)*0.7,-2)</f>
        <v>#REF!</v>
      </c>
      <c r="U514" t="str">
        <f>ROUND(SUM(P514+Q514+R514+S514), -2)</f>
        <v>#REF!</v>
      </c>
      <c r="V514" t="str">
        <f>ROUND(P514+Q514+R514+T514, -2)</f>
        <v>#REF!</v>
      </c>
      <c r="W514">
        <v>0</v>
      </c>
      <c r="X514" t="str">
        <f>U514*0.038</f>
        <v>#REF!</v>
      </c>
      <c r="Y514" t="str">
        <f>U514*0.02</f>
        <v>#REF!</v>
      </c>
      <c r="Z514" t="str">
        <f>V514*0.1</f>
        <v>#REF!</v>
      </c>
      <c r="AA514" t="str">
        <f>U514-X514-Y514</f>
        <v>#REF!</v>
      </c>
      <c r="AB514" t="str">
        <f>V514-Z514</f>
        <v>#REF!</v>
      </c>
      <c r="AC514" t="str">
        <f>AA514*0.01</f>
        <v>#REF!</v>
      </c>
      <c r="AD514" t="str">
        <f>AA514-P514-AC514-Q514</f>
        <v>#REF!</v>
      </c>
      <c r="AE514" t="str">
        <f>AB514-P514-Q514-AC514</f>
        <v>#REF!</v>
      </c>
      <c r="AF514" t="str">
        <f>AD514/U514</f>
        <v>#REF!</v>
      </c>
      <c r="AG514" t="str">
        <f>AE514/V514</f>
        <v>#REF!</v>
      </c>
    </row>
    <row r="515">
      <c r="G515" t="str">
        <v>A</v>
      </c>
      <c r="J515" t="str">
        <f>IF(K515&gt;0,K515*0.0625,IF(L515&gt;0,L515*2.204623,))</f>
        <v>#REF!</v>
      </c>
      <c r="K515" t="str">
        <f>IF(L515&gt;0,L515*35.273962,IF(J515&gt;0,J515*16,))</f>
        <v>#REF!</v>
      </c>
      <c r="L515" t="str">
        <f>IF(J515&gt;0,J515*0.453592,IF(K515&gt;0,K515*0.02835,))</f>
        <v>#REF!</v>
      </c>
      <c r="O515">
        <f>I515+N515+M515</f>
        <v>0</v>
      </c>
      <c r="P515">
        <f>O515*C$3</f>
        <v>0</v>
      </c>
      <c r="Q515" t="str">
        <f>ROUNDUP(HLOOKUP(IF(CEILING(L515,0.5)&lt;1,1,CEILING(L515,0.5)),'배송비 조회'!A$32:AY$36,2,0),-2)</f>
        <v>#REF!</v>
      </c>
      <c r="R515">
        <v>0</v>
      </c>
      <c r="S515" t="str">
        <f>ROUND((P515+Q515)*0.6,-2)</f>
        <v>#REF!</v>
      </c>
      <c r="T515" t="str">
        <f>ROUND((P515+Q515)*0.7,-2)</f>
        <v>#REF!</v>
      </c>
      <c r="U515" t="str">
        <f>ROUND(SUM(P515+Q515+R515+S515), -2)</f>
        <v>#REF!</v>
      </c>
      <c r="V515" t="str">
        <f>ROUND(P515+Q515+R515+T515, -2)</f>
        <v>#REF!</v>
      </c>
      <c r="W515">
        <v>0</v>
      </c>
      <c r="X515" t="str">
        <f>U515*0.038</f>
        <v>#REF!</v>
      </c>
      <c r="Y515" t="str">
        <f>U515*0.02</f>
        <v>#REF!</v>
      </c>
      <c r="Z515" t="str">
        <f>V515*0.1</f>
        <v>#REF!</v>
      </c>
      <c r="AA515" t="str">
        <f>U515-X515-Y515</f>
        <v>#REF!</v>
      </c>
      <c r="AB515" t="str">
        <f>V515-Z515</f>
        <v>#REF!</v>
      </c>
      <c r="AC515" t="str">
        <f>AA515*0.01</f>
        <v>#REF!</v>
      </c>
      <c r="AD515" t="str">
        <f>AA515-P515-AC515-Q515</f>
        <v>#REF!</v>
      </c>
      <c r="AE515" t="str">
        <f>AB515-P515-Q515-AC515</f>
        <v>#REF!</v>
      </c>
      <c r="AF515" t="str">
        <f>AD515/U515</f>
        <v>#REF!</v>
      </c>
      <c r="AG515" t="str">
        <f>AE515/V515</f>
        <v>#REF!</v>
      </c>
    </row>
    <row r="516">
      <c r="G516" t="str">
        <v>A</v>
      </c>
      <c r="J516" t="str">
        <f>IF(K516&gt;0,K516*0.0625,IF(L516&gt;0,L516*2.204623,))</f>
        <v>#REF!</v>
      </c>
      <c r="K516" t="str">
        <f>IF(L516&gt;0,L516*35.273962,IF(J516&gt;0,J516*16,))</f>
        <v>#REF!</v>
      </c>
      <c r="L516" t="str">
        <f>IF(J516&gt;0,J516*0.453592,IF(K516&gt;0,K516*0.02835,))</f>
        <v>#REF!</v>
      </c>
      <c r="O516">
        <f>I516+N516+M516</f>
        <v>0</v>
      </c>
      <c r="P516">
        <f>O516*C$3</f>
        <v>0</v>
      </c>
      <c r="Q516" t="str">
        <f>ROUNDUP(HLOOKUP(IF(CEILING(L516,0.5)&lt;1,1,CEILING(L516,0.5)),'배송비 조회'!A$32:AY$36,2,0),-2)</f>
        <v>#REF!</v>
      </c>
      <c r="R516">
        <v>0</v>
      </c>
      <c r="S516" t="str">
        <f>ROUND((P516+Q516)*0.6,-2)</f>
        <v>#REF!</v>
      </c>
      <c r="T516" t="str">
        <f>ROUND((P516+Q516)*0.7,-2)</f>
        <v>#REF!</v>
      </c>
      <c r="U516" t="str">
        <f>ROUND(SUM(P516+Q516+R516+S516), -2)</f>
        <v>#REF!</v>
      </c>
      <c r="V516" t="str">
        <f>ROUND(P516+Q516+R516+T516, -2)</f>
        <v>#REF!</v>
      </c>
      <c r="W516">
        <v>0</v>
      </c>
      <c r="X516" t="str">
        <f>U516*0.038</f>
        <v>#REF!</v>
      </c>
      <c r="Y516" t="str">
        <f>U516*0.02</f>
        <v>#REF!</v>
      </c>
      <c r="Z516" t="str">
        <f>V516*0.1</f>
        <v>#REF!</v>
      </c>
      <c r="AA516" t="str">
        <f>U516-X516-Y516</f>
        <v>#REF!</v>
      </c>
      <c r="AB516" t="str">
        <f>V516-Z516</f>
        <v>#REF!</v>
      </c>
      <c r="AC516" t="str">
        <f>AA516*0.01</f>
        <v>#REF!</v>
      </c>
      <c r="AD516" t="str">
        <f>AA516-P516-AC516-Q516</f>
        <v>#REF!</v>
      </c>
      <c r="AE516" t="str">
        <f>AB516-P516-Q516-AC516</f>
        <v>#REF!</v>
      </c>
      <c r="AF516" t="str">
        <f>AD516/U516</f>
        <v>#REF!</v>
      </c>
      <c r="AG516" t="str">
        <f>AE516/V516</f>
        <v>#REF!</v>
      </c>
    </row>
    <row r="517">
      <c r="G517" t="str">
        <v>A</v>
      </c>
      <c r="J517" t="str">
        <f>IF(K517&gt;0,K517*0.0625,IF(L517&gt;0,L517*2.204623,))</f>
        <v>#REF!</v>
      </c>
      <c r="K517" t="str">
        <f>IF(L517&gt;0,L517*35.273962,IF(J517&gt;0,J517*16,))</f>
        <v>#REF!</v>
      </c>
      <c r="L517" t="str">
        <f>IF(J517&gt;0,J517*0.453592,IF(K517&gt;0,K517*0.02835,))</f>
        <v>#REF!</v>
      </c>
      <c r="O517">
        <f>I517+N517+M517</f>
        <v>0</v>
      </c>
      <c r="P517">
        <f>O517*C$3</f>
        <v>0</v>
      </c>
      <c r="Q517" t="str">
        <f>ROUNDUP(HLOOKUP(IF(CEILING(L517,0.5)&lt;1,1,CEILING(L517,0.5)),'배송비 조회'!A$32:AY$36,2,0),-2)</f>
        <v>#REF!</v>
      </c>
      <c r="R517">
        <v>0</v>
      </c>
      <c r="S517" t="str">
        <f>ROUND((P517+Q517)*0.6,-2)</f>
        <v>#REF!</v>
      </c>
      <c r="T517" t="str">
        <f>ROUND((P517+Q517)*0.7,-2)</f>
        <v>#REF!</v>
      </c>
      <c r="U517" t="str">
        <f>ROUND(SUM(P517+Q517+R517+S517), -2)</f>
        <v>#REF!</v>
      </c>
      <c r="V517" t="str">
        <f>ROUND(P517+Q517+R517+T517, -2)</f>
        <v>#REF!</v>
      </c>
      <c r="W517">
        <v>0</v>
      </c>
      <c r="X517" t="str">
        <f>U517*0.038</f>
        <v>#REF!</v>
      </c>
      <c r="Y517" t="str">
        <f>U517*0.02</f>
        <v>#REF!</v>
      </c>
      <c r="Z517" t="str">
        <f>V517*0.1</f>
        <v>#REF!</v>
      </c>
      <c r="AA517" t="str">
        <f>U517-X517-Y517</f>
        <v>#REF!</v>
      </c>
      <c r="AB517" t="str">
        <f>V517-Z517</f>
        <v>#REF!</v>
      </c>
      <c r="AC517" t="str">
        <f>AA517*0.01</f>
        <v>#REF!</v>
      </c>
      <c r="AD517" t="str">
        <f>AA517-P517-AC517-Q517</f>
        <v>#REF!</v>
      </c>
      <c r="AE517" t="str">
        <f>AB517-P517-Q517-AC517</f>
        <v>#REF!</v>
      </c>
      <c r="AF517" t="str">
        <f>AD517/U517</f>
        <v>#REF!</v>
      </c>
      <c r="AG517" t="str">
        <f>AE517/V517</f>
        <v>#REF!</v>
      </c>
    </row>
    <row r="518">
      <c r="G518" t="str">
        <v>A</v>
      </c>
      <c r="J518" t="str">
        <f>IF(K518&gt;0,K518*0.0625,IF(L518&gt;0,L518*2.204623,))</f>
        <v>#REF!</v>
      </c>
      <c r="K518" t="str">
        <f>IF(L518&gt;0,L518*35.273962,IF(J518&gt;0,J518*16,))</f>
        <v>#REF!</v>
      </c>
      <c r="L518" t="str">
        <f>IF(J518&gt;0,J518*0.453592,IF(K518&gt;0,K518*0.02835,))</f>
        <v>#REF!</v>
      </c>
      <c r="O518">
        <f>I518+N518+M518</f>
        <v>0</v>
      </c>
      <c r="P518">
        <f>O518*C$3</f>
        <v>0</v>
      </c>
      <c r="Q518" t="str">
        <f>ROUNDUP(HLOOKUP(IF(CEILING(L518,0.5)&lt;1,1,CEILING(L518,0.5)),'배송비 조회'!A$32:AY$36,2,0),-2)</f>
        <v>#REF!</v>
      </c>
      <c r="R518">
        <v>0</v>
      </c>
      <c r="S518" t="str">
        <f>ROUND((P518+Q518)*0.6,-2)</f>
        <v>#REF!</v>
      </c>
      <c r="T518" t="str">
        <f>ROUND((P518+Q518)*0.7,-2)</f>
        <v>#REF!</v>
      </c>
      <c r="U518" t="str">
        <f>ROUND(SUM(P518+Q518+R518+S518), -2)</f>
        <v>#REF!</v>
      </c>
      <c r="V518" t="str">
        <f>ROUND(P518+Q518+R518+T518, -2)</f>
        <v>#REF!</v>
      </c>
      <c r="W518">
        <v>0</v>
      </c>
      <c r="X518" t="str">
        <f>U518*0.038</f>
        <v>#REF!</v>
      </c>
      <c r="Y518" t="str">
        <f>U518*0.02</f>
        <v>#REF!</v>
      </c>
      <c r="Z518" t="str">
        <f>V518*0.1</f>
        <v>#REF!</v>
      </c>
      <c r="AA518" t="str">
        <f>U518-X518-Y518</f>
        <v>#REF!</v>
      </c>
      <c r="AB518" t="str">
        <f>V518-Z518</f>
        <v>#REF!</v>
      </c>
      <c r="AC518" t="str">
        <f>AA518*0.01</f>
        <v>#REF!</v>
      </c>
      <c r="AD518" t="str">
        <f>AA518-P518-AC518-Q518</f>
        <v>#REF!</v>
      </c>
      <c r="AE518" t="str">
        <f>AB518-P518-Q518-AC518</f>
        <v>#REF!</v>
      </c>
      <c r="AF518" t="str">
        <f>AD518/U518</f>
        <v>#REF!</v>
      </c>
      <c r="AG518" t="str">
        <f>AE518/V518</f>
        <v>#REF!</v>
      </c>
    </row>
    <row r="519">
      <c r="G519" t="str">
        <v>A</v>
      </c>
      <c r="J519" t="str">
        <f>IF(K519&gt;0,K519*0.0625,IF(L519&gt;0,L519*2.204623,))</f>
        <v>#REF!</v>
      </c>
      <c r="K519" t="str">
        <f>IF(L519&gt;0,L519*35.273962,IF(J519&gt;0,J519*16,))</f>
        <v>#REF!</v>
      </c>
      <c r="L519" t="str">
        <f>IF(J519&gt;0,J519*0.453592,IF(K519&gt;0,K519*0.02835,))</f>
        <v>#REF!</v>
      </c>
      <c r="O519">
        <f>I519+N519+M519</f>
        <v>0</v>
      </c>
      <c r="P519">
        <f>O519*C$3</f>
        <v>0</v>
      </c>
      <c r="Q519" t="str">
        <f>ROUNDUP(HLOOKUP(IF(CEILING(L519,0.5)&lt;1,1,CEILING(L519,0.5)),'배송비 조회'!A$32:AY$36,2,0),-2)</f>
        <v>#REF!</v>
      </c>
      <c r="R519">
        <v>0</v>
      </c>
      <c r="S519" t="str">
        <f>ROUND((P519+Q519)*0.6,-2)</f>
        <v>#REF!</v>
      </c>
      <c r="T519" t="str">
        <f>ROUND((P519+Q519)*0.7,-2)</f>
        <v>#REF!</v>
      </c>
      <c r="U519" t="str">
        <f>ROUND(SUM(P519+Q519+R519+S519), -2)</f>
        <v>#REF!</v>
      </c>
      <c r="V519" t="str">
        <f>ROUND(P519+Q519+R519+T519, -2)</f>
        <v>#REF!</v>
      </c>
      <c r="W519">
        <v>0</v>
      </c>
      <c r="X519" t="str">
        <f>U519*0.038</f>
        <v>#REF!</v>
      </c>
      <c r="Y519" t="str">
        <f>U519*0.02</f>
        <v>#REF!</v>
      </c>
      <c r="Z519" t="str">
        <f>V519*0.1</f>
        <v>#REF!</v>
      </c>
      <c r="AA519" t="str">
        <f>U519-X519-Y519</f>
        <v>#REF!</v>
      </c>
      <c r="AB519" t="str">
        <f>V519-Z519</f>
        <v>#REF!</v>
      </c>
      <c r="AC519" t="str">
        <f>AA519*0.01</f>
        <v>#REF!</v>
      </c>
      <c r="AD519" t="str">
        <f>AA519-P519-AC519-Q519</f>
        <v>#REF!</v>
      </c>
      <c r="AE519" t="str">
        <f>AB519-P519-Q519-AC519</f>
        <v>#REF!</v>
      </c>
      <c r="AF519" t="str">
        <f>AD519/U519</f>
        <v>#REF!</v>
      </c>
      <c r="AG519" t="str">
        <f>AE519/V519</f>
        <v>#REF!</v>
      </c>
    </row>
    <row r="520">
      <c r="G520" t="str">
        <v>A</v>
      </c>
      <c r="J520" t="str">
        <f>IF(K520&gt;0,K520*0.0625,IF(L520&gt;0,L520*2.204623,))</f>
        <v>#REF!</v>
      </c>
      <c r="K520" t="str">
        <f>IF(L520&gt;0,L520*35.273962,IF(J520&gt;0,J520*16,))</f>
        <v>#REF!</v>
      </c>
      <c r="L520" t="str">
        <f>IF(J520&gt;0,J520*0.453592,IF(K520&gt;0,K520*0.02835,))</f>
        <v>#REF!</v>
      </c>
      <c r="O520">
        <f>I520+N520+M520</f>
        <v>0</v>
      </c>
      <c r="P520">
        <f>O520*C$3</f>
        <v>0</v>
      </c>
      <c r="Q520" t="str">
        <f>ROUNDUP(HLOOKUP(IF(CEILING(L520,0.5)&lt;1,1,CEILING(L520,0.5)),'배송비 조회'!A$32:AY$36,2,0),-2)</f>
        <v>#REF!</v>
      </c>
      <c r="R520">
        <v>0</v>
      </c>
      <c r="S520" t="str">
        <f>ROUND((P520+Q520)*0.6,-2)</f>
        <v>#REF!</v>
      </c>
      <c r="T520" t="str">
        <f>ROUND((P520+Q520)*0.7,-2)</f>
        <v>#REF!</v>
      </c>
      <c r="U520" t="str">
        <f>ROUND(SUM(P520+Q520+R520+S520), -2)</f>
        <v>#REF!</v>
      </c>
      <c r="V520" t="str">
        <f>ROUND(P520+Q520+R520+T520, -2)</f>
        <v>#REF!</v>
      </c>
      <c r="W520">
        <v>0</v>
      </c>
      <c r="X520" t="str">
        <f>U520*0.038</f>
        <v>#REF!</v>
      </c>
      <c r="Y520" t="str">
        <f>U520*0.02</f>
        <v>#REF!</v>
      </c>
      <c r="Z520" t="str">
        <f>V520*0.1</f>
        <v>#REF!</v>
      </c>
      <c r="AA520" t="str">
        <f>U520-X520-Y520</f>
        <v>#REF!</v>
      </c>
      <c r="AB520" t="str">
        <f>V520-Z520</f>
        <v>#REF!</v>
      </c>
      <c r="AC520" t="str">
        <f>AA520*0.01</f>
        <v>#REF!</v>
      </c>
      <c r="AD520" t="str">
        <f>AA520-P520-AC520-Q520</f>
        <v>#REF!</v>
      </c>
      <c r="AE520" t="str">
        <f>AB520-P520-Q520-AC520</f>
        <v>#REF!</v>
      </c>
      <c r="AF520" t="str">
        <f>AD520/U520</f>
        <v>#REF!</v>
      </c>
      <c r="AG520" t="str">
        <f>AE520/V520</f>
        <v>#REF!</v>
      </c>
    </row>
    <row r="521">
      <c r="G521" t="str">
        <v>A</v>
      </c>
      <c r="J521" t="str">
        <f>IF(K521&gt;0,K521*0.0625,IF(L521&gt;0,L521*2.204623,))</f>
        <v>#REF!</v>
      </c>
      <c r="K521" t="str">
        <f>IF(L521&gt;0,L521*35.273962,IF(J521&gt;0,J521*16,))</f>
        <v>#REF!</v>
      </c>
      <c r="L521" t="str">
        <f>IF(J521&gt;0,J521*0.453592,IF(K521&gt;0,K521*0.02835,))</f>
        <v>#REF!</v>
      </c>
      <c r="O521">
        <f>I521+N521+M521</f>
        <v>0</v>
      </c>
      <c r="P521">
        <f>O521*C$3</f>
        <v>0</v>
      </c>
      <c r="Q521" t="str">
        <f>ROUNDUP(HLOOKUP(IF(CEILING(L521,0.5)&lt;1,1,CEILING(L521,0.5)),'배송비 조회'!A$32:AY$36,2,0),-2)</f>
        <v>#REF!</v>
      </c>
      <c r="R521">
        <v>0</v>
      </c>
      <c r="S521" t="str">
        <f>ROUND((P521+Q521)*0.6,-2)</f>
        <v>#REF!</v>
      </c>
      <c r="T521" t="str">
        <f>ROUND((P521+Q521)*0.7,-2)</f>
        <v>#REF!</v>
      </c>
      <c r="U521" t="str">
        <f>ROUND(SUM(P521+Q521+R521+S521), -2)</f>
        <v>#REF!</v>
      </c>
      <c r="V521" t="str">
        <f>ROUND(P521+Q521+R521+T521, -2)</f>
        <v>#REF!</v>
      </c>
      <c r="W521">
        <v>0</v>
      </c>
      <c r="X521" t="str">
        <f>U521*0.038</f>
        <v>#REF!</v>
      </c>
      <c r="Y521" t="str">
        <f>U521*0.02</f>
        <v>#REF!</v>
      </c>
      <c r="Z521" t="str">
        <f>V521*0.1</f>
        <v>#REF!</v>
      </c>
      <c r="AA521" t="str">
        <f>U521-X521-Y521</f>
        <v>#REF!</v>
      </c>
      <c r="AB521" t="str">
        <f>V521-Z521</f>
        <v>#REF!</v>
      </c>
      <c r="AC521" t="str">
        <f>AA521*0.01</f>
        <v>#REF!</v>
      </c>
      <c r="AD521" t="str">
        <f>AA521-P521-AC521-Q521</f>
        <v>#REF!</v>
      </c>
      <c r="AE521" t="str">
        <f>AB521-P521-Q521-AC521</f>
        <v>#REF!</v>
      </c>
      <c r="AF521" t="str">
        <f>AD521/U521</f>
        <v>#REF!</v>
      </c>
      <c r="AG521" t="str">
        <f>AE521/V521</f>
        <v>#REF!</v>
      </c>
    </row>
    <row r="522">
      <c r="G522" t="str">
        <v>A</v>
      </c>
      <c r="J522" t="str">
        <f>IF(K522&gt;0,K522*0.0625,IF(L522&gt;0,L522*2.204623,))</f>
        <v>#REF!</v>
      </c>
      <c r="K522" t="str">
        <f>IF(L522&gt;0,L522*35.273962,IF(J522&gt;0,J522*16,))</f>
        <v>#REF!</v>
      </c>
      <c r="L522" t="str">
        <f>IF(J522&gt;0,J522*0.453592,IF(K522&gt;0,K522*0.02835,))</f>
        <v>#REF!</v>
      </c>
      <c r="O522">
        <f>I522+N522+M522</f>
        <v>0</v>
      </c>
      <c r="P522">
        <f>O522*C$3</f>
        <v>0</v>
      </c>
      <c r="Q522" t="str">
        <f>ROUNDUP(HLOOKUP(IF(CEILING(L522,0.5)&lt;1,1,CEILING(L522,0.5)),'배송비 조회'!A$32:AY$36,2,0),-2)</f>
        <v>#REF!</v>
      </c>
      <c r="R522">
        <v>0</v>
      </c>
      <c r="S522" t="str">
        <f>ROUND((P522+Q522)*0.6,-2)</f>
        <v>#REF!</v>
      </c>
      <c r="T522" t="str">
        <f>ROUND((P522+Q522)*0.7,-2)</f>
        <v>#REF!</v>
      </c>
      <c r="U522" t="str">
        <f>ROUND(SUM(P522+Q522+R522+S522), -2)</f>
        <v>#REF!</v>
      </c>
      <c r="V522" t="str">
        <f>ROUND(P522+Q522+R522+T522, -2)</f>
        <v>#REF!</v>
      </c>
      <c r="W522">
        <v>0</v>
      </c>
      <c r="X522" t="str">
        <f>U522*0.038</f>
        <v>#REF!</v>
      </c>
      <c r="Y522" t="str">
        <f>U522*0.02</f>
        <v>#REF!</v>
      </c>
      <c r="Z522" t="str">
        <f>V522*0.1</f>
        <v>#REF!</v>
      </c>
      <c r="AA522" t="str">
        <f>U522-X522-Y522</f>
        <v>#REF!</v>
      </c>
      <c r="AB522" t="str">
        <f>V522-Z522</f>
        <v>#REF!</v>
      </c>
      <c r="AC522" t="str">
        <f>AA522*0.01</f>
        <v>#REF!</v>
      </c>
      <c r="AD522" t="str">
        <f>AA522-P522-AC522-Q522</f>
        <v>#REF!</v>
      </c>
      <c r="AE522" t="str">
        <f>AB522-P522-Q522-AC522</f>
        <v>#REF!</v>
      </c>
      <c r="AF522" t="str">
        <f>AD522/U522</f>
        <v>#REF!</v>
      </c>
      <c r="AG522" t="str">
        <f>AE522/V522</f>
        <v>#REF!</v>
      </c>
    </row>
    <row r="523">
      <c r="G523" t="str">
        <v>A</v>
      </c>
      <c r="J523" t="str">
        <f>IF(K523&gt;0,K523*0.0625,IF(L523&gt;0,L523*2.204623,))</f>
        <v>#REF!</v>
      </c>
      <c r="K523" t="str">
        <f>IF(L523&gt;0,L523*35.273962,IF(J523&gt;0,J523*16,))</f>
        <v>#REF!</v>
      </c>
      <c r="L523" t="str">
        <f>IF(J523&gt;0,J523*0.453592,IF(K523&gt;0,K523*0.02835,))</f>
        <v>#REF!</v>
      </c>
      <c r="O523">
        <f>I523+N523+M523</f>
        <v>0</v>
      </c>
      <c r="P523">
        <f>O523*C$3</f>
        <v>0</v>
      </c>
      <c r="Q523" t="str">
        <f>ROUNDUP(HLOOKUP(IF(CEILING(L523,0.5)&lt;1,1,CEILING(L523,0.5)),'배송비 조회'!A$32:AY$36,2,0),-2)</f>
        <v>#REF!</v>
      </c>
      <c r="R523">
        <v>0</v>
      </c>
      <c r="S523" t="str">
        <f>ROUND((P523+Q523)*0.6,-2)</f>
        <v>#REF!</v>
      </c>
      <c r="T523" t="str">
        <f>ROUND((P523+Q523)*0.7,-2)</f>
        <v>#REF!</v>
      </c>
      <c r="U523" t="str">
        <f>ROUND(SUM(P523+Q523+R523+S523), -2)</f>
        <v>#REF!</v>
      </c>
      <c r="V523" t="str">
        <f>ROUND(P523+Q523+R523+T523, -2)</f>
        <v>#REF!</v>
      </c>
      <c r="W523">
        <v>0</v>
      </c>
      <c r="X523" t="str">
        <f>U523*0.038</f>
        <v>#REF!</v>
      </c>
      <c r="Y523" t="str">
        <f>U523*0.02</f>
        <v>#REF!</v>
      </c>
      <c r="Z523" t="str">
        <f>V523*0.1</f>
        <v>#REF!</v>
      </c>
      <c r="AA523" t="str">
        <f>U523-X523-Y523</f>
        <v>#REF!</v>
      </c>
      <c r="AB523" t="str">
        <f>V523-Z523</f>
        <v>#REF!</v>
      </c>
      <c r="AC523" t="str">
        <f>AA523*0.01</f>
        <v>#REF!</v>
      </c>
      <c r="AD523" t="str">
        <f>AA523-P523-AC523-Q523</f>
        <v>#REF!</v>
      </c>
      <c r="AE523" t="str">
        <f>AB523-P523-Q523-AC523</f>
        <v>#REF!</v>
      </c>
      <c r="AF523" t="str">
        <f>AD523/U523</f>
        <v>#REF!</v>
      </c>
      <c r="AG523" t="str">
        <f>AE523/V523</f>
        <v>#REF!</v>
      </c>
    </row>
    <row r="524">
      <c r="G524" t="str">
        <v>A</v>
      </c>
      <c r="J524" t="str">
        <f>IF(K524&gt;0,K524*0.0625,IF(L524&gt;0,L524*2.204623,))</f>
        <v>#REF!</v>
      </c>
      <c r="K524" t="str">
        <f>IF(L524&gt;0,L524*35.273962,IF(J524&gt;0,J524*16,))</f>
        <v>#REF!</v>
      </c>
      <c r="L524" t="str">
        <f>IF(J524&gt;0,J524*0.453592,IF(K524&gt;0,K524*0.02835,))</f>
        <v>#REF!</v>
      </c>
      <c r="O524">
        <f>I524+N524+M524</f>
        <v>0</v>
      </c>
      <c r="P524">
        <f>O524*C$3</f>
        <v>0</v>
      </c>
      <c r="Q524" t="str">
        <f>ROUNDUP(HLOOKUP(IF(CEILING(L524,0.5)&lt;1,1,CEILING(L524,0.5)),'배송비 조회'!A$32:AY$36,2,0),-2)</f>
        <v>#REF!</v>
      </c>
      <c r="R524">
        <v>0</v>
      </c>
      <c r="S524" t="str">
        <f>ROUND((P524+Q524)*0.6,-2)</f>
        <v>#REF!</v>
      </c>
      <c r="T524" t="str">
        <f>ROUND((P524+Q524)*0.7,-2)</f>
        <v>#REF!</v>
      </c>
      <c r="U524" t="str">
        <f>ROUND(SUM(P524+Q524+R524+S524), -2)</f>
        <v>#REF!</v>
      </c>
      <c r="V524" t="str">
        <f>ROUND(P524+Q524+R524+T524, -2)</f>
        <v>#REF!</v>
      </c>
      <c r="W524">
        <v>0</v>
      </c>
      <c r="X524" t="str">
        <f>U524*0.038</f>
        <v>#REF!</v>
      </c>
      <c r="Y524" t="str">
        <f>U524*0.02</f>
        <v>#REF!</v>
      </c>
      <c r="Z524" t="str">
        <f>V524*0.1</f>
        <v>#REF!</v>
      </c>
      <c r="AA524" t="str">
        <f>U524-X524-Y524</f>
        <v>#REF!</v>
      </c>
      <c r="AB524" t="str">
        <f>V524-Z524</f>
        <v>#REF!</v>
      </c>
      <c r="AC524" t="str">
        <f>AA524*0.01</f>
        <v>#REF!</v>
      </c>
      <c r="AD524" t="str">
        <f>AA524-P524-AC524-Q524</f>
        <v>#REF!</v>
      </c>
      <c r="AE524" t="str">
        <f>AB524-P524-Q524-AC524</f>
        <v>#REF!</v>
      </c>
      <c r="AF524" t="str">
        <f>AD524/U524</f>
        <v>#REF!</v>
      </c>
      <c r="AG524" t="str">
        <f>AE524/V524</f>
        <v>#REF!</v>
      </c>
    </row>
    <row r="525">
      <c r="G525" t="str">
        <v>A</v>
      </c>
      <c r="J525" t="str">
        <f>IF(K525&gt;0,K525*0.0625,IF(L525&gt;0,L525*2.204623,))</f>
        <v>#REF!</v>
      </c>
      <c r="K525" t="str">
        <f>IF(L525&gt;0,L525*35.273962,IF(J525&gt;0,J525*16,))</f>
        <v>#REF!</v>
      </c>
      <c r="L525" t="str">
        <f>IF(J525&gt;0,J525*0.453592,IF(K525&gt;0,K525*0.02835,))</f>
        <v>#REF!</v>
      </c>
      <c r="O525">
        <f>I525+N525+M525</f>
        <v>0</v>
      </c>
      <c r="P525">
        <f>O525*C$3</f>
        <v>0</v>
      </c>
      <c r="Q525" t="str">
        <f>ROUNDUP(HLOOKUP(IF(CEILING(L525,0.5)&lt;1,1,CEILING(L525,0.5)),'배송비 조회'!A$32:AY$36,2,0),-2)</f>
        <v>#REF!</v>
      </c>
      <c r="R525">
        <v>0</v>
      </c>
      <c r="S525" t="str">
        <f>ROUND((P525+Q525)*0.6,-2)</f>
        <v>#REF!</v>
      </c>
      <c r="T525" t="str">
        <f>ROUND((P525+Q525)*0.7,-2)</f>
        <v>#REF!</v>
      </c>
      <c r="U525" t="str">
        <f>ROUND(SUM(P525+Q525+R525+S525), -2)</f>
        <v>#REF!</v>
      </c>
      <c r="V525" t="str">
        <f>ROUND(P525+Q525+R525+T525, -2)</f>
        <v>#REF!</v>
      </c>
      <c r="W525">
        <v>0</v>
      </c>
      <c r="X525" t="str">
        <f>U525*0.038</f>
        <v>#REF!</v>
      </c>
      <c r="Y525" t="str">
        <f>U525*0.02</f>
        <v>#REF!</v>
      </c>
      <c r="Z525" t="str">
        <f>V525*0.1</f>
        <v>#REF!</v>
      </c>
      <c r="AA525" t="str">
        <f>U525-X525-Y525</f>
        <v>#REF!</v>
      </c>
      <c r="AB525" t="str">
        <f>V525-Z525</f>
        <v>#REF!</v>
      </c>
      <c r="AC525" t="str">
        <f>AA525*0.01</f>
        <v>#REF!</v>
      </c>
      <c r="AD525" t="str">
        <f>AA525-P525-AC525-Q525</f>
        <v>#REF!</v>
      </c>
      <c r="AE525" t="str">
        <f>AB525-P525-Q525-AC525</f>
        <v>#REF!</v>
      </c>
      <c r="AF525" t="str">
        <f>AD525/U525</f>
        <v>#REF!</v>
      </c>
      <c r="AG525" t="str">
        <f>AE525/V525</f>
        <v>#REF!</v>
      </c>
    </row>
    <row r="526">
      <c r="G526" t="str">
        <v>A</v>
      </c>
      <c r="J526" t="str">
        <f>IF(K526&gt;0,K526*0.0625,IF(L526&gt;0,L526*2.204623,))</f>
        <v>#REF!</v>
      </c>
      <c r="K526" t="str">
        <f>IF(L526&gt;0,L526*35.273962,IF(J526&gt;0,J526*16,))</f>
        <v>#REF!</v>
      </c>
      <c r="L526" t="str">
        <f>IF(J526&gt;0,J526*0.453592,IF(K526&gt;0,K526*0.02835,))</f>
        <v>#REF!</v>
      </c>
      <c r="O526">
        <f>I526+N526+M526</f>
        <v>0</v>
      </c>
      <c r="P526">
        <f>O526*C$3</f>
        <v>0</v>
      </c>
      <c r="Q526" t="str">
        <f>ROUNDUP(HLOOKUP(IF(CEILING(L526,0.5)&lt;1,1,CEILING(L526,0.5)),'배송비 조회'!A$32:AY$36,2,0),-2)</f>
        <v>#REF!</v>
      </c>
      <c r="R526">
        <v>0</v>
      </c>
      <c r="S526" t="str">
        <f>ROUND((P526+Q526)*0.6,-2)</f>
        <v>#REF!</v>
      </c>
      <c r="T526" t="str">
        <f>ROUND((P526+Q526)*0.7,-2)</f>
        <v>#REF!</v>
      </c>
      <c r="U526" t="str">
        <f>ROUND(SUM(P526+Q526+R526+S526), -2)</f>
        <v>#REF!</v>
      </c>
      <c r="V526" t="str">
        <f>ROUND(P526+Q526+R526+T526, -2)</f>
        <v>#REF!</v>
      </c>
      <c r="W526">
        <v>0</v>
      </c>
      <c r="X526" t="str">
        <f>U526*0.038</f>
        <v>#REF!</v>
      </c>
      <c r="Y526" t="str">
        <f>U526*0.02</f>
        <v>#REF!</v>
      </c>
      <c r="Z526" t="str">
        <f>V526*0.1</f>
        <v>#REF!</v>
      </c>
      <c r="AA526" t="str">
        <f>U526-X526-Y526</f>
        <v>#REF!</v>
      </c>
      <c r="AB526" t="str">
        <f>V526-Z526</f>
        <v>#REF!</v>
      </c>
      <c r="AC526" t="str">
        <f>AA526*0.01</f>
        <v>#REF!</v>
      </c>
      <c r="AD526" t="str">
        <f>AA526-P526-AC526-Q526</f>
        <v>#REF!</v>
      </c>
      <c r="AE526" t="str">
        <f>AB526-P526-Q526-AC526</f>
        <v>#REF!</v>
      </c>
      <c r="AF526" t="str">
        <f>AD526/U526</f>
        <v>#REF!</v>
      </c>
      <c r="AG526" t="str">
        <f>AE526/V526</f>
        <v>#REF!</v>
      </c>
    </row>
    <row r="527">
      <c r="G527" t="str">
        <v>A</v>
      </c>
      <c r="J527" t="str">
        <f>IF(K527&gt;0,K527*0.0625,IF(L527&gt;0,L527*2.204623,))</f>
        <v>#REF!</v>
      </c>
      <c r="K527" t="str">
        <f>IF(L527&gt;0,L527*35.273962,IF(J527&gt;0,J527*16,))</f>
        <v>#REF!</v>
      </c>
      <c r="L527" t="str">
        <f>IF(J527&gt;0,J527*0.453592,IF(K527&gt;0,K527*0.02835,))</f>
        <v>#REF!</v>
      </c>
      <c r="O527">
        <f>I527+N527+M527</f>
        <v>0</v>
      </c>
      <c r="P527">
        <f>O527*C$3</f>
        <v>0</v>
      </c>
      <c r="Q527" t="str">
        <f>ROUNDUP(HLOOKUP(IF(CEILING(L527,0.5)&lt;1,1,CEILING(L527,0.5)),'배송비 조회'!A$32:AY$36,2,0),-2)</f>
        <v>#REF!</v>
      </c>
      <c r="R527">
        <v>0</v>
      </c>
      <c r="S527" t="str">
        <f>ROUND((P527+Q527)*0.6,-2)</f>
        <v>#REF!</v>
      </c>
      <c r="T527" t="str">
        <f>ROUND((P527+Q527)*0.7,-2)</f>
        <v>#REF!</v>
      </c>
      <c r="U527" t="str">
        <f>ROUND(SUM(P527+Q527+R527+S527), -2)</f>
        <v>#REF!</v>
      </c>
      <c r="V527" t="str">
        <f>ROUND(P527+Q527+R527+T527, -2)</f>
        <v>#REF!</v>
      </c>
      <c r="W527">
        <v>0</v>
      </c>
      <c r="X527" t="str">
        <f>U527*0.038</f>
        <v>#REF!</v>
      </c>
      <c r="Y527" t="str">
        <f>U527*0.02</f>
        <v>#REF!</v>
      </c>
      <c r="Z527" t="str">
        <f>V527*0.1</f>
        <v>#REF!</v>
      </c>
      <c r="AA527" t="str">
        <f>U527-X527-Y527</f>
        <v>#REF!</v>
      </c>
      <c r="AB527" t="str">
        <f>V527-Z527</f>
        <v>#REF!</v>
      </c>
      <c r="AC527" t="str">
        <f>AA527*0.01</f>
        <v>#REF!</v>
      </c>
      <c r="AD527" t="str">
        <f>AA527-P527-AC527-Q527</f>
        <v>#REF!</v>
      </c>
      <c r="AE527" t="str">
        <f>AB527-P527-Q527-AC527</f>
        <v>#REF!</v>
      </c>
      <c r="AF527" t="str">
        <f>AD527/U527</f>
        <v>#REF!</v>
      </c>
      <c r="AG527" t="str">
        <f>AE527/V527</f>
        <v>#REF!</v>
      </c>
    </row>
    <row r="528">
      <c r="G528" t="str">
        <v>A</v>
      </c>
      <c r="J528" t="str">
        <f>IF(K528&gt;0,K528*0.0625,IF(L528&gt;0,L528*2.204623,))</f>
        <v>#REF!</v>
      </c>
      <c r="K528" t="str">
        <f>IF(L528&gt;0,L528*35.273962,IF(J528&gt;0,J528*16,))</f>
        <v>#REF!</v>
      </c>
      <c r="L528" t="str">
        <f>IF(J528&gt;0,J528*0.453592,IF(K528&gt;0,K528*0.02835,))</f>
        <v>#REF!</v>
      </c>
      <c r="O528">
        <f>I528+N528+M528</f>
        <v>0</v>
      </c>
      <c r="P528">
        <f>O528*C$3</f>
        <v>0</v>
      </c>
      <c r="Q528" t="str">
        <f>ROUNDUP(HLOOKUP(IF(CEILING(L528,0.5)&lt;1,1,CEILING(L528,0.5)),'배송비 조회'!A$32:AY$36,2,0),-2)</f>
        <v>#REF!</v>
      </c>
      <c r="R528">
        <v>0</v>
      </c>
      <c r="S528" t="str">
        <f>ROUND((P528+Q528)*0.6,-2)</f>
        <v>#REF!</v>
      </c>
      <c r="T528" t="str">
        <f>ROUND((P528+Q528)*0.7,-2)</f>
        <v>#REF!</v>
      </c>
      <c r="U528" t="str">
        <f>ROUND(SUM(P528+Q528+R528+S528), -2)</f>
        <v>#REF!</v>
      </c>
      <c r="V528" t="str">
        <f>ROUND(P528+Q528+R528+T528, -2)</f>
        <v>#REF!</v>
      </c>
      <c r="W528">
        <v>0</v>
      </c>
      <c r="X528" t="str">
        <f>U528*0.038</f>
        <v>#REF!</v>
      </c>
      <c r="Y528" t="str">
        <f>U528*0.02</f>
        <v>#REF!</v>
      </c>
      <c r="Z528" t="str">
        <f>V528*0.1</f>
        <v>#REF!</v>
      </c>
      <c r="AA528" t="str">
        <f>U528-X528-Y528</f>
        <v>#REF!</v>
      </c>
      <c r="AB528" t="str">
        <f>V528-Z528</f>
        <v>#REF!</v>
      </c>
      <c r="AC528" t="str">
        <f>AA528*0.01</f>
        <v>#REF!</v>
      </c>
      <c r="AD528" t="str">
        <f>AA528-P528-AC528-Q528</f>
        <v>#REF!</v>
      </c>
      <c r="AE528" t="str">
        <f>AB528-P528-Q528-AC528</f>
        <v>#REF!</v>
      </c>
      <c r="AF528" t="str">
        <f>AD528/U528</f>
        <v>#REF!</v>
      </c>
      <c r="AG528" t="str">
        <f>AE528/V528</f>
        <v>#REF!</v>
      </c>
    </row>
    <row r="529">
      <c r="G529" t="str">
        <v>A</v>
      </c>
      <c r="J529" t="str">
        <f>IF(K529&gt;0,K529*0.0625,IF(L529&gt;0,L529*2.204623,))</f>
        <v>#REF!</v>
      </c>
      <c r="K529" t="str">
        <f>IF(L529&gt;0,L529*35.273962,IF(J529&gt;0,J529*16,))</f>
        <v>#REF!</v>
      </c>
      <c r="L529" t="str">
        <f>IF(J529&gt;0,J529*0.453592,IF(K529&gt;0,K529*0.02835,))</f>
        <v>#REF!</v>
      </c>
      <c r="O529">
        <f>I529+N529+M529</f>
        <v>0</v>
      </c>
      <c r="P529">
        <f>O529*C$3</f>
        <v>0</v>
      </c>
      <c r="Q529" t="str">
        <f>ROUNDUP(HLOOKUP(IF(CEILING(L529,0.5)&lt;1,1,CEILING(L529,0.5)),'배송비 조회'!A$32:AY$36,2,0),-2)</f>
        <v>#REF!</v>
      </c>
      <c r="R529">
        <v>0</v>
      </c>
      <c r="S529" t="str">
        <f>ROUND((P529+Q529)*0.6,-2)</f>
        <v>#REF!</v>
      </c>
      <c r="T529" t="str">
        <f>ROUND((P529+Q529)*0.7,-2)</f>
        <v>#REF!</v>
      </c>
      <c r="U529" t="str">
        <f>ROUND(SUM(P529+Q529+R529+S529), -2)</f>
        <v>#REF!</v>
      </c>
      <c r="V529" t="str">
        <f>ROUND(P529+Q529+R529+T529, -2)</f>
        <v>#REF!</v>
      </c>
      <c r="W529">
        <v>0</v>
      </c>
      <c r="X529" t="str">
        <f>U529*0.038</f>
        <v>#REF!</v>
      </c>
      <c r="Y529" t="str">
        <f>U529*0.02</f>
        <v>#REF!</v>
      </c>
      <c r="Z529" t="str">
        <f>V529*0.1</f>
        <v>#REF!</v>
      </c>
      <c r="AA529" t="str">
        <f>U529-X529-Y529</f>
        <v>#REF!</v>
      </c>
      <c r="AB529" t="str">
        <f>V529-Z529</f>
        <v>#REF!</v>
      </c>
      <c r="AC529" t="str">
        <f>AA529*0.01</f>
        <v>#REF!</v>
      </c>
      <c r="AD529" t="str">
        <f>AA529-P529-AC529-Q529</f>
        <v>#REF!</v>
      </c>
      <c r="AE529" t="str">
        <f>AB529-P529-Q529-AC529</f>
        <v>#REF!</v>
      </c>
      <c r="AF529" t="str">
        <f>AD529/U529</f>
        <v>#REF!</v>
      </c>
      <c r="AG529" t="str">
        <f>AE529/V529</f>
        <v>#REF!</v>
      </c>
    </row>
    <row r="530">
      <c r="G530" t="str">
        <v>A</v>
      </c>
      <c r="J530" t="str">
        <f>IF(K530&gt;0,K530*0.0625,IF(L530&gt;0,L530*2.204623,))</f>
        <v>#REF!</v>
      </c>
      <c r="K530" t="str">
        <f>IF(L530&gt;0,L530*35.273962,IF(J530&gt;0,J530*16,))</f>
        <v>#REF!</v>
      </c>
      <c r="L530" t="str">
        <f>IF(J530&gt;0,J530*0.453592,IF(K530&gt;0,K530*0.02835,))</f>
        <v>#REF!</v>
      </c>
      <c r="O530">
        <f>I530+N530+M530</f>
        <v>0</v>
      </c>
      <c r="P530">
        <f>O530*C$3</f>
        <v>0</v>
      </c>
      <c r="Q530" t="str">
        <f>ROUNDUP(HLOOKUP(IF(CEILING(L530,0.5)&lt;1,1,CEILING(L530,0.5)),'배송비 조회'!A$32:AY$36,2,0),-2)</f>
        <v>#REF!</v>
      </c>
      <c r="R530">
        <v>0</v>
      </c>
      <c r="S530" t="str">
        <f>ROUND((P530+Q530)*0.6,-2)</f>
        <v>#REF!</v>
      </c>
      <c r="T530" t="str">
        <f>ROUND((P530+Q530)*0.7,-2)</f>
        <v>#REF!</v>
      </c>
      <c r="U530" t="str">
        <f>ROUND(SUM(P530+Q530+R530+S530), -2)</f>
        <v>#REF!</v>
      </c>
      <c r="V530" t="str">
        <f>ROUND(P530+Q530+R530+T530, -2)</f>
        <v>#REF!</v>
      </c>
      <c r="W530">
        <v>0</v>
      </c>
      <c r="X530" t="str">
        <f>U530*0.038</f>
        <v>#REF!</v>
      </c>
      <c r="Y530" t="str">
        <f>U530*0.02</f>
        <v>#REF!</v>
      </c>
      <c r="Z530" t="str">
        <f>V530*0.1</f>
        <v>#REF!</v>
      </c>
      <c r="AA530" t="str">
        <f>U530-X530-Y530</f>
        <v>#REF!</v>
      </c>
      <c r="AB530" t="str">
        <f>V530-Z530</f>
        <v>#REF!</v>
      </c>
      <c r="AC530" t="str">
        <f>AA530*0.01</f>
        <v>#REF!</v>
      </c>
      <c r="AD530" t="str">
        <f>AA530-P530-AC530-Q530</f>
        <v>#REF!</v>
      </c>
      <c r="AE530" t="str">
        <f>AB530-P530-Q530-AC530</f>
        <v>#REF!</v>
      </c>
      <c r="AF530" t="str">
        <f>AD530/U530</f>
        <v>#REF!</v>
      </c>
      <c r="AG530" t="str">
        <f>AE530/V530</f>
        <v>#REF!</v>
      </c>
    </row>
    <row r="531">
      <c r="G531" t="str">
        <v>A</v>
      </c>
      <c r="J531" t="str">
        <f>IF(K531&gt;0,K531*0.0625,IF(L531&gt;0,L531*2.204623,))</f>
        <v>#REF!</v>
      </c>
      <c r="K531" t="str">
        <f>IF(L531&gt;0,L531*35.273962,IF(J531&gt;0,J531*16,))</f>
        <v>#REF!</v>
      </c>
      <c r="L531" t="str">
        <f>IF(J531&gt;0,J531*0.453592,IF(K531&gt;0,K531*0.02835,))</f>
        <v>#REF!</v>
      </c>
      <c r="O531">
        <f>I531+N531+M531</f>
        <v>0</v>
      </c>
      <c r="P531">
        <f>O531*C$3</f>
        <v>0</v>
      </c>
      <c r="Q531" t="str">
        <f>ROUNDUP(HLOOKUP(IF(CEILING(L531,0.5)&lt;1,1,CEILING(L531,0.5)),'배송비 조회'!A$32:AY$36,2,0),-2)</f>
        <v>#REF!</v>
      </c>
      <c r="R531">
        <v>0</v>
      </c>
      <c r="S531" t="str">
        <f>ROUND((P531+Q531)*0.6,-2)</f>
        <v>#REF!</v>
      </c>
      <c r="T531" t="str">
        <f>ROUND((P531+Q531)*0.7,-2)</f>
        <v>#REF!</v>
      </c>
      <c r="U531" t="str">
        <f>ROUND(SUM(P531+Q531+R531+S531), -2)</f>
        <v>#REF!</v>
      </c>
      <c r="V531" t="str">
        <f>ROUND(P531+Q531+R531+T531, -2)</f>
        <v>#REF!</v>
      </c>
      <c r="W531">
        <v>0</v>
      </c>
      <c r="X531" t="str">
        <f>U531*0.038</f>
        <v>#REF!</v>
      </c>
      <c r="Y531" t="str">
        <f>U531*0.02</f>
        <v>#REF!</v>
      </c>
      <c r="Z531" t="str">
        <f>V531*0.1</f>
        <v>#REF!</v>
      </c>
      <c r="AA531" t="str">
        <f>U531-X531-Y531</f>
        <v>#REF!</v>
      </c>
      <c r="AB531" t="str">
        <f>V531-Z531</f>
        <v>#REF!</v>
      </c>
      <c r="AC531" t="str">
        <f>AA531*0.01</f>
        <v>#REF!</v>
      </c>
      <c r="AD531" t="str">
        <f>AA531-P531-AC531-Q531</f>
        <v>#REF!</v>
      </c>
      <c r="AE531" t="str">
        <f>AB531-P531-Q531-AC531</f>
        <v>#REF!</v>
      </c>
      <c r="AF531" t="str">
        <f>AD531/U531</f>
        <v>#REF!</v>
      </c>
      <c r="AG531" t="str">
        <f>AE531/V531</f>
        <v>#REF!</v>
      </c>
    </row>
    <row r="532">
      <c r="G532" t="str">
        <v>A</v>
      </c>
      <c r="J532" t="str">
        <f>IF(K532&gt;0,K532*0.0625,IF(L532&gt;0,L532*2.204623,))</f>
        <v>#REF!</v>
      </c>
      <c r="K532" t="str">
        <f>IF(L532&gt;0,L532*35.273962,IF(J532&gt;0,J532*16,))</f>
        <v>#REF!</v>
      </c>
      <c r="L532" t="str">
        <f>IF(J532&gt;0,J532*0.453592,IF(K532&gt;0,K532*0.02835,))</f>
        <v>#REF!</v>
      </c>
      <c r="O532">
        <f>I532+N532+M532</f>
        <v>0</v>
      </c>
      <c r="P532">
        <f>O532*C$3</f>
        <v>0</v>
      </c>
      <c r="Q532" t="str">
        <f>ROUNDUP(HLOOKUP(IF(CEILING(L532,0.5)&lt;1,1,CEILING(L532,0.5)),'배송비 조회'!A$32:AY$36,2,0),-2)</f>
        <v>#REF!</v>
      </c>
      <c r="R532">
        <v>0</v>
      </c>
      <c r="S532" t="str">
        <f>ROUND((P532+Q532)*0.6,-2)</f>
        <v>#REF!</v>
      </c>
      <c r="T532" t="str">
        <f>ROUND((P532+Q532)*0.7,-2)</f>
        <v>#REF!</v>
      </c>
      <c r="U532" t="str">
        <f>ROUND(SUM(P532+Q532+R532+S532), -2)</f>
        <v>#REF!</v>
      </c>
      <c r="V532" t="str">
        <f>ROUND(P532+Q532+R532+T532, -2)</f>
        <v>#REF!</v>
      </c>
      <c r="W532">
        <v>0</v>
      </c>
      <c r="X532" t="str">
        <f>U532*0.038</f>
        <v>#REF!</v>
      </c>
      <c r="Y532" t="str">
        <f>U532*0.02</f>
        <v>#REF!</v>
      </c>
      <c r="Z532" t="str">
        <f>V532*0.1</f>
        <v>#REF!</v>
      </c>
      <c r="AA532" t="str">
        <f>U532-X532-Y532</f>
        <v>#REF!</v>
      </c>
      <c r="AB532" t="str">
        <f>V532-Z532</f>
        <v>#REF!</v>
      </c>
      <c r="AC532" t="str">
        <f>AA532*0.01</f>
        <v>#REF!</v>
      </c>
      <c r="AD532" t="str">
        <f>AA532-P532-AC532-Q532</f>
        <v>#REF!</v>
      </c>
      <c r="AE532" t="str">
        <f>AB532-P532-Q532-AC532</f>
        <v>#REF!</v>
      </c>
      <c r="AF532" t="str">
        <f>AD532/U532</f>
        <v>#REF!</v>
      </c>
      <c r="AG532" t="str">
        <f>AE532/V532</f>
        <v>#REF!</v>
      </c>
    </row>
    <row r="533">
      <c r="G533" t="str">
        <v>A</v>
      </c>
      <c r="J533" t="str">
        <f>IF(K533&gt;0,K533*0.0625,IF(L533&gt;0,L533*2.204623,))</f>
        <v>#REF!</v>
      </c>
      <c r="K533" t="str">
        <f>IF(L533&gt;0,L533*35.273962,IF(J533&gt;0,J533*16,))</f>
        <v>#REF!</v>
      </c>
      <c r="L533" t="str">
        <f>IF(J533&gt;0,J533*0.453592,IF(K533&gt;0,K533*0.02835,))</f>
        <v>#REF!</v>
      </c>
      <c r="O533">
        <f>I533+N533+M533</f>
        <v>0</v>
      </c>
      <c r="P533">
        <f>O533*C$3</f>
        <v>0</v>
      </c>
      <c r="Q533" t="str">
        <f>ROUNDUP(HLOOKUP(IF(CEILING(L533,0.5)&lt;1,1,CEILING(L533,0.5)),'배송비 조회'!A$32:AY$36,2,0),-2)</f>
        <v>#REF!</v>
      </c>
      <c r="R533">
        <v>0</v>
      </c>
      <c r="S533" t="str">
        <f>ROUND((P533+Q533)*0.6,-2)</f>
        <v>#REF!</v>
      </c>
      <c r="T533" t="str">
        <f>ROUND((P533+Q533)*0.7,-2)</f>
        <v>#REF!</v>
      </c>
      <c r="U533" t="str">
        <f>ROUND(SUM(P533+Q533+R533+S533), -2)</f>
        <v>#REF!</v>
      </c>
      <c r="V533" t="str">
        <f>ROUND(P533+Q533+R533+T533, -2)</f>
        <v>#REF!</v>
      </c>
      <c r="W533">
        <v>0</v>
      </c>
      <c r="X533" t="str">
        <f>U533*0.038</f>
        <v>#REF!</v>
      </c>
      <c r="Y533" t="str">
        <f>U533*0.02</f>
        <v>#REF!</v>
      </c>
      <c r="Z533" t="str">
        <f>V533*0.1</f>
        <v>#REF!</v>
      </c>
      <c r="AA533" t="str">
        <f>U533-X533-Y533</f>
        <v>#REF!</v>
      </c>
      <c r="AB533" t="str">
        <f>V533-Z533</f>
        <v>#REF!</v>
      </c>
      <c r="AC533" t="str">
        <f>AA533*0.01</f>
        <v>#REF!</v>
      </c>
      <c r="AD533" t="str">
        <f>AA533-P533-AC533-Q533</f>
        <v>#REF!</v>
      </c>
      <c r="AE533" t="str">
        <f>AB533-P533-Q533-AC533</f>
        <v>#REF!</v>
      </c>
      <c r="AF533" t="str">
        <f>AD533/U533</f>
        <v>#REF!</v>
      </c>
      <c r="AG533" t="str">
        <f>AE533/V533</f>
        <v>#REF!</v>
      </c>
    </row>
    <row r="534">
      <c r="G534" t="str">
        <v>A</v>
      </c>
      <c r="J534" t="str">
        <f>IF(K534&gt;0,K534*0.0625,IF(L534&gt;0,L534*2.204623,))</f>
        <v>#REF!</v>
      </c>
      <c r="K534" t="str">
        <f>IF(L534&gt;0,L534*35.273962,IF(J534&gt;0,J534*16,))</f>
        <v>#REF!</v>
      </c>
      <c r="L534" t="str">
        <f>IF(J534&gt;0,J534*0.453592,IF(K534&gt;0,K534*0.02835,))</f>
        <v>#REF!</v>
      </c>
      <c r="O534">
        <f>I534+N534+M534</f>
        <v>0</v>
      </c>
      <c r="P534">
        <f>O534*C$3</f>
        <v>0</v>
      </c>
      <c r="Q534" t="str">
        <f>ROUNDUP(HLOOKUP(IF(CEILING(L534,0.5)&lt;1,1,CEILING(L534,0.5)),'배송비 조회'!A$32:AY$36,2,0),-2)</f>
        <v>#REF!</v>
      </c>
      <c r="R534">
        <v>0</v>
      </c>
      <c r="S534" t="str">
        <f>ROUND((P534+Q534)*0.6,-2)</f>
        <v>#REF!</v>
      </c>
      <c r="T534" t="str">
        <f>ROUND((P534+Q534)*0.7,-2)</f>
        <v>#REF!</v>
      </c>
      <c r="U534" t="str">
        <f>ROUND(SUM(P534+Q534+R534+S534), -2)</f>
        <v>#REF!</v>
      </c>
      <c r="V534" t="str">
        <f>ROUND(P534+Q534+R534+T534, -2)</f>
        <v>#REF!</v>
      </c>
      <c r="W534">
        <v>0</v>
      </c>
      <c r="X534" t="str">
        <f>U534*0.038</f>
        <v>#REF!</v>
      </c>
      <c r="Y534" t="str">
        <f>U534*0.02</f>
        <v>#REF!</v>
      </c>
      <c r="Z534" t="str">
        <f>V534*0.1</f>
        <v>#REF!</v>
      </c>
      <c r="AA534" t="str">
        <f>U534-X534-Y534</f>
        <v>#REF!</v>
      </c>
      <c r="AB534" t="str">
        <f>V534-Z534</f>
        <v>#REF!</v>
      </c>
      <c r="AC534" t="str">
        <f>AA534*0.01</f>
        <v>#REF!</v>
      </c>
      <c r="AD534" t="str">
        <f>AA534-P534-AC534-Q534</f>
        <v>#REF!</v>
      </c>
      <c r="AE534" t="str">
        <f>AB534-P534-Q534-AC534</f>
        <v>#REF!</v>
      </c>
      <c r="AF534" t="str">
        <f>AD534/U534</f>
        <v>#REF!</v>
      </c>
      <c r="AG534" t="str">
        <f>AE534/V534</f>
        <v>#REF!</v>
      </c>
    </row>
    <row r="535">
      <c r="G535" t="str">
        <v>A</v>
      </c>
      <c r="J535" t="str">
        <f>IF(K535&gt;0,K535*0.0625,IF(L535&gt;0,L535*2.204623,))</f>
        <v>#REF!</v>
      </c>
      <c r="K535" t="str">
        <f>IF(L535&gt;0,L535*35.273962,IF(J535&gt;0,J535*16,))</f>
        <v>#REF!</v>
      </c>
      <c r="L535" t="str">
        <f>IF(J535&gt;0,J535*0.453592,IF(K535&gt;0,K535*0.02835,))</f>
        <v>#REF!</v>
      </c>
      <c r="O535">
        <f>I535+N535+M535</f>
        <v>0</v>
      </c>
      <c r="P535">
        <f>O535*C$3</f>
        <v>0</v>
      </c>
      <c r="Q535" t="str">
        <f>ROUNDUP(HLOOKUP(IF(CEILING(L535,0.5)&lt;1,1,CEILING(L535,0.5)),'배송비 조회'!A$32:AY$36,2,0),-2)</f>
        <v>#REF!</v>
      </c>
      <c r="R535">
        <v>0</v>
      </c>
      <c r="S535" t="str">
        <f>ROUND((P535+Q535)*0.6,-2)</f>
        <v>#REF!</v>
      </c>
      <c r="T535" t="str">
        <f>ROUND((P535+Q535)*0.7,-2)</f>
        <v>#REF!</v>
      </c>
      <c r="U535" t="str">
        <f>ROUND(SUM(P535+Q535+R535+S535), -2)</f>
        <v>#REF!</v>
      </c>
      <c r="V535" t="str">
        <f>ROUND(P535+Q535+R535+T535, -2)</f>
        <v>#REF!</v>
      </c>
      <c r="W535">
        <v>0</v>
      </c>
      <c r="X535" t="str">
        <f>U535*0.038</f>
        <v>#REF!</v>
      </c>
      <c r="Y535" t="str">
        <f>U535*0.02</f>
        <v>#REF!</v>
      </c>
      <c r="Z535" t="str">
        <f>V535*0.1</f>
        <v>#REF!</v>
      </c>
      <c r="AA535" t="str">
        <f>U535-X535-Y535</f>
        <v>#REF!</v>
      </c>
      <c r="AB535" t="str">
        <f>V535-Z535</f>
        <v>#REF!</v>
      </c>
      <c r="AC535" t="str">
        <f>AA535*0.01</f>
        <v>#REF!</v>
      </c>
      <c r="AD535" t="str">
        <f>AA535-P535-AC535-Q535</f>
        <v>#REF!</v>
      </c>
      <c r="AE535" t="str">
        <f>AB535-P535-Q535-AC535</f>
        <v>#REF!</v>
      </c>
      <c r="AF535" t="str">
        <f>AD535/U535</f>
        <v>#REF!</v>
      </c>
      <c r="AG535" t="str">
        <f>AE535/V535</f>
        <v>#REF!</v>
      </c>
    </row>
    <row r="536">
      <c r="G536" t="str">
        <v>A</v>
      </c>
      <c r="J536" t="str">
        <f>IF(K536&gt;0,K536*0.0625,IF(L536&gt;0,L536*2.204623,))</f>
        <v>#REF!</v>
      </c>
      <c r="K536" t="str">
        <f>IF(L536&gt;0,L536*35.273962,IF(J536&gt;0,J536*16,))</f>
        <v>#REF!</v>
      </c>
      <c r="L536" t="str">
        <f>IF(J536&gt;0,J536*0.453592,IF(K536&gt;0,K536*0.02835,))</f>
        <v>#REF!</v>
      </c>
      <c r="O536">
        <f>I536+N536+M536</f>
        <v>0</v>
      </c>
      <c r="P536">
        <f>O536*C$3</f>
        <v>0</v>
      </c>
      <c r="Q536" t="str">
        <f>ROUNDUP(HLOOKUP(IF(CEILING(L536,0.5)&lt;1,1,CEILING(L536,0.5)),'배송비 조회'!A$32:AY$36,2,0),-2)</f>
        <v>#REF!</v>
      </c>
      <c r="R536">
        <v>0</v>
      </c>
      <c r="S536" t="str">
        <f>ROUND((P536+Q536)*0.6,-2)</f>
        <v>#REF!</v>
      </c>
      <c r="T536" t="str">
        <f>ROUND((P536+Q536)*0.7,-2)</f>
        <v>#REF!</v>
      </c>
      <c r="U536" t="str">
        <f>ROUND(SUM(P536+Q536+R536+S536), -2)</f>
        <v>#REF!</v>
      </c>
      <c r="V536" t="str">
        <f>ROUND(P536+Q536+R536+T536, -2)</f>
        <v>#REF!</v>
      </c>
      <c r="W536">
        <v>0</v>
      </c>
      <c r="X536" t="str">
        <f>U536*0.038</f>
        <v>#REF!</v>
      </c>
      <c r="Y536" t="str">
        <f>U536*0.02</f>
        <v>#REF!</v>
      </c>
      <c r="Z536" t="str">
        <f>V536*0.1</f>
        <v>#REF!</v>
      </c>
      <c r="AA536" t="str">
        <f>U536-X536-Y536</f>
        <v>#REF!</v>
      </c>
      <c r="AB536" t="str">
        <f>V536-Z536</f>
        <v>#REF!</v>
      </c>
      <c r="AC536" t="str">
        <f>AA536*0.01</f>
        <v>#REF!</v>
      </c>
      <c r="AD536" t="str">
        <f>AA536-P536-AC536-Q536</f>
        <v>#REF!</v>
      </c>
      <c r="AE536" t="str">
        <f>AB536-P536-Q536-AC536</f>
        <v>#REF!</v>
      </c>
      <c r="AF536" t="str">
        <f>AD536/U536</f>
        <v>#REF!</v>
      </c>
      <c r="AG536" t="str">
        <f>AE536/V536</f>
        <v>#REF!</v>
      </c>
    </row>
    <row r="537">
      <c r="G537" t="str">
        <v>A</v>
      </c>
      <c r="J537" t="str">
        <f>IF(K537&gt;0,K537*0.0625,IF(L537&gt;0,L537*2.204623,))</f>
        <v>#REF!</v>
      </c>
      <c r="K537" t="str">
        <f>IF(L537&gt;0,L537*35.273962,IF(J537&gt;0,J537*16,))</f>
        <v>#REF!</v>
      </c>
      <c r="L537" t="str">
        <f>IF(J537&gt;0,J537*0.453592,IF(K537&gt;0,K537*0.02835,))</f>
        <v>#REF!</v>
      </c>
      <c r="O537">
        <f>I537+N537+M537</f>
        <v>0</v>
      </c>
      <c r="P537">
        <f>O537*C$3</f>
        <v>0</v>
      </c>
      <c r="Q537" t="str">
        <f>ROUNDUP(HLOOKUP(IF(CEILING(L537,0.5)&lt;1,1,CEILING(L537,0.5)),'배송비 조회'!A$32:AY$36,2,0),-2)</f>
        <v>#REF!</v>
      </c>
      <c r="R537">
        <v>0</v>
      </c>
      <c r="S537" t="str">
        <f>ROUND((P537+Q537)*0.6,-2)</f>
        <v>#REF!</v>
      </c>
      <c r="T537" t="str">
        <f>ROUND((P537+Q537)*0.7,-2)</f>
        <v>#REF!</v>
      </c>
      <c r="U537" t="str">
        <f>ROUND(SUM(P537+Q537+R537+S537), -2)</f>
        <v>#REF!</v>
      </c>
      <c r="V537" t="str">
        <f>ROUND(P537+Q537+R537+T537, -2)</f>
        <v>#REF!</v>
      </c>
      <c r="W537">
        <v>0</v>
      </c>
      <c r="X537" t="str">
        <f>U537*0.038</f>
        <v>#REF!</v>
      </c>
      <c r="Y537" t="str">
        <f>U537*0.02</f>
        <v>#REF!</v>
      </c>
      <c r="Z537" t="str">
        <f>V537*0.1</f>
        <v>#REF!</v>
      </c>
      <c r="AA537" t="str">
        <f>U537-X537-Y537</f>
        <v>#REF!</v>
      </c>
      <c r="AB537" t="str">
        <f>V537-Z537</f>
        <v>#REF!</v>
      </c>
      <c r="AC537" t="str">
        <f>AA537*0.01</f>
        <v>#REF!</v>
      </c>
      <c r="AD537" t="str">
        <f>AA537-P537-AC537-Q537</f>
        <v>#REF!</v>
      </c>
      <c r="AE537" t="str">
        <f>AB537-P537-Q537-AC537</f>
        <v>#REF!</v>
      </c>
      <c r="AF537" t="str">
        <f>AD537/U537</f>
        <v>#REF!</v>
      </c>
      <c r="AG537" t="str">
        <f>AE537/V537</f>
        <v>#REF!</v>
      </c>
    </row>
    <row r="538">
      <c r="G538" t="str">
        <v>A</v>
      </c>
      <c r="J538" t="str">
        <f>IF(K538&gt;0,K538*0.0625,IF(L538&gt;0,L538*2.204623,))</f>
        <v>#REF!</v>
      </c>
      <c r="K538" t="str">
        <f>IF(L538&gt;0,L538*35.273962,IF(J538&gt;0,J538*16,))</f>
        <v>#REF!</v>
      </c>
      <c r="L538" t="str">
        <f>IF(J538&gt;0,J538*0.453592,IF(K538&gt;0,K538*0.02835,))</f>
        <v>#REF!</v>
      </c>
      <c r="O538">
        <f>I538+N538+M538</f>
        <v>0</v>
      </c>
      <c r="P538">
        <f>O538*C$3</f>
        <v>0</v>
      </c>
      <c r="Q538" t="str">
        <f>ROUNDUP(HLOOKUP(IF(CEILING(L538,0.5)&lt;1,1,CEILING(L538,0.5)),'배송비 조회'!A$32:AY$36,2,0),-2)</f>
        <v>#REF!</v>
      </c>
      <c r="R538">
        <v>0</v>
      </c>
      <c r="S538" t="str">
        <f>ROUND((P538+Q538)*0.6,-2)</f>
        <v>#REF!</v>
      </c>
      <c r="T538" t="str">
        <f>ROUND((P538+Q538)*0.7,-2)</f>
        <v>#REF!</v>
      </c>
      <c r="U538" t="str">
        <f>ROUND(SUM(P538+Q538+R538+S538), -2)</f>
        <v>#REF!</v>
      </c>
      <c r="V538" t="str">
        <f>ROUND(P538+Q538+R538+T538, -2)</f>
        <v>#REF!</v>
      </c>
      <c r="W538">
        <v>0</v>
      </c>
      <c r="X538" t="str">
        <f>U538*0.038</f>
        <v>#REF!</v>
      </c>
      <c r="Y538" t="str">
        <f>U538*0.02</f>
        <v>#REF!</v>
      </c>
      <c r="Z538" t="str">
        <f>V538*0.1</f>
        <v>#REF!</v>
      </c>
      <c r="AA538" t="str">
        <f>U538-X538-Y538</f>
        <v>#REF!</v>
      </c>
      <c r="AB538" t="str">
        <f>V538-Z538</f>
        <v>#REF!</v>
      </c>
      <c r="AC538" t="str">
        <f>AA538*0.01</f>
        <v>#REF!</v>
      </c>
      <c r="AD538" t="str">
        <f>AA538-P538-AC538-Q538</f>
        <v>#REF!</v>
      </c>
      <c r="AE538" t="str">
        <f>AB538-P538-Q538-AC538</f>
        <v>#REF!</v>
      </c>
      <c r="AF538" t="str">
        <f>AD538/U538</f>
        <v>#REF!</v>
      </c>
      <c r="AG538" t="str">
        <f>AE538/V538</f>
        <v>#REF!</v>
      </c>
    </row>
    <row r="539">
      <c r="G539" t="str">
        <v>A</v>
      </c>
      <c r="J539" t="str">
        <f>IF(K539&gt;0,K539*0.0625,IF(L539&gt;0,L539*2.204623,))</f>
        <v>#REF!</v>
      </c>
      <c r="K539" t="str">
        <f>IF(L539&gt;0,L539*35.273962,IF(J539&gt;0,J539*16,))</f>
        <v>#REF!</v>
      </c>
      <c r="L539" t="str">
        <f>IF(J539&gt;0,J539*0.453592,IF(K539&gt;0,K539*0.02835,))</f>
        <v>#REF!</v>
      </c>
      <c r="O539">
        <f>I539+N539+M539</f>
        <v>0</v>
      </c>
      <c r="P539">
        <f>O539*C$3</f>
        <v>0</v>
      </c>
      <c r="Q539" t="str">
        <f>ROUNDUP(HLOOKUP(IF(CEILING(L539,0.5)&lt;1,1,CEILING(L539,0.5)),'배송비 조회'!A$32:AY$36,2,0),-2)</f>
        <v>#REF!</v>
      </c>
      <c r="R539">
        <v>0</v>
      </c>
      <c r="S539" t="str">
        <f>ROUND((P539+Q539)*0.6,-2)</f>
        <v>#REF!</v>
      </c>
      <c r="T539" t="str">
        <f>ROUND((P539+Q539)*0.7,-2)</f>
        <v>#REF!</v>
      </c>
      <c r="U539" t="str">
        <f>ROUND(SUM(P539+Q539+R539+S539), -2)</f>
        <v>#REF!</v>
      </c>
      <c r="V539" t="str">
        <f>ROUND(P539+Q539+R539+T539, -2)</f>
        <v>#REF!</v>
      </c>
      <c r="W539">
        <v>0</v>
      </c>
      <c r="X539" t="str">
        <f>U539*0.038</f>
        <v>#REF!</v>
      </c>
      <c r="Y539" t="str">
        <f>U539*0.02</f>
        <v>#REF!</v>
      </c>
      <c r="Z539" t="str">
        <f>V539*0.1</f>
        <v>#REF!</v>
      </c>
      <c r="AA539" t="str">
        <f>U539-X539-Y539</f>
        <v>#REF!</v>
      </c>
      <c r="AB539" t="str">
        <f>V539-Z539</f>
        <v>#REF!</v>
      </c>
      <c r="AC539" t="str">
        <f>AA539*0.01</f>
        <v>#REF!</v>
      </c>
      <c r="AD539" t="str">
        <f>AA539-P539-AC539-Q539</f>
        <v>#REF!</v>
      </c>
      <c r="AE539" t="str">
        <f>AB539-P539-Q539-AC539</f>
        <v>#REF!</v>
      </c>
      <c r="AF539" t="str">
        <f>AD539/U539</f>
        <v>#REF!</v>
      </c>
      <c r="AG539" t="str">
        <f>AE539/V539</f>
        <v>#REF!</v>
      </c>
    </row>
    <row r="540">
      <c r="G540" t="str">
        <v>A</v>
      </c>
      <c r="J540" t="str">
        <f>IF(K540&gt;0,K540*0.0625,IF(L540&gt;0,L540*2.204623,))</f>
        <v>#REF!</v>
      </c>
      <c r="K540" t="str">
        <f>IF(L540&gt;0,L540*35.273962,IF(J540&gt;0,J540*16,))</f>
        <v>#REF!</v>
      </c>
      <c r="L540" t="str">
        <f>IF(J540&gt;0,J540*0.453592,IF(K540&gt;0,K540*0.02835,))</f>
        <v>#REF!</v>
      </c>
      <c r="O540">
        <f>I540+N540+M540</f>
        <v>0</v>
      </c>
      <c r="P540">
        <f>O540*C$3</f>
        <v>0</v>
      </c>
      <c r="Q540" t="str">
        <f>ROUNDUP(HLOOKUP(IF(CEILING(L540,0.5)&lt;1,1,CEILING(L540,0.5)),'배송비 조회'!A$32:AY$36,2,0),-2)</f>
        <v>#REF!</v>
      </c>
      <c r="R540">
        <v>0</v>
      </c>
      <c r="S540" t="str">
        <f>ROUND((P540+Q540)*0.6,-2)</f>
        <v>#REF!</v>
      </c>
      <c r="T540" t="str">
        <f>ROUND((P540+Q540)*0.7,-2)</f>
        <v>#REF!</v>
      </c>
      <c r="U540" t="str">
        <f>ROUND(SUM(P540+Q540+R540+S540), -2)</f>
        <v>#REF!</v>
      </c>
      <c r="V540" t="str">
        <f>ROUND(P540+Q540+R540+T540, -2)</f>
        <v>#REF!</v>
      </c>
      <c r="W540">
        <v>0</v>
      </c>
      <c r="X540" t="str">
        <f>U540*0.038</f>
        <v>#REF!</v>
      </c>
      <c r="Y540" t="str">
        <f>U540*0.02</f>
        <v>#REF!</v>
      </c>
      <c r="Z540" t="str">
        <f>V540*0.1</f>
        <v>#REF!</v>
      </c>
      <c r="AA540" t="str">
        <f>U540-X540-Y540</f>
        <v>#REF!</v>
      </c>
      <c r="AB540" t="str">
        <f>V540-Z540</f>
        <v>#REF!</v>
      </c>
      <c r="AC540" t="str">
        <f>AA540*0.01</f>
        <v>#REF!</v>
      </c>
      <c r="AD540" t="str">
        <f>AA540-P540-AC540-Q540</f>
        <v>#REF!</v>
      </c>
      <c r="AE540" t="str">
        <f>AB540-P540-Q540-AC540</f>
        <v>#REF!</v>
      </c>
      <c r="AF540" t="str">
        <f>AD540/U540</f>
        <v>#REF!</v>
      </c>
      <c r="AG540" t="str">
        <f>AE540/V540</f>
        <v>#REF!</v>
      </c>
    </row>
    <row r="541">
      <c r="G541" t="str">
        <v>A</v>
      </c>
      <c r="J541" t="str">
        <f>IF(K541&gt;0,K541*0.0625,IF(L541&gt;0,L541*2.204623,))</f>
        <v>#REF!</v>
      </c>
      <c r="K541" t="str">
        <f>IF(L541&gt;0,L541*35.273962,IF(J541&gt;0,J541*16,))</f>
        <v>#REF!</v>
      </c>
      <c r="L541" t="str">
        <f>IF(J541&gt;0,J541*0.453592,IF(K541&gt;0,K541*0.02835,))</f>
        <v>#REF!</v>
      </c>
      <c r="O541">
        <f>I541+N541+M541</f>
        <v>0</v>
      </c>
      <c r="P541">
        <f>O541*C$3</f>
        <v>0</v>
      </c>
      <c r="Q541" t="str">
        <f>ROUNDUP(HLOOKUP(IF(CEILING(L541,0.5)&lt;1,1,CEILING(L541,0.5)),'배송비 조회'!A$32:AY$36,2,0),-2)</f>
        <v>#REF!</v>
      </c>
      <c r="R541">
        <v>0</v>
      </c>
      <c r="S541" t="str">
        <f>ROUND((P541+Q541)*0.6,-2)</f>
        <v>#REF!</v>
      </c>
      <c r="T541" t="str">
        <f>ROUND((P541+Q541)*0.7,-2)</f>
        <v>#REF!</v>
      </c>
      <c r="U541" t="str">
        <f>ROUND(SUM(P541+Q541+R541+S541), -2)</f>
        <v>#REF!</v>
      </c>
      <c r="V541" t="str">
        <f>ROUND(P541+Q541+R541+T541, -2)</f>
        <v>#REF!</v>
      </c>
      <c r="W541">
        <v>0</v>
      </c>
      <c r="X541" t="str">
        <f>U541*0.038</f>
        <v>#REF!</v>
      </c>
      <c r="Y541" t="str">
        <f>U541*0.02</f>
        <v>#REF!</v>
      </c>
      <c r="Z541" t="str">
        <f>V541*0.1</f>
        <v>#REF!</v>
      </c>
      <c r="AA541" t="str">
        <f>U541-X541-Y541</f>
        <v>#REF!</v>
      </c>
      <c r="AB541" t="str">
        <f>V541-Z541</f>
        <v>#REF!</v>
      </c>
      <c r="AC541" t="str">
        <f>AA541*0.01</f>
        <v>#REF!</v>
      </c>
      <c r="AD541" t="str">
        <f>AA541-P541-AC541-Q541</f>
        <v>#REF!</v>
      </c>
      <c r="AE541" t="str">
        <f>AB541-P541-Q541-AC541</f>
        <v>#REF!</v>
      </c>
      <c r="AF541" t="str">
        <f>AD541/U541</f>
        <v>#REF!</v>
      </c>
      <c r="AG541" t="str">
        <f>AE541/V541</f>
        <v>#REF!</v>
      </c>
    </row>
    <row r="542">
      <c r="G542" t="str">
        <v>A</v>
      </c>
      <c r="J542" t="str">
        <f>IF(K542&gt;0,K542*0.0625,IF(L542&gt;0,L542*2.204623,))</f>
        <v>#REF!</v>
      </c>
      <c r="K542" t="str">
        <f>IF(L542&gt;0,L542*35.273962,IF(J542&gt;0,J542*16,))</f>
        <v>#REF!</v>
      </c>
      <c r="L542" t="str">
        <f>IF(J542&gt;0,J542*0.453592,IF(K542&gt;0,K542*0.02835,))</f>
        <v>#REF!</v>
      </c>
      <c r="O542">
        <f>I542+N542+M542</f>
        <v>0</v>
      </c>
      <c r="P542">
        <f>O542*C$3</f>
        <v>0</v>
      </c>
      <c r="Q542" t="str">
        <f>ROUNDUP(HLOOKUP(IF(CEILING(L542,0.5)&lt;1,1,CEILING(L542,0.5)),'배송비 조회'!A$32:AY$36,2,0),-2)</f>
        <v>#REF!</v>
      </c>
      <c r="R542">
        <v>0</v>
      </c>
      <c r="S542" t="str">
        <f>ROUND((P542+Q542)*0.6,-2)</f>
        <v>#REF!</v>
      </c>
      <c r="T542" t="str">
        <f>ROUND((P542+Q542)*0.7,-2)</f>
        <v>#REF!</v>
      </c>
      <c r="U542" t="str">
        <f>ROUND(SUM(P542+Q542+R542+S542), -2)</f>
        <v>#REF!</v>
      </c>
      <c r="V542" t="str">
        <f>ROUND(P542+Q542+R542+T542, -2)</f>
        <v>#REF!</v>
      </c>
      <c r="W542">
        <v>0</v>
      </c>
      <c r="X542" t="str">
        <f>U542*0.038</f>
        <v>#REF!</v>
      </c>
      <c r="Y542" t="str">
        <f>U542*0.02</f>
        <v>#REF!</v>
      </c>
      <c r="Z542" t="str">
        <f>V542*0.1</f>
        <v>#REF!</v>
      </c>
      <c r="AA542" t="str">
        <f>U542-X542-Y542</f>
        <v>#REF!</v>
      </c>
      <c r="AB542" t="str">
        <f>V542-Z542</f>
        <v>#REF!</v>
      </c>
      <c r="AC542" t="str">
        <f>AA542*0.01</f>
        <v>#REF!</v>
      </c>
      <c r="AD542" t="str">
        <f>AA542-P542-AC542-Q542</f>
        <v>#REF!</v>
      </c>
      <c r="AE542" t="str">
        <f>AB542-P542-Q542-AC542</f>
        <v>#REF!</v>
      </c>
      <c r="AF542" t="str">
        <f>AD542/U542</f>
        <v>#REF!</v>
      </c>
      <c r="AG542" t="str">
        <f>AE542/V542</f>
        <v>#REF!</v>
      </c>
    </row>
    <row r="543">
      <c r="G543" t="str">
        <v>A</v>
      </c>
      <c r="J543" t="str">
        <f>IF(K543&gt;0,K543*0.0625,IF(L543&gt;0,L543*2.204623,))</f>
        <v>#REF!</v>
      </c>
      <c r="K543" t="str">
        <f>IF(L543&gt;0,L543*35.273962,IF(J543&gt;0,J543*16,))</f>
        <v>#REF!</v>
      </c>
      <c r="L543" t="str">
        <f>IF(J543&gt;0,J543*0.453592,IF(K543&gt;0,K543*0.02835,))</f>
        <v>#REF!</v>
      </c>
      <c r="O543">
        <f>I543+N543+M543</f>
        <v>0</v>
      </c>
      <c r="P543">
        <f>O543*C$3</f>
        <v>0</v>
      </c>
      <c r="Q543" t="str">
        <f>ROUNDUP(HLOOKUP(IF(CEILING(L543,0.5)&lt;1,1,CEILING(L543,0.5)),'배송비 조회'!A$32:AY$36,2,0),-2)</f>
        <v>#REF!</v>
      </c>
      <c r="R543">
        <v>0</v>
      </c>
      <c r="S543" t="str">
        <f>ROUND((P543+Q543)*0.6,-2)</f>
        <v>#REF!</v>
      </c>
      <c r="T543" t="str">
        <f>ROUND((P543+Q543)*0.7,-2)</f>
        <v>#REF!</v>
      </c>
      <c r="U543" t="str">
        <f>ROUND(SUM(P543+Q543+R543+S543), -2)</f>
        <v>#REF!</v>
      </c>
      <c r="V543" t="str">
        <f>ROUND(P543+Q543+R543+T543, -2)</f>
        <v>#REF!</v>
      </c>
      <c r="W543">
        <v>0</v>
      </c>
      <c r="X543" t="str">
        <f>U543*0.038</f>
        <v>#REF!</v>
      </c>
      <c r="Y543" t="str">
        <f>U543*0.02</f>
        <v>#REF!</v>
      </c>
      <c r="Z543" t="str">
        <f>V543*0.1</f>
        <v>#REF!</v>
      </c>
      <c r="AA543" t="str">
        <f>U543-X543-Y543</f>
        <v>#REF!</v>
      </c>
      <c r="AB543" t="str">
        <f>V543-Z543</f>
        <v>#REF!</v>
      </c>
      <c r="AC543" t="str">
        <f>AA543*0.01</f>
        <v>#REF!</v>
      </c>
      <c r="AD543" t="str">
        <f>AA543-P543-AC543-Q543</f>
        <v>#REF!</v>
      </c>
      <c r="AE543" t="str">
        <f>AB543-P543-Q543-AC543</f>
        <v>#REF!</v>
      </c>
      <c r="AF543" t="str">
        <f>AD543/U543</f>
        <v>#REF!</v>
      </c>
      <c r="AG543" t="str">
        <f>AE543/V543</f>
        <v>#REF!</v>
      </c>
    </row>
    <row r="544">
      <c r="G544" t="str">
        <v>A</v>
      </c>
      <c r="J544" t="str">
        <f>IF(K544&gt;0,K544*0.0625,IF(L544&gt;0,L544*2.204623,))</f>
        <v>#REF!</v>
      </c>
      <c r="K544" t="str">
        <f>IF(L544&gt;0,L544*35.273962,IF(J544&gt;0,J544*16,))</f>
        <v>#REF!</v>
      </c>
      <c r="L544" t="str">
        <f>IF(J544&gt;0,J544*0.453592,IF(K544&gt;0,K544*0.02835,))</f>
        <v>#REF!</v>
      </c>
      <c r="O544">
        <f>I544+N544+M544</f>
        <v>0</v>
      </c>
      <c r="P544">
        <f>O544*C$3</f>
        <v>0</v>
      </c>
      <c r="Q544" t="str">
        <f>ROUNDUP(HLOOKUP(IF(CEILING(L544,0.5)&lt;1,1,CEILING(L544,0.5)),'배송비 조회'!A$32:AY$36,2,0),-2)</f>
        <v>#REF!</v>
      </c>
      <c r="R544">
        <v>0</v>
      </c>
      <c r="S544" t="str">
        <f>ROUND((P544+Q544)*0.6,-2)</f>
        <v>#REF!</v>
      </c>
      <c r="T544" t="str">
        <f>ROUND((P544+Q544)*0.7,-2)</f>
        <v>#REF!</v>
      </c>
      <c r="U544" t="str">
        <f>ROUND(SUM(P544+Q544+R544+S544), -2)</f>
        <v>#REF!</v>
      </c>
      <c r="V544" t="str">
        <f>ROUND(P544+Q544+R544+T544, -2)</f>
        <v>#REF!</v>
      </c>
      <c r="W544">
        <v>0</v>
      </c>
      <c r="X544" t="str">
        <f>U544*0.038</f>
        <v>#REF!</v>
      </c>
      <c r="Y544" t="str">
        <f>U544*0.02</f>
        <v>#REF!</v>
      </c>
      <c r="Z544" t="str">
        <f>V544*0.1</f>
        <v>#REF!</v>
      </c>
      <c r="AA544" t="str">
        <f>U544-X544-Y544</f>
        <v>#REF!</v>
      </c>
      <c r="AB544" t="str">
        <f>V544-Z544</f>
        <v>#REF!</v>
      </c>
      <c r="AC544" t="str">
        <f>AA544*0.01</f>
        <v>#REF!</v>
      </c>
      <c r="AD544" t="str">
        <f>AA544-P544-AC544-Q544</f>
        <v>#REF!</v>
      </c>
      <c r="AE544" t="str">
        <f>AB544-P544-Q544-AC544</f>
        <v>#REF!</v>
      </c>
      <c r="AF544" t="str">
        <f>AD544/U544</f>
        <v>#REF!</v>
      </c>
      <c r="AG544" t="str">
        <f>AE544/V544</f>
        <v>#REF!</v>
      </c>
    </row>
    <row r="545">
      <c r="G545" t="str">
        <v>A</v>
      </c>
      <c r="J545" t="str">
        <f>IF(K545&gt;0,K545*0.0625,IF(L545&gt;0,L545*2.204623,))</f>
        <v>#REF!</v>
      </c>
      <c r="K545" t="str">
        <f>IF(L545&gt;0,L545*35.273962,IF(J545&gt;0,J545*16,))</f>
        <v>#REF!</v>
      </c>
      <c r="L545" t="str">
        <f>IF(J545&gt;0,J545*0.453592,IF(K545&gt;0,K545*0.02835,))</f>
        <v>#REF!</v>
      </c>
      <c r="O545">
        <f>I545+N545+M545</f>
        <v>0</v>
      </c>
      <c r="P545">
        <f>O545*C$3</f>
        <v>0</v>
      </c>
      <c r="Q545" t="str">
        <f>ROUNDUP(HLOOKUP(IF(CEILING(L545,0.5)&lt;1,1,CEILING(L545,0.5)),'배송비 조회'!A$32:AY$36,2,0),-2)</f>
        <v>#REF!</v>
      </c>
      <c r="R545">
        <v>0</v>
      </c>
      <c r="S545" t="str">
        <f>ROUND((P545+Q545)*0.6,-2)</f>
        <v>#REF!</v>
      </c>
      <c r="T545" t="str">
        <f>ROUND((P545+Q545)*0.7,-2)</f>
        <v>#REF!</v>
      </c>
      <c r="U545" t="str">
        <f>ROUND(SUM(P545+Q545+R545+S545), -2)</f>
        <v>#REF!</v>
      </c>
      <c r="V545" t="str">
        <f>ROUND(P545+Q545+R545+T545, -2)</f>
        <v>#REF!</v>
      </c>
      <c r="W545">
        <v>0</v>
      </c>
      <c r="X545" t="str">
        <f>U545*0.038</f>
        <v>#REF!</v>
      </c>
      <c r="Y545" t="str">
        <f>U545*0.02</f>
        <v>#REF!</v>
      </c>
      <c r="Z545" t="str">
        <f>V545*0.1</f>
        <v>#REF!</v>
      </c>
      <c r="AA545" t="str">
        <f>U545-X545-Y545</f>
        <v>#REF!</v>
      </c>
      <c r="AB545" t="str">
        <f>V545-Z545</f>
        <v>#REF!</v>
      </c>
      <c r="AC545" t="str">
        <f>AA545*0.01</f>
        <v>#REF!</v>
      </c>
      <c r="AD545" t="str">
        <f>AA545-P545-AC545-Q545</f>
        <v>#REF!</v>
      </c>
      <c r="AE545" t="str">
        <f>AB545-P545-Q545-AC545</f>
        <v>#REF!</v>
      </c>
      <c r="AF545" t="str">
        <f>AD545/U545</f>
        <v>#REF!</v>
      </c>
      <c r="AG545" t="str">
        <f>AE545/V545</f>
        <v>#REF!</v>
      </c>
    </row>
    <row r="546">
      <c r="G546" t="str">
        <v>A</v>
      </c>
      <c r="J546" t="str">
        <f>IF(K546&gt;0,K546*0.0625,IF(L546&gt;0,L546*2.204623,))</f>
        <v>#REF!</v>
      </c>
      <c r="K546" t="str">
        <f>IF(L546&gt;0,L546*35.273962,IF(J546&gt;0,J546*16,))</f>
        <v>#REF!</v>
      </c>
      <c r="L546" t="str">
        <f>IF(J546&gt;0,J546*0.453592,IF(K546&gt;0,K546*0.02835,))</f>
        <v>#REF!</v>
      </c>
      <c r="O546">
        <f>I546+N546+M546</f>
        <v>0</v>
      </c>
      <c r="P546">
        <f>O546*C$3</f>
        <v>0</v>
      </c>
      <c r="Q546" t="str">
        <f>ROUNDUP(HLOOKUP(IF(CEILING(L546,0.5)&lt;1,1,CEILING(L546,0.5)),'배송비 조회'!A$32:AY$36,2,0),-2)</f>
        <v>#REF!</v>
      </c>
      <c r="R546">
        <v>0</v>
      </c>
      <c r="S546" t="str">
        <f>ROUND((P546+Q546)*0.6,-2)</f>
        <v>#REF!</v>
      </c>
      <c r="T546" t="str">
        <f>ROUND((P546+Q546)*0.7,-2)</f>
        <v>#REF!</v>
      </c>
      <c r="U546" t="str">
        <f>ROUND(SUM(P546+Q546+R546+S546), -2)</f>
        <v>#REF!</v>
      </c>
      <c r="V546" t="str">
        <f>ROUND(P546+Q546+R546+T546, -2)</f>
        <v>#REF!</v>
      </c>
      <c r="W546">
        <v>0</v>
      </c>
      <c r="X546" t="str">
        <f>U546*0.038</f>
        <v>#REF!</v>
      </c>
      <c r="Y546" t="str">
        <f>U546*0.02</f>
        <v>#REF!</v>
      </c>
      <c r="Z546" t="str">
        <f>V546*0.1</f>
        <v>#REF!</v>
      </c>
      <c r="AA546" t="str">
        <f>U546-X546-Y546</f>
        <v>#REF!</v>
      </c>
      <c r="AB546" t="str">
        <f>V546-Z546</f>
        <v>#REF!</v>
      </c>
      <c r="AC546" t="str">
        <f>AA546*0.01</f>
        <v>#REF!</v>
      </c>
      <c r="AD546" t="str">
        <f>AA546-P546-AC546-Q546</f>
        <v>#REF!</v>
      </c>
      <c r="AE546" t="str">
        <f>AB546-P546-Q546-AC546</f>
        <v>#REF!</v>
      </c>
      <c r="AF546" t="str">
        <f>AD546/U546</f>
        <v>#REF!</v>
      </c>
      <c r="AG546" t="str">
        <f>AE546/V546</f>
        <v>#REF!</v>
      </c>
    </row>
    <row r="547">
      <c r="G547" t="str">
        <v>A</v>
      </c>
      <c r="J547" t="str">
        <f>IF(K547&gt;0,K547*0.0625,IF(L547&gt;0,L547*2.204623,))</f>
        <v>#REF!</v>
      </c>
      <c r="K547" t="str">
        <f>IF(L547&gt;0,L547*35.273962,IF(J547&gt;0,J547*16,))</f>
        <v>#REF!</v>
      </c>
      <c r="L547" t="str">
        <f>IF(J547&gt;0,J547*0.453592,IF(K547&gt;0,K547*0.02835,))</f>
        <v>#REF!</v>
      </c>
      <c r="O547">
        <f>I547+N547+M547</f>
        <v>0</v>
      </c>
      <c r="P547">
        <f>O547*C$3</f>
        <v>0</v>
      </c>
      <c r="Q547" t="str">
        <f>ROUNDUP(HLOOKUP(IF(CEILING(L547,0.5)&lt;1,1,CEILING(L547,0.5)),'배송비 조회'!A$32:AY$36,2,0),-2)</f>
        <v>#REF!</v>
      </c>
      <c r="R547">
        <v>0</v>
      </c>
      <c r="S547" t="str">
        <f>ROUND((P547+Q547)*0.6,-2)</f>
        <v>#REF!</v>
      </c>
      <c r="T547" t="str">
        <f>ROUND((P547+Q547)*0.7,-2)</f>
        <v>#REF!</v>
      </c>
      <c r="U547" t="str">
        <f>ROUND(SUM(P547+Q547+R547+S547), -2)</f>
        <v>#REF!</v>
      </c>
      <c r="V547" t="str">
        <f>ROUND(P547+Q547+R547+T547, -2)</f>
        <v>#REF!</v>
      </c>
      <c r="W547">
        <v>0</v>
      </c>
      <c r="X547" t="str">
        <f>U547*0.038</f>
        <v>#REF!</v>
      </c>
      <c r="Y547" t="str">
        <f>U547*0.02</f>
        <v>#REF!</v>
      </c>
      <c r="Z547" t="str">
        <f>V547*0.1</f>
        <v>#REF!</v>
      </c>
      <c r="AA547" t="str">
        <f>U547-X547-Y547</f>
        <v>#REF!</v>
      </c>
      <c r="AB547" t="str">
        <f>V547-Z547</f>
        <v>#REF!</v>
      </c>
      <c r="AC547" t="str">
        <f>AA547*0.01</f>
        <v>#REF!</v>
      </c>
      <c r="AD547" t="str">
        <f>AA547-P547-AC547-Q547</f>
        <v>#REF!</v>
      </c>
      <c r="AE547" t="str">
        <f>AB547-P547-Q547-AC547</f>
        <v>#REF!</v>
      </c>
      <c r="AF547" t="str">
        <f>AD547/U547</f>
        <v>#REF!</v>
      </c>
      <c r="AG547" t="str">
        <f>AE547/V547</f>
        <v>#REF!</v>
      </c>
    </row>
    <row r="548">
      <c r="G548" t="str">
        <v>A</v>
      </c>
      <c r="J548" t="str">
        <f>IF(K548&gt;0,K548*0.0625,IF(L548&gt;0,L548*2.204623,))</f>
        <v>#REF!</v>
      </c>
      <c r="K548" t="str">
        <f>IF(L548&gt;0,L548*35.273962,IF(J548&gt;0,J548*16,))</f>
        <v>#REF!</v>
      </c>
      <c r="L548" t="str">
        <f>IF(J548&gt;0,J548*0.453592,IF(K548&gt;0,K548*0.02835,))</f>
        <v>#REF!</v>
      </c>
      <c r="O548">
        <f>I548+N548+M548</f>
        <v>0</v>
      </c>
      <c r="P548">
        <f>O548*C$3</f>
        <v>0</v>
      </c>
      <c r="Q548" t="str">
        <f>ROUNDUP(HLOOKUP(IF(CEILING(L548,0.5)&lt;1,1,CEILING(L548,0.5)),'배송비 조회'!A$32:AY$36,2,0),-2)</f>
        <v>#REF!</v>
      </c>
      <c r="R548">
        <v>0</v>
      </c>
      <c r="S548" t="str">
        <f>ROUND((P548+Q548)*0.6,-2)</f>
        <v>#REF!</v>
      </c>
      <c r="T548" t="str">
        <f>ROUND((P548+Q548)*0.7,-2)</f>
        <v>#REF!</v>
      </c>
      <c r="U548" t="str">
        <f>ROUND(SUM(P548+Q548+R548+S548), -2)</f>
        <v>#REF!</v>
      </c>
      <c r="V548" t="str">
        <f>ROUND(P548+Q548+R548+T548, -2)</f>
        <v>#REF!</v>
      </c>
      <c r="W548">
        <v>0</v>
      </c>
      <c r="X548" t="str">
        <f>U548*0.038</f>
        <v>#REF!</v>
      </c>
      <c r="Y548" t="str">
        <f>U548*0.02</f>
        <v>#REF!</v>
      </c>
      <c r="Z548" t="str">
        <f>V548*0.1</f>
        <v>#REF!</v>
      </c>
      <c r="AA548" t="str">
        <f>U548-X548-Y548</f>
        <v>#REF!</v>
      </c>
      <c r="AB548" t="str">
        <f>V548-Z548</f>
        <v>#REF!</v>
      </c>
      <c r="AC548" t="str">
        <f>AA548*0.01</f>
        <v>#REF!</v>
      </c>
      <c r="AD548" t="str">
        <f>AA548-P548-AC548-Q548</f>
        <v>#REF!</v>
      </c>
      <c r="AE548" t="str">
        <f>AB548-P548-Q548-AC548</f>
        <v>#REF!</v>
      </c>
      <c r="AF548" t="str">
        <f>AD548/U548</f>
        <v>#REF!</v>
      </c>
      <c r="AG548" t="str">
        <f>AE548/V548</f>
        <v>#REF!</v>
      </c>
    </row>
    <row r="549">
      <c r="G549" t="str">
        <v>A</v>
      </c>
      <c r="J549" t="str">
        <f>IF(K549&gt;0,K549*0.0625,IF(L549&gt;0,L549*2.204623,))</f>
        <v>#REF!</v>
      </c>
      <c r="K549" t="str">
        <f>IF(L549&gt;0,L549*35.273962,IF(J549&gt;0,J549*16,))</f>
        <v>#REF!</v>
      </c>
      <c r="L549" t="str">
        <f>IF(J549&gt;0,J549*0.453592,IF(K549&gt;0,K549*0.02835,))</f>
        <v>#REF!</v>
      </c>
      <c r="O549">
        <f>I549+N549+M549</f>
        <v>0</v>
      </c>
      <c r="P549">
        <f>O549*C$3</f>
        <v>0</v>
      </c>
      <c r="Q549" t="str">
        <f>ROUNDUP(HLOOKUP(IF(CEILING(L549,0.5)&lt;1,1,CEILING(L549,0.5)),'배송비 조회'!A$32:AY$36,2,0),-2)</f>
        <v>#REF!</v>
      </c>
      <c r="R549">
        <v>0</v>
      </c>
      <c r="S549" t="str">
        <f>ROUND((P549+Q549)*0.6,-2)</f>
        <v>#REF!</v>
      </c>
      <c r="T549" t="str">
        <f>ROUND((P549+Q549)*0.7,-2)</f>
        <v>#REF!</v>
      </c>
      <c r="U549" t="str">
        <f>ROUND(SUM(P549+Q549+R549+S549), -2)</f>
        <v>#REF!</v>
      </c>
      <c r="V549" t="str">
        <f>ROUND(P549+Q549+R549+T549, -2)</f>
        <v>#REF!</v>
      </c>
      <c r="W549">
        <v>0</v>
      </c>
      <c r="X549" t="str">
        <f>U549*0.038</f>
        <v>#REF!</v>
      </c>
      <c r="Y549" t="str">
        <f>U549*0.02</f>
        <v>#REF!</v>
      </c>
      <c r="Z549" t="str">
        <f>V549*0.1</f>
        <v>#REF!</v>
      </c>
      <c r="AA549" t="str">
        <f>U549-X549-Y549</f>
        <v>#REF!</v>
      </c>
      <c r="AB549" t="str">
        <f>V549-Z549</f>
        <v>#REF!</v>
      </c>
      <c r="AC549" t="str">
        <f>AA549*0.01</f>
        <v>#REF!</v>
      </c>
      <c r="AD549" t="str">
        <f>AA549-P549-AC549-Q549</f>
        <v>#REF!</v>
      </c>
      <c r="AE549" t="str">
        <f>AB549-P549-Q549-AC549</f>
        <v>#REF!</v>
      </c>
      <c r="AF549" t="str">
        <f>AD549/U549</f>
        <v>#REF!</v>
      </c>
      <c r="AG549" t="str">
        <f>AE549/V549</f>
        <v>#REF!</v>
      </c>
    </row>
    <row r="550">
      <c r="G550" t="str">
        <v>A</v>
      </c>
      <c r="J550" t="str">
        <f>IF(K550&gt;0,K550*0.0625,IF(L550&gt;0,L550*2.204623,))</f>
        <v>#REF!</v>
      </c>
      <c r="K550" t="str">
        <f>IF(L550&gt;0,L550*35.273962,IF(J550&gt;0,J550*16,))</f>
        <v>#REF!</v>
      </c>
      <c r="L550" t="str">
        <f>IF(J550&gt;0,J550*0.453592,IF(K550&gt;0,K550*0.02835,))</f>
        <v>#REF!</v>
      </c>
      <c r="O550">
        <f>I550+N550+M550</f>
        <v>0</v>
      </c>
      <c r="P550">
        <f>O550*C$3</f>
        <v>0</v>
      </c>
      <c r="Q550" t="str">
        <f>ROUNDUP(HLOOKUP(IF(CEILING(L550,0.5)&lt;1,1,CEILING(L550,0.5)),'배송비 조회'!A$32:AY$36,2,0),-2)</f>
        <v>#REF!</v>
      </c>
      <c r="R550">
        <v>0</v>
      </c>
      <c r="S550" t="str">
        <f>ROUND((P550+Q550)*0.6,-2)</f>
        <v>#REF!</v>
      </c>
      <c r="T550" t="str">
        <f>ROUND((P550+Q550)*0.7,-2)</f>
        <v>#REF!</v>
      </c>
      <c r="U550" t="str">
        <f>ROUND(SUM(P550+Q550+R550+S550), -2)</f>
        <v>#REF!</v>
      </c>
      <c r="V550" t="str">
        <f>ROUND(P550+Q550+R550+T550, -2)</f>
        <v>#REF!</v>
      </c>
      <c r="W550">
        <v>0</v>
      </c>
      <c r="X550" t="str">
        <f>U550*0.038</f>
        <v>#REF!</v>
      </c>
      <c r="Y550" t="str">
        <f>U550*0.02</f>
        <v>#REF!</v>
      </c>
      <c r="Z550" t="str">
        <f>V550*0.1</f>
        <v>#REF!</v>
      </c>
      <c r="AA550" t="str">
        <f>U550-X550-Y550</f>
        <v>#REF!</v>
      </c>
      <c r="AB550" t="str">
        <f>V550-Z550</f>
        <v>#REF!</v>
      </c>
      <c r="AC550" t="str">
        <f>AA550*0.01</f>
        <v>#REF!</v>
      </c>
      <c r="AD550" t="str">
        <f>AA550-P550-AC550-Q550</f>
        <v>#REF!</v>
      </c>
      <c r="AE550" t="str">
        <f>AB550-P550-Q550-AC550</f>
        <v>#REF!</v>
      </c>
      <c r="AF550" t="str">
        <f>AD550/U550</f>
        <v>#REF!</v>
      </c>
      <c r="AG550" t="str">
        <f>AE550/V550</f>
        <v>#REF!</v>
      </c>
    </row>
    <row r="551">
      <c r="G551" t="str">
        <v>A</v>
      </c>
      <c r="J551" t="str">
        <f>IF(K551&gt;0,K551*0.0625,IF(L551&gt;0,L551*2.204623,))</f>
        <v>#REF!</v>
      </c>
      <c r="K551" t="str">
        <f>IF(L551&gt;0,L551*35.273962,IF(J551&gt;0,J551*16,))</f>
        <v>#REF!</v>
      </c>
      <c r="L551" t="str">
        <f>IF(J551&gt;0,J551*0.453592,IF(K551&gt;0,K551*0.02835,))</f>
        <v>#REF!</v>
      </c>
      <c r="O551">
        <f>I551+N551+M551</f>
        <v>0</v>
      </c>
      <c r="P551">
        <f>O551*C$3</f>
        <v>0</v>
      </c>
      <c r="Q551" t="str">
        <f>ROUNDUP(HLOOKUP(IF(CEILING(L551,0.5)&lt;1,1,CEILING(L551,0.5)),'배송비 조회'!A$32:AY$36,2,0),-2)</f>
        <v>#REF!</v>
      </c>
      <c r="R551">
        <v>0</v>
      </c>
      <c r="S551" t="str">
        <f>ROUND((P551+Q551)*0.6,-2)</f>
        <v>#REF!</v>
      </c>
      <c r="T551" t="str">
        <f>ROUND((P551+Q551)*0.7,-2)</f>
        <v>#REF!</v>
      </c>
      <c r="U551" t="str">
        <f>ROUND(SUM(P551+Q551+R551+S551), -2)</f>
        <v>#REF!</v>
      </c>
      <c r="V551" t="str">
        <f>ROUND(P551+Q551+R551+T551, -2)</f>
        <v>#REF!</v>
      </c>
      <c r="W551">
        <v>0</v>
      </c>
      <c r="X551" t="str">
        <f>U551*0.038</f>
        <v>#REF!</v>
      </c>
      <c r="Y551" t="str">
        <f>U551*0.02</f>
        <v>#REF!</v>
      </c>
      <c r="Z551" t="str">
        <f>V551*0.1</f>
        <v>#REF!</v>
      </c>
      <c r="AA551" t="str">
        <f>U551-X551-Y551</f>
        <v>#REF!</v>
      </c>
      <c r="AB551" t="str">
        <f>V551-Z551</f>
        <v>#REF!</v>
      </c>
      <c r="AC551" t="str">
        <f>AA551*0.01</f>
        <v>#REF!</v>
      </c>
      <c r="AD551" t="str">
        <f>AA551-P551-AC551-Q551</f>
        <v>#REF!</v>
      </c>
      <c r="AE551" t="str">
        <f>AB551-P551-Q551-AC551</f>
        <v>#REF!</v>
      </c>
      <c r="AF551" t="str">
        <f>AD551/U551</f>
        <v>#REF!</v>
      </c>
      <c r="AG551" t="str">
        <f>AE551/V551</f>
        <v>#REF!</v>
      </c>
    </row>
    <row r="552">
      <c r="G552" t="str">
        <v>A</v>
      </c>
      <c r="J552" t="str">
        <f>IF(K552&gt;0,K552*0.0625,IF(L552&gt;0,L552*2.204623,))</f>
        <v>#REF!</v>
      </c>
      <c r="K552" t="str">
        <f>IF(L552&gt;0,L552*35.273962,IF(J552&gt;0,J552*16,))</f>
        <v>#REF!</v>
      </c>
      <c r="L552" t="str">
        <f>IF(J552&gt;0,J552*0.453592,IF(K552&gt;0,K552*0.02835,))</f>
        <v>#REF!</v>
      </c>
      <c r="O552">
        <f>I552+N552+M552</f>
        <v>0</v>
      </c>
      <c r="P552">
        <f>O552*C$3</f>
        <v>0</v>
      </c>
      <c r="Q552" t="str">
        <f>ROUNDUP(HLOOKUP(IF(CEILING(L552,0.5)&lt;1,1,CEILING(L552,0.5)),'배송비 조회'!A$32:AY$36,2,0),-2)</f>
        <v>#REF!</v>
      </c>
      <c r="R552">
        <v>0</v>
      </c>
      <c r="S552" t="str">
        <f>ROUND((P552+Q552)*0.6,-2)</f>
        <v>#REF!</v>
      </c>
      <c r="T552" t="str">
        <f>ROUND((P552+Q552)*0.7,-2)</f>
        <v>#REF!</v>
      </c>
      <c r="U552" t="str">
        <f>ROUND(SUM(P552+Q552+R552+S552), -2)</f>
        <v>#REF!</v>
      </c>
      <c r="V552" t="str">
        <f>ROUND(P552+Q552+R552+T552, -2)</f>
        <v>#REF!</v>
      </c>
      <c r="W552">
        <v>0</v>
      </c>
      <c r="X552" t="str">
        <f>U552*0.038</f>
        <v>#REF!</v>
      </c>
      <c r="Y552" t="str">
        <f>U552*0.02</f>
        <v>#REF!</v>
      </c>
      <c r="Z552" t="str">
        <f>V552*0.1</f>
        <v>#REF!</v>
      </c>
      <c r="AA552" t="str">
        <f>U552-X552-Y552</f>
        <v>#REF!</v>
      </c>
      <c r="AB552" t="str">
        <f>V552-Z552</f>
        <v>#REF!</v>
      </c>
      <c r="AC552" t="str">
        <f>AA552*0.01</f>
        <v>#REF!</v>
      </c>
      <c r="AD552" t="str">
        <f>AA552-P552-AC552-Q552</f>
        <v>#REF!</v>
      </c>
      <c r="AE552" t="str">
        <f>AB552-P552-Q552-AC552</f>
        <v>#REF!</v>
      </c>
      <c r="AF552" t="str">
        <f>AD552/U552</f>
        <v>#REF!</v>
      </c>
      <c r="AG552" t="str">
        <f>AE552/V552</f>
        <v>#REF!</v>
      </c>
    </row>
    <row r="553">
      <c r="G553" t="str">
        <v>A</v>
      </c>
      <c r="J553" t="str">
        <f>IF(K553&gt;0,K553*0.0625,IF(L553&gt;0,L553*2.204623,))</f>
        <v>#REF!</v>
      </c>
      <c r="K553" t="str">
        <f>IF(L553&gt;0,L553*35.273962,IF(J553&gt;0,J553*16,))</f>
        <v>#REF!</v>
      </c>
      <c r="L553" t="str">
        <f>IF(J553&gt;0,J553*0.453592,IF(K553&gt;0,K553*0.02835,))</f>
        <v>#REF!</v>
      </c>
      <c r="O553">
        <f>I553+N553+M553</f>
        <v>0</v>
      </c>
      <c r="P553">
        <f>O553*C$3</f>
        <v>0</v>
      </c>
      <c r="Q553" t="str">
        <f>ROUNDUP(HLOOKUP(IF(CEILING(L553,0.5)&lt;1,1,CEILING(L553,0.5)),'배송비 조회'!A$32:AY$36,2,0),-2)</f>
        <v>#REF!</v>
      </c>
      <c r="R553">
        <v>0</v>
      </c>
      <c r="S553" t="str">
        <f>ROUND((P553+Q553)*0.6,-2)</f>
        <v>#REF!</v>
      </c>
      <c r="T553" t="str">
        <f>ROUND((P553+Q553)*0.7,-2)</f>
        <v>#REF!</v>
      </c>
      <c r="U553" t="str">
        <f>ROUND(SUM(P553+Q553+R553+S553), -2)</f>
        <v>#REF!</v>
      </c>
      <c r="V553" t="str">
        <f>ROUND(P553+Q553+R553+T553, -2)</f>
        <v>#REF!</v>
      </c>
      <c r="W553">
        <v>0</v>
      </c>
      <c r="X553" t="str">
        <f>U553*0.038</f>
        <v>#REF!</v>
      </c>
      <c r="Y553" t="str">
        <f>U553*0.02</f>
        <v>#REF!</v>
      </c>
      <c r="Z553" t="str">
        <f>V553*0.1</f>
        <v>#REF!</v>
      </c>
      <c r="AA553" t="str">
        <f>U553-X553-Y553</f>
        <v>#REF!</v>
      </c>
      <c r="AB553" t="str">
        <f>V553-Z553</f>
        <v>#REF!</v>
      </c>
      <c r="AC553" t="str">
        <f>AA553*0.01</f>
        <v>#REF!</v>
      </c>
      <c r="AD553" t="str">
        <f>AA553-P553-AC553-Q553</f>
        <v>#REF!</v>
      </c>
      <c r="AE553" t="str">
        <f>AB553-P553-Q553-AC553</f>
        <v>#REF!</v>
      </c>
      <c r="AF553" t="str">
        <f>AD553/U553</f>
        <v>#REF!</v>
      </c>
      <c r="AG553" t="str">
        <f>AE553/V553</f>
        <v>#REF!</v>
      </c>
    </row>
    <row r="554">
      <c r="G554" t="str">
        <v>A</v>
      </c>
      <c r="J554" t="str">
        <f>IF(K554&gt;0,K554*0.0625,IF(L554&gt;0,L554*2.204623,))</f>
        <v>#REF!</v>
      </c>
      <c r="K554" t="str">
        <f>IF(L554&gt;0,L554*35.273962,IF(J554&gt;0,J554*16,))</f>
        <v>#REF!</v>
      </c>
      <c r="L554" t="str">
        <f>IF(J554&gt;0,J554*0.453592,IF(K554&gt;0,K554*0.02835,))</f>
        <v>#REF!</v>
      </c>
      <c r="O554">
        <f>I554+N554+M554</f>
        <v>0</v>
      </c>
      <c r="P554">
        <f>O554*C$3</f>
        <v>0</v>
      </c>
      <c r="Q554" t="str">
        <f>ROUNDUP(HLOOKUP(IF(CEILING(L554,0.5)&lt;1,1,CEILING(L554,0.5)),'배송비 조회'!A$32:AY$36,2,0),-2)</f>
        <v>#REF!</v>
      </c>
      <c r="R554">
        <v>0</v>
      </c>
      <c r="S554" t="str">
        <f>ROUND((P554+Q554)*0.6,-2)</f>
        <v>#REF!</v>
      </c>
      <c r="T554" t="str">
        <f>ROUND((P554+Q554)*0.7,-2)</f>
        <v>#REF!</v>
      </c>
      <c r="U554" t="str">
        <f>ROUND(SUM(P554+Q554+R554+S554), -2)</f>
        <v>#REF!</v>
      </c>
      <c r="V554" t="str">
        <f>ROUND(P554+Q554+R554+T554, -2)</f>
        <v>#REF!</v>
      </c>
      <c r="W554">
        <v>0</v>
      </c>
      <c r="X554" t="str">
        <f>U554*0.038</f>
        <v>#REF!</v>
      </c>
      <c r="Y554" t="str">
        <f>U554*0.02</f>
        <v>#REF!</v>
      </c>
      <c r="Z554" t="str">
        <f>V554*0.1</f>
        <v>#REF!</v>
      </c>
      <c r="AA554" t="str">
        <f>U554-X554-Y554</f>
        <v>#REF!</v>
      </c>
      <c r="AB554" t="str">
        <f>V554-Z554</f>
        <v>#REF!</v>
      </c>
      <c r="AC554" t="str">
        <f>AA554*0.01</f>
        <v>#REF!</v>
      </c>
      <c r="AD554" t="str">
        <f>AA554-P554-AC554-Q554</f>
        <v>#REF!</v>
      </c>
      <c r="AE554" t="str">
        <f>AB554-P554-Q554-AC554</f>
        <v>#REF!</v>
      </c>
      <c r="AF554" t="str">
        <f>AD554/U554</f>
        <v>#REF!</v>
      </c>
      <c r="AG554" t="str">
        <f>AE554/V554</f>
        <v>#REF!</v>
      </c>
    </row>
    <row r="555">
      <c r="G555" t="str">
        <v>A</v>
      </c>
      <c r="J555" t="str">
        <f>IF(K555&gt;0,K555*0.0625,IF(L555&gt;0,L555*2.204623,))</f>
        <v>#REF!</v>
      </c>
      <c r="K555" t="str">
        <f>IF(L555&gt;0,L555*35.273962,IF(J555&gt;0,J555*16,))</f>
        <v>#REF!</v>
      </c>
      <c r="L555" t="str">
        <f>IF(J555&gt;0,J555*0.453592,IF(K555&gt;0,K555*0.02835,))</f>
        <v>#REF!</v>
      </c>
      <c r="O555">
        <f>I555+N555+M555</f>
        <v>0</v>
      </c>
      <c r="P555">
        <f>O555*C$3</f>
        <v>0</v>
      </c>
      <c r="Q555" t="str">
        <f>ROUNDUP(HLOOKUP(IF(CEILING(L555,0.5)&lt;1,1,CEILING(L555,0.5)),'배송비 조회'!A$32:AY$36,2,0),-2)</f>
        <v>#REF!</v>
      </c>
      <c r="R555">
        <v>0</v>
      </c>
      <c r="S555" t="str">
        <f>ROUND((P555+Q555)*0.6,-2)</f>
        <v>#REF!</v>
      </c>
      <c r="T555" t="str">
        <f>ROUND((P555+Q555)*0.7,-2)</f>
        <v>#REF!</v>
      </c>
      <c r="U555" t="str">
        <f>ROUND(SUM(P555+Q555+R555+S555), -2)</f>
        <v>#REF!</v>
      </c>
      <c r="V555" t="str">
        <f>ROUND(P555+Q555+R555+T555, -2)</f>
        <v>#REF!</v>
      </c>
      <c r="W555">
        <v>0</v>
      </c>
      <c r="X555" t="str">
        <f>U555*0.038</f>
        <v>#REF!</v>
      </c>
      <c r="Y555" t="str">
        <f>U555*0.02</f>
        <v>#REF!</v>
      </c>
      <c r="Z555" t="str">
        <f>V555*0.1</f>
        <v>#REF!</v>
      </c>
      <c r="AA555" t="str">
        <f>U555-X555-Y555</f>
        <v>#REF!</v>
      </c>
      <c r="AB555" t="str">
        <f>V555-Z555</f>
        <v>#REF!</v>
      </c>
      <c r="AC555" t="str">
        <f>AA555*0.01</f>
        <v>#REF!</v>
      </c>
      <c r="AD555" t="str">
        <f>AA555-P555-AC555-Q555</f>
        <v>#REF!</v>
      </c>
      <c r="AE555" t="str">
        <f>AB555-P555-Q555-AC555</f>
        <v>#REF!</v>
      </c>
      <c r="AF555" t="str">
        <f>AD555/U555</f>
        <v>#REF!</v>
      </c>
      <c r="AG555" t="str">
        <f>AE555/V555</f>
        <v>#REF!</v>
      </c>
    </row>
    <row r="556">
      <c r="G556" t="str">
        <v>A</v>
      </c>
      <c r="J556" t="str">
        <f>IF(K556&gt;0,K556*0.0625,IF(L556&gt;0,L556*2.204623,))</f>
        <v>#REF!</v>
      </c>
      <c r="K556" t="str">
        <f>IF(L556&gt;0,L556*35.273962,IF(J556&gt;0,J556*16,))</f>
        <v>#REF!</v>
      </c>
      <c r="L556" t="str">
        <f>IF(J556&gt;0,J556*0.453592,IF(K556&gt;0,K556*0.02835,))</f>
        <v>#REF!</v>
      </c>
      <c r="O556">
        <f>I556+N556+M556</f>
        <v>0</v>
      </c>
      <c r="P556">
        <f>O556*C$3</f>
        <v>0</v>
      </c>
      <c r="Q556" t="str">
        <f>ROUNDUP(HLOOKUP(IF(CEILING(L556,0.5)&lt;1,1,CEILING(L556,0.5)),'배송비 조회'!A$32:AY$36,2,0),-2)</f>
        <v>#REF!</v>
      </c>
      <c r="R556">
        <v>0</v>
      </c>
      <c r="S556" t="str">
        <f>ROUND((P556+Q556)*0.6,-2)</f>
        <v>#REF!</v>
      </c>
      <c r="T556" t="str">
        <f>ROUND((P556+Q556)*0.7,-2)</f>
        <v>#REF!</v>
      </c>
      <c r="U556" t="str">
        <f>ROUND(SUM(P556+Q556+R556+S556), -2)</f>
        <v>#REF!</v>
      </c>
      <c r="V556" t="str">
        <f>ROUND(P556+Q556+R556+T556, -2)</f>
        <v>#REF!</v>
      </c>
      <c r="W556">
        <v>0</v>
      </c>
      <c r="X556" t="str">
        <f>U556*0.038</f>
        <v>#REF!</v>
      </c>
      <c r="Y556" t="str">
        <f>U556*0.02</f>
        <v>#REF!</v>
      </c>
      <c r="Z556" t="str">
        <f>V556*0.1</f>
        <v>#REF!</v>
      </c>
      <c r="AA556" t="str">
        <f>U556-X556-Y556</f>
        <v>#REF!</v>
      </c>
      <c r="AB556" t="str">
        <f>V556-Z556</f>
        <v>#REF!</v>
      </c>
      <c r="AC556" t="str">
        <f>AA556*0.01</f>
        <v>#REF!</v>
      </c>
      <c r="AD556" t="str">
        <f>AA556-P556-AC556-Q556</f>
        <v>#REF!</v>
      </c>
      <c r="AE556" t="str">
        <f>AB556-P556-Q556-AC556</f>
        <v>#REF!</v>
      </c>
      <c r="AF556" t="str">
        <f>AD556/U556</f>
        <v>#REF!</v>
      </c>
      <c r="AG556" t="str">
        <f>AE556/V556</f>
        <v>#REF!</v>
      </c>
    </row>
    <row r="557">
      <c r="G557" t="str">
        <v>A</v>
      </c>
      <c r="J557" t="str">
        <f>IF(K557&gt;0,K557*0.0625,IF(L557&gt;0,L557*2.204623,))</f>
        <v>#REF!</v>
      </c>
      <c r="K557" t="str">
        <f>IF(L557&gt;0,L557*35.273962,IF(J557&gt;0,J557*16,))</f>
        <v>#REF!</v>
      </c>
      <c r="L557" t="str">
        <f>IF(J557&gt;0,J557*0.453592,IF(K557&gt;0,K557*0.02835,))</f>
        <v>#REF!</v>
      </c>
      <c r="O557">
        <f>I557+N557+M557</f>
        <v>0</v>
      </c>
      <c r="P557">
        <f>O557*C$3</f>
        <v>0</v>
      </c>
      <c r="Q557" t="str">
        <f>ROUNDUP(HLOOKUP(IF(CEILING(L557,0.5)&lt;1,1,CEILING(L557,0.5)),'배송비 조회'!A$32:AY$36,2,0),-2)</f>
        <v>#REF!</v>
      </c>
      <c r="R557">
        <v>0</v>
      </c>
      <c r="S557" t="str">
        <f>ROUND((P557+Q557)*0.6,-2)</f>
        <v>#REF!</v>
      </c>
      <c r="T557" t="str">
        <f>ROUND((P557+Q557)*0.7,-2)</f>
        <v>#REF!</v>
      </c>
      <c r="U557" t="str">
        <f>ROUND(SUM(P557+Q557+R557+S557), -2)</f>
        <v>#REF!</v>
      </c>
      <c r="V557" t="str">
        <f>ROUND(P557+Q557+R557+T557, -2)</f>
        <v>#REF!</v>
      </c>
      <c r="W557">
        <v>0</v>
      </c>
      <c r="X557" t="str">
        <f>U557*0.038</f>
        <v>#REF!</v>
      </c>
      <c r="Y557" t="str">
        <f>U557*0.02</f>
        <v>#REF!</v>
      </c>
      <c r="Z557" t="str">
        <f>V557*0.1</f>
        <v>#REF!</v>
      </c>
      <c r="AA557" t="str">
        <f>U557-X557-Y557</f>
        <v>#REF!</v>
      </c>
      <c r="AB557" t="str">
        <f>V557-Z557</f>
        <v>#REF!</v>
      </c>
      <c r="AC557" t="str">
        <f>AA557*0.01</f>
        <v>#REF!</v>
      </c>
      <c r="AD557" t="str">
        <f>AA557-P557-AC557-Q557</f>
        <v>#REF!</v>
      </c>
      <c r="AE557" t="str">
        <f>AB557-P557-Q557-AC557</f>
        <v>#REF!</v>
      </c>
      <c r="AF557" t="str">
        <f>AD557/U557</f>
        <v>#REF!</v>
      </c>
      <c r="AG557" t="str">
        <f>AE557/V557</f>
        <v>#REF!</v>
      </c>
    </row>
    <row r="558">
      <c r="G558" t="str">
        <v>A</v>
      </c>
      <c r="J558" t="str">
        <f>IF(K558&gt;0,K558*0.0625,IF(L558&gt;0,L558*2.204623,))</f>
        <v>#REF!</v>
      </c>
      <c r="K558" t="str">
        <f>IF(L558&gt;0,L558*35.273962,IF(J558&gt;0,J558*16,))</f>
        <v>#REF!</v>
      </c>
      <c r="L558" t="str">
        <f>IF(J558&gt;0,J558*0.453592,IF(K558&gt;0,K558*0.02835,))</f>
        <v>#REF!</v>
      </c>
      <c r="O558">
        <f>I558+N558+M558</f>
        <v>0</v>
      </c>
      <c r="P558">
        <f>O558*C$3</f>
        <v>0</v>
      </c>
      <c r="Q558" t="str">
        <f>ROUNDUP(HLOOKUP(IF(CEILING(L558,0.5)&lt;1,1,CEILING(L558,0.5)),'배송비 조회'!A$32:AY$36,2,0),-2)</f>
        <v>#REF!</v>
      </c>
      <c r="R558">
        <v>0</v>
      </c>
      <c r="S558" t="str">
        <f>ROUND((P558+Q558)*0.6,-2)</f>
        <v>#REF!</v>
      </c>
      <c r="T558" t="str">
        <f>ROUND((P558+Q558)*0.7,-2)</f>
        <v>#REF!</v>
      </c>
      <c r="U558" t="str">
        <f>ROUND(SUM(P558+Q558+R558+S558), -2)</f>
        <v>#REF!</v>
      </c>
      <c r="V558" t="str">
        <f>ROUND(P558+Q558+R558+T558, -2)</f>
        <v>#REF!</v>
      </c>
      <c r="W558">
        <v>0</v>
      </c>
      <c r="X558" t="str">
        <f>U558*0.038</f>
        <v>#REF!</v>
      </c>
      <c r="Y558" t="str">
        <f>U558*0.02</f>
        <v>#REF!</v>
      </c>
      <c r="Z558" t="str">
        <f>V558*0.1</f>
        <v>#REF!</v>
      </c>
      <c r="AA558" t="str">
        <f>U558-X558-Y558</f>
        <v>#REF!</v>
      </c>
      <c r="AB558" t="str">
        <f>V558-Z558</f>
        <v>#REF!</v>
      </c>
      <c r="AC558" t="str">
        <f>AA558*0.01</f>
        <v>#REF!</v>
      </c>
      <c r="AD558" t="str">
        <f>AA558-P558-AC558-Q558</f>
        <v>#REF!</v>
      </c>
      <c r="AE558" t="str">
        <f>AB558-P558-Q558-AC558</f>
        <v>#REF!</v>
      </c>
      <c r="AF558" t="str">
        <f>AD558/U558</f>
        <v>#REF!</v>
      </c>
      <c r="AG558" t="str">
        <f>AE558/V558</f>
        <v>#REF!</v>
      </c>
    </row>
    <row r="559">
      <c r="G559" t="str">
        <v>A</v>
      </c>
      <c r="J559" t="str">
        <f>IF(K559&gt;0,K559*0.0625,IF(L559&gt;0,L559*2.204623,))</f>
        <v>#REF!</v>
      </c>
      <c r="K559" t="str">
        <f>IF(L559&gt;0,L559*35.273962,IF(J559&gt;0,J559*16,))</f>
        <v>#REF!</v>
      </c>
      <c r="L559" t="str">
        <f>IF(J559&gt;0,J559*0.453592,IF(K559&gt;0,K559*0.02835,))</f>
        <v>#REF!</v>
      </c>
      <c r="O559">
        <f>I559+N559+M559</f>
        <v>0</v>
      </c>
      <c r="P559">
        <f>O559*C$3</f>
        <v>0</v>
      </c>
      <c r="Q559" t="str">
        <f>ROUNDUP(HLOOKUP(IF(CEILING(L559,0.5)&lt;1,1,CEILING(L559,0.5)),'배송비 조회'!A$32:AY$36,2,0),-2)</f>
        <v>#REF!</v>
      </c>
      <c r="R559">
        <v>0</v>
      </c>
      <c r="S559" t="str">
        <f>ROUND((P559+Q559)*0.6,-2)</f>
        <v>#REF!</v>
      </c>
      <c r="T559" t="str">
        <f>ROUND((P559+Q559)*0.7,-2)</f>
        <v>#REF!</v>
      </c>
      <c r="U559" t="str">
        <f>ROUND(SUM(P559+Q559+R559+S559), -2)</f>
        <v>#REF!</v>
      </c>
      <c r="V559" t="str">
        <f>ROUND(P559+Q559+R559+T559, -2)</f>
        <v>#REF!</v>
      </c>
      <c r="W559">
        <v>0</v>
      </c>
      <c r="X559" t="str">
        <f>U559*0.038</f>
        <v>#REF!</v>
      </c>
      <c r="Y559" t="str">
        <f>U559*0.02</f>
        <v>#REF!</v>
      </c>
      <c r="Z559" t="str">
        <f>V559*0.1</f>
        <v>#REF!</v>
      </c>
      <c r="AA559" t="str">
        <f>U559-X559-Y559</f>
        <v>#REF!</v>
      </c>
      <c r="AB559" t="str">
        <f>V559-Z559</f>
        <v>#REF!</v>
      </c>
      <c r="AC559" t="str">
        <f>AA559*0.01</f>
        <v>#REF!</v>
      </c>
      <c r="AD559" t="str">
        <f>AA559-P559-AC559-Q559</f>
        <v>#REF!</v>
      </c>
      <c r="AE559" t="str">
        <f>AB559-P559-Q559-AC559</f>
        <v>#REF!</v>
      </c>
      <c r="AF559" t="str">
        <f>AD559/U559</f>
        <v>#REF!</v>
      </c>
      <c r="AG559" t="str">
        <f>AE559/V559</f>
        <v>#REF!</v>
      </c>
    </row>
    <row r="560">
      <c r="G560" t="str">
        <v>A</v>
      </c>
      <c r="J560" t="str">
        <f>IF(K560&gt;0,K560*0.0625,IF(L560&gt;0,L560*2.204623,))</f>
        <v>#REF!</v>
      </c>
      <c r="K560" t="str">
        <f>IF(L560&gt;0,L560*35.273962,IF(J560&gt;0,J560*16,))</f>
        <v>#REF!</v>
      </c>
      <c r="L560" t="str">
        <f>IF(J560&gt;0,J560*0.453592,IF(K560&gt;0,K560*0.02835,))</f>
        <v>#REF!</v>
      </c>
      <c r="O560">
        <f>I560+N560+M560</f>
        <v>0</v>
      </c>
      <c r="P560">
        <f>O560*C$3</f>
        <v>0</v>
      </c>
      <c r="Q560" t="str">
        <f>ROUNDUP(HLOOKUP(IF(CEILING(L560,0.5)&lt;1,1,CEILING(L560,0.5)),'배송비 조회'!A$32:AY$36,2,0),-2)</f>
        <v>#REF!</v>
      </c>
      <c r="R560">
        <v>0</v>
      </c>
      <c r="S560" t="str">
        <f>ROUND((P560+Q560)*0.6,-2)</f>
        <v>#REF!</v>
      </c>
      <c r="T560" t="str">
        <f>ROUND((P560+Q560)*0.7,-2)</f>
        <v>#REF!</v>
      </c>
      <c r="U560" t="str">
        <f>ROUND(SUM(P560+Q560+R560+S560), -2)</f>
        <v>#REF!</v>
      </c>
      <c r="V560" t="str">
        <f>ROUND(P560+Q560+R560+T560, -2)</f>
        <v>#REF!</v>
      </c>
      <c r="W560">
        <v>0</v>
      </c>
      <c r="X560" t="str">
        <f>U560*0.038</f>
        <v>#REF!</v>
      </c>
      <c r="Y560" t="str">
        <f>U560*0.02</f>
        <v>#REF!</v>
      </c>
      <c r="Z560" t="str">
        <f>V560*0.1</f>
        <v>#REF!</v>
      </c>
      <c r="AA560" t="str">
        <f>U560-X560-Y560</f>
        <v>#REF!</v>
      </c>
      <c r="AB560" t="str">
        <f>V560-Z560</f>
        <v>#REF!</v>
      </c>
      <c r="AC560" t="str">
        <f>AA560*0.01</f>
        <v>#REF!</v>
      </c>
      <c r="AD560" t="str">
        <f>AA560-P560-AC560-Q560</f>
        <v>#REF!</v>
      </c>
      <c r="AE560" t="str">
        <f>AB560-P560-Q560-AC560</f>
        <v>#REF!</v>
      </c>
      <c r="AF560" t="str">
        <f>AD560/U560</f>
        <v>#REF!</v>
      </c>
      <c r="AG560" t="str">
        <f>AE560/V560</f>
        <v>#REF!</v>
      </c>
    </row>
    <row r="561">
      <c r="G561" t="str">
        <v>A</v>
      </c>
      <c r="J561" t="str">
        <f>IF(K561&gt;0,K561*0.0625,IF(L561&gt;0,L561*2.204623,))</f>
        <v>#REF!</v>
      </c>
      <c r="K561" t="str">
        <f>IF(L561&gt;0,L561*35.273962,IF(J561&gt;0,J561*16,))</f>
        <v>#REF!</v>
      </c>
      <c r="L561" t="str">
        <f>IF(J561&gt;0,J561*0.453592,IF(K561&gt;0,K561*0.02835,))</f>
        <v>#REF!</v>
      </c>
      <c r="O561">
        <f>I561+N561+M561</f>
        <v>0</v>
      </c>
      <c r="P561">
        <f>O561*C$3</f>
        <v>0</v>
      </c>
      <c r="Q561" t="str">
        <f>ROUNDUP(HLOOKUP(IF(CEILING(L561,0.5)&lt;1,1,CEILING(L561,0.5)),'배송비 조회'!A$32:AY$36,2,0),-2)</f>
        <v>#REF!</v>
      </c>
      <c r="R561">
        <v>0</v>
      </c>
      <c r="S561" t="str">
        <f>ROUND((P561+Q561)*0.6,-2)</f>
        <v>#REF!</v>
      </c>
      <c r="T561" t="str">
        <f>ROUND((P561+Q561)*0.7,-2)</f>
        <v>#REF!</v>
      </c>
      <c r="U561" t="str">
        <f>ROUND(SUM(P561+Q561+R561+S561), -2)</f>
        <v>#REF!</v>
      </c>
      <c r="V561" t="str">
        <f>ROUND(P561+Q561+R561+T561, -2)</f>
        <v>#REF!</v>
      </c>
      <c r="W561">
        <v>0</v>
      </c>
      <c r="X561" t="str">
        <f>U561*0.038</f>
        <v>#REF!</v>
      </c>
      <c r="Y561" t="str">
        <f>U561*0.02</f>
        <v>#REF!</v>
      </c>
      <c r="Z561" t="str">
        <f>V561*0.1</f>
        <v>#REF!</v>
      </c>
      <c r="AA561" t="str">
        <f>U561-X561-Y561</f>
        <v>#REF!</v>
      </c>
      <c r="AB561" t="str">
        <f>V561-Z561</f>
        <v>#REF!</v>
      </c>
      <c r="AC561" t="str">
        <f>AA561*0.01</f>
        <v>#REF!</v>
      </c>
      <c r="AD561" t="str">
        <f>AA561-P561-AC561-Q561</f>
        <v>#REF!</v>
      </c>
      <c r="AE561" t="str">
        <f>AB561-P561-Q561-AC561</f>
        <v>#REF!</v>
      </c>
      <c r="AF561" t="str">
        <f>AD561/U561</f>
        <v>#REF!</v>
      </c>
      <c r="AG561" t="str">
        <f>AE561/V561</f>
        <v>#REF!</v>
      </c>
    </row>
    <row r="562">
      <c r="G562" t="str">
        <v>A</v>
      </c>
      <c r="J562" t="str">
        <f>IF(K562&gt;0,K562*0.0625,IF(L562&gt;0,L562*2.204623,))</f>
        <v>#REF!</v>
      </c>
      <c r="K562" t="str">
        <f>IF(L562&gt;0,L562*35.273962,IF(J562&gt;0,J562*16,))</f>
        <v>#REF!</v>
      </c>
      <c r="L562" t="str">
        <f>IF(J562&gt;0,J562*0.453592,IF(K562&gt;0,K562*0.02835,))</f>
        <v>#REF!</v>
      </c>
      <c r="O562">
        <f>I562+N562+M562</f>
        <v>0</v>
      </c>
      <c r="P562">
        <f>O562*C$3</f>
        <v>0</v>
      </c>
      <c r="Q562" t="str">
        <f>ROUNDUP(HLOOKUP(IF(CEILING(L562,0.5)&lt;1,1,CEILING(L562,0.5)),'배송비 조회'!A$32:AY$36,2,0),-2)</f>
        <v>#REF!</v>
      </c>
      <c r="R562">
        <v>0</v>
      </c>
      <c r="S562" t="str">
        <f>ROUND((P562+Q562)*0.6,-2)</f>
        <v>#REF!</v>
      </c>
      <c r="T562" t="str">
        <f>ROUND((P562+Q562)*0.7,-2)</f>
        <v>#REF!</v>
      </c>
      <c r="U562" t="str">
        <f>ROUND(SUM(P562+Q562+R562+S562), -2)</f>
        <v>#REF!</v>
      </c>
      <c r="V562" t="str">
        <f>ROUND(P562+Q562+R562+T562, -2)</f>
        <v>#REF!</v>
      </c>
      <c r="W562">
        <v>0</v>
      </c>
      <c r="X562" t="str">
        <f>U562*0.038</f>
        <v>#REF!</v>
      </c>
      <c r="Y562" t="str">
        <f>U562*0.02</f>
        <v>#REF!</v>
      </c>
      <c r="Z562" t="str">
        <f>V562*0.1</f>
        <v>#REF!</v>
      </c>
      <c r="AA562" t="str">
        <f>U562-X562-Y562</f>
        <v>#REF!</v>
      </c>
      <c r="AB562" t="str">
        <f>V562-Z562</f>
        <v>#REF!</v>
      </c>
      <c r="AC562" t="str">
        <f>AA562*0.01</f>
        <v>#REF!</v>
      </c>
      <c r="AD562" t="str">
        <f>AA562-P562-AC562-Q562</f>
        <v>#REF!</v>
      </c>
      <c r="AE562" t="str">
        <f>AB562-P562-Q562-AC562</f>
        <v>#REF!</v>
      </c>
      <c r="AF562" t="str">
        <f>AD562/U562</f>
        <v>#REF!</v>
      </c>
      <c r="AG562" t="str">
        <f>AE562/V562</f>
        <v>#REF!</v>
      </c>
    </row>
    <row r="563">
      <c r="G563" t="str">
        <v>A</v>
      </c>
      <c r="J563" t="str">
        <f>IF(K563&gt;0,K563*0.0625,IF(L563&gt;0,L563*2.204623,))</f>
        <v>#REF!</v>
      </c>
      <c r="K563" t="str">
        <f>IF(L563&gt;0,L563*35.273962,IF(J563&gt;0,J563*16,))</f>
        <v>#REF!</v>
      </c>
      <c r="L563" t="str">
        <f>IF(J563&gt;0,J563*0.453592,IF(K563&gt;0,K563*0.02835,))</f>
        <v>#REF!</v>
      </c>
      <c r="O563">
        <f>I563+N563+M563</f>
        <v>0</v>
      </c>
      <c r="P563">
        <f>O563*C$3</f>
        <v>0</v>
      </c>
      <c r="Q563" t="str">
        <f>ROUNDUP(HLOOKUP(IF(CEILING(L563,0.5)&lt;1,1,CEILING(L563,0.5)),'배송비 조회'!A$32:AY$36,2,0),-2)</f>
        <v>#REF!</v>
      </c>
      <c r="R563">
        <v>0</v>
      </c>
      <c r="S563" t="str">
        <f>ROUND((P563+Q563)*0.6,-2)</f>
        <v>#REF!</v>
      </c>
      <c r="T563" t="str">
        <f>ROUND((P563+Q563)*0.7,-2)</f>
        <v>#REF!</v>
      </c>
      <c r="U563" t="str">
        <f>ROUND(SUM(P563+Q563+R563+S563), -2)</f>
        <v>#REF!</v>
      </c>
      <c r="V563" t="str">
        <f>ROUND(P563+Q563+R563+T563, -2)</f>
        <v>#REF!</v>
      </c>
      <c r="W563">
        <v>0</v>
      </c>
      <c r="X563" t="str">
        <f>U563*0.038</f>
        <v>#REF!</v>
      </c>
      <c r="Y563" t="str">
        <f>U563*0.02</f>
        <v>#REF!</v>
      </c>
      <c r="Z563" t="str">
        <f>V563*0.1</f>
        <v>#REF!</v>
      </c>
      <c r="AA563" t="str">
        <f>U563-X563-Y563</f>
        <v>#REF!</v>
      </c>
      <c r="AB563" t="str">
        <f>V563-Z563</f>
        <v>#REF!</v>
      </c>
      <c r="AC563" t="str">
        <f>AA563*0.01</f>
        <v>#REF!</v>
      </c>
      <c r="AD563" t="str">
        <f>AA563-P563-AC563-Q563</f>
        <v>#REF!</v>
      </c>
      <c r="AE563" t="str">
        <f>AB563-P563-Q563-AC563</f>
        <v>#REF!</v>
      </c>
      <c r="AF563" t="str">
        <f>AD563/U563</f>
        <v>#REF!</v>
      </c>
      <c r="AG563" t="str">
        <f>AE563/V563</f>
        <v>#REF!</v>
      </c>
    </row>
    <row r="564">
      <c r="G564" t="str">
        <v>A</v>
      </c>
      <c r="J564" t="str">
        <f>IF(K564&gt;0,K564*0.0625,IF(L564&gt;0,L564*2.204623,))</f>
        <v>#REF!</v>
      </c>
      <c r="K564" t="str">
        <f>IF(L564&gt;0,L564*35.273962,IF(J564&gt;0,J564*16,))</f>
        <v>#REF!</v>
      </c>
      <c r="L564" t="str">
        <f>IF(J564&gt;0,J564*0.453592,IF(K564&gt;0,K564*0.02835,))</f>
        <v>#REF!</v>
      </c>
      <c r="O564">
        <f>I564+N564+M564</f>
        <v>0</v>
      </c>
      <c r="P564">
        <f>O564*C$3</f>
        <v>0</v>
      </c>
      <c r="Q564" t="str">
        <f>ROUNDUP(HLOOKUP(IF(CEILING(L564,0.5)&lt;1,1,CEILING(L564,0.5)),'배송비 조회'!A$32:AY$36,2,0),-2)</f>
        <v>#REF!</v>
      </c>
      <c r="R564">
        <v>0</v>
      </c>
      <c r="S564" t="str">
        <f>ROUND((P564+Q564)*0.6,-2)</f>
        <v>#REF!</v>
      </c>
      <c r="T564" t="str">
        <f>ROUND((P564+Q564)*0.7,-2)</f>
        <v>#REF!</v>
      </c>
      <c r="U564" t="str">
        <f>ROUND(SUM(P564+Q564+R564+S564), -2)</f>
        <v>#REF!</v>
      </c>
      <c r="V564" t="str">
        <f>ROUND(P564+Q564+R564+T564, -2)</f>
        <v>#REF!</v>
      </c>
      <c r="W564">
        <v>0</v>
      </c>
      <c r="X564" t="str">
        <f>U564*0.038</f>
        <v>#REF!</v>
      </c>
      <c r="Y564" t="str">
        <f>U564*0.02</f>
        <v>#REF!</v>
      </c>
      <c r="Z564" t="str">
        <f>V564*0.1</f>
        <v>#REF!</v>
      </c>
      <c r="AA564" t="str">
        <f>U564-X564-Y564</f>
        <v>#REF!</v>
      </c>
      <c r="AB564" t="str">
        <f>V564-Z564</f>
        <v>#REF!</v>
      </c>
      <c r="AC564" t="str">
        <f>AA564*0.01</f>
        <v>#REF!</v>
      </c>
      <c r="AD564" t="str">
        <f>AA564-P564-AC564-Q564</f>
        <v>#REF!</v>
      </c>
      <c r="AE564" t="str">
        <f>AB564-P564-Q564-AC564</f>
        <v>#REF!</v>
      </c>
      <c r="AF564" t="str">
        <f>AD564/U564</f>
        <v>#REF!</v>
      </c>
      <c r="AG564" t="str">
        <f>AE564/V564</f>
        <v>#REF!</v>
      </c>
    </row>
    <row r="565">
      <c r="G565" t="str">
        <v>A</v>
      </c>
      <c r="J565" t="str">
        <f>IF(K565&gt;0,K565*0.0625,IF(L565&gt;0,L565*2.204623,))</f>
        <v>#REF!</v>
      </c>
      <c r="K565" t="str">
        <f>IF(L565&gt;0,L565*35.273962,IF(J565&gt;0,J565*16,))</f>
        <v>#REF!</v>
      </c>
      <c r="L565" t="str">
        <f>IF(J565&gt;0,J565*0.453592,IF(K565&gt;0,K565*0.02835,))</f>
        <v>#REF!</v>
      </c>
      <c r="O565">
        <f>I565+N565+M565</f>
        <v>0</v>
      </c>
      <c r="P565">
        <f>O565*C$3</f>
        <v>0</v>
      </c>
      <c r="Q565" t="str">
        <f>ROUNDUP(HLOOKUP(IF(CEILING(L565,0.5)&lt;1,1,CEILING(L565,0.5)),'배송비 조회'!A$32:AY$36,2,0),-2)</f>
        <v>#REF!</v>
      </c>
      <c r="R565">
        <v>0</v>
      </c>
      <c r="S565" t="str">
        <f>ROUND((P565+Q565)*0.6,-2)</f>
        <v>#REF!</v>
      </c>
      <c r="T565" t="str">
        <f>ROUND((P565+Q565)*0.7,-2)</f>
        <v>#REF!</v>
      </c>
      <c r="U565" t="str">
        <f>ROUND(SUM(P565+Q565+R565+S565), -2)</f>
        <v>#REF!</v>
      </c>
      <c r="V565" t="str">
        <f>ROUND(P565+Q565+R565+T565, -2)</f>
        <v>#REF!</v>
      </c>
      <c r="W565">
        <v>0</v>
      </c>
      <c r="X565" t="str">
        <f>U565*0.038</f>
        <v>#REF!</v>
      </c>
      <c r="Y565" t="str">
        <f>U565*0.02</f>
        <v>#REF!</v>
      </c>
      <c r="Z565" t="str">
        <f>V565*0.1</f>
        <v>#REF!</v>
      </c>
      <c r="AA565" t="str">
        <f>U565-X565-Y565</f>
        <v>#REF!</v>
      </c>
      <c r="AB565" t="str">
        <f>V565-Z565</f>
        <v>#REF!</v>
      </c>
      <c r="AC565" t="str">
        <f>AA565*0.01</f>
        <v>#REF!</v>
      </c>
      <c r="AD565" t="str">
        <f>AA565-P565-AC565-Q565</f>
        <v>#REF!</v>
      </c>
      <c r="AE565" t="str">
        <f>AB565-P565-Q565-AC565</f>
        <v>#REF!</v>
      </c>
      <c r="AF565" t="str">
        <f>AD565/U565</f>
        <v>#REF!</v>
      </c>
      <c r="AG565" t="str">
        <f>AE565/V565</f>
        <v>#REF!</v>
      </c>
    </row>
    <row r="566">
      <c r="G566" t="str">
        <v>A</v>
      </c>
      <c r="J566" t="str">
        <f>IF(K566&gt;0,K566*0.0625,IF(L566&gt;0,L566*2.204623,))</f>
        <v>#REF!</v>
      </c>
      <c r="K566" t="str">
        <f>IF(L566&gt;0,L566*35.273962,IF(J566&gt;0,J566*16,))</f>
        <v>#REF!</v>
      </c>
      <c r="L566" t="str">
        <f>IF(J566&gt;0,J566*0.453592,IF(K566&gt;0,K566*0.02835,))</f>
        <v>#REF!</v>
      </c>
      <c r="O566">
        <f>I566+N566+M566</f>
        <v>0</v>
      </c>
      <c r="P566">
        <f>O566*C$3</f>
        <v>0</v>
      </c>
      <c r="Q566" t="str">
        <f>ROUNDUP(HLOOKUP(IF(CEILING(L566,0.5)&lt;1,1,CEILING(L566,0.5)),'배송비 조회'!A$32:AY$36,2,0),-2)</f>
        <v>#REF!</v>
      </c>
      <c r="R566">
        <v>0</v>
      </c>
      <c r="S566" t="str">
        <f>ROUND((P566+Q566)*0.6,-2)</f>
        <v>#REF!</v>
      </c>
      <c r="T566" t="str">
        <f>ROUND((P566+Q566)*0.7,-2)</f>
        <v>#REF!</v>
      </c>
      <c r="U566" t="str">
        <f>ROUND(SUM(P566+Q566+R566+S566), -2)</f>
        <v>#REF!</v>
      </c>
      <c r="V566" t="str">
        <f>ROUND(P566+Q566+R566+T566, -2)</f>
        <v>#REF!</v>
      </c>
      <c r="W566">
        <v>0</v>
      </c>
      <c r="X566" t="str">
        <f>U566*0.038</f>
        <v>#REF!</v>
      </c>
      <c r="Y566" t="str">
        <f>U566*0.02</f>
        <v>#REF!</v>
      </c>
      <c r="Z566" t="str">
        <f>V566*0.1</f>
        <v>#REF!</v>
      </c>
      <c r="AA566" t="str">
        <f>U566-X566-Y566</f>
        <v>#REF!</v>
      </c>
      <c r="AB566" t="str">
        <f>V566-Z566</f>
        <v>#REF!</v>
      </c>
      <c r="AC566" t="str">
        <f>AA566*0.01</f>
        <v>#REF!</v>
      </c>
      <c r="AD566" t="str">
        <f>AA566-P566-AC566-Q566</f>
        <v>#REF!</v>
      </c>
      <c r="AE566" t="str">
        <f>AB566-P566-Q566-AC566</f>
        <v>#REF!</v>
      </c>
      <c r="AF566" t="str">
        <f>AD566/U566</f>
        <v>#REF!</v>
      </c>
      <c r="AG566" t="str">
        <f>AE566/V566</f>
        <v>#REF!</v>
      </c>
    </row>
    <row r="567">
      <c r="G567" t="str">
        <v>A</v>
      </c>
      <c r="J567" t="str">
        <f>IF(K567&gt;0,K567*0.0625,IF(L567&gt;0,L567*2.204623,))</f>
        <v>#REF!</v>
      </c>
      <c r="K567" t="str">
        <f>IF(L567&gt;0,L567*35.273962,IF(J567&gt;0,J567*16,))</f>
        <v>#REF!</v>
      </c>
      <c r="L567" t="str">
        <f>IF(J567&gt;0,J567*0.453592,IF(K567&gt;0,K567*0.02835,))</f>
        <v>#REF!</v>
      </c>
      <c r="O567">
        <f>I567+N567+M567</f>
        <v>0</v>
      </c>
      <c r="P567">
        <f>O567*C$3</f>
        <v>0</v>
      </c>
      <c r="Q567" t="str">
        <f>ROUNDUP(HLOOKUP(IF(CEILING(L567,0.5)&lt;1,1,CEILING(L567,0.5)),'배송비 조회'!A$32:AY$36,2,0),-2)</f>
        <v>#REF!</v>
      </c>
      <c r="R567">
        <v>0</v>
      </c>
      <c r="S567" t="str">
        <f>ROUND((P567+Q567)*0.6,-2)</f>
        <v>#REF!</v>
      </c>
      <c r="T567" t="str">
        <f>ROUND((P567+Q567)*0.7,-2)</f>
        <v>#REF!</v>
      </c>
      <c r="U567" t="str">
        <f>ROUND(SUM(P567+Q567+R567+S567), -2)</f>
        <v>#REF!</v>
      </c>
      <c r="V567" t="str">
        <f>ROUND(P567+Q567+R567+T567, -2)</f>
        <v>#REF!</v>
      </c>
      <c r="W567">
        <v>0</v>
      </c>
      <c r="X567" t="str">
        <f>U567*0.038</f>
        <v>#REF!</v>
      </c>
      <c r="Y567" t="str">
        <f>U567*0.02</f>
        <v>#REF!</v>
      </c>
      <c r="Z567" t="str">
        <f>V567*0.1</f>
        <v>#REF!</v>
      </c>
      <c r="AA567" t="str">
        <f>U567-X567-Y567</f>
        <v>#REF!</v>
      </c>
      <c r="AB567" t="str">
        <f>V567-Z567</f>
        <v>#REF!</v>
      </c>
      <c r="AC567" t="str">
        <f>AA567*0.01</f>
        <v>#REF!</v>
      </c>
      <c r="AD567" t="str">
        <f>AA567-P567-AC567-Q567</f>
        <v>#REF!</v>
      </c>
      <c r="AE567" t="str">
        <f>AB567-P567-Q567-AC567</f>
        <v>#REF!</v>
      </c>
      <c r="AF567" t="str">
        <f>AD567/U567</f>
        <v>#REF!</v>
      </c>
      <c r="AG567" t="str">
        <f>AE567/V567</f>
        <v>#REF!</v>
      </c>
    </row>
    <row r="568">
      <c r="G568" t="str">
        <v>A</v>
      </c>
      <c r="J568" t="str">
        <f>IF(K568&gt;0,K568*0.0625,IF(L568&gt;0,L568*2.204623,))</f>
        <v>#REF!</v>
      </c>
      <c r="K568" t="str">
        <f>IF(L568&gt;0,L568*35.273962,IF(J568&gt;0,J568*16,))</f>
        <v>#REF!</v>
      </c>
      <c r="L568" t="str">
        <f>IF(J568&gt;0,J568*0.453592,IF(K568&gt;0,K568*0.02835,))</f>
        <v>#REF!</v>
      </c>
      <c r="O568">
        <f>I568+N568+M568</f>
        <v>0</v>
      </c>
      <c r="P568">
        <f>O568*C$3</f>
        <v>0</v>
      </c>
      <c r="Q568" t="str">
        <f>ROUNDUP(HLOOKUP(IF(CEILING(L568,0.5)&lt;1,1,CEILING(L568,0.5)),'배송비 조회'!A$32:AY$36,2,0),-2)</f>
        <v>#REF!</v>
      </c>
      <c r="R568">
        <v>0</v>
      </c>
      <c r="S568" t="str">
        <f>ROUND((P568+Q568)*0.6,-2)</f>
        <v>#REF!</v>
      </c>
      <c r="T568" t="str">
        <f>ROUND((P568+Q568)*0.7,-2)</f>
        <v>#REF!</v>
      </c>
      <c r="U568" t="str">
        <f>ROUND(SUM(P568+Q568+R568+S568), -2)</f>
        <v>#REF!</v>
      </c>
      <c r="V568" t="str">
        <f>ROUND(P568+Q568+R568+T568, -2)</f>
        <v>#REF!</v>
      </c>
      <c r="W568">
        <v>0</v>
      </c>
      <c r="X568" t="str">
        <f>U568*0.038</f>
        <v>#REF!</v>
      </c>
      <c r="Y568" t="str">
        <f>U568*0.02</f>
        <v>#REF!</v>
      </c>
      <c r="Z568" t="str">
        <f>V568*0.1</f>
        <v>#REF!</v>
      </c>
      <c r="AA568" t="str">
        <f>U568-X568-Y568</f>
        <v>#REF!</v>
      </c>
      <c r="AB568" t="str">
        <f>V568-Z568</f>
        <v>#REF!</v>
      </c>
      <c r="AC568" t="str">
        <f>AA568*0.01</f>
        <v>#REF!</v>
      </c>
      <c r="AD568" t="str">
        <f>AA568-P568-AC568-Q568</f>
        <v>#REF!</v>
      </c>
      <c r="AE568" t="str">
        <f>AB568-P568-Q568-AC568</f>
        <v>#REF!</v>
      </c>
      <c r="AF568" t="str">
        <f>AD568/U568</f>
        <v>#REF!</v>
      </c>
      <c r="AG568" t="str">
        <f>AE568/V568</f>
        <v>#REF!</v>
      </c>
    </row>
    <row r="569">
      <c r="G569" t="str">
        <v>A</v>
      </c>
      <c r="J569" t="str">
        <f>IF(K569&gt;0,K569*0.0625,IF(L569&gt;0,L569*2.204623,))</f>
        <v>#REF!</v>
      </c>
      <c r="K569" t="str">
        <f>IF(L569&gt;0,L569*35.273962,IF(J569&gt;0,J569*16,))</f>
        <v>#REF!</v>
      </c>
      <c r="L569" t="str">
        <f>IF(J569&gt;0,J569*0.453592,IF(K569&gt;0,K569*0.02835,))</f>
        <v>#REF!</v>
      </c>
      <c r="O569">
        <f>I569+N569+M569</f>
        <v>0</v>
      </c>
      <c r="P569">
        <f>O569*C$3</f>
        <v>0</v>
      </c>
      <c r="Q569" t="str">
        <f>ROUNDUP(HLOOKUP(IF(CEILING(L569,0.5)&lt;1,1,CEILING(L569,0.5)),'배송비 조회'!A$32:AY$36,2,0),-2)</f>
        <v>#REF!</v>
      </c>
      <c r="R569">
        <v>0</v>
      </c>
      <c r="S569" t="str">
        <f>ROUND((P569+Q569)*0.6,-2)</f>
        <v>#REF!</v>
      </c>
      <c r="T569" t="str">
        <f>ROUND((P569+Q569)*0.7,-2)</f>
        <v>#REF!</v>
      </c>
      <c r="U569" t="str">
        <f>ROUND(SUM(P569+Q569+R569+S569), -2)</f>
        <v>#REF!</v>
      </c>
      <c r="V569" t="str">
        <f>ROUND(P569+Q569+R569+T569, -2)</f>
        <v>#REF!</v>
      </c>
      <c r="W569">
        <v>0</v>
      </c>
      <c r="X569" t="str">
        <f>U569*0.038</f>
        <v>#REF!</v>
      </c>
      <c r="Y569" t="str">
        <f>U569*0.02</f>
        <v>#REF!</v>
      </c>
      <c r="Z569" t="str">
        <f>V569*0.1</f>
        <v>#REF!</v>
      </c>
      <c r="AA569" t="str">
        <f>U569-X569-Y569</f>
        <v>#REF!</v>
      </c>
      <c r="AB569" t="str">
        <f>V569-Z569</f>
        <v>#REF!</v>
      </c>
      <c r="AC569" t="str">
        <f>AA569*0.01</f>
        <v>#REF!</v>
      </c>
      <c r="AD569" t="str">
        <f>AA569-P569-AC569-Q569</f>
        <v>#REF!</v>
      </c>
      <c r="AE569" t="str">
        <f>AB569-P569-Q569-AC569</f>
        <v>#REF!</v>
      </c>
      <c r="AF569" t="str">
        <f>AD569/U569</f>
        <v>#REF!</v>
      </c>
      <c r="AG569" t="str">
        <f>AE569/V569</f>
        <v>#REF!</v>
      </c>
    </row>
    <row r="570">
      <c r="G570" t="str">
        <v>A</v>
      </c>
      <c r="J570" t="str">
        <f>IF(K570&gt;0,K570*0.0625,IF(L570&gt;0,L570*2.204623,))</f>
        <v>#REF!</v>
      </c>
      <c r="K570" t="str">
        <f>IF(L570&gt;0,L570*35.273962,IF(J570&gt;0,J570*16,))</f>
        <v>#REF!</v>
      </c>
      <c r="L570" t="str">
        <f>IF(J570&gt;0,J570*0.453592,IF(K570&gt;0,K570*0.02835,))</f>
        <v>#REF!</v>
      </c>
      <c r="O570">
        <f>I570+N570+M570</f>
        <v>0</v>
      </c>
      <c r="P570">
        <f>O570*C$3</f>
        <v>0</v>
      </c>
      <c r="Q570" t="str">
        <f>ROUNDUP(HLOOKUP(IF(CEILING(L570,0.5)&lt;1,1,CEILING(L570,0.5)),'배송비 조회'!A$32:AY$36,2,0),-2)</f>
        <v>#REF!</v>
      </c>
      <c r="R570">
        <v>0</v>
      </c>
      <c r="S570" t="str">
        <f>ROUND((P570+Q570)*0.6,-2)</f>
        <v>#REF!</v>
      </c>
      <c r="T570" t="str">
        <f>ROUND((P570+Q570)*0.7,-2)</f>
        <v>#REF!</v>
      </c>
      <c r="U570" t="str">
        <f>ROUND(SUM(P570+Q570+R570+S570), -2)</f>
        <v>#REF!</v>
      </c>
      <c r="V570" t="str">
        <f>ROUND(P570+Q570+R570+T570, -2)</f>
        <v>#REF!</v>
      </c>
      <c r="W570">
        <v>0</v>
      </c>
      <c r="X570" t="str">
        <f>U570*0.038</f>
        <v>#REF!</v>
      </c>
      <c r="Y570" t="str">
        <f>U570*0.02</f>
        <v>#REF!</v>
      </c>
      <c r="Z570" t="str">
        <f>V570*0.1</f>
        <v>#REF!</v>
      </c>
      <c r="AA570" t="str">
        <f>U570-X570-Y570</f>
        <v>#REF!</v>
      </c>
      <c r="AB570" t="str">
        <f>V570-Z570</f>
        <v>#REF!</v>
      </c>
      <c r="AC570" t="str">
        <f>AA570*0.01</f>
        <v>#REF!</v>
      </c>
      <c r="AD570" t="str">
        <f>AA570-P570-AC570-Q570</f>
        <v>#REF!</v>
      </c>
      <c r="AE570" t="str">
        <f>AB570-P570-Q570-AC570</f>
        <v>#REF!</v>
      </c>
      <c r="AF570" t="str">
        <f>AD570/U570</f>
        <v>#REF!</v>
      </c>
      <c r="AG570" t="str">
        <f>AE570/V570</f>
        <v>#REF!</v>
      </c>
    </row>
    <row r="571">
      <c r="G571" t="str">
        <v>A</v>
      </c>
      <c r="J571" t="str">
        <f>IF(K571&gt;0,K571*0.0625,IF(L571&gt;0,L571*2.204623,))</f>
        <v>#REF!</v>
      </c>
      <c r="K571" t="str">
        <f>IF(L571&gt;0,L571*35.273962,IF(J571&gt;0,J571*16,))</f>
        <v>#REF!</v>
      </c>
      <c r="L571" t="str">
        <f>IF(J571&gt;0,J571*0.453592,IF(K571&gt;0,K571*0.02835,))</f>
        <v>#REF!</v>
      </c>
      <c r="O571">
        <f>I571+N571+M571</f>
        <v>0</v>
      </c>
      <c r="P571">
        <f>O571*C$3</f>
        <v>0</v>
      </c>
      <c r="Q571" t="str">
        <f>ROUNDUP(HLOOKUP(IF(CEILING(L571,0.5)&lt;1,1,CEILING(L571,0.5)),'배송비 조회'!A$32:AY$36,2,0),-2)</f>
        <v>#REF!</v>
      </c>
      <c r="R571">
        <v>0</v>
      </c>
      <c r="S571" t="str">
        <f>ROUND((P571+Q571)*0.6,-2)</f>
        <v>#REF!</v>
      </c>
      <c r="T571" t="str">
        <f>ROUND((P571+Q571)*0.7,-2)</f>
        <v>#REF!</v>
      </c>
      <c r="U571" t="str">
        <f>ROUND(SUM(P571+Q571+R571+S571), -2)</f>
        <v>#REF!</v>
      </c>
      <c r="V571" t="str">
        <f>ROUND(P571+Q571+R571+T571, -2)</f>
        <v>#REF!</v>
      </c>
      <c r="W571">
        <v>0</v>
      </c>
      <c r="X571" t="str">
        <f>U571*0.038</f>
        <v>#REF!</v>
      </c>
      <c r="Y571" t="str">
        <f>U571*0.02</f>
        <v>#REF!</v>
      </c>
      <c r="Z571" t="str">
        <f>V571*0.1</f>
        <v>#REF!</v>
      </c>
      <c r="AA571" t="str">
        <f>U571-X571-Y571</f>
        <v>#REF!</v>
      </c>
      <c r="AB571" t="str">
        <f>V571-Z571</f>
        <v>#REF!</v>
      </c>
      <c r="AC571" t="str">
        <f>AA571*0.01</f>
        <v>#REF!</v>
      </c>
      <c r="AD571" t="str">
        <f>AA571-P571-AC571-Q571</f>
        <v>#REF!</v>
      </c>
      <c r="AE571" t="str">
        <f>AB571-P571-Q571-AC571</f>
        <v>#REF!</v>
      </c>
      <c r="AF571" t="str">
        <f>AD571/U571</f>
        <v>#REF!</v>
      </c>
      <c r="AG571" t="str">
        <f>AE571/V571</f>
        <v>#REF!</v>
      </c>
    </row>
    <row r="572">
      <c r="G572" t="str">
        <v>A</v>
      </c>
      <c r="J572" t="str">
        <f>IF(K572&gt;0,K572*0.0625,IF(L572&gt;0,L572*2.204623,))</f>
        <v>#REF!</v>
      </c>
      <c r="K572" t="str">
        <f>IF(L572&gt;0,L572*35.273962,IF(J572&gt;0,J572*16,))</f>
        <v>#REF!</v>
      </c>
      <c r="L572" t="str">
        <f>IF(J572&gt;0,J572*0.453592,IF(K572&gt;0,K572*0.02835,))</f>
        <v>#REF!</v>
      </c>
      <c r="O572">
        <f>I572+N572+M572</f>
        <v>0</v>
      </c>
      <c r="P572">
        <f>O572*C$3</f>
        <v>0</v>
      </c>
      <c r="Q572" t="str">
        <f>ROUNDUP(HLOOKUP(IF(CEILING(L572,0.5)&lt;1,1,CEILING(L572,0.5)),'배송비 조회'!A$32:AY$36,2,0),-2)</f>
        <v>#REF!</v>
      </c>
      <c r="R572">
        <v>0</v>
      </c>
      <c r="S572" t="str">
        <f>ROUND((P572+Q572)*0.6,-2)</f>
        <v>#REF!</v>
      </c>
      <c r="T572" t="str">
        <f>ROUND((P572+Q572)*0.7,-2)</f>
        <v>#REF!</v>
      </c>
      <c r="U572" t="str">
        <f>ROUND(SUM(P572+Q572+R572+S572), -2)</f>
        <v>#REF!</v>
      </c>
      <c r="V572" t="str">
        <f>ROUND(P572+Q572+R572+T572, -2)</f>
        <v>#REF!</v>
      </c>
      <c r="W572">
        <v>0</v>
      </c>
      <c r="X572" t="str">
        <f>U572*0.038</f>
        <v>#REF!</v>
      </c>
      <c r="Y572" t="str">
        <f>U572*0.02</f>
        <v>#REF!</v>
      </c>
      <c r="Z572" t="str">
        <f>V572*0.1</f>
        <v>#REF!</v>
      </c>
      <c r="AA572" t="str">
        <f>U572-X572-Y572</f>
        <v>#REF!</v>
      </c>
      <c r="AB572" t="str">
        <f>V572-Z572</f>
        <v>#REF!</v>
      </c>
      <c r="AC572" t="str">
        <f>AA572*0.01</f>
        <v>#REF!</v>
      </c>
      <c r="AD572" t="str">
        <f>AA572-P572-AC572-Q572</f>
        <v>#REF!</v>
      </c>
      <c r="AE572" t="str">
        <f>AB572-P572-Q572-AC572</f>
        <v>#REF!</v>
      </c>
      <c r="AF572" t="str">
        <f>AD572/U572</f>
        <v>#REF!</v>
      </c>
      <c r="AG572" t="str">
        <f>AE572/V572</f>
        <v>#REF!</v>
      </c>
    </row>
    <row r="573">
      <c r="G573" t="str">
        <v>A</v>
      </c>
      <c r="J573" t="str">
        <f>IF(K573&gt;0,K573*0.0625,IF(L573&gt;0,L573*2.204623,))</f>
        <v>#REF!</v>
      </c>
      <c r="K573" t="str">
        <f>IF(L573&gt;0,L573*35.273962,IF(J573&gt;0,J573*16,))</f>
        <v>#REF!</v>
      </c>
      <c r="L573" t="str">
        <f>IF(J573&gt;0,J573*0.453592,IF(K573&gt;0,K573*0.02835,))</f>
        <v>#REF!</v>
      </c>
      <c r="O573">
        <f>I573+N573+M573</f>
        <v>0</v>
      </c>
      <c r="P573">
        <f>O573*C$3</f>
        <v>0</v>
      </c>
      <c r="Q573" t="str">
        <f>ROUNDUP(HLOOKUP(IF(CEILING(L573,0.5)&lt;1,1,CEILING(L573,0.5)),'배송비 조회'!A$32:AY$36,2,0),-2)</f>
        <v>#REF!</v>
      </c>
      <c r="R573">
        <v>0</v>
      </c>
      <c r="S573" t="str">
        <f>ROUND((P573+Q573)*0.6,-2)</f>
        <v>#REF!</v>
      </c>
      <c r="T573" t="str">
        <f>ROUND((P573+Q573)*0.7,-2)</f>
        <v>#REF!</v>
      </c>
      <c r="U573" t="str">
        <f>ROUND(SUM(P573+Q573+R573+S573), -2)</f>
        <v>#REF!</v>
      </c>
      <c r="V573" t="str">
        <f>ROUND(P573+Q573+R573+T573, -2)</f>
        <v>#REF!</v>
      </c>
      <c r="W573">
        <v>0</v>
      </c>
      <c r="X573" t="str">
        <f>U573*0.038</f>
        <v>#REF!</v>
      </c>
      <c r="Y573" t="str">
        <f>U573*0.02</f>
        <v>#REF!</v>
      </c>
      <c r="Z573" t="str">
        <f>V573*0.1</f>
        <v>#REF!</v>
      </c>
      <c r="AA573" t="str">
        <f>U573-X573-Y573</f>
        <v>#REF!</v>
      </c>
      <c r="AB573" t="str">
        <f>V573-Z573</f>
        <v>#REF!</v>
      </c>
      <c r="AC573" t="str">
        <f>AA573*0.01</f>
        <v>#REF!</v>
      </c>
      <c r="AD573" t="str">
        <f>AA573-P573-AC573-Q573</f>
        <v>#REF!</v>
      </c>
      <c r="AE573" t="str">
        <f>AB573-P573-Q573-AC573</f>
        <v>#REF!</v>
      </c>
      <c r="AF573" t="str">
        <f>AD573/U573</f>
        <v>#REF!</v>
      </c>
      <c r="AG573" t="str">
        <f>AE573/V573</f>
        <v>#REF!</v>
      </c>
    </row>
    <row r="574">
      <c r="G574" t="str">
        <v>A</v>
      </c>
      <c r="J574" t="str">
        <f>IF(K574&gt;0,K574*0.0625,IF(L574&gt;0,L574*2.204623,))</f>
        <v>#REF!</v>
      </c>
      <c r="K574" t="str">
        <f>IF(L574&gt;0,L574*35.273962,IF(J574&gt;0,J574*16,))</f>
        <v>#REF!</v>
      </c>
      <c r="L574" t="str">
        <f>IF(J574&gt;0,J574*0.453592,IF(K574&gt;0,K574*0.02835,))</f>
        <v>#REF!</v>
      </c>
      <c r="O574">
        <f>I574+N574+M574</f>
        <v>0</v>
      </c>
      <c r="P574">
        <f>O574*C$3</f>
        <v>0</v>
      </c>
      <c r="Q574" t="str">
        <f>ROUNDUP(HLOOKUP(IF(CEILING(L574,0.5)&lt;1,1,CEILING(L574,0.5)),'배송비 조회'!A$32:AY$36,2,0),-2)</f>
        <v>#REF!</v>
      </c>
      <c r="R574">
        <v>0</v>
      </c>
      <c r="S574" t="str">
        <f>ROUND((P574+Q574)*0.6,-2)</f>
        <v>#REF!</v>
      </c>
      <c r="T574" t="str">
        <f>ROUND((P574+Q574)*0.7,-2)</f>
        <v>#REF!</v>
      </c>
      <c r="U574" t="str">
        <f>ROUND(SUM(P574+Q574+R574+S574), -2)</f>
        <v>#REF!</v>
      </c>
      <c r="V574" t="str">
        <f>ROUND(P574+Q574+R574+T574, -2)</f>
        <v>#REF!</v>
      </c>
      <c r="W574">
        <v>0</v>
      </c>
      <c r="X574" t="str">
        <f>U574*0.038</f>
        <v>#REF!</v>
      </c>
      <c r="Y574" t="str">
        <f>U574*0.02</f>
        <v>#REF!</v>
      </c>
      <c r="Z574" t="str">
        <f>V574*0.1</f>
        <v>#REF!</v>
      </c>
      <c r="AA574" t="str">
        <f>U574-X574-Y574</f>
        <v>#REF!</v>
      </c>
      <c r="AB574" t="str">
        <f>V574-Z574</f>
        <v>#REF!</v>
      </c>
      <c r="AC574" t="str">
        <f>AA574*0.01</f>
        <v>#REF!</v>
      </c>
      <c r="AD574" t="str">
        <f>AA574-P574-AC574-Q574</f>
        <v>#REF!</v>
      </c>
      <c r="AE574" t="str">
        <f>AB574-P574-Q574-AC574</f>
        <v>#REF!</v>
      </c>
      <c r="AF574" t="str">
        <f>AD574/U574</f>
        <v>#REF!</v>
      </c>
      <c r="AG574" t="str">
        <f>AE574/V574</f>
        <v>#REF!</v>
      </c>
    </row>
    <row r="575">
      <c r="G575" t="str">
        <v>A</v>
      </c>
      <c r="J575" t="str">
        <f>IF(K575&gt;0,K575*0.0625,IF(L575&gt;0,L575*2.204623,))</f>
        <v>#REF!</v>
      </c>
      <c r="K575" t="str">
        <f>IF(L575&gt;0,L575*35.273962,IF(J575&gt;0,J575*16,))</f>
        <v>#REF!</v>
      </c>
      <c r="L575" t="str">
        <f>IF(J575&gt;0,J575*0.453592,IF(K575&gt;0,K575*0.02835,))</f>
        <v>#REF!</v>
      </c>
      <c r="O575">
        <f>I575+N575+M575</f>
        <v>0</v>
      </c>
      <c r="P575">
        <f>O575*C$3</f>
        <v>0</v>
      </c>
      <c r="Q575" t="str">
        <f>ROUNDUP(HLOOKUP(IF(CEILING(L575,0.5)&lt;1,1,CEILING(L575,0.5)),'배송비 조회'!A$32:AY$36,2,0),-2)</f>
        <v>#REF!</v>
      </c>
      <c r="R575">
        <v>0</v>
      </c>
      <c r="S575" t="str">
        <f>ROUND((P575+Q575)*0.6,-2)</f>
        <v>#REF!</v>
      </c>
      <c r="T575" t="str">
        <f>ROUND((P575+Q575)*0.7,-2)</f>
        <v>#REF!</v>
      </c>
      <c r="U575" t="str">
        <f>ROUND(SUM(P575+Q575+R575+S575), -2)</f>
        <v>#REF!</v>
      </c>
      <c r="V575" t="str">
        <f>ROUND(P575+Q575+R575+T575, -2)</f>
        <v>#REF!</v>
      </c>
      <c r="W575">
        <v>0</v>
      </c>
      <c r="X575" t="str">
        <f>U575*0.038</f>
        <v>#REF!</v>
      </c>
      <c r="Y575" t="str">
        <f>U575*0.02</f>
        <v>#REF!</v>
      </c>
      <c r="Z575" t="str">
        <f>V575*0.1</f>
        <v>#REF!</v>
      </c>
      <c r="AA575" t="str">
        <f>U575-X575-Y575</f>
        <v>#REF!</v>
      </c>
      <c r="AB575" t="str">
        <f>V575-Z575</f>
        <v>#REF!</v>
      </c>
      <c r="AC575" t="str">
        <f>AA575*0.01</f>
        <v>#REF!</v>
      </c>
      <c r="AD575" t="str">
        <f>AA575-P575-AC575-Q575</f>
        <v>#REF!</v>
      </c>
      <c r="AE575" t="str">
        <f>AB575-P575-Q575-AC575</f>
        <v>#REF!</v>
      </c>
      <c r="AF575" t="str">
        <f>AD575/U575</f>
        <v>#REF!</v>
      </c>
      <c r="AG575" t="str">
        <f>AE575/V575</f>
        <v>#REF!</v>
      </c>
    </row>
    <row r="576">
      <c r="G576" t="str">
        <v>A</v>
      </c>
      <c r="J576" t="str">
        <f>IF(K576&gt;0,K576*0.0625,IF(L576&gt;0,L576*2.204623,))</f>
        <v>#REF!</v>
      </c>
      <c r="K576" t="str">
        <f>IF(L576&gt;0,L576*35.273962,IF(J576&gt;0,J576*16,))</f>
        <v>#REF!</v>
      </c>
      <c r="L576" t="str">
        <f>IF(J576&gt;0,J576*0.453592,IF(K576&gt;0,K576*0.02835,))</f>
        <v>#REF!</v>
      </c>
      <c r="O576">
        <f>I576+N576+M576</f>
        <v>0</v>
      </c>
      <c r="P576">
        <f>O576*C$3</f>
        <v>0</v>
      </c>
      <c r="Q576" t="str">
        <f>ROUNDUP(HLOOKUP(IF(CEILING(L576,0.5)&lt;1,1,CEILING(L576,0.5)),'배송비 조회'!A$32:AY$36,2,0),-2)</f>
        <v>#REF!</v>
      </c>
      <c r="R576">
        <v>0</v>
      </c>
      <c r="S576" t="str">
        <f>ROUND((P576+Q576)*0.6,-2)</f>
        <v>#REF!</v>
      </c>
      <c r="T576" t="str">
        <f>ROUND((P576+Q576)*0.7,-2)</f>
        <v>#REF!</v>
      </c>
      <c r="U576" t="str">
        <f>ROUND(SUM(P576+Q576+R576+S576), -2)</f>
        <v>#REF!</v>
      </c>
      <c r="V576" t="str">
        <f>ROUND(P576+Q576+R576+T576, -2)</f>
        <v>#REF!</v>
      </c>
      <c r="W576">
        <v>0</v>
      </c>
      <c r="X576" t="str">
        <f>U576*0.038</f>
        <v>#REF!</v>
      </c>
      <c r="Y576" t="str">
        <f>U576*0.02</f>
        <v>#REF!</v>
      </c>
      <c r="Z576" t="str">
        <f>V576*0.1</f>
        <v>#REF!</v>
      </c>
      <c r="AA576" t="str">
        <f>U576-X576-Y576</f>
        <v>#REF!</v>
      </c>
      <c r="AB576" t="str">
        <f>V576-Z576</f>
        <v>#REF!</v>
      </c>
      <c r="AC576" t="str">
        <f>AA576*0.01</f>
        <v>#REF!</v>
      </c>
      <c r="AD576" t="str">
        <f>AA576-P576-AC576-Q576</f>
        <v>#REF!</v>
      </c>
      <c r="AE576" t="str">
        <f>AB576-P576-Q576-AC576</f>
        <v>#REF!</v>
      </c>
      <c r="AF576" t="str">
        <f>AD576/U576</f>
        <v>#REF!</v>
      </c>
      <c r="AG576" t="str">
        <f>AE576/V576</f>
        <v>#REF!</v>
      </c>
    </row>
    <row r="577">
      <c r="G577" t="str">
        <v>A</v>
      </c>
      <c r="J577" t="str">
        <f>IF(K577&gt;0,K577*0.0625,IF(L577&gt;0,L577*2.204623,))</f>
        <v>#REF!</v>
      </c>
      <c r="K577" t="str">
        <f>IF(L577&gt;0,L577*35.273962,IF(J577&gt;0,J577*16,))</f>
        <v>#REF!</v>
      </c>
      <c r="L577" t="str">
        <f>IF(J577&gt;0,J577*0.453592,IF(K577&gt;0,K577*0.02835,))</f>
        <v>#REF!</v>
      </c>
      <c r="O577">
        <f>I577+N577+M577</f>
        <v>0</v>
      </c>
      <c r="P577">
        <f>O577*C$3</f>
        <v>0</v>
      </c>
      <c r="Q577" t="str">
        <f>ROUNDUP(HLOOKUP(IF(CEILING(L577,0.5)&lt;1,1,CEILING(L577,0.5)),'배송비 조회'!A$32:AY$36,2,0),-2)</f>
        <v>#REF!</v>
      </c>
      <c r="R577">
        <v>0</v>
      </c>
      <c r="S577" t="str">
        <f>ROUND((P577+Q577)*0.6,-2)</f>
        <v>#REF!</v>
      </c>
      <c r="T577" t="str">
        <f>ROUND((P577+Q577)*0.7,-2)</f>
        <v>#REF!</v>
      </c>
      <c r="U577" t="str">
        <f>ROUND(SUM(P577+Q577+R577+S577), -2)</f>
        <v>#REF!</v>
      </c>
      <c r="V577" t="str">
        <f>ROUND(P577+Q577+R577+T577, -2)</f>
        <v>#REF!</v>
      </c>
      <c r="W577">
        <v>0</v>
      </c>
      <c r="X577" t="str">
        <f>U577*0.038</f>
        <v>#REF!</v>
      </c>
      <c r="Y577" t="str">
        <f>U577*0.02</f>
        <v>#REF!</v>
      </c>
      <c r="Z577" t="str">
        <f>V577*0.1</f>
        <v>#REF!</v>
      </c>
      <c r="AA577" t="str">
        <f>U577-X577-Y577</f>
        <v>#REF!</v>
      </c>
      <c r="AB577" t="str">
        <f>V577-Z577</f>
        <v>#REF!</v>
      </c>
      <c r="AC577" t="str">
        <f>AA577*0.01</f>
        <v>#REF!</v>
      </c>
      <c r="AD577" t="str">
        <f>AA577-P577-AC577-Q577</f>
        <v>#REF!</v>
      </c>
      <c r="AE577" t="str">
        <f>AB577-P577-Q577-AC577</f>
        <v>#REF!</v>
      </c>
      <c r="AF577" t="str">
        <f>AD577/U577</f>
        <v>#REF!</v>
      </c>
      <c r="AG577" t="str">
        <f>AE577/V577</f>
        <v>#REF!</v>
      </c>
    </row>
    <row r="578">
      <c r="G578" t="str">
        <v>A</v>
      </c>
      <c r="J578" t="str">
        <f>IF(K578&gt;0,K578*0.0625,IF(L578&gt;0,L578*2.204623,))</f>
        <v>#REF!</v>
      </c>
      <c r="K578" t="str">
        <f>IF(L578&gt;0,L578*35.273962,IF(J578&gt;0,J578*16,))</f>
        <v>#REF!</v>
      </c>
      <c r="L578" t="str">
        <f>IF(J578&gt;0,J578*0.453592,IF(K578&gt;0,K578*0.02835,))</f>
        <v>#REF!</v>
      </c>
      <c r="O578">
        <f>I578+N578+M578</f>
        <v>0</v>
      </c>
      <c r="P578">
        <f>O578*C$3</f>
        <v>0</v>
      </c>
      <c r="Q578" t="str">
        <f>ROUNDUP(HLOOKUP(IF(CEILING(L578,0.5)&lt;1,1,CEILING(L578,0.5)),'배송비 조회'!A$32:AY$36,2,0),-2)</f>
        <v>#REF!</v>
      </c>
      <c r="R578">
        <v>0</v>
      </c>
      <c r="S578" t="str">
        <f>ROUND((P578+Q578)*0.6,-2)</f>
        <v>#REF!</v>
      </c>
      <c r="T578" t="str">
        <f>ROUND((P578+Q578)*0.7,-2)</f>
        <v>#REF!</v>
      </c>
      <c r="U578" t="str">
        <f>ROUND(SUM(P578+Q578+R578+S578), -2)</f>
        <v>#REF!</v>
      </c>
      <c r="V578" t="str">
        <f>ROUND(P578+Q578+R578+T578, -2)</f>
        <v>#REF!</v>
      </c>
      <c r="W578">
        <v>0</v>
      </c>
      <c r="X578" t="str">
        <f>U578*0.038</f>
        <v>#REF!</v>
      </c>
      <c r="Y578" t="str">
        <f>U578*0.02</f>
        <v>#REF!</v>
      </c>
      <c r="Z578" t="str">
        <f>V578*0.1</f>
        <v>#REF!</v>
      </c>
      <c r="AA578" t="str">
        <f>U578-X578-Y578</f>
        <v>#REF!</v>
      </c>
      <c r="AB578" t="str">
        <f>V578-Z578</f>
        <v>#REF!</v>
      </c>
      <c r="AC578" t="str">
        <f>AA578*0.01</f>
        <v>#REF!</v>
      </c>
      <c r="AD578" t="str">
        <f>AA578-P578-AC578-Q578</f>
        <v>#REF!</v>
      </c>
      <c r="AE578" t="str">
        <f>AB578-P578-Q578-AC578</f>
        <v>#REF!</v>
      </c>
      <c r="AF578" t="str">
        <f>AD578/U578</f>
        <v>#REF!</v>
      </c>
      <c r="AG578" t="str">
        <f>AE578/V578</f>
        <v>#REF!</v>
      </c>
    </row>
    <row r="579">
      <c r="G579" t="str">
        <v>A</v>
      </c>
      <c r="J579" t="str">
        <f>IF(K579&gt;0,K579*0.0625,IF(L579&gt;0,L579*2.204623,))</f>
        <v>#REF!</v>
      </c>
      <c r="K579" t="str">
        <f>IF(L579&gt;0,L579*35.273962,IF(J579&gt;0,J579*16,))</f>
        <v>#REF!</v>
      </c>
      <c r="L579" t="str">
        <f>IF(J579&gt;0,J579*0.453592,IF(K579&gt;0,K579*0.02835,))</f>
        <v>#REF!</v>
      </c>
      <c r="O579">
        <f>I579+N579+M579</f>
        <v>0</v>
      </c>
      <c r="P579">
        <f>O579*C$3</f>
        <v>0</v>
      </c>
      <c r="Q579" t="str">
        <f>ROUNDUP(HLOOKUP(IF(CEILING(L579,0.5)&lt;1,1,CEILING(L579,0.5)),'배송비 조회'!A$32:AY$36,2,0),-2)</f>
        <v>#REF!</v>
      </c>
      <c r="R579">
        <v>0</v>
      </c>
      <c r="S579" t="str">
        <f>ROUND((P579+Q579)*0.6,-2)</f>
        <v>#REF!</v>
      </c>
      <c r="T579" t="str">
        <f>ROUND((P579+Q579)*0.7,-2)</f>
        <v>#REF!</v>
      </c>
      <c r="U579" t="str">
        <f>ROUND(SUM(P579+Q579+R579+S579), -2)</f>
        <v>#REF!</v>
      </c>
      <c r="V579" t="str">
        <f>ROUND(P579+Q579+R579+T579, -2)</f>
        <v>#REF!</v>
      </c>
      <c r="W579">
        <v>0</v>
      </c>
      <c r="X579" t="str">
        <f>U579*0.038</f>
        <v>#REF!</v>
      </c>
      <c r="Y579" t="str">
        <f>U579*0.02</f>
        <v>#REF!</v>
      </c>
      <c r="Z579" t="str">
        <f>V579*0.1</f>
        <v>#REF!</v>
      </c>
      <c r="AA579" t="str">
        <f>U579-X579-Y579</f>
        <v>#REF!</v>
      </c>
      <c r="AB579" t="str">
        <f>V579-Z579</f>
        <v>#REF!</v>
      </c>
      <c r="AC579" t="str">
        <f>AA579*0.01</f>
        <v>#REF!</v>
      </c>
      <c r="AD579" t="str">
        <f>AA579-P579-AC579-Q579</f>
        <v>#REF!</v>
      </c>
      <c r="AE579" t="str">
        <f>AB579-P579-Q579-AC579</f>
        <v>#REF!</v>
      </c>
      <c r="AF579" t="str">
        <f>AD579/U579</f>
        <v>#REF!</v>
      </c>
      <c r="AG579" t="str">
        <f>AE579/V579</f>
        <v>#REF!</v>
      </c>
    </row>
    <row r="580">
      <c r="G580" t="str">
        <v>A</v>
      </c>
      <c r="J580" t="str">
        <f>IF(K580&gt;0,K580*0.0625,IF(L580&gt;0,L580*2.204623,))</f>
        <v>#REF!</v>
      </c>
      <c r="K580" t="str">
        <f>IF(L580&gt;0,L580*35.273962,IF(J580&gt;0,J580*16,))</f>
        <v>#REF!</v>
      </c>
      <c r="L580" t="str">
        <f>IF(J580&gt;0,J580*0.453592,IF(K580&gt;0,K580*0.02835,))</f>
        <v>#REF!</v>
      </c>
      <c r="O580">
        <f>I580+N580+M580</f>
        <v>0</v>
      </c>
      <c r="P580">
        <f>O580*C$3</f>
        <v>0</v>
      </c>
      <c r="Q580" t="str">
        <f>ROUNDUP(HLOOKUP(IF(CEILING(L580,0.5)&lt;1,1,CEILING(L580,0.5)),'배송비 조회'!A$32:AY$36,2,0),-2)</f>
        <v>#REF!</v>
      </c>
      <c r="R580">
        <v>0</v>
      </c>
      <c r="S580" t="str">
        <f>ROUND((P580+Q580)*0.6,-2)</f>
        <v>#REF!</v>
      </c>
      <c r="T580" t="str">
        <f>ROUND((P580+Q580)*0.7,-2)</f>
        <v>#REF!</v>
      </c>
      <c r="U580" t="str">
        <f>ROUND(SUM(P580+Q580+R580+S580), -2)</f>
        <v>#REF!</v>
      </c>
      <c r="V580" t="str">
        <f>ROUND(P580+Q580+R580+T580, -2)</f>
        <v>#REF!</v>
      </c>
      <c r="W580">
        <v>0</v>
      </c>
      <c r="X580" t="str">
        <f>U580*0.038</f>
        <v>#REF!</v>
      </c>
      <c r="Y580" t="str">
        <f>U580*0.02</f>
        <v>#REF!</v>
      </c>
      <c r="Z580" t="str">
        <f>V580*0.1</f>
        <v>#REF!</v>
      </c>
      <c r="AA580" t="str">
        <f>U580-X580-Y580</f>
        <v>#REF!</v>
      </c>
      <c r="AB580" t="str">
        <f>V580-Z580</f>
        <v>#REF!</v>
      </c>
      <c r="AC580" t="str">
        <f>AA580*0.01</f>
        <v>#REF!</v>
      </c>
      <c r="AD580" t="str">
        <f>AA580-P580-AC580-Q580</f>
        <v>#REF!</v>
      </c>
      <c r="AE580" t="str">
        <f>AB580-P580-Q580-AC580</f>
        <v>#REF!</v>
      </c>
      <c r="AF580" t="str">
        <f>AD580/U580</f>
        <v>#REF!</v>
      </c>
      <c r="AG580" t="str">
        <f>AE580/V580</f>
        <v>#REF!</v>
      </c>
    </row>
    <row r="581">
      <c r="G581" t="str">
        <v>A</v>
      </c>
      <c r="J581" t="str">
        <f>IF(K581&gt;0,K581*0.0625,IF(L581&gt;0,L581*2.204623,))</f>
        <v>#REF!</v>
      </c>
      <c r="K581" t="str">
        <f>IF(L581&gt;0,L581*35.273962,IF(J581&gt;0,J581*16,))</f>
        <v>#REF!</v>
      </c>
      <c r="L581" t="str">
        <f>IF(J581&gt;0,J581*0.453592,IF(K581&gt;0,K581*0.02835,))</f>
        <v>#REF!</v>
      </c>
      <c r="O581">
        <f>I581+N581+M581</f>
        <v>0</v>
      </c>
      <c r="P581">
        <f>O581*C$3</f>
        <v>0</v>
      </c>
      <c r="Q581" t="str">
        <f>ROUNDUP(HLOOKUP(IF(CEILING(L581,0.5)&lt;1,1,CEILING(L581,0.5)),'배송비 조회'!A$32:AY$36,2,0),-2)</f>
        <v>#REF!</v>
      </c>
      <c r="R581">
        <v>0</v>
      </c>
      <c r="S581" t="str">
        <f>ROUND((P581+Q581)*0.6,-2)</f>
        <v>#REF!</v>
      </c>
      <c r="T581" t="str">
        <f>ROUND((P581+Q581)*0.7,-2)</f>
        <v>#REF!</v>
      </c>
      <c r="U581" t="str">
        <f>ROUND(SUM(P581+Q581+R581+S581), -2)</f>
        <v>#REF!</v>
      </c>
      <c r="V581" t="str">
        <f>ROUND(P581+Q581+R581+T581, -2)</f>
        <v>#REF!</v>
      </c>
      <c r="W581">
        <v>0</v>
      </c>
      <c r="X581" t="str">
        <f>U581*0.038</f>
        <v>#REF!</v>
      </c>
      <c r="Y581" t="str">
        <f>U581*0.02</f>
        <v>#REF!</v>
      </c>
      <c r="Z581" t="str">
        <f>V581*0.1</f>
        <v>#REF!</v>
      </c>
      <c r="AA581" t="str">
        <f>U581-X581-Y581</f>
        <v>#REF!</v>
      </c>
      <c r="AB581" t="str">
        <f>V581-Z581</f>
        <v>#REF!</v>
      </c>
      <c r="AC581" t="str">
        <f>AA581*0.01</f>
        <v>#REF!</v>
      </c>
      <c r="AD581" t="str">
        <f>AA581-P581-AC581-Q581</f>
        <v>#REF!</v>
      </c>
      <c r="AE581" t="str">
        <f>AB581-P581-Q581-AC581</f>
        <v>#REF!</v>
      </c>
      <c r="AF581" t="str">
        <f>AD581/U581</f>
        <v>#REF!</v>
      </c>
      <c r="AG581" t="str">
        <f>AE581/V581</f>
        <v>#REF!</v>
      </c>
    </row>
    <row r="582">
      <c r="G582" t="str">
        <v>A</v>
      </c>
      <c r="J582" t="str">
        <f>IF(K582&gt;0,K582*0.0625,IF(L582&gt;0,L582*2.204623,))</f>
        <v>#REF!</v>
      </c>
      <c r="K582" t="str">
        <f>IF(L582&gt;0,L582*35.273962,IF(J582&gt;0,J582*16,))</f>
        <v>#REF!</v>
      </c>
      <c r="L582" t="str">
        <f>IF(J582&gt;0,J582*0.453592,IF(K582&gt;0,K582*0.02835,))</f>
        <v>#REF!</v>
      </c>
      <c r="O582">
        <f>I582+N582+M582</f>
        <v>0</v>
      </c>
      <c r="P582">
        <f>O582*C$3</f>
        <v>0</v>
      </c>
      <c r="Q582" t="str">
        <f>ROUNDUP(HLOOKUP(IF(CEILING(L582,0.5)&lt;1,1,CEILING(L582,0.5)),'배송비 조회'!A$32:AY$36,2,0),-2)</f>
        <v>#REF!</v>
      </c>
      <c r="R582">
        <v>0</v>
      </c>
      <c r="S582" t="str">
        <f>ROUND((P582+Q582)*0.6,-2)</f>
        <v>#REF!</v>
      </c>
      <c r="T582" t="str">
        <f>ROUND((P582+Q582)*0.7,-2)</f>
        <v>#REF!</v>
      </c>
      <c r="U582" t="str">
        <f>ROUND(SUM(P582+Q582+R582+S582), -2)</f>
        <v>#REF!</v>
      </c>
      <c r="V582" t="str">
        <f>ROUND(P582+Q582+R582+T582, -2)</f>
        <v>#REF!</v>
      </c>
      <c r="W582">
        <v>0</v>
      </c>
      <c r="X582" t="str">
        <f>U582*0.038</f>
        <v>#REF!</v>
      </c>
      <c r="Y582" t="str">
        <f>U582*0.02</f>
        <v>#REF!</v>
      </c>
      <c r="Z582" t="str">
        <f>V582*0.1</f>
        <v>#REF!</v>
      </c>
      <c r="AA582" t="str">
        <f>U582-X582-Y582</f>
        <v>#REF!</v>
      </c>
      <c r="AB582" t="str">
        <f>V582-Z582</f>
        <v>#REF!</v>
      </c>
      <c r="AC582" t="str">
        <f>AA582*0.01</f>
        <v>#REF!</v>
      </c>
      <c r="AD582" t="str">
        <f>AA582-P582-AC582-Q582</f>
        <v>#REF!</v>
      </c>
      <c r="AE582" t="str">
        <f>AB582-P582-Q582-AC582</f>
        <v>#REF!</v>
      </c>
      <c r="AF582" t="str">
        <f>AD582/U582</f>
        <v>#REF!</v>
      </c>
      <c r="AG582" t="str">
        <f>AE582/V582</f>
        <v>#REF!</v>
      </c>
    </row>
    <row r="583">
      <c r="G583" t="str">
        <v>A</v>
      </c>
      <c r="J583" t="str">
        <f>IF(K583&gt;0,K583*0.0625,IF(L583&gt;0,L583*2.204623,))</f>
        <v>#REF!</v>
      </c>
      <c r="K583" t="str">
        <f>IF(L583&gt;0,L583*35.273962,IF(J583&gt;0,J583*16,))</f>
        <v>#REF!</v>
      </c>
      <c r="L583" t="str">
        <f>IF(J583&gt;0,J583*0.453592,IF(K583&gt;0,K583*0.02835,))</f>
        <v>#REF!</v>
      </c>
      <c r="O583">
        <f>I583+N583+M583</f>
        <v>0</v>
      </c>
      <c r="P583">
        <f>O583*C$3</f>
        <v>0</v>
      </c>
      <c r="Q583" t="str">
        <f>ROUNDUP(HLOOKUP(IF(CEILING(L583,0.5)&lt;1,1,CEILING(L583,0.5)),'배송비 조회'!A$32:AY$36,2,0),-2)</f>
        <v>#REF!</v>
      </c>
      <c r="R583">
        <v>0</v>
      </c>
      <c r="S583" t="str">
        <f>ROUND((P583+Q583)*0.6,-2)</f>
        <v>#REF!</v>
      </c>
      <c r="T583" t="str">
        <f>ROUND((P583+Q583)*0.7,-2)</f>
        <v>#REF!</v>
      </c>
      <c r="U583" t="str">
        <f>ROUND(SUM(P583+Q583+R583+S583), -2)</f>
        <v>#REF!</v>
      </c>
      <c r="V583" t="str">
        <f>ROUND(P583+Q583+R583+T583, -2)</f>
        <v>#REF!</v>
      </c>
      <c r="W583">
        <v>0</v>
      </c>
      <c r="X583" t="str">
        <f>U583*0.038</f>
        <v>#REF!</v>
      </c>
      <c r="Y583" t="str">
        <f>U583*0.02</f>
        <v>#REF!</v>
      </c>
      <c r="Z583" t="str">
        <f>V583*0.1</f>
        <v>#REF!</v>
      </c>
      <c r="AA583" t="str">
        <f>U583-X583-Y583</f>
        <v>#REF!</v>
      </c>
      <c r="AB583" t="str">
        <f>V583-Z583</f>
        <v>#REF!</v>
      </c>
      <c r="AC583" t="str">
        <f>AA583*0.01</f>
        <v>#REF!</v>
      </c>
      <c r="AD583" t="str">
        <f>AA583-P583-AC583-Q583</f>
        <v>#REF!</v>
      </c>
      <c r="AE583" t="str">
        <f>AB583-P583-Q583-AC583</f>
        <v>#REF!</v>
      </c>
      <c r="AF583" t="str">
        <f>AD583/U583</f>
        <v>#REF!</v>
      </c>
      <c r="AG583" t="str">
        <f>AE583/V583</f>
        <v>#REF!</v>
      </c>
    </row>
    <row r="584">
      <c r="G584" t="str">
        <v>A</v>
      </c>
      <c r="J584" t="str">
        <f>IF(K584&gt;0,K584*0.0625,IF(L584&gt;0,L584*2.204623,))</f>
        <v>#REF!</v>
      </c>
      <c r="K584" t="str">
        <f>IF(L584&gt;0,L584*35.273962,IF(J584&gt;0,J584*16,))</f>
        <v>#REF!</v>
      </c>
      <c r="L584" t="str">
        <f>IF(J584&gt;0,J584*0.453592,IF(K584&gt;0,K584*0.02835,))</f>
        <v>#REF!</v>
      </c>
      <c r="O584">
        <f>I584+N584+M584</f>
        <v>0</v>
      </c>
      <c r="P584">
        <f>O584*C$3</f>
        <v>0</v>
      </c>
      <c r="Q584" t="str">
        <f>ROUNDUP(HLOOKUP(IF(CEILING(L584,0.5)&lt;1,1,CEILING(L584,0.5)),'배송비 조회'!A$32:AY$36,2,0),-2)</f>
        <v>#REF!</v>
      </c>
      <c r="R584">
        <v>0</v>
      </c>
      <c r="S584" t="str">
        <f>ROUND((P584+Q584)*0.6,-2)</f>
        <v>#REF!</v>
      </c>
      <c r="T584" t="str">
        <f>ROUND((P584+Q584)*0.7,-2)</f>
        <v>#REF!</v>
      </c>
      <c r="U584" t="str">
        <f>ROUND(SUM(P584+Q584+R584+S584), -2)</f>
        <v>#REF!</v>
      </c>
      <c r="V584" t="str">
        <f>ROUND(P584+Q584+R584+T584, -2)</f>
        <v>#REF!</v>
      </c>
      <c r="W584">
        <v>0</v>
      </c>
      <c r="X584" t="str">
        <f>U584*0.038</f>
        <v>#REF!</v>
      </c>
      <c r="Y584" t="str">
        <f>U584*0.02</f>
        <v>#REF!</v>
      </c>
      <c r="Z584" t="str">
        <f>V584*0.1</f>
        <v>#REF!</v>
      </c>
      <c r="AA584" t="str">
        <f>U584-X584-Y584</f>
        <v>#REF!</v>
      </c>
      <c r="AB584" t="str">
        <f>V584-Z584</f>
        <v>#REF!</v>
      </c>
      <c r="AC584" t="str">
        <f>AA584*0.01</f>
        <v>#REF!</v>
      </c>
      <c r="AD584" t="str">
        <f>AA584-P584-AC584-Q584</f>
        <v>#REF!</v>
      </c>
      <c r="AE584" t="str">
        <f>AB584-P584-Q584-AC584</f>
        <v>#REF!</v>
      </c>
      <c r="AF584" t="str">
        <f>AD584/U584</f>
        <v>#REF!</v>
      </c>
      <c r="AG584" t="str">
        <f>AE584/V584</f>
        <v>#REF!</v>
      </c>
    </row>
    <row r="585">
      <c r="G585" t="str">
        <v>A</v>
      </c>
      <c r="J585" t="str">
        <f>IF(K585&gt;0,K585*0.0625,IF(L585&gt;0,L585*2.204623,))</f>
        <v>#REF!</v>
      </c>
      <c r="K585" t="str">
        <f>IF(L585&gt;0,L585*35.273962,IF(J585&gt;0,J585*16,))</f>
        <v>#REF!</v>
      </c>
      <c r="L585" t="str">
        <f>IF(J585&gt;0,J585*0.453592,IF(K585&gt;0,K585*0.02835,))</f>
        <v>#REF!</v>
      </c>
      <c r="O585">
        <f>I585+N585+M585</f>
        <v>0</v>
      </c>
      <c r="P585">
        <f>O585*C$3</f>
        <v>0</v>
      </c>
      <c r="Q585" t="str">
        <f>ROUNDUP(HLOOKUP(IF(CEILING(L585,0.5)&lt;1,1,CEILING(L585,0.5)),'배송비 조회'!A$32:AY$36,2,0),-2)</f>
        <v>#REF!</v>
      </c>
      <c r="R585">
        <v>0</v>
      </c>
      <c r="S585" t="str">
        <f>ROUND((P585+Q585)*0.6,-2)</f>
        <v>#REF!</v>
      </c>
      <c r="T585" t="str">
        <f>ROUND((P585+Q585)*0.7,-2)</f>
        <v>#REF!</v>
      </c>
      <c r="U585" t="str">
        <f>ROUND(SUM(P585+Q585+R585+S585), -2)</f>
        <v>#REF!</v>
      </c>
      <c r="V585" t="str">
        <f>ROUND(P585+Q585+R585+T585, -2)</f>
        <v>#REF!</v>
      </c>
      <c r="W585">
        <v>0</v>
      </c>
      <c r="X585" t="str">
        <f>U585*0.038</f>
        <v>#REF!</v>
      </c>
      <c r="Y585" t="str">
        <f>U585*0.02</f>
        <v>#REF!</v>
      </c>
      <c r="Z585" t="str">
        <f>V585*0.1</f>
        <v>#REF!</v>
      </c>
      <c r="AA585" t="str">
        <f>U585-X585-Y585</f>
        <v>#REF!</v>
      </c>
      <c r="AB585" t="str">
        <f>V585-Z585</f>
        <v>#REF!</v>
      </c>
      <c r="AC585" t="str">
        <f>AA585*0.01</f>
        <v>#REF!</v>
      </c>
      <c r="AD585" t="str">
        <f>AA585-P585-AC585-Q585</f>
        <v>#REF!</v>
      </c>
      <c r="AE585" t="str">
        <f>AB585-P585-Q585-AC585</f>
        <v>#REF!</v>
      </c>
      <c r="AF585" t="str">
        <f>AD585/U585</f>
        <v>#REF!</v>
      </c>
      <c r="AG585" t="str">
        <f>AE585/V585</f>
        <v>#REF!</v>
      </c>
    </row>
    <row r="586">
      <c r="G586" t="str">
        <v>A</v>
      </c>
      <c r="J586" t="str">
        <f>IF(K586&gt;0,K586*0.0625,IF(L586&gt;0,L586*2.204623,))</f>
        <v>#REF!</v>
      </c>
      <c r="K586" t="str">
        <f>IF(L586&gt;0,L586*35.273962,IF(J586&gt;0,J586*16,))</f>
        <v>#REF!</v>
      </c>
      <c r="L586" t="str">
        <f>IF(J586&gt;0,J586*0.453592,IF(K586&gt;0,K586*0.02835,))</f>
        <v>#REF!</v>
      </c>
      <c r="O586">
        <f>I586+N586+M586</f>
        <v>0</v>
      </c>
      <c r="P586">
        <f>O586*C$3</f>
        <v>0</v>
      </c>
      <c r="Q586" t="str">
        <f>ROUNDUP(HLOOKUP(IF(CEILING(L586,0.5)&lt;1,1,CEILING(L586,0.5)),'배송비 조회'!A$32:AY$36,2,0),-2)</f>
        <v>#REF!</v>
      </c>
      <c r="R586">
        <v>0</v>
      </c>
      <c r="S586" t="str">
        <f>ROUND((P586+Q586)*0.6,-2)</f>
        <v>#REF!</v>
      </c>
      <c r="T586" t="str">
        <f>ROUND((P586+Q586)*0.7,-2)</f>
        <v>#REF!</v>
      </c>
      <c r="U586" t="str">
        <f>ROUND(SUM(P586+Q586+R586+S586), -2)</f>
        <v>#REF!</v>
      </c>
      <c r="V586" t="str">
        <f>ROUND(P586+Q586+R586+T586, -2)</f>
        <v>#REF!</v>
      </c>
      <c r="W586">
        <v>0</v>
      </c>
      <c r="X586" t="str">
        <f>U586*0.038</f>
        <v>#REF!</v>
      </c>
      <c r="Y586" t="str">
        <f>U586*0.02</f>
        <v>#REF!</v>
      </c>
      <c r="Z586" t="str">
        <f>V586*0.1</f>
        <v>#REF!</v>
      </c>
      <c r="AA586" t="str">
        <f>U586-X586-Y586</f>
        <v>#REF!</v>
      </c>
      <c r="AB586" t="str">
        <f>V586-Z586</f>
        <v>#REF!</v>
      </c>
      <c r="AC586" t="str">
        <f>AA586*0.01</f>
        <v>#REF!</v>
      </c>
      <c r="AD586" t="str">
        <f>AA586-P586-AC586-Q586</f>
        <v>#REF!</v>
      </c>
      <c r="AE586" t="str">
        <f>AB586-P586-Q586-AC586</f>
        <v>#REF!</v>
      </c>
      <c r="AF586" t="str">
        <f>AD586/U586</f>
        <v>#REF!</v>
      </c>
      <c r="AG586" t="str">
        <f>AE586/V586</f>
        <v>#REF!</v>
      </c>
    </row>
    <row r="587">
      <c r="G587" t="str">
        <v>A</v>
      </c>
      <c r="J587" t="str">
        <f>IF(K587&gt;0,K587*0.0625,IF(L587&gt;0,L587*2.204623,))</f>
        <v>#REF!</v>
      </c>
      <c r="K587" t="str">
        <f>IF(L587&gt;0,L587*35.273962,IF(J587&gt;0,J587*16,))</f>
        <v>#REF!</v>
      </c>
      <c r="L587" t="str">
        <f>IF(J587&gt;0,J587*0.453592,IF(K587&gt;0,K587*0.02835,))</f>
        <v>#REF!</v>
      </c>
      <c r="O587">
        <f>I587+N587+M587</f>
        <v>0</v>
      </c>
      <c r="P587">
        <f>O587*C$3</f>
        <v>0</v>
      </c>
      <c r="Q587" t="str">
        <f>ROUNDUP(HLOOKUP(IF(CEILING(L587,0.5)&lt;1,1,CEILING(L587,0.5)),'배송비 조회'!A$32:AY$36,2,0),-2)</f>
        <v>#REF!</v>
      </c>
      <c r="R587">
        <v>0</v>
      </c>
      <c r="S587" t="str">
        <f>ROUND((P587+Q587)*0.6,-2)</f>
        <v>#REF!</v>
      </c>
      <c r="T587" t="str">
        <f>ROUND((P587+Q587)*0.7,-2)</f>
        <v>#REF!</v>
      </c>
      <c r="U587" t="str">
        <f>ROUND(SUM(P587+Q587+R587+S587), -2)</f>
        <v>#REF!</v>
      </c>
      <c r="V587" t="str">
        <f>ROUND(P587+Q587+R587+T587, -2)</f>
        <v>#REF!</v>
      </c>
      <c r="W587">
        <v>0</v>
      </c>
      <c r="X587" t="str">
        <f>U587*0.038</f>
        <v>#REF!</v>
      </c>
      <c r="Y587" t="str">
        <f>U587*0.02</f>
        <v>#REF!</v>
      </c>
      <c r="Z587" t="str">
        <f>V587*0.1</f>
        <v>#REF!</v>
      </c>
      <c r="AA587" t="str">
        <f>U587-X587-Y587</f>
        <v>#REF!</v>
      </c>
      <c r="AB587" t="str">
        <f>V587-Z587</f>
        <v>#REF!</v>
      </c>
      <c r="AC587" t="str">
        <f>AA587*0.01</f>
        <v>#REF!</v>
      </c>
      <c r="AD587" t="str">
        <f>AA587-P587-AC587-Q587</f>
        <v>#REF!</v>
      </c>
      <c r="AE587" t="str">
        <f>AB587-P587-Q587-AC587</f>
        <v>#REF!</v>
      </c>
      <c r="AF587" t="str">
        <f>AD587/U587</f>
        <v>#REF!</v>
      </c>
      <c r="AG587" t="str">
        <f>AE587/V587</f>
        <v>#REF!</v>
      </c>
    </row>
    <row r="588">
      <c r="G588" t="str">
        <v>A</v>
      </c>
      <c r="J588" t="str">
        <f>IF(K588&gt;0,K588*0.0625,IF(L588&gt;0,L588*2.204623,))</f>
        <v>#REF!</v>
      </c>
      <c r="K588" t="str">
        <f>IF(L588&gt;0,L588*35.273962,IF(J588&gt;0,J588*16,))</f>
        <v>#REF!</v>
      </c>
      <c r="L588" t="str">
        <f>IF(J588&gt;0,J588*0.453592,IF(K588&gt;0,K588*0.02835,))</f>
        <v>#REF!</v>
      </c>
      <c r="O588">
        <f>I588+N588+M588</f>
        <v>0</v>
      </c>
      <c r="P588">
        <f>O588*C$3</f>
        <v>0</v>
      </c>
      <c r="Q588" t="str">
        <f>ROUNDUP(HLOOKUP(IF(CEILING(L588,0.5)&lt;1,1,CEILING(L588,0.5)),'배송비 조회'!A$32:AY$36,2,0),-2)</f>
        <v>#REF!</v>
      </c>
      <c r="R588">
        <v>0</v>
      </c>
      <c r="S588" t="str">
        <f>ROUND((P588+Q588)*0.6,-2)</f>
        <v>#REF!</v>
      </c>
      <c r="T588" t="str">
        <f>ROUND((P588+Q588)*0.7,-2)</f>
        <v>#REF!</v>
      </c>
      <c r="U588" t="str">
        <f>ROUND(SUM(P588+Q588+R588+S588), -2)</f>
        <v>#REF!</v>
      </c>
      <c r="V588" t="str">
        <f>ROUND(P588+Q588+R588+T588, -2)</f>
        <v>#REF!</v>
      </c>
      <c r="W588">
        <v>0</v>
      </c>
      <c r="X588" t="str">
        <f>U588*0.038</f>
        <v>#REF!</v>
      </c>
      <c r="Y588" t="str">
        <f>U588*0.02</f>
        <v>#REF!</v>
      </c>
      <c r="Z588" t="str">
        <f>V588*0.1</f>
        <v>#REF!</v>
      </c>
      <c r="AA588" t="str">
        <f>U588-X588-Y588</f>
        <v>#REF!</v>
      </c>
      <c r="AB588" t="str">
        <f>V588-Z588</f>
        <v>#REF!</v>
      </c>
      <c r="AC588" t="str">
        <f>AA588*0.01</f>
        <v>#REF!</v>
      </c>
      <c r="AD588" t="str">
        <f>AA588-P588-AC588-Q588</f>
        <v>#REF!</v>
      </c>
      <c r="AE588" t="str">
        <f>AB588-P588-Q588-AC588</f>
        <v>#REF!</v>
      </c>
      <c r="AF588" t="str">
        <f>AD588/U588</f>
        <v>#REF!</v>
      </c>
      <c r="AG588" t="str">
        <f>AE588/V588</f>
        <v>#REF!</v>
      </c>
    </row>
    <row r="589">
      <c r="G589" t="str">
        <v>A</v>
      </c>
      <c r="J589" t="str">
        <f>IF(K589&gt;0,K589*0.0625,IF(L589&gt;0,L589*2.204623,))</f>
        <v>#REF!</v>
      </c>
      <c r="K589" t="str">
        <f>IF(L589&gt;0,L589*35.273962,IF(J589&gt;0,J589*16,))</f>
        <v>#REF!</v>
      </c>
      <c r="L589" t="str">
        <f>IF(J589&gt;0,J589*0.453592,IF(K589&gt;0,K589*0.02835,))</f>
        <v>#REF!</v>
      </c>
      <c r="O589">
        <f>I589+N589+M589</f>
        <v>0</v>
      </c>
      <c r="P589">
        <f>O589*C$3</f>
        <v>0</v>
      </c>
      <c r="Q589" t="str">
        <f>ROUNDUP(HLOOKUP(IF(CEILING(L589,0.5)&lt;1,1,CEILING(L589,0.5)),'배송비 조회'!A$32:AY$36,2,0),-2)</f>
        <v>#REF!</v>
      </c>
      <c r="R589">
        <v>0</v>
      </c>
      <c r="S589" t="str">
        <f>ROUND((P589+Q589)*0.6,-2)</f>
        <v>#REF!</v>
      </c>
      <c r="T589" t="str">
        <f>ROUND((P589+Q589)*0.7,-2)</f>
        <v>#REF!</v>
      </c>
      <c r="U589" t="str">
        <f>ROUND(SUM(P589+Q589+R589+S589), -2)</f>
        <v>#REF!</v>
      </c>
      <c r="V589" t="str">
        <f>ROUND(P589+Q589+R589+T589, -2)</f>
        <v>#REF!</v>
      </c>
      <c r="W589">
        <v>0</v>
      </c>
      <c r="X589" t="str">
        <f>U589*0.038</f>
        <v>#REF!</v>
      </c>
      <c r="Y589" t="str">
        <f>U589*0.02</f>
        <v>#REF!</v>
      </c>
      <c r="Z589" t="str">
        <f>V589*0.1</f>
        <v>#REF!</v>
      </c>
      <c r="AA589" t="str">
        <f>U589-X589-Y589</f>
        <v>#REF!</v>
      </c>
      <c r="AB589" t="str">
        <f>V589-Z589</f>
        <v>#REF!</v>
      </c>
      <c r="AC589" t="str">
        <f>AA589*0.01</f>
        <v>#REF!</v>
      </c>
      <c r="AD589" t="str">
        <f>AA589-P589-AC589-Q589</f>
        <v>#REF!</v>
      </c>
      <c r="AE589" t="str">
        <f>AB589-P589-Q589-AC589</f>
        <v>#REF!</v>
      </c>
      <c r="AF589" t="str">
        <f>AD589/U589</f>
        <v>#REF!</v>
      </c>
      <c r="AG589" t="str">
        <f>AE589/V589</f>
        <v>#REF!</v>
      </c>
    </row>
    <row r="590">
      <c r="G590" t="str">
        <v>A</v>
      </c>
      <c r="J590" t="str">
        <f>IF(K590&gt;0,K590*0.0625,IF(L590&gt;0,L590*2.204623,))</f>
        <v>#REF!</v>
      </c>
      <c r="K590" t="str">
        <f>IF(L590&gt;0,L590*35.273962,IF(J590&gt;0,J590*16,))</f>
        <v>#REF!</v>
      </c>
      <c r="L590" t="str">
        <f>IF(J590&gt;0,J590*0.453592,IF(K590&gt;0,K590*0.02835,))</f>
        <v>#REF!</v>
      </c>
      <c r="O590">
        <f>I590+N590+M590</f>
        <v>0</v>
      </c>
      <c r="P590">
        <f>O590*C$3</f>
        <v>0</v>
      </c>
      <c r="Q590" t="str">
        <f>ROUNDUP(HLOOKUP(IF(CEILING(L590,0.5)&lt;1,1,CEILING(L590,0.5)),'배송비 조회'!A$32:AY$36,2,0),-2)</f>
        <v>#REF!</v>
      </c>
      <c r="R590">
        <v>0</v>
      </c>
      <c r="S590" t="str">
        <f>ROUND((P590+Q590)*0.6,-2)</f>
        <v>#REF!</v>
      </c>
      <c r="T590" t="str">
        <f>ROUND((P590+Q590)*0.7,-2)</f>
        <v>#REF!</v>
      </c>
      <c r="U590" t="str">
        <f>ROUND(SUM(P590+Q590+R590+S590), -2)</f>
        <v>#REF!</v>
      </c>
      <c r="V590" t="str">
        <f>ROUND(P590+Q590+R590+T590, -2)</f>
        <v>#REF!</v>
      </c>
      <c r="W590">
        <v>0</v>
      </c>
      <c r="X590" t="str">
        <f>U590*0.038</f>
        <v>#REF!</v>
      </c>
      <c r="Y590" t="str">
        <f>U590*0.02</f>
        <v>#REF!</v>
      </c>
      <c r="Z590" t="str">
        <f>V590*0.1</f>
        <v>#REF!</v>
      </c>
      <c r="AA590" t="str">
        <f>U590-X590-Y590</f>
        <v>#REF!</v>
      </c>
      <c r="AB590" t="str">
        <f>V590-Z590</f>
        <v>#REF!</v>
      </c>
      <c r="AC590" t="str">
        <f>AA590*0.01</f>
        <v>#REF!</v>
      </c>
      <c r="AD590" t="str">
        <f>AA590-P590-AC590-Q590</f>
        <v>#REF!</v>
      </c>
      <c r="AE590" t="str">
        <f>AB590-P590-Q590-AC590</f>
        <v>#REF!</v>
      </c>
      <c r="AF590" t="str">
        <f>AD590/U590</f>
        <v>#REF!</v>
      </c>
      <c r="AG590" t="str">
        <f>AE590/V590</f>
        <v>#REF!</v>
      </c>
    </row>
    <row r="591">
      <c r="G591" t="str">
        <v>A</v>
      </c>
      <c r="J591" t="str">
        <f>IF(K591&gt;0,K591*0.0625,IF(L591&gt;0,L591*2.204623,))</f>
        <v>#REF!</v>
      </c>
      <c r="K591" t="str">
        <f>IF(L591&gt;0,L591*35.273962,IF(J591&gt;0,J591*16,))</f>
        <v>#REF!</v>
      </c>
      <c r="L591" t="str">
        <f>IF(J591&gt;0,J591*0.453592,IF(K591&gt;0,K591*0.02835,))</f>
        <v>#REF!</v>
      </c>
      <c r="O591">
        <f>I591+N591+M591</f>
        <v>0</v>
      </c>
      <c r="P591">
        <f>O591*C$3</f>
        <v>0</v>
      </c>
      <c r="Q591" t="str">
        <f>ROUNDUP(HLOOKUP(IF(CEILING(L591,0.5)&lt;1,1,CEILING(L591,0.5)),'배송비 조회'!A$32:AY$36,2,0),-2)</f>
        <v>#REF!</v>
      </c>
      <c r="R591">
        <v>0</v>
      </c>
      <c r="S591" t="str">
        <f>ROUND((P591+Q591)*0.6,-2)</f>
        <v>#REF!</v>
      </c>
      <c r="T591" t="str">
        <f>ROUND((P591+Q591)*0.7,-2)</f>
        <v>#REF!</v>
      </c>
      <c r="U591" t="str">
        <f>ROUND(SUM(P591+Q591+R591+S591), -2)</f>
        <v>#REF!</v>
      </c>
      <c r="V591" t="str">
        <f>ROUND(P591+Q591+R591+T591, -2)</f>
        <v>#REF!</v>
      </c>
      <c r="W591">
        <v>0</v>
      </c>
      <c r="X591" t="str">
        <f>U591*0.038</f>
        <v>#REF!</v>
      </c>
      <c r="Y591" t="str">
        <f>U591*0.02</f>
        <v>#REF!</v>
      </c>
      <c r="Z591" t="str">
        <f>V591*0.1</f>
        <v>#REF!</v>
      </c>
      <c r="AA591" t="str">
        <f>U591-X591-Y591</f>
        <v>#REF!</v>
      </c>
      <c r="AB591" t="str">
        <f>V591-Z591</f>
        <v>#REF!</v>
      </c>
      <c r="AC591" t="str">
        <f>AA591*0.01</f>
        <v>#REF!</v>
      </c>
      <c r="AD591" t="str">
        <f>AA591-P591-AC591-Q591</f>
        <v>#REF!</v>
      </c>
      <c r="AE591" t="str">
        <f>AB591-P591-Q591-AC591</f>
        <v>#REF!</v>
      </c>
      <c r="AF591" t="str">
        <f>AD591/U591</f>
        <v>#REF!</v>
      </c>
      <c r="AG591" t="str">
        <f>AE591/V591</f>
        <v>#REF!</v>
      </c>
    </row>
    <row r="592">
      <c r="G592" t="str">
        <v>A</v>
      </c>
      <c r="J592" t="str">
        <f>IF(K592&gt;0,K592*0.0625,IF(L592&gt;0,L592*2.204623,))</f>
        <v>#REF!</v>
      </c>
      <c r="K592" t="str">
        <f>IF(L592&gt;0,L592*35.273962,IF(J592&gt;0,J592*16,))</f>
        <v>#REF!</v>
      </c>
      <c r="L592" t="str">
        <f>IF(J592&gt;0,J592*0.453592,IF(K592&gt;0,K592*0.02835,))</f>
        <v>#REF!</v>
      </c>
      <c r="O592">
        <f>I592+N592+M592</f>
        <v>0</v>
      </c>
      <c r="P592">
        <f>O592*C$3</f>
        <v>0</v>
      </c>
      <c r="Q592" t="str">
        <f>ROUNDUP(HLOOKUP(IF(CEILING(L592,0.5)&lt;1,1,CEILING(L592,0.5)),'배송비 조회'!A$32:AY$36,2,0),-2)</f>
        <v>#REF!</v>
      </c>
      <c r="R592">
        <v>0</v>
      </c>
      <c r="S592" t="str">
        <f>ROUND((P592+Q592)*0.6,-2)</f>
        <v>#REF!</v>
      </c>
      <c r="T592" t="str">
        <f>ROUND((P592+Q592)*0.7,-2)</f>
        <v>#REF!</v>
      </c>
      <c r="U592" t="str">
        <f>ROUND(SUM(P592+Q592+R592+S592), -2)</f>
        <v>#REF!</v>
      </c>
      <c r="V592" t="str">
        <f>ROUND(P592+Q592+R592+T592, -2)</f>
        <v>#REF!</v>
      </c>
      <c r="W592">
        <v>0</v>
      </c>
      <c r="X592" t="str">
        <f>U592*0.038</f>
        <v>#REF!</v>
      </c>
      <c r="Y592" t="str">
        <f>U592*0.02</f>
        <v>#REF!</v>
      </c>
      <c r="Z592" t="str">
        <f>V592*0.1</f>
        <v>#REF!</v>
      </c>
      <c r="AA592" t="str">
        <f>U592-X592-Y592</f>
        <v>#REF!</v>
      </c>
      <c r="AB592" t="str">
        <f>V592-Z592</f>
        <v>#REF!</v>
      </c>
      <c r="AC592" t="str">
        <f>AA592*0.01</f>
        <v>#REF!</v>
      </c>
      <c r="AD592" t="str">
        <f>AA592-P592-AC592-Q592</f>
        <v>#REF!</v>
      </c>
      <c r="AE592" t="str">
        <f>AB592-P592-Q592-AC592</f>
        <v>#REF!</v>
      </c>
      <c r="AF592" t="str">
        <f>AD592/U592</f>
        <v>#REF!</v>
      </c>
      <c r="AG592" t="str">
        <f>AE592/V592</f>
        <v>#REF!</v>
      </c>
    </row>
    <row r="593">
      <c r="G593" t="str">
        <v>A</v>
      </c>
      <c r="J593" t="str">
        <f>IF(K593&gt;0,K593*0.0625,IF(L593&gt;0,L593*2.204623,))</f>
        <v>#REF!</v>
      </c>
      <c r="K593" t="str">
        <f>IF(L593&gt;0,L593*35.273962,IF(J593&gt;0,J593*16,))</f>
        <v>#REF!</v>
      </c>
      <c r="L593" t="str">
        <f>IF(J593&gt;0,J593*0.453592,IF(K593&gt;0,K593*0.02835,))</f>
        <v>#REF!</v>
      </c>
      <c r="O593">
        <f>I593+N593+M593</f>
        <v>0</v>
      </c>
      <c r="P593">
        <f>O593*C$3</f>
        <v>0</v>
      </c>
      <c r="Q593" t="str">
        <f>ROUNDUP(HLOOKUP(IF(CEILING(L593,0.5)&lt;1,1,CEILING(L593,0.5)),'배송비 조회'!A$32:AY$36,2,0),-2)</f>
        <v>#REF!</v>
      </c>
      <c r="R593">
        <v>0</v>
      </c>
      <c r="S593" t="str">
        <f>ROUND((P593+Q593)*0.6,-2)</f>
        <v>#REF!</v>
      </c>
      <c r="T593" t="str">
        <f>ROUND((P593+Q593)*0.7,-2)</f>
        <v>#REF!</v>
      </c>
      <c r="U593" t="str">
        <f>ROUND(SUM(P593+Q593+R593+S593), -2)</f>
        <v>#REF!</v>
      </c>
      <c r="V593" t="str">
        <f>ROUND(P593+Q593+R593+T593, -2)</f>
        <v>#REF!</v>
      </c>
      <c r="W593">
        <v>0</v>
      </c>
      <c r="X593" t="str">
        <f>U593*0.038</f>
        <v>#REF!</v>
      </c>
      <c r="Y593" t="str">
        <f>U593*0.02</f>
        <v>#REF!</v>
      </c>
      <c r="Z593" t="str">
        <f>V593*0.1</f>
        <v>#REF!</v>
      </c>
      <c r="AA593" t="str">
        <f>U593-X593-Y593</f>
        <v>#REF!</v>
      </c>
      <c r="AB593" t="str">
        <f>V593-Z593</f>
        <v>#REF!</v>
      </c>
      <c r="AC593" t="str">
        <f>AA593*0.01</f>
        <v>#REF!</v>
      </c>
      <c r="AD593" t="str">
        <f>AA593-P593-AC593-Q593</f>
        <v>#REF!</v>
      </c>
      <c r="AE593" t="str">
        <f>AB593-P593-Q593-AC593</f>
        <v>#REF!</v>
      </c>
      <c r="AF593" t="str">
        <f>AD593/U593</f>
        <v>#REF!</v>
      </c>
      <c r="AG593" t="str">
        <f>AE593/V593</f>
        <v>#REF!</v>
      </c>
    </row>
    <row r="594">
      <c r="G594" t="str">
        <v>A</v>
      </c>
      <c r="J594" t="str">
        <f>IF(K594&gt;0,K594*0.0625,IF(L594&gt;0,L594*2.204623,))</f>
        <v>#REF!</v>
      </c>
      <c r="K594" t="str">
        <f>IF(L594&gt;0,L594*35.273962,IF(J594&gt;0,J594*16,))</f>
        <v>#REF!</v>
      </c>
      <c r="L594" t="str">
        <f>IF(J594&gt;0,J594*0.453592,IF(K594&gt;0,K594*0.02835,))</f>
        <v>#REF!</v>
      </c>
      <c r="O594">
        <f>I594+N594+M594</f>
        <v>0</v>
      </c>
      <c r="P594">
        <f>O594*C$3</f>
        <v>0</v>
      </c>
      <c r="Q594" t="str">
        <f>ROUNDUP(HLOOKUP(IF(CEILING(L594,0.5)&lt;1,1,CEILING(L594,0.5)),'배송비 조회'!A$32:AY$36,2,0),-2)</f>
        <v>#REF!</v>
      </c>
      <c r="R594">
        <v>0</v>
      </c>
      <c r="S594" t="str">
        <f>ROUND((P594+Q594)*0.6,-2)</f>
        <v>#REF!</v>
      </c>
      <c r="T594" t="str">
        <f>ROUND((P594+Q594)*0.7,-2)</f>
        <v>#REF!</v>
      </c>
      <c r="U594" t="str">
        <f>ROUND(SUM(P594+Q594+R594+S594), -2)</f>
        <v>#REF!</v>
      </c>
      <c r="V594" t="str">
        <f>ROUND(P594+Q594+R594+T594, -2)</f>
        <v>#REF!</v>
      </c>
      <c r="W594">
        <v>0</v>
      </c>
      <c r="X594" t="str">
        <f>U594*0.038</f>
        <v>#REF!</v>
      </c>
      <c r="Y594" t="str">
        <f>U594*0.02</f>
        <v>#REF!</v>
      </c>
      <c r="Z594" t="str">
        <f>V594*0.1</f>
        <v>#REF!</v>
      </c>
      <c r="AA594" t="str">
        <f>U594-X594-Y594</f>
        <v>#REF!</v>
      </c>
      <c r="AB594" t="str">
        <f>V594-Z594</f>
        <v>#REF!</v>
      </c>
      <c r="AC594" t="str">
        <f>AA594*0.01</f>
        <v>#REF!</v>
      </c>
      <c r="AD594" t="str">
        <f>AA594-P594-AC594-Q594</f>
        <v>#REF!</v>
      </c>
      <c r="AE594" t="str">
        <f>AB594-P594-Q594-AC594</f>
        <v>#REF!</v>
      </c>
      <c r="AF594" t="str">
        <f>AD594/U594</f>
        <v>#REF!</v>
      </c>
      <c r="AG594" t="str">
        <f>AE594/V594</f>
        <v>#REF!</v>
      </c>
    </row>
    <row r="595">
      <c r="G595" t="str">
        <v>A</v>
      </c>
      <c r="J595" t="str">
        <f>IF(K595&gt;0,K595*0.0625,IF(L595&gt;0,L595*2.204623,))</f>
        <v>#REF!</v>
      </c>
      <c r="K595" t="str">
        <f>IF(L595&gt;0,L595*35.273962,IF(J595&gt;0,J595*16,))</f>
        <v>#REF!</v>
      </c>
      <c r="L595" t="str">
        <f>IF(J595&gt;0,J595*0.453592,IF(K595&gt;0,K595*0.02835,))</f>
        <v>#REF!</v>
      </c>
      <c r="O595">
        <f>I595+N595+M595</f>
        <v>0</v>
      </c>
      <c r="P595">
        <f>O595*C$3</f>
        <v>0</v>
      </c>
      <c r="Q595" t="str">
        <f>ROUNDUP(HLOOKUP(IF(CEILING(L595,0.5)&lt;1,1,CEILING(L595,0.5)),'배송비 조회'!A$32:AY$36,2,0),-2)</f>
        <v>#REF!</v>
      </c>
      <c r="R595">
        <v>0</v>
      </c>
      <c r="S595" t="str">
        <f>ROUND((P595+Q595)*0.6,-2)</f>
        <v>#REF!</v>
      </c>
      <c r="T595" t="str">
        <f>ROUND((P595+Q595)*0.7,-2)</f>
        <v>#REF!</v>
      </c>
      <c r="U595" t="str">
        <f>ROUND(SUM(P595+Q595+R595+S595), -2)</f>
        <v>#REF!</v>
      </c>
      <c r="V595" t="str">
        <f>ROUND(P595+Q595+R595+T595, -2)</f>
        <v>#REF!</v>
      </c>
      <c r="W595">
        <v>0</v>
      </c>
      <c r="X595" t="str">
        <f>U595*0.038</f>
        <v>#REF!</v>
      </c>
      <c r="Y595" t="str">
        <f>U595*0.02</f>
        <v>#REF!</v>
      </c>
      <c r="Z595" t="str">
        <f>V595*0.1</f>
        <v>#REF!</v>
      </c>
      <c r="AA595" t="str">
        <f>U595-X595-Y595</f>
        <v>#REF!</v>
      </c>
      <c r="AB595" t="str">
        <f>V595-Z595</f>
        <v>#REF!</v>
      </c>
      <c r="AC595" t="str">
        <f>AA595*0.01</f>
        <v>#REF!</v>
      </c>
      <c r="AD595" t="str">
        <f>AA595-P595-AC595-Q595</f>
        <v>#REF!</v>
      </c>
      <c r="AE595" t="str">
        <f>AB595-P595-Q595-AC595</f>
        <v>#REF!</v>
      </c>
      <c r="AF595" t="str">
        <f>AD595/U595</f>
        <v>#REF!</v>
      </c>
      <c r="AG595" t="str">
        <f>AE595/V595</f>
        <v>#REF!</v>
      </c>
    </row>
    <row r="596">
      <c r="G596" t="str">
        <v>A</v>
      </c>
      <c r="J596" t="str">
        <f>IF(K596&gt;0,K596*0.0625,IF(L596&gt;0,L596*2.204623,))</f>
        <v>#REF!</v>
      </c>
      <c r="K596" t="str">
        <f>IF(L596&gt;0,L596*35.273962,IF(J596&gt;0,J596*16,))</f>
        <v>#REF!</v>
      </c>
      <c r="L596" t="str">
        <f>IF(J596&gt;0,J596*0.453592,IF(K596&gt;0,K596*0.02835,))</f>
        <v>#REF!</v>
      </c>
      <c r="O596">
        <f>I596+N596+M596</f>
        <v>0</v>
      </c>
      <c r="P596">
        <f>O596*C$3</f>
        <v>0</v>
      </c>
      <c r="Q596" t="str">
        <f>ROUNDUP(HLOOKUP(IF(CEILING(L596,0.5)&lt;1,1,CEILING(L596,0.5)),'배송비 조회'!A$32:AY$36,2,0),-2)</f>
        <v>#REF!</v>
      </c>
      <c r="R596">
        <v>0</v>
      </c>
      <c r="S596" t="str">
        <f>ROUND((P596+Q596)*0.6,-2)</f>
        <v>#REF!</v>
      </c>
      <c r="T596" t="str">
        <f>ROUND((P596+Q596)*0.7,-2)</f>
        <v>#REF!</v>
      </c>
      <c r="U596" t="str">
        <f>ROUND(SUM(P596+Q596+R596+S596), -2)</f>
        <v>#REF!</v>
      </c>
      <c r="V596" t="str">
        <f>ROUND(P596+Q596+R596+T596, -2)</f>
        <v>#REF!</v>
      </c>
      <c r="W596">
        <v>0</v>
      </c>
      <c r="X596" t="str">
        <f>U596*0.038</f>
        <v>#REF!</v>
      </c>
      <c r="Y596" t="str">
        <f>U596*0.02</f>
        <v>#REF!</v>
      </c>
      <c r="Z596" t="str">
        <f>V596*0.1</f>
        <v>#REF!</v>
      </c>
      <c r="AA596" t="str">
        <f>U596-X596-Y596</f>
        <v>#REF!</v>
      </c>
      <c r="AB596" t="str">
        <f>V596-Z596</f>
        <v>#REF!</v>
      </c>
      <c r="AC596" t="str">
        <f>AA596*0.01</f>
        <v>#REF!</v>
      </c>
      <c r="AD596" t="str">
        <f>AA596-P596-AC596-Q596</f>
        <v>#REF!</v>
      </c>
      <c r="AE596" t="str">
        <f>AB596-P596-Q596-AC596</f>
        <v>#REF!</v>
      </c>
      <c r="AF596" t="str">
        <f>AD596/U596</f>
        <v>#REF!</v>
      </c>
      <c r="AG596" t="str">
        <f>AE596/V596</f>
        <v>#REF!</v>
      </c>
    </row>
    <row r="597">
      <c r="G597" t="str">
        <v>A</v>
      </c>
      <c r="J597" t="str">
        <f>IF(K597&gt;0,K597*0.0625,IF(L597&gt;0,L597*2.204623,))</f>
        <v>#REF!</v>
      </c>
      <c r="K597" t="str">
        <f>IF(L597&gt;0,L597*35.273962,IF(J597&gt;0,J597*16,))</f>
        <v>#REF!</v>
      </c>
      <c r="L597" t="str">
        <f>IF(J597&gt;0,J597*0.453592,IF(K597&gt;0,K597*0.02835,))</f>
        <v>#REF!</v>
      </c>
      <c r="O597">
        <f>I597+N597+M597</f>
        <v>0</v>
      </c>
      <c r="P597">
        <f>O597*C$3</f>
        <v>0</v>
      </c>
      <c r="Q597" t="str">
        <f>ROUNDUP(HLOOKUP(IF(CEILING(L597,0.5)&lt;1,1,CEILING(L597,0.5)),'배송비 조회'!A$32:AY$36,2,0),-2)</f>
        <v>#REF!</v>
      </c>
      <c r="R597">
        <v>0</v>
      </c>
      <c r="S597" t="str">
        <f>ROUND((P597+Q597)*0.6,-2)</f>
        <v>#REF!</v>
      </c>
      <c r="T597" t="str">
        <f>ROUND((P597+Q597)*0.7,-2)</f>
        <v>#REF!</v>
      </c>
      <c r="U597" t="str">
        <f>ROUND(SUM(P597+Q597+R597+S597), -2)</f>
        <v>#REF!</v>
      </c>
      <c r="V597" t="str">
        <f>ROUND(P597+Q597+R597+T597, -2)</f>
        <v>#REF!</v>
      </c>
      <c r="W597">
        <v>0</v>
      </c>
      <c r="X597" t="str">
        <f>U597*0.038</f>
        <v>#REF!</v>
      </c>
      <c r="Y597" t="str">
        <f>U597*0.02</f>
        <v>#REF!</v>
      </c>
      <c r="Z597" t="str">
        <f>V597*0.1</f>
        <v>#REF!</v>
      </c>
      <c r="AA597" t="str">
        <f>U597-X597-Y597</f>
        <v>#REF!</v>
      </c>
      <c r="AB597" t="str">
        <f>V597-Z597</f>
        <v>#REF!</v>
      </c>
      <c r="AC597" t="str">
        <f>AA597*0.01</f>
        <v>#REF!</v>
      </c>
      <c r="AD597" t="str">
        <f>AA597-P597-AC597-Q597</f>
        <v>#REF!</v>
      </c>
      <c r="AE597" t="str">
        <f>AB597-P597-Q597-AC597</f>
        <v>#REF!</v>
      </c>
      <c r="AF597" t="str">
        <f>AD597/U597</f>
        <v>#REF!</v>
      </c>
      <c r="AG597" t="str">
        <f>AE597/V597</f>
        <v>#REF!</v>
      </c>
    </row>
    <row r="598">
      <c r="G598" t="str">
        <v>A</v>
      </c>
      <c r="J598" t="str">
        <f>IF(K598&gt;0,K598*0.0625,IF(L598&gt;0,L598*2.204623,))</f>
        <v>#REF!</v>
      </c>
      <c r="K598" t="str">
        <f>IF(L598&gt;0,L598*35.273962,IF(J598&gt;0,J598*16,))</f>
        <v>#REF!</v>
      </c>
      <c r="L598" t="str">
        <f>IF(J598&gt;0,J598*0.453592,IF(K598&gt;0,K598*0.02835,))</f>
        <v>#REF!</v>
      </c>
      <c r="O598">
        <f>I598+N598+M598</f>
        <v>0</v>
      </c>
      <c r="P598">
        <f>O598*C$3</f>
        <v>0</v>
      </c>
      <c r="Q598" t="str">
        <f>ROUNDUP(HLOOKUP(IF(CEILING(L598,0.5)&lt;1,1,CEILING(L598,0.5)),'배송비 조회'!A$32:AY$36,2,0),-2)</f>
        <v>#REF!</v>
      </c>
      <c r="R598">
        <v>0</v>
      </c>
      <c r="S598" t="str">
        <f>ROUND((P598+Q598)*0.6,-2)</f>
        <v>#REF!</v>
      </c>
      <c r="T598" t="str">
        <f>ROUND((P598+Q598)*0.7,-2)</f>
        <v>#REF!</v>
      </c>
      <c r="U598" t="str">
        <f>ROUND(SUM(P598+Q598+R598+S598), -2)</f>
        <v>#REF!</v>
      </c>
      <c r="V598" t="str">
        <f>ROUND(P598+Q598+R598+T598, -2)</f>
        <v>#REF!</v>
      </c>
      <c r="W598">
        <v>0</v>
      </c>
      <c r="X598" t="str">
        <f>U598*0.038</f>
        <v>#REF!</v>
      </c>
      <c r="Y598" t="str">
        <f>U598*0.02</f>
        <v>#REF!</v>
      </c>
      <c r="Z598" t="str">
        <f>V598*0.1</f>
        <v>#REF!</v>
      </c>
      <c r="AA598" t="str">
        <f>U598-X598-Y598</f>
        <v>#REF!</v>
      </c>
      <c r="AB598" t="str">
        <f>V598-Z598</f>
        <v>#REF!</v>
      </c>
      <c r="AC598" t="str">
        <f>AA598*0.01</f>
        <v>#REF!</v>
      </c>
      <c r="AD598" t="str">
        <f>AA598-P598-AC598-Q598</f>
        <v>#REF!</v>
      </c>
      <c r="AE598" t="str">
        <f>AB598-P598-Q598-AC598</f>
        <v>#REF!</v>
      </c>
      <c r="AF598" t="str">
        <f>AD598/U598</f>
        <v>#REF!</v>
      </c>
      <c r="AG598" t="str">
        <f>AE598/V598</f>
        <v>#REF!</v>
      </c>
    </row>
    <row r="599">
      <c r="G599" t="str">
        <v>A</v>
      </c>
      <c r="J599" t="str">
        <f>IF(K599&gt;0,K599*0.0625,IF(L599&gt;0,L599*2.204623,))</f>
        <v>#REF!</v>
      </c>
      <c r="K599" t="str">
        <f>IF(L599&gt;0,L599*35.273962,IF(J599&gt;0,J599*16,))</f>
        <v>#REF!</v>
      </c>
      <c r="L599" t="str">
        <f>IF(J599&gt;0,J599*0.453592,IF(K599&gt;0,K599*0.02835,))</f>
        <v>#REF!</v>
      </c>
      <c r="O599">
        <f>I599+N599+M599</f>
        <v>0</v>
      </c>
      <c r="P599">
        <f>O599*C$3</f>
        <v>0</v>
      </c>
      <c r="Q599" t="str">
        <f>ROUNDUP(HLOOKUP(IF(CEILING(L599,0.5)&lt;1,1,CEILING(L599,0.5)),'배송비 조회'!A$32:AY$36,2,0),-2)</f>
        <v>#REF!</v>
      </c>
      <c r="R599">
        <v>0</v>
      </c>
      <c r="S599" t="str">
        <f>ROUND((P599+Q599)*0.6,-2)</f>
        <v>#REF!</v>
      </c>
      <c r="T599" t="str">
        <f>ROUND((P599+Q599)*0.7,-2)</f>
        <v>#REF!</v>
      </c>
      <c r="U599" t="str">
        <f>ROUND(SUM(P599+Q599+R599+S599), -2)</f>
        <v>#REF!</v>
      </c>
      <c r="V599" t="str">
        <f>ROUND(P599+Q599+R599+T599, -2)</f>
        <v>#REF!</v>
      </c>
      <c r="W599">
        <v>0</v>
      </c>
      <c r="X599" t="str">
        <f>U599*0.038</f>
        <v>#REF!</v>
      </c>
      <c r="Y599" t="str">
        <f>U599*0.02</f>
        <v>#REF!</v>
      </c>
      <c r="Z599" t="str">
        <f>V599*0.1</f>
        <v>#REF!</v>
      </c>
      <c r="AA599" t="str">
        <f>U599-X599-Y599</f>
        <v>#REF!</v>
      </c>
      <c r="AB599" t="str">
        <f>V599-Z599</f>
        <v>#REF!</v>
      </c>
      <c r="AC599" t="str">
        <f>AA599*0.01</f>
        <v>#REF!</v>
      </c>
      <c r="AD599" t="str">
        <f>AA599-P599-AC599-Q599</f>
        <v>#REF!</v>
      </c>
      <c r="AE599" t="str">
        <f>AB599-P599-Q599-AC599</f>
        <v>#REF!</v>
      </c>
      <c r="AF599" t="str">
        <f>AD599/U599</f>
        <v>#REF!</v>
      </c>
      <c r="AG599" t="str">
        <f>AE599/V599</f>
        <v>#REF!</v>
      </c>
    </row>
    <row r="600">
      <c r="G600" t="str">
        <v>A</v>
      </c>
      <c r="J600" t="str">
        <f>IF(K600&gt;0,K600*0.0625,IF(L600&gt;0,L600*2.204623,))</f>
        <v>#REF!</v>
      </c>
      <c r="K600" t="str">
        <f>IF(L600&gt;0,L600*35.273962,IF(J600&gt;0,J600*16,))</f>
        <v>#REF!</v>
      </c>
      <c r="L600" t="str">
        <f>IF(J600&gt;0,J600*0.453592,IF(K600&gt;0,K600*0.02835,))</f>
        <v>#REF!</v>
      </c>
      <c r="O600">
        <f>I600+N600+M600</f>
        <v>0</v>
      </c>
      <c r="P600">
        <f>O600*C$3</f>
        <v>0</v>
      </c>
      <c r="Q600" t="str">
        <f>ROUNDUP(HLOOKUP(IF(CEILING(L600,0.5)&lt;1,1,CEILING(L600,0.5)),'배송비 조회'!A$32:AY$36,2,0),-2)</f>
        <v>#REF!</v>
      </c>
      <c r="R600">
        <v>0</v>
      </c>
      <c r="S600" t="str">
        <f>ROUND((P600+Q600)*0.6,-2)</f>
        <v>#REF!</v>
      </c>
      <c r="T600" t="str">
        <f>ROUND((P600+Q600)*0.7,-2)</f>
        <v>#REF!</v>
      </c>
      <c r="U600" t="str">
        <f>ROUND(SUM(P600+Q600+R600+S600), -2)</f>
        <v>#REF!</v>
      </c>
      <c r="V600" t="str">
        <f>ROUND(P600+Q600+R600+T600, -2)</f>
        <v>#REF!</v>
      </c>
      <c r="W600">
        <v>0</v>
      </c>
      <c r="X600" t="str">
        <f>U600*0.038</f>
        <v>#REF!</v>
      </c>
      <c r="Y600" t="str">
        <f>U600*0.02</f>
        <v>#REF!</v>
      </c>
      <c r="Z600" t="str">
        <f>V600*0.1</f>
        <v>#REF!</v>
      </c>
      <c r="AA600" t="str">
        <f>U600-X600-Y600</f>
        <v>#REF!</v>
      </c>
      <c r="AB600" t="str">
        <f>V600-Z600</f>
        <v>#REF!</v>
      </c>
      <c r="AC600" t="str">
        <f>AA600*0.01</f>
        <v>#REF!</v>
      </c>
      <c r="AD600" t="str">
        <f>AA600-P600-AC600-Q600</f>
        <v>#REF!</v>
      </c>
      <c r="AE600" t="str">
        <f>AB600-P600-Q600-AC600</f>
        <v>#REF!</v>
      </c>
      <c r="AF600" t="str">
        <f>AD600/U600</f>
        <v>#REF!</v>
      </c>
      <c r="AG600" t="str">
        <f>AE600/V600</f>
        <v>#REF!</v>
      </c>
    </row>
    <row r="601">
      <c r="G601" t="str">
        <v>A</v>
      </c>
      <c r="J601" t="str">
        <f>IF(K601&gt;0,K601*0.0625,IF(L601&gt;0,L601*2.204623,))</f>
        <v>#REF!</v>
      </c>
      <c r="K601" t="str">
        <f>IF(L601&gt;0,L601*35.273962,IF(J601&gt;0,J601*16,))</f>
        <v>#REF!</v>
      </c>
      <c r="L601" t="str">
        <f>IF(J601&gt;0,J601*0.453592,IF(K601&gt;0,K601*0.02835,))</f>
        <v>#REF!</v>
      </c>
      <c r="O601">
        <f>I601+N601+M601</f>
        <v>0</v>
      </c>
      <c r="P601">
        <f>O601*C$3</f>
        <v>0</v>
      </c>
      <c r="Q601" t="str">
        <f>ROUNDUP(HLOOKUP(IF(CEILING(L601,0.5)&lt;1,1,CEILING(L601,0.5)),'배송비 조회'!A$32:AY$36,2,0),-2)</f>
        <v>#REF!</v>
      </c>
      <c r="R601">
        <v>0</v>
      </c>
      <c r="S601" t="str">
        <f>ROUND((P601+Q601)*0.6,-2)</f>
        <v>#REF!</v>
      </c>
      <c r="T601" t="str">
        <f>ROUND((P601+Q601)*0.7,-2)</f>
        <v>#REF!</v>
      </c>
      <c r="U601" t="str">
        <f>ROUND(SUM(P601+Q601+R601+S601), -2)</f>
        <v>#REF!</v>
      </c>
      <c r="V601" t="str">
        <f>ROUND(P601+Q601+R601+T601, -2)</f>
        <v>#REF!</v>
      </c>
      <c r="W601">
        <v>0</v>
      </c>
      <c r="X601" t="str">
        <f>U601*0.038</f>
        <v>#REF!</v>
      </c>
      <c r="Y601" t="str">
        <f>U601*0.02</f>
        <v>#REF!</v>
      </c>
      <c r="Z601" t="str">
        <f>V601*0.1</f>
        <v>#REF!</v>
      </c>
      <c r="AA601" t="str">
        <f>U601-X601-Y601</f>
        <v>#REF!</v>
      </c>
      <c r="AB601" t="str">
        <f>V601-Z601</f>
        <v>#REF!</v>
      </c>
      <c r="AC601" t="str">
        <f>AA601*0.01</f>
        <v>#REF!</v>
      </c>
      <c r="AD601" t="str">
        <f>AA601-P601-AC601-Q601</f>
        <v>#REF!</v>
      </c>
      <c r="AE601" t="str">
        <f>AB601-P601-Q601-AC601</f>
        <v>#REF!</v>
      </c>
      <c r="AF601" t="str">
        <f>AD601/U601</f>
        <v>#REF!</v>
      </c>
      <c r="AG601" t="str">
        <f>AE601/V601</f>
        <v>#REF!</v>
      </c>
    </row>
    <row r="602">
      <c r="G602" t="str">
        <v>A</v>
      </c>
      <c r="J602" t="str">
        <f>IF(K602&gt;0,K602*0.0625,IF(L602&gt;0,L602*2.204623,))</f>
        <v>#REF!</v>
      </c>
      <c r="K602" t="str">
        <f>IF(L602&gt;0,L602*35.273962,IF(J602&gt;0,J602*16,))</f>
        <v>#REF!</v>
      </c>
      <c r="L602" t="str">
        <f>IF(J602&gt;0,J602*0.453592,IF(K602&gt;0,K602*0.02835,))</f>
        <v>#REF!</v>
      </c>
      <c r="O602">
        <f>I602+N602+M602</f>
        <v>0</v>
      </c>
      <c r="P602">
        <f>O602*C$3</f>
        <v>0</v>
      </c>
      <c r="Q602" t="str">
        <f>ROUNDUP(HLOOKUP(IF(CEILING(L602,0.5)&lt;1,1,CEILING(L602,0.5)),'배송비 조회'!A$32:AY$36,2,0),-2)</f>
        <v>#REF!</v>
      </c>
      <c r="R602">
        <v>0</v>
      </c>
      <c r="S602" t="str">
        <f>ROUND((P602+Q602)*0.6,-2)</f>
        <v>#REF!</v>
      </c>
      <c r="T602" t="str">
        <f>ROUND((P602+Q602)*0.7,-2)</f>
        <v>#REF!</v>
      </c>
      <c r="U602" t="str">
        <f>ROUND(SUM(P602+Q602+R602+S602), -2)</f>
        <v>#REF!</v>
      </c>
      <c r="V602" t="str">
        <f>ROUND(P602+Q602+R602+T602, -2)</f>
        <v>#REF!</v>
      </c>
      <c r="W602">
        <v>0</v>
      </c>
      <c r="X602" t="str">
        <f>U602*0.038</f>
        <v>#REF!</v>
      </c>
      <c r="Y602" t="str">
        <f>U602*0.02</f>
        <v>#REF!</v>
      </c>
      <c r="Z602" t="str">
        <f>V602*0.1</f>
        <v>#REF!</v>
      </c>
      <c r="AA602" t="str">
        <f>U602-X602-Y602</f>
        <v>#REF!</v>
      </c>
      <c r="AB602" t="str">
        <f>V602-Z602</f>
        <v>#REF!</v>
      </c>
      <c r="AC602" t="str">
        <f>AA602*0.01</f>
        <v>#REF!</v>
      </c>
      <c r="AD602" t="str">
        <f>AA602-P602-AC602-Q602</f>
        <v>#REF!</v>
      </c>
      <c r="AE602" t="str">
        <f>AB602-P602-Q602-AC602</f>
        <v>#REF!</v>
      </c>
      <c r="AF602" t="str">
        <f>AD602/U602</f>
        <v>#REF!</v>
      </c>
      <c r="AG602" t="str">
        <f>AE602/V602</f>
        <v>#REF!</v>
      </c>
    </row>
    <row r="603">
      <c r="G603" t="str">
        <v>A</v>
      </c>
      <c r="J603" t="str">
        <f>IF(K603&gt;0,K603*0.0625,IF(L603&gt;0,L603*2.204623,))</f>
        <v>#REF!</v>
      </c>
      <c r="K603" t="str">
        <f>IF(L603&gt;0,L603*35.273962,IF(J603&gt;0,J603*16,))</f>
        <v>#REF!</v>
      </c>
      <c r="L603" t="str">
        <f>IF(J603&gt;0,J603*0.453592,IF(K603&gt;0,K603*0.02835,))</f>
        <v>#REF!</v>
      </c>
      <c r="O603">
        <f>I603+N603+M603</f>
        <v>0</v>
      </c>
      <c r="P603">
        <f>O603*C$3</f>
        <v>0</v>
      </c>
      <c r="Q603" t="str">
        <f>ROUNDUP(HLOOKUP(IF(CEILING(L603,0.5)&lt;1,1,CEILING(L603,0.5)),'배송비 조회'!A$32:AY$36,2,0),-2)</f>
        <v>#REF!</v>
      </c>
      <c r="R603">
        <v>0</v>
      </c>
      <c r="S603" t="str">
        <f>ROUND((P603+Q603)*0.6,-2)</f>
        <v>#REF!</v>
      </c>
      <c r="T603" t="str">
        <f>ROUND((P603+Q603)*0.7,-2)</f>
        <v>#REF!</v>
      </c>
      <c r="U603" t="str">
        <f>ROUND(SUM(P603+Q603+R603+S603), -2)</f>
        <v>#REF!</v>
      </c>
      <c r="V603" t="str">
        <f>ROUND(P603+Q603+R603+T603, -2)</f>
        <v>#REF!</v>
      </c>
      <c r="W603">
        <v>0</v>
      </c>
      <c r="X603" t="str">
        <f>U603*0.038</f>
        <v>#REF!</v>
      </c>
      <c r="Y603" t="str">
        <f>U603*0.02</f>
        <v>#REF!</v>
      </c>
      <c r="Z603" t="str">
        <f>V603*0.1</f>
        <v>#REF!</v>
      </c>
      <c r="AA603" t="str">
        <f>U603-X603-Y603</f>
        <v>#REF!</v>
      </c>
      <c r="AB603" t="str">
        <f>V603-Z603</f>
        <v>#REF!</v>
      </c>
      <c r="AC603" t="str">
        <f>AA603*0.01</f>
        <v>#REF!</v>
      </c>
      <c r="AD603" t="str">
        <f>AA603-P603-AC603-Q603</f>
        <v>#REF!</v>
      </c>
      <c r="AE603" t="str">
        <f>AB603-P603-Q603-AC603</f>
        <v>#REF!</v>
      </c>
      <c r="AF603" t="str">
        <f>AD603/U603</f>
        <v>#REF!</v>
      </c>
      <c r="AG603" t="str">
        <f>AE603/V603</f>
        <v>#REF!</v>
      </c>
    </row>
    <row r="604">
      <c r="G604" t="str">
        <v>A</v>
      </c>
      <c r="J604" t="str">
        <f>IF(K604&gt;0,K604*0.0625,IF(L604&gt;0,L604*2.204623,))</f>
        <v>#REF!</v>
      </c>
      <c r="K604" t="str">
        <f>IF(L604&gt;0,L604*35.273962,IF(J604&gt;0,J604*16,))</f>
        <v>#REF!</v>
      </c>
      <c r="L604" t="str">
        <f>IF(J604&gt;0,J604*0.453592,IF(K604&gt;0,K604*0.02835,))</f>
        <v>#REF!</v>
      </c>
      <c r="O604">
        <f>I604+N604+M604</f>
        <v>0</v>
      </c>
      <c r="P604">
        <f>O604*C$3</f>
        <v>0</v>
      </c>
      <c r="Q604" t="str">
        <f>ROUNDUP(HLOOKUP(IF(CEILING(L604,0.5)&lt;1,1,CEILING(L604,0.5)),'배송비 조회'!A$32:AY$36,2,0),-2)</f>
        <v>#REF!</v>
      </c>
      <c r="R604">
        <v>0</v>
      </c>
      <c r="S604" t="str">
        <f>ROUND((P604+Q604)*0.6,-2)</f>
        <v>#REF!</v>
      </c>
      <c r="T604" t="str">
        <f>ROUND((P604+Q604)*0.7,-2)</f>
        <v>#REF!</v>
      </c>
      <c r="U604" t="str">
        <f>ROUND(SUM(P604+Q604+R604+S604), -2)</f>
        <v>#REF!</v>
      </c>
      <c r="V604" t="str">
        <f>ROUND(P604+Q604+R604+T604, -2)</f>
        <v>#REF!</v>
      </c>
      <c r="W604">
        <v>0</v>
      </c>
      <c r="X604" t="str">
        <f>U604*0.038</f>
        <v>#REF!</v>
      </c>
      <c r="Y604" t="str">
        <f>U604*0.02</f>
        <v>#REF!</v>
      </c>
      <c r="Z604" t="str">
        <f>V604*0.1</f>
        <v>#REF!</v>
      </c>
      <c r="AA604" t="str">
        <f>U604-X604-Y604</f>
        <v>#REF!</v>
      </c>
      <c r="AB604" t="str">
        <f>V604-Z604</f>
        <v>#REF!</v>
      </c>
      <c r="AC604" t="str">
        <f>AA604*0.01</f>
        <v>#REF!</v>
      </c>
      <c r="AD604" t="str">
        <f>AA604-P604-AC604-Q604</f>
        <v>#REF!</v>
      </c>
      <c r="AE604" t="str">
        <f>AB604-P604-Q604-AC604</f>
        <v>#REF!</v>
      </c>
      <c r="AF604" t="str">
        <f>AD604/U604</f>
        <v>#REF!</v>
      </c>
      <c r="AG604" t="str">
        <f>AE604/V604</f>
        <v>#REF!</v>
      </c>
    </row>
    <row r="605">
      <c r="G605" t="str">
        <v>A</v>
      </c>
      <c r="J605" t="str">
        <f>IF(K605&gt;0,K605*0.0625,IF(L605&gt;0,L605*2.204623,))</f>
        <v>#REF!</v>
      </c>
      <c r="K605" t="str">
        <f>IF(L605&gt;0,L605*35.273962,IF(J605&gt;0,J605*16,))</f>
        <v>#REF!</v>
      </c>
      <c r="L605" t="str">
        <f>IF(J605&gt;0,J605*0.453592,IF(K605&gt;0,K605*0.02835,))</f>
        <v>#REF!</v>
      </c>
      <c r="O605">
        <f>I605+N605+M605</f>
        <v>0</v>
      </c>
      <c r="P605">
        <f>O605*C$3</f>
        <v>0</v>
      </c>
      <c r="Q605" t="str">
        <f>ROUNDUP(HLOOKUP(IF(CEILING(L605,0.5)&lt;1,1,CEILING(L605,0.5)),'배송비 조회'!A$32:AY$36,2,0),-2)</f>
        <v>#REF!</v>
      </c>
      <c r="R605">
        <v>0</v>
      </c>
      <c r="S605" t="str">
        <f>ROUND((P605+Q605)*0.6,-2)</f>
        <v>#REF!</v>
      </c>
      <c r="T605" t="str">
        <f>ROUND((P605+Q605)*0.7,-2)</f>
        <v>#REF!</v>
      </c>
      <c r="U605" t="str">
        <f>ROUND(SUM(P605+Q605+R605+S605), -2)</f>
        <v>#REF!</v>
      </c>
      <c r="V605" t="str">
        <f>ROUND(P605+Q605+R605+T605, -2)</f>
        <v>#REF!</v>
      </c>
      <c r="W605">
        <v>0</v>
      </c>
      <c r="X605" t="str">
        <f>U605*0.038</f>
        <v>#REF!</v>
      </c>
      <c r="Y605" t="str">
        <f>U605*0.02</f>
        <v>#REF!</v>
      </c>
      <c r="Z605" t="str">
        <f>V605*0.1</f>
        <v>#REF!</v>
      </c>
      <c r="AA605" t="str">
        <f>U605-X605-Y605</f>
        <v>#REF!</v>
      </c>
      <c r="AB605" t="str">
        <f>V605-Z605</f>
        <v>#REF!</v>
      </c>
      <c r="AC605" t="str">
        <f>AA605*0.01</f>
        <v>#REF!</v>
      </c>
      <c r="AD605" t="str">
        <f>AA605-P605-AC605-Q605</f>
        <v>#REF!</v>
      </c>
      <c r="AE605" t="str">
        <f>AB605-P605-Q605-AC605</f>
        <v>#REF!</v>
      </c>
      <c r="AF605" t="str">
        <f>AD605/U605</f>
        <v>#REF!</v>
      </c>
      <c r="AG605" t="str">
        <f>AE605/V605</f>
        <v>#REF!</v>
      </c>
    </row>
    <row r="606">
      <c r="G606" t="str">
        <v>A</v>
      </c>
      <c r="J606" t="str">
        <f>IF(K606&gt;0,K606*0.0625,IF(L606&gt;0,L606*2.204623,))</f>
        <v>#REF!</v>
      </c>
      <c r="K606" t="str">
        <f>IF(L606&gt;0,L606*35.273962,IF(J606&gt;0,J606*16,))</f>
        <v>#REF!</v>
      </c>
      <c r="L606" t="str">
        <f>IF(J606&gt;0,J606*0.453592,IF(K606&gt;0,K606*0.02835,))</f>
        <v>#REF!</v>
      </c>
      <c r="O606">
        <f>I606+N606+M606</f>
        <v>0</v>
      </c>
      <c r="P606">
        <f>O606*C$3</f>
        <v>0</v>
      </c>
      <c r="Q606" t="str">
        <f>ROUNDUP(HLOOKUP(IF(CEILING(L606,0.5)&lt;1,1,CEILING(L606,0.5)),'배송비 조회'!A$32:AY$36,2,0),-2)</f>
        <v>#REF!</v>
      </c>
      <c r="R606">
        <v>0</v>
      </c>
      <c r="S606" t="str">
        <f>ROUND((P606+Q606)*0.6,-2)</f>
        <v>#REF!</v>
      </c>
      <c r="T606" t="str">
        <f>ROUND((P606+Q606)*0.7,-2)</f>
        <v>#REF!</v>
      </c>
      <c r="U606" t="str">
        <f>ROUND(SUM(P606+Q606+R606+S606), -2)</f>
        <v>#REF!</v>
      </c>
      <c r="V606" t="str">
        <f>ROUND(P606+Q606+R606+T606, -2)</f>
        <v>#REF!</v>
      </c>
      <c r="W606">
        <v>0</v>
      </c>
      <c r="X606" t="str">
        <f>U606*0.038</f>
        <v>#REF!</v>
      </c>
      <c r="Y606" t="str">
        <f>U606*0.02</f>
        <v>#REF!</v>
      </c>
      <c r="Z606" t="str">
        <f>V606*0.1</f>
        <v>#REF!</v>
      </c>
      <c r="AA606" t="str">
        <f>U606-X606-Y606</f>
        <v>#REF!</v>
      </c>
      <c r="AB606" t="str">
        <f>V606-Z606</f>
        <v>#REF!</v>
      </c>
      <c r="AC606" t="str">
        <f>AA606*0.01</f>
        <v>#REF!</v>
      </c>
      <c r="AD606" t="str">
        <f>AA606-P606-AC606-Q606</f>
        <v>#REF!</v>
      </c>
      <c r="AE606" t="str">
        <f>AB606-P606-Q606-AC606</f>
        <v>#REF!</v>
      </c>
      <c r="AF606" t="str">
        <f>AD606/U606</f>
        <v>#REF!</v>
      </c>
      <c r="AG606" t="str">
        <f>AE606/V606</f>
        <v>#REF!</v>
      </c>
    </row>
    <row r="607">
      <c r="G607" t="str">
        <v>A</v>
      </c>
      <c r="J607" t="str">
        <f>IF(K607&gt;0,K607*0.0625,IF(L607&gt;0,L607*2.204623,))</f>
        <v>#REF!</v>
      </c>
      <c r="K607" t="str">
        <f>IF(L607&gt;0,L607*35.273962,IF(J607&gt;0,J607*16,))</f>
        <v>#REF!</v>
      </c>
      <c r="L607" t="str">
        <f>IF(J607&gt;0,J607*0.453592,IF(K607&gt;0,K607*0.02835,))</f>
        <v>#REF!</v>
      </c>
      <c r="O607">
        <f>I607+N607+M607</f>
        <v>0</v>
      </c>
      <c r="P607">
        <f>O607*C$3</f>
        <v>0</v>
      </c>
      <c r="Q607" t="str">
        <f>ROUNDUP(HLOOKUP(IF(CEILING(L607,0.5)&lt;1,1,CEILING(L607,0.5)),'배송비 조회'!A$32:AY$36,2,0),-2)</f>
        <v>#REF!</v>
      </c>
      <c r="R607">
        <v>0</v>
      </c>
      <c r="S607" t="str">
        <f>ROUND((P607+Q607)*0.6,-2)</f>
        <v>#REF!</v>
      </c>
      <c r="T607" t="str">
        <f>ROUND((P607+Q607)*0.7,-2)</f>
        <v>#REF!</v>
      </c>
      <c r="U607" t="str">
        <f>ROUND(SUM(P607+Q607+R607+S607), -2)</f>
        <v>#REF!</v>
      </c>
      <c r="V607" t="str">
        <f>ROUND(P607+Q607+R607+T607, -2)</f>
        <v>#REF!</v>
      </c>
      <c r="W607">
        <v>0</v>
      </c>
      <c r="X607" t="str">
        <f>U607*0.038</f>
        <v>#REF!</v>
      </c>
      <c r="Y607" t="str">
        <f>U607*0.02</f>
        <v>#REF!</v>
      </c>
      <c r="Z607" t="str">
        <f>V607*0.1</f>
        <v>#REF!</v>
      </c>
      <c r="AA607" t="str">
        <f>U607-X607-Y607</f>
        <v>#REF!</v>
      </c>
      <c r="AB607" t="str">
        <f>V607-Z607</f>
        <v>#REF!</v>
      </c>
      <c r="AC607" t="str">
        <f>AA607*0.01</f>
        <v>#REF!</v>
      </c>
      <c r="AD607" t="str">
        <f>AA607-P607-AC607-Q607</f>
        <v>#REF!</v>
      </c>
      <c r="AE607" t="str">
        <f>AB607-P607-Q607-AC607</f>
        <v>#REF!</v>
      </c>
      <c r="AF607" t="str">
        <f>AD607/U607</f>
        <v>#REF!</v>
      </c>
      <c r="AG607" t="str">
        <f>AE607/V607</f>
        <v>#REF!</v>
      </c>
    </row>
    <row r="608">
      <c r="G608" t="str">
        <v>A</v>
      </c>
      <c r="J608" t="str">
        <f>IF(K608&gt;0,K608*0.0625,IF(L608&gt;0,L608*2.204623,))</f>
        <v>#REF!</v>
      </c>
      <c r="K608" t="str">
        <f>IF(L608&gt;0,L608*35.273962,IF(J608&gt;0,J608*16,))</f>
        <v>#REF!</v>
      </c>
      <c r="L608" t="str">
        <f>IF(J608&gt;0,J608*0.453592,IF(K608&gt;0,K608*0.02835,))</f>
        <v>#REF!</v>
      </c>
      <c r="O608">
        <f>I608+N608+M608</f>
        <v>0</v>
      </c>
      <c r="P608">
        <f>O608*C$3</f>
        <v>0</v>
      </c>
      <c r="Q608" t="str">
        <f>ROUNDUP(HLOOKUP(IF(CEILING(L608,0.5)&lt;1,1,CEILING(L608,0.5)),'배송비 조회'!A$32:AY$36,2,0),-2)</f>
        <v>#REF!</v>
      </c>
      <c r="R608">
        <v>0</v>
      </c>
      <c r="S608" t="str">
        <f>ROUND((P608+Q608)*0.6,-2)</f>
        <v>#REF!</v>
      </c>
      <c r="T608" t="str">
        <f>ROUND((P608+Q608)*0.7,-2)</f>
        <v>#REF!</v>
      </c>
      <c r="U608" t="str">
        <f>ROUND(SUM(P608+Q608+R608+S608), -2)</f>
        <v>#REF!</v>
      </c>
      <c r="V608" t="str">
        <f>ROUND(P608+Q608+R608+T608, -2)</f>
        <v>#REF!</v>
      </c>
      <c r="W608">
        <v>0</v>
      </c>
      <c r="X608" t="str">
        <f>U608*0.038</f>
        <v>#REF!</v>
      </c>
      <c r="Y608" t="str">
        <f>U608*0.02</f>
        <v>#REF!</v>
      </c>
      <c r="Z608" t="str">
        <f>V608*0.1</f>
        <v>#REF!</v>
      </c>
      <c r="AA608" t="str">
        <f>U608-X608-Y608</f>
        <v>#REF!</v>
      </c>
      <c r="AB608" t="str">
        <f>V608-Z608</f>
        <v>#REF!</v>
      </c>
      <c r="AC608" t="str">
        <f>AA608*0.01</f>
        <v>#REF!</v>
      </c>
      <c r="AD608" t="str">
        <f>AA608-P608-AC608-Q608</f>
        <v>#REF!</v>
      </c>
      <c r="AE608" t="str">
        <f>AB608-P608-Q608-AC608</f>
        <v>#REF!</v>
      </c>
      <c r="AF608" t="str">
        <f>AD608/U608</f>
        <v>#REF!</v>
      </c>
      <c r="AG608" t="str">
        <f>AE608/V608</f>
        <v>#REF!</v>
      </c>
    </row>
    <row r="609">
      <c r="G609" t="str">
        <v>A</v>
      </c>
      <c r="J609" t="str">
        <f>IF(K609&gt;0,K609*0.0625,IF(L609&gt;0,L609*2.204623,))</f>
        <v>#REF!</v>
      </c>
      <c r="K609" t="str">
        <f>IF(L609&gt;0,L609*35.273962,IF(J609&gt;0,J609*16,))</f>
        <v>#REF!</v>
      </c>
      <c r="L609" t="str">
        <f>IF(J609&gt;0,J609*0.453592,IF(K609&gt;0,K609*0.02835,))</f>
        <v>#REF!</v>
      </c>
      <c r="O609">
        <f>I609+N609+M609</f>
        <v>0</v>
      </c>
      <c r="P609">
        <f>O609*C$3</f>
        <v>0</v>
      </c>
      <c r="Q609" t="str">
        <f>ROUNDUP(HLOOKUP(IF(CEILING(L609,0.5)&lt;1,1,CEILING(L609,0.5)),'배송비 조회'!A$32:AY$36,2,0),-2)</f>
        <v>#REF!</v>
      </c>
      <c r="R609">
        <v>0</v>
      </c>
      <c r="S609" t="str">
        <f>ROUND((P609+Q609)*0.6,-2)</f>
        <v>#REF!</v>
      </c>
      <c r="T609" t="str">
        <f>ROUND((P609+Q609)*0.7,-2)</f>
        <v>#REF!</v>
      </c>
      <c r="U609" t="str">
        <f>ROUND(SUM(P609+Q609+R609+S609), -2)</f>
        <v>#REF!</v>
      </c>
      <c r="V609" t="str">
        <f>ROUND(P609+Q609+R609+T609, -2)</f>
        <v>#REF!</v>
      </c>
      <c r="W609">
        <v>0</v>
      </c>
      <c r="X609" t="str">
        <f>U609*0.038</f>
        <v>#REF!</v>
      </c>
      <c r="Y609" t="str">
        <f>U609*0.02</f>
        <v>#REF!</v>
      </c>
      <c r="Z609" t="str">
        <f>V609*0.1</f>
        <v>#REF!</v>
      </c>
      <c r="AA609" t="str">
        <f>U609-X609-Y609</f>
        <v>#REF!</v>
      </c>
      <c r="AB609" t="str">
        <f>V609-Z609</f>
        <v>#REF!</v>
      </c>
      <c r="AC609" t="str">
        <f>AA609*0.01</f>
        <v>#REF!</v>
      </c>
      <c r="AD609" t="str">
        <f>AA609-P609-AC609-Q609</f>
        <v>#REF!</v>
      </c>
      <c r="AE609" t="str">
        <f>AB609-P609-Q609-AC609</f>
        <v>#REF!</v>
      </c>
      <c r="AF609" t="str">
        <f>AD609/U609</f>
        <v>#REF!</v>
      </c>
      <c r="AG609" t="str">
        <f>AE609/V609</f>
        <v>#REF!</v>
      </c>
    </row>
    <row r="610">
      <c r="G610" t="str">
        <v>A</v>
      </c>
      <c r="J610" t="str">
        <f>IF(K610&gt;0,K610*0.0625,IF(L610&gt;0,L610*2.204623,))</f>
        <v>#REF!</v>
      </c>
      <c r="K610" t="str">
        <f>IF(L610&gt;0,L610*35.273962,IF(J610&gt;0,J610*16,))</f>
        <v>#REF!</v>
      </c>
      <c r="L610" t="str">
        <f>IF(J610&gt;0,J610*0.453592,IF(K610&gt;0,K610*0.02835,))</f>
        <v>#REF!</v>
      </c>
      <c r="O610">
        <f>I610+N610+M610</f>
        <v>0</v>
      </c>
      <c r="P610">
        <f>O610*C$3</f>
        <v>0</v>
      </c>
      <c r="Q610" t="str">
        <f>ROUNDUP(HLOOKUP(IF(CEILING(L610,0.5)&lt;1,1,CEILING(L610,0.5)),'배송비 조회'!A$32:AY$36,2,0),-2)</f>
        <v>#REF!</v>
      </c>
      <c r="R610">
        <v>0</v>
      </c>
      <c r="S610" t="str">
        <f>ROUND((P610+Q610)*0.6,-2)</f>
        <v>#REF!</v>
      </c>
      <c r="T610" t="str">
        <f>ROUND((P610+Q610)*0.7,-2)</f>
        <v>#REF!</v>
      </c>
      <c r="U610" t="str">
        <f>ROUND(SUM(P610+Q610+R610+S610), -2)</f>
        <v>#REF!</v>
      </c>
      <c r="V610" t="str">
        <f>ROUND(P610+Q610+R610+T610, -2)</f>
        <v>#REF!</v>
      </c>
      <c r="W610">
        <v>0</v>
      </c>
      <c r="X610" t="str">
        <f>U610*0.038</f>
        <v>#REF!</v>
      </c>
      <c r="Y610" t="str">
        <f>U610*0.02</f>
        <v>#REF!</v>
      </c>
      <c r="Z610" t="str">
        <f>V610*0.1</f>
        <v>#REF!</v>
      </c>
      <c r="AA610" t="str">
        <f>U610-X610-Y610</f>
        <v>#REF!</v>
      </c>
      <c r="AB610" t="str">
        <f>V610-Z610</f>
        <v>#REF!</v>
      </c>
      <c r="AC610" t="str">
        <f>AA610*0.01</f>
        <v>#REF!</v>
      </c>
      <c r="AD610" t="str">
        <f>AA610-P610-AC610-Q610</f>
        <v>#REF!</v>
      </c>
      <c r="AE610" t="str">
        <f>AB610-P610-Q610-AC610</f>
        <v>#REF!</v>
      </c>
      <c r="AF610" t="str">
        <f>AD610/U610</f>
        <v>#REF!</v>
      </c>
      <c r="AG610" t="str">
        <f>AE610/V610</f>
        <v>#REF!</v>
      </c>
    </row>
    <row r="611">
      <c r="G611" t="str">
        <v>A</v>
      </c>
      <c r="J611" t="str">
        <f>IF(K611&gt;0,K611*0.0625,IF(L611&gt;0,L611*2.204623,))</f>
        <v>#REF!</v>
      </c>
      <c r="K611" t="str">
        <f>IF(L611&gt;0,L611*35.273962,IF(J611&gt;0,J611*16,))</f>
        <v>#REF!</v>
      </c>
      <c r="L611" t="str">
        <f>IF(J611&gt;0,J611*0.453592,IF(K611&gt;0,K611*0.02835,))</f>
        <v>#REF!</v>
      </c>
      <c r="O611">
        <f>I611+N611+M611</f>
        <v>0</v>
      </c>
      <c r="P611">
        <f>O611*C$3</f>
        <v>0</v>
      </c>
      <c r="Q611" t="str">
        <f>ROUNDUP(HLOOKUP(IF(CEILING(L611,0.5)&lt;1,1,CEILING(L611,0.5)),'배송비 조회'!A$32:AY$36,2,0),-2)</f>
        <v>#REF!</v>
      </c>
      <c r="R611">
        <v>0</v>
      </c>
      <c r="S611" t="str">
        <f>ROUND((P611+Q611)*0.6,-2)</f>
        <v>#REF!</v>
      </c>
      <c r="T611" t="str">
        <f>ROUND((P611+Q611)*0.7,-2)</f>
        <v>#REF!</v>
      </c>
      <c r="U611" t="str">
        <f>ROUND(SUM(P611+Q611+R611+S611), -2)</f>
        <v>#REF!</v>
      </c>
      <c r="V611" t="str">
        <f>ROUND(P611+Q611+R611+T611, -2)</f>
        <v>#REF!</v>
      </c>
      <c r="W611">
        <v>0</v>
      </c>
      <c r="X611" t="str">
        <f>U611*0.038</f>
        <v>#REF!</v>
      </c>
      <c r="Y611" t="str">
        <f>U611*0.02</f>
        <v>#REF!</v>
      </c>
      <c r="Z611" t="str">
        <f>V611*0.1</f>
        <v>#REF!</v>
      </c>
      <c r="AA611" t="str">
        <f>U611-X611-Y611</f>
        <v>#REF!</v>
      </c>
      <c r="AB611" t="str">
        <f>V611-Z611</f>
        <v>#REF!</v>
      </c>
      <c r="AC611" t="str">
        <f>AA611*0.01</f>
        <v>#REF!</v>
      </c>
      <c r="AD611" t="str">
        <f>AA611-P611-AC611-Q611</f>
        <v>#REF!</v>
      </c>
      <c r="AE611" t="str">
        <f>AB611-P611-Q611-AC611</f>
        <v>#REF!</v>
      </c>
      <c r="AF611" t="str">
        <f>AD611/U611</f>
        <v>#REF!</v>
      </c>
      <c r="AG611" t="str">
        <f>AE611/V611</f>
        <v>#REF!</v>
      </c>
    </row>
    <row r="612">
      <c r="G612" t="str">
        <v>A</v>
      </c>
      <c r="J612" t="str">
        <f>IF(K612&gt;0,K612*0.0625,IF(L612&gt;0,L612*2.204623,))</f>
        <v>#REF!</v>
      </c>
      <c r="K612" t="str">
        <f>IF(L612&gt;0,L612*35.273962,IF(J612&gt;0,J612*16,))</f>
        <v>#REF!</v>
      </c>
      <c r="L612" t="str">
        <f>IF(J612&gt;0,J612*0.453592,IF(K612&gt;0,K612*0.02835,))</f>
        <v>#REF!</v>
      </c>
      <c r="O612">
        <f>I612+N612+M612</f>
        <v>0</v>
      </c>
      <c r="P612">
        <f>O612*C$3</f>
        <v>0</v>
      </c>
      <c r="Q612" t="str">
        <f>ROUNDUP(HLOOKUP(IF(CEILING(L612,0.5)&lt;1,1,CEILING(L612,0.5)),'배송비 조회'!A$32:AY$36,2,0),-2)</f>
        <v>#REF!</v>
      </c>
      <c r="R612">
        <v>0</v>
      </c>
      <c r="S612" t="str">
        <f>ROUND((P612+Q612)*0.6,-2)</f>
        <v>#REF!</v>
      </c>
      <c r="T612" t="str">
        <f>ROUND((P612+Q612)*0.7,-2)</f>
        <v>#REF!</v>
      </c>
      <c r="U612" t="str">
        <f>ROUND(SUM(P612+Q612+R612+S612), -2)</f>
        <v>#REF!</v>
      </c>
      <c r="V612" t="str">
        <f>ROUND(P612+Q612+R612+T612, -2)</f>
        <v>#REF!</v>
      </c>
      <c r="W612">
        <v>0</v>
      </c>
      <c r="X612" t="str">
        <f>U612*0.038</f>
        <v>#REF!</v>
      </c>
      <c r="Y612" t="str">
        <f>U612*0.02</f>
        <v>#REF!</v>
      </c>
      <c r="Z612" t="str">
        <f>V612*0.1</f>
        <v>#REF!</v>
      </c>
      <c r="AA612" t="str">
        <f>U612-X612-Y612</f>
        <v>#REF!</v>
      </c>
      <c r="AB612" t="str">
        <f>V612-Z612</f>
        <v>#REF!</v>
      </c>
      <c r="AC612" t="str">
        <f>AA612*0.01</f>
        <v>#REF!</v>
      </c>
      <c r="AD612" t="str">
        <f>AA612-P612-AC612-Q612</f>
        <v>#REF!</v>
      </c>
      <c r="AE612" t="str">
        <f>AB612-P612-Q612-AC612</f>
        <v>#REF!</v>
      </c>
      <c r="AF612" t="str">
        <f>AD612/U612</f>
        <v>#REF!</v>
      </c>
      <c r="AG612" t="str">
        <f>AE612/V612</f>
        <v>#REF!</v>
      </c>
    </row>
    <row r="613">
      <c r="G613" t="str">
        <v>A</v>
      </c>
      <c r="J613" t="str">
        <f>IF(K613&gt;0,K613*0.0625,IF(L613&gt;0,L613*2.204623,))</f>
        <v>#REF!</v>
      </c>
      <c r="K613" t="str">
        <f>IF(L613&gt;0,L613*35.273962,IF(J613&gt;0,J613*16,))</f>
        <v>#REF!</v>
      </c>
      <c r="L613" t="str">
        <f>IF(J613&gt;0,J613*0.453592,IF(K613&gt;0,K613*0.02835,))</f>
        <v>#REF!</v>
      </c>
      <c r="O613">
        <f>I613+N613+M613</f>
        <v>0</v>
      </c>
      <c r="P613">
        <f>O613*C$3</f>
        <v>0</v>
      </c>
      <c r="Q613" t="str">
        <f>ROUNDUP(HLOOKUP(IF(CEILING(L613,0.5)&lt;1,1,CEILING(L613,0.5)),'배송비 조회'!A$32:AY$36,2,0),-2)</f>
        <v>#REF!</v>
      </c>
      <c r="R613">
        <v>0</v>
      </c>
      <c r="S613" t="str">
        <f>ROUND((P613+Q613)*0.6,-2)</f>
        <v>#REF!</v>
      </c>
      <c r="T613" t="str">
        <f>ROUND((P613+Q613)*0.7,-2)</f>
        <v>#REF!</v>
      </c>
      <c r="U613" t="str">
        <f>ROUND(SUM(P613+Q613+R613+S613), -2)</f>
        <v>#REF!</v>
      </c>
      <c r="V613" t="str">
        <f>ROUND(P613+Q613+R613+T613, -2)</f>
        <v>#REF!</v>
      </c>
      <c r="W613">
        <v>0</v>
      </c>
      <c r="X613" t="str">
        <f>U613*0.038</f>
        <v>#REF!</v>
      </c>
      <c r="Y613" t="str">
        <f>U613*0.02</f>
        <v>#REF!</v>
      </c>
      <c r="Z613" t="str">
        <f>V613*0.1</f>
        <v>#REF!</v>
      </c>
      <c r="AA613" t="str">
        <f>U613-X613-Y613</f>
        <v>#REF!</v>
      </c>
      <c r="AB613" t="str">
        <f>V613-Z613</f>
        <v>#REF!</v>
      </c>
      <c r="AC613" t="str">
        <f>AA613*0.01</f>
        <v>#REF!</v>
      </c>
      <c r="AD613" t="str">
        <f>AA613-P613-AC613-Q613</f>
        <v>#REF!</v>
      </c>
      <c r="AE613" t="str">
        <f>AB613-P613-Q613-AC613</f>
        <v>#REF!</v>
      </c>
      <c r="AF613" t="str">
        <f>AD613/U613</f>
        <v>#REF!</v>
      </c>
      <c r="AG613" t="str">
        <f>AE613/V613</f>
        <v>#REF!</v>
      </c>
    </row>
    <row r="614">
      <c r="G614" t="str">
        <v>A</v>
      </c>
      <c r="J614" t="str">
        <f>IF(K614&gt;0,K614*0.0625,IF(L614&gt;0,L614*2.204623,))</f>
        <v>#REF!</v>
      </c>
      <c r="K614" t="str">
        <f>IF(L614&gt;0,L614*35.273962,IF(J614&gt;0,J614*16,))</f>
        <v>#REF!</v>
      </c>
      <c r="L614" t="str">
        <f>IF(J614&gt;0,J614*0.453592,IF(K614&gt;0,K614*0.02835,))</f>
        <v>#REF!</v>
      </c>
      <c r="O614">
        <f>I614+N614+M614</f>
        <v>0</v>
      </c>
      <c r="P614">
        <f>O614*C$3</f>
        <v>0</v>
      </c>
      <c r="Q614" t="str">
        <f>ROUNDUP(HLOOKUP(IF(CEILING(L614,0.5)&lt;1,1,CEILING(L614,0.5)),'배송비 조회'!A$32:AY$36,2,0),-2)</f>
        <v>#REF!</v>
      </c>
      <c r="R614">
        <v>0</v>
      </c>
      <c r="S614" t="str">
        <f>ROUND((P614+Q614)*0.6,-2)</f>
        <v>#REF!</v>
      </c>
      <c r="T614" t="str">
        <f>ROUND((P614+Q614)*0.7,-2)</f>
        <v>#REF!</v>
      </c>
      <c r="U614" t="str">
        <f>ROUND(SUM(P614+Q614+R614+S614), -2)</f>
        <v>#REF!</v>
      </c>
      <c r="V614" t="str">
        <f>ROUND(P614+Q614+R614+T614, -2)</f>
        <v>#REF!</v>
      </c>
      <c r="W614">
        <v>0</v>
      </c>
      <c r="X614" t="str">
        <f>U614*0.038</f>
        <v>#REF!</v>
      </c>
      <c r="Y614" t="str">
        <f>U614*0.02</f>
        <v>#REF!</v>
      </c>
      <c r="Z614" t="str">
        <f>V614*0.1</f>
        <v>#REF!</v>
      </c>
      <c r="AA614" t="str">
        <f>U614-X614-Y614</f>
        <v>#REF!</v>
      </c>
      <c r="AB614" t="str">
        <f>V614-Z614</f>
        <v>#REF!</v>
      </c>
      <c r="AC614" t="str">
        <f>AA614*0.01</f>
        <v>#REF!</v>
      </c>
      <c r="AD614" t="str">
        <f>AA614-P614-AC614-Q614</f>
        <v>#REF!</v>
      </c>
      <c r="AE614" t="str">
        <f>AB614-P614-Q614-AC614</f>
        <v>#REF!</v>
      </c>
      <c r="AF614" t="str">
        <f>AD614/U614</f>
        <v>#REF!</v>
      </c>
      <c r="AG614" t="str">
        <f>AE614/V614</f>
        <v>#REF!</v>
      </c>
    </row>
    <row r="615">
      <c r="G615" t="str">
        <v>A</v>
      </c>
      <c r="J615" t="str">
        <f>IF(K615&gt;0,K615*0.0625,IF(L615&gt;0,L615*2.204623,))</f>
        <v>#REF!</v>
      </c>
      <c r="K615" t="str">
        <f>IF(L615&gt;0,L615*35.273962,IF(J615&gt;0,J615*16,))</f>
        <v>#REF!</v>
      </c>
      <c r="L615" t="str">
        <f>IF(J615&gt;0,J615*0.453592,IF(K615&gt;0,K615*0.02835,))</f>
        <v>#REF!</v>
      </c>
      <c r="O615">
        <f>I615+N615+M615</f>
        <v>0</v>
      </c>
      <c r="P615">
        <f>O615*C$3</f>
        <v>0</v>
      </c>
      <c r="Q615" t="str">
        <f>ROUNDUP(HLOOKUP(IF(CEILING(L615,0.5)&lt;1,1,CEILING(L615,0.5)),'배송비 조회'!A$32:AY$36,2,0),-2)</f>
        <v>#REF!</v>
      </c>
      <c r="R615">
        <v>0</v>
      </c>
      <c r="S615" t="str">
        <f>ROUND((P615+Q615)*0.6,-2)</f>
        <v>#REF!</v>
      </c>
      <c r="T615" t="str">
        <f>ROUND((P615+Q615)*0.7,-2)</f>
        <v>#REF!</v>
      </c>
      <c r="U615" t="str">
        <f>ROUND(SUM(P615+Q615+R615+S615), -2)</f>
        <v>#REF!</v>
      </c>
      <c r="V615" t="str">
        <f>ROUND(P615+Q615+R615+T615, -2)</f>
        <v>#REF!</v>
      </c>
      <c r="W615">
        <v>0</v>
      </c>
      <c r="X615" t="str">
        <f>U615*0.038</f>
        <v>#REF!</v>
      </c>
      <c r="Y615" t="str">
        <f>U615*0.02</f>
        <v>#REF!</v>
      </c>
      <c r="Z615" t="str">
        <f>V615*0.1</f>
        <v>#REF!</v>
      </c>
      <c r="AA615" t="str">
        <f>U615-X615-Y615</f>
        <v>#REF!</v>
      </c>
      <c r="AB615" t="str">
        <f>V615-Z615</f>
        <v>#REF!</v>
      </c>
      <c r="AC615" t="str">
        <f>AA615*0.01</f>
        <v>#REF!</v>
      </c>
      <c r="AD615" t="str">
        <f>AA615-P615-AC615-Q615</f>
        <v>#REF!</v>
      </c>
      <c r="AE615" t="str">
        <f>AB615-P615-Q615-AC615</f>
        <v>#REF!</v>
      </c>
      <c r="AF615" t="str">
        <f>AD615/U615</f>
        <v>#REF!</v>
      </c>
      <c r="AG615" t="str">
        <f>AE615/V615</f>
        <v>#REF!</v>
      </c>
    </row>
    <row r="616">
      <c r="G616" t="str">
        <v>A</v>
      </c>
      <c r="J616" t="str">
        <f>IF(K616&gt;0,K616*0.0625,IF(L616&gt;0,L616*2.204623,))</f>
        <v>#REF!</v>
      </c>
      <c r="K616" t="str">
        <f>IF(L616&gt;0,L616*35.273962,IF(J616&gt;0,J616*16,))</f>
        <v>#REF!</v>
      </c>
      <c r="L616" t="str">
        <f>IF(J616&gt;0,J616*0.453592,IF(K616&gt;0,K616*0.02835,))</f>
        <v>#REF!</v>
      </c>
      <c r="O616">
        <f>I616+N616+M616</f>
        <v>0</v>
      </c>
      <c r="P616">
        <f>O616*C$3</f>
        <v>0</v>
      </c>
      <c r="Q616" t="str">
        <f>ROUNDUP(HLOOKUP(IF(CEILING(L616,0.5)&lt;1,1,CEILING(L616,0.5)),'배송비 조회'!A$32:AY$36,2,0),-2)</f>
        <v>#REF!</v>
      </c>
      <c r="R616">
        <v>0</v>
      </c>
      <c r="S616" t="str">
        <f>ROUND((P616+Q616)*0.6,-2)</f>
        <v>#REF!</v>
      </c>
      <c r="T616" t="str">
        <f>ROUND((P616+Q616)*0.7,-2)</f>
        <v>#REF!</v>
      </c>
      <c r="U616" t="str">
        <f>ROUND(SUM(P616+Q616+R616+S616), -2)</f>
        <v>#REF!</v>
      </c>
      <c r="V616" t="str">
        <f>ROUND(P616+Q616+R616+T616, -2)</f>
        <v>#REF!</v>
      </c>
      <c r="W616">
        <v>0</v>
      </c>
      <c r="X616" t="str">
        <f>U616*0.038</f>
        <v>#REF!</v>
      </c>
      <c r="Y616" t="str">
        <f>U616*0.02</f>
        <v>#REF!</v>
      </c>
      <c r="Z616" t="str">
        <f>V616*0.1</f>
        <v>#REF!</v>
      </c>
      <c r="AA616" t="str">
        <f>U616-X616-Y616</f>
        <v>#REF!</v>
      </c>
      <c r="AB616" t="str">
        <f>V616-Z616</f>
        <v>#REF!</v>
      </c>
      <c r="AC616" t="str">
        <f>AA616*0.01</f>
        <v>#REF!</v>
      </c>
      <c r="AD616" t="str">
        <f>AA616-P616-AC616-Q616</f>
        <v>#REF!</v>
      </c>
      <c r="AE616" t="str">
        <f>AB616-P616-Q616-AC616</f>
        <v>#REF!</v>
      </c>
      <c r="AF616" t="str">
        <f>AD616/U616</f>
        <v>#REF!</v>
      </c>
      <c r="AG616" t="str">
        <f>AE616/V616</f>
        <v>#REF!</v>
      </c>
    </row>
    <row r="617">
      <c r="G617" t="str">
        <v>A</v>
      </c>
      <c r="J617" t="str">
        <f>IF(K617&gt;0,K617*0.0625,IF(L617&gt;0,L617*2.204623,))</f>
        <v>#REF!</v>
      </c>
      <c r="K617" t="str">
        <f>IF(L617&gt;0,L617*35.273962,IF(J617&gt;0,J617*16,))</f>
        <v>#REF!</v>
      </c>
      <c r="L617" t="str">
        <f>IF(J617&gt;0,J617*0.453592,IF(K617&gt;0,K617*0.02835,))</f>
        <v>#REF!</v>
      </c>
      <c r="O617">
        <f>I617+N617+M617</f>
        <v>0</v>
      </c>
      <c r="P617">
        <f>O617*C$3</f>
        <v>0</v>
      </c>
      <c r="Q617" t="str">
        <f>ROUNDUP(HLOOKUP(IF(CEILING(L617,0.5)&lt;1,1,CEILING(L617,0.5)),'배송비 조회'!A$32:AY$36,2,0),-2)</f>
        <v>#REF!</v>
      </c>
      <c r="R617">
        <v>0</v>
      </c>
      <c r="S617" t="str">
        <f>ROUND((P617+Q617)*0.6,-2)</f>
        <v>#REF!</v>
      </c>
      <c r="T617" t="str">
        <f>ROUND((P617+Q617)*0.7,-2)</f>
        <v>#REF!</v>
      </c>
      <c r="U617" t="str">
        <f>ROUND(SUM(P617+Q617+R617+S617), -2)</f>
        <v>#REF!</v>
      </c>
      <c r="V617" t="str">
        <f>ROUND(P617+Q617+R617+T617, -2)</f>
        <v>#REF!</v>
      </c>
      <c r="W617">
        <v>0</v>
      </c>
      <c r="X617" t="str">
        <f>U617*0.038</f>
        <v>#REF!</v>
      </c>
      <c r="Y617" t="str">
        <f>U617*0.02</f>
        <v>#REF!</v>
      </c>
      <c r="Z617" t="str">
        <f>V617*0.1</f>
        <v>#REF!</v>
      </c>
      <c r="AA617" t="str">
        <f>U617-X617-Y617</f>
        <v>#REF!</v>
      </c>
      <c r="AB617" t="str">
        <f>V617-Z617</f>
        <v>#REF!</v>
      </c>
      <c r="AC617" t="str">
        <f>AA617*0.01</f>
        <v>#REF!</v>
      </c>
      <c r="AD617" t="str">
        <f>AA617-P617-AC617-Q617</f>
        <v>#REF!</v>
      </c>
      <c r="AE617" t="str">
        <f>AB617-P617-Q617-AC617</f>
        <v>#REF!</v>
      </c>
      <c r="AF617" t="str">
        <f>AD617/U617</f>
        <v>#REF!</v>
      </c>
      <c r="AG617" t="str">
        <f>AE617/V617</f>
        <v>#REF!</v>
      </c>
    </row>
    <row r="618">
      <c r="G618" t="str">
        <v>A</v>
      </c>
      <c r="J618" t="str">
        <f>IF(K618&gt;0,K618*0.0625,IF(L618&gt;0,L618*2.204623,))</f>
        <v>#REF!</v>
      </c>
      <c r="K618" t="str">
        <f>IF(L618&gt;0,L618*35.273962,IF(J618&gt;0,J618*16,))</f>
        <v>#REF!</v>
      </c>
      <c r="L618" t="str">
        <f>IF(J618&gt;0,J618*0.453592,IF(K618&gt;0,K618*0.02835,))</f>
        <v>#REF!</v>
      </c>
      <c r="O618">
        <f>I618+N618+M618</f>
        <v>0</v>
      </c>
      <c r="P618">
        <f>O618*C$3</f>
        <v>0</v>
      </c>
      <c r="Q618" t="str">
        <f>ROUNDUP(HLOOKUP(IF(CEILING(L618,0.5)&lt;1,1,CEILING(L618,0.5)),'배송비 조회'!A$32:AY$36,2,0),-2)</f>
        <v>#REF!</v>
      </c>
      <c r="R618">
        <v>0</v>
      </c>
      <c r="S618" t="str">
        <f>ROUND((P618+Q618)*0.6,-2)</f>
        <v>#REF!</v>
      </c>
      <c r="T618" t="str">
        <f>ROUND((P618+Q618)*0.7,-2)</f>
        <v>#REF!</v>
      </c>
      <c r="U618" t="str">
        <f>ROUND(SUM(P618+Q618+R618+S618), -2)</f>
        <v>#REF!</v>
      </c>
      <c r="V618" t="str">
        <f>ROUND(P618+Q618+R618+T618, -2)</f>
        <v>#REF!</v>
      </c>
      <c r="W618">
        <v>0</v>
      </c>
      <c r="X618" t="str">
        <f>U618*0.038</f>
        <v>#REF!</v>
      </c>
      <c r="Y618" t="str">
        <f>U618*0.02</f>
        <v>#REF!</v>
      </c>
      <c r="Z618" t="str">
        <f>V618*0.1</f>
        <v>#REF!</v>
      </c>
      <c r="AA618" t="str">
        <f>U618-X618-Y618</f>
        <v>#REF!</v>
      </c>
      <c r="AB618" t="str">
        <f>V618-Z618</f>
        <v>#REF!</v>
      </c>
      <c r="AC618" t="str">
        <f>AA618*0.01</f>
        <v>#REF!</v>
      </c>
      <c r="AD618" t="str">
        <f>AA618-P618-AC618-Q618</f>
        <v>#REF!</v>
      </c>
      <c r="AE618" t="str">
        <f>AB618-P618-Q618-AC618</f>
        <v>#REF!</v>
      </c>
      <c r="AF618" t="str">
        <f>AD618/U618</f>
        <v>#REF!</v>
      </c>
      <c r="AG618" t="str">
        <f>AE618/V618</f>
        <v>#REF!</v>
      </c>
    </row>
    <row r="619">
      <c r="G619" t="str">
        <v>A</v>
      </c>
      <c r="J619" t="str">
        <f>IF(K619&gt;0,K619*0.0625,IF(L619&gt;0,L619*2.204623,))</f>
        <v>#REF!</v>
      </c>
      <c r="K619" t="str">
        <f>IF(L619&gt;0,L619*35.273962,IF(J619&gt;0,J619*16,))</f>
        <v>#REF!</v>
      </c>
      <c r="L619" t="str">
        <f>IF(J619&gt;0,J619*0.453592,IF(K619&gt;0,K619*0.02835,))</f>
        <v>#REF!</v>
      </c>
      <c r="O619">
        <f>I619+N619+M619</f>
        <v>0</v>
      </c>
      <c r="P619">
        <f>O619*C$3</f>
        <v>0</v>
      </c>
      <c r="Q619" t="str">
        <f>ROUNDUP(HLOOKUP(IF(CEILING(L619,0.5)&lt;1,1,CEILING(L619,0.5)),'배송비 조회'!A$32:AY$36,2,0),-2)</f>
        <v>#REF!</v>
      </c>
      <c r="R619">
        <v>0</v>
      </c>
      <c r="S619" t="str">
        <f>ROUND((P619+Q619)*0.6,-2)</f>
        <v>#REF!</v>
      </c>
      <c r="T619" t="str">
        <f>ROUND((P619+Q619)*0.7,-2)</f>
        <v>#REF!</v>
      </c>
      <c r="U619" t="str">
        <f>ROUND(SUM(P619+Q619+R619+S619), -2)</f>
        <v>#REF!</v>
      </c>
      <c r="V619" t="str">
        <f>ROUND(P619+Q619+R619+T619, -2)</f>
        <v>#REF!</v>
      </c>
      <c r="W619">
        <v>0</v>
      </c>
      <c r="X619" t="str">
        <f>U619*0.038</f>
        <v>#REF!</v>
      </c>
      <c r="Y619" t="str">
        <f>U619*0.02</f>
        <v>#REF!</v>
      </c>
      <c r="Z619" t="str">
        <f>V619*0.1</f>
        <v>#REF!</v>
      </c>
      <c r="AA619" t="str">
        <f>U619-X619-Y619</f>
        <v>#REF!</v>
      </c>
      <c r="AB619" t="str">
        <f>V619-Z619</f>
        <v>#REF!</v>
      </c>
      <c r="AC619" t="str">
        <f>AA619*0.01</f>
        <v>#REF!</v>
      </c>
      <c r="AD619" t="str">
        <f>AA619-P619-AC619-Q619</f>
        <v>#REF!</v>
      </c>
      <c r="AE619" t="str">
        <f>AB619-P619-Q619-AC619</f>
        <v>#REF!</v>
      </c>
      <c r="AF619" t="str">
        <f>AD619/U619</f>
        <v>#REF!</v>
      </c>
      <c r="AG619" t="str">
        <f>AE619/V619</f>
        <v>#REF!</v>
      </c>
    </row>
    <row r="620">
      <c r="G620" t="str">
        <v>A</v>
      </c>
      <c r="J620" t="str">
        <f>IF(K620&gt;0,K620*0.0625,IF(L620&gt;0,L620*2.204623,))</f>
        <v>#REF!</v>
      </c>
      <c r="K620" t="str">
        <f>IF(L620&gt;0,L620*35.273962,IF(J620&gt;0,J620*16,))</f>
        <v>#REF!</v>
      </c>
      <c r="L620" t="str">
        <f>IF(J620&gt;0,J620*0.453592,IF(K620&gt;0,K620*0.02835,))</f>
        <v>#REF!</v>
      </c>
      <c r="O620">
        <f>I620+N620+M620</f>
        <v>0</v>
      </c>
      <c r="P620">
        <f>O620*C$3</f>
        <v>0</v>
      </c>
      <c r="Q620" t="str">
        <f>ROUNDUP(HLOOKUP(IF(CEILING(L620,0.5)&lt;1,1,CEILING(L620,0.5)),'배송비 조회'!A$32:AY$36,2,0),-2)</f>
        <v>#REF!</v>
      </c>
      <c r="R620">
        <v>0</v>
      </c>
      <c r="S620" t="str">
        <f>ROUND((P620+Q620)*0.6,-2)</f>
        <v>#REF!</v>
      </c>
      <c r="T620" t="str">
        <f>ROUND((P620+Q620)*0.7,-2)</f>
        <v>#REF!</v>
      </c>
      <c r="U620" t="str">
        <f>ROUND(SUM(P620+Q620+R620+S620), -2)</f>
        <v>#REF!</v>
      </c>
      <c r="V620" t="str">
        <f>ROUND(P620+Q620+R620+T620, -2)</f>
        <v>#REF!</v>
      </c>
      <c r="W620">
        <v>0</v>
      </c>
      <c r="X620" t="str">
        <f>U620*0.038</f>
        <v>#REF!</v>
      </c>
      <c r="Y620" t="str">
        <f>U620*0.02</f>
        <v>#REF!</v>
      </c>
      <c r="Z620" t="str">
        <f>V620*0.1</f>
        <v>#REF!</v>
      </c>
      <c r="AA620" t="str">
        <f>U620-X620-Y620</f>
        <v>#REF!</v>
      </c>
      <c r="AB620" t="str">
        <f>V620-Z620</f>
        <v>#REF!</v>
      </c>
      <c r="AC620" t="str">
        <f>AA620*0.01</f>
        <v>#REF!</v>
      </c>
      <c r="AD620" t="str">
        <f>AA620-P620-AC620-Q620</f>
        <v>#REF!</v>
      </c>
      <c r="AE620" t="str">
        <f>AB620-P620-Q620-AC620</f>
        <v>#REF!</v>
      </c>
      <c r="AF620" t="str">
        <f>AD620/U620</f>
        <v>#REF!</v>
      </c>
      <c r="AG620" t="str">
        <f>AE620/V620</f>
        <v>#REF!</v>
      </c>
    </row>
    <row r="621">
      <c r="G621" t="str">
        <v>A</v>
      </c>
      <c r="J621" t="str">
        <f>IF(K621&gt;0,K621*0.0625,IF(L621&gt;0,L621*2.204623,))</f>
        <v>#REF!</v>
      </c>
      <c r="K621" t="str">
        <f>IF(L621&gt;0,L621*35.273962,IF(J621&gt;0,J621*16,))</f>
        <v>#REF!</v>
      </c>
      <c r="L621" t="str">
        <f>IF(J621&gt;0,J621*0.453592,IF(K621&gt;0,K621*0.02835,))</f>
        <v>#REF!</v>
      </c>
      <c r="O621">
        <f>I621+N621+M621</f>
        <v>0</v>
      </c>
      <c r="P621">
        <f>O621*C$3</f>
        <v>0</v>
      </c>
      <c r="Q621" t="str">
        <f>ROUNDUP(HLOOKUP(IF(CEILING(L621,0.5)&lt;1,1,CEILING(L621,0.5)),'배송비 조회'!A$32:AY$36,2,0),-2)</f>
        <v>#REF!</v>
      </c>
      <c r="R621">
        <v>0</v>
      </c>
      <c r="S621" t="str">
        <f>ROUND((P621+Q621)*0.6,-2)</f>
        <v>#REF!</v>
      </c>
      <c r="T621" t="str">
        <f>ROUND((P621+Q621)*0.7,-2)</f>
        <v>#REF!</v>
      </c>
      <c r="U621" t="str">
        <f>ROUND(SUM(P621+Q621+R621+S621), -2)</f>
        <v>#REF!</v>
      </c>
      <c r="V621" t="str">
        <f>ROUND(P621+Q621+R621+T621, -2)</f>
        <v>#REF!</v>
      </c>
      <c r="W621">
        <v>0</v>
      </c>
      <c r="X621" t="str">
        <f>U621*0.038</f>
        <v>#REF!</v>
      </c>
      <c r="Y621" t="str">
        <f>U621*0.02</f>
        <v>#REF!</v>
      </c>
      <c r="Z621" t="str">
        <f>V621*0.1</f>
        <v>#REF!</v>
      </c>
      <c r="AA621" t="str">
        <f>U621-X621-Y621</f>
        <v>#REF!</v>
      </c>
      <c r="AB621" t="str">
        <f>V621-Z621</f>
        <v>#REF!</v>
      </c>
      <c r="AC621" t="str">
        <f>AA621*0.01</f>
        <v>#REF!</v>
      </c>
      <c r="AD621" t="str">
        <f>AA621-P621-AC621-Q621</f>
        <v>#REF!</v>
      </c>
      <c r="AE621" t="str">
        <f>AB621-P621-Q621-AC621</f>
        <v>#REF!</v>
      </c>
      <c r="AF621" t="str">
        <f>AD621/U621</f>
        <v>#REF!</v>
      </c>
      <c r="AG621" t="str">
        <f>AE621/V621</f>
        <v>#REF!</v>
      </c>
    </row>
    <row r="622">
      <c r="G622" t="str">
        <v>A</v>
      </c>
      <c r="J622" t="str">
        <f>IF(K622&gt;0,K622*0.0625,IF(L622&gt;0,L622*2.204623,))</f>
        <v>#REF!</v>
      </c>
      <c r="K622" t="str">
        <f>IF(L622&gt;0,L622*35.273962,IF(J622&gt;0,J622*16,))</f>
        <v>#REF!</v>
      </c>
      <c r="L622" t="str">
        <f>IF(J622&gt;0,J622*0.453592,IF(K622&gt;0,K622*0.02835,))</f>
        <v>#REF!</v>
      </c>
      <c r="O622">
        <f>I622+N622+M622</f>
        <v>0</v>
      </c>
      <c r="P622">
        <f>O622*C$3</f>
        <v>0</v>
      </c>
      <c r="Q622" t="str">
        <f>ROUNDUP(HLOOKUP(IF(CEILING(L622,0.5)&lt;1,1,CEILING(L622,0.5)),'배송비 조회'!A$32:AY$36,2,0),-2)</f>
        <v>#REF!</v>
      </c>
      <c r="R622">
        <v>0</v>
      </c>
      <c r="S622" t="str">
        <f>ROUND((P622+Q622)*0.6,-2)</f>
        <v>#REF!</v>
      </c>
      <c r="T622" t="str">
        <f>ROUND((P622+Q622)*0.7,-2)</f>
        <v>#REF!</v>
      </c>
      <c r="U622" t="str">
        <f>ROUND(SUM(P622+Q622+R622+S622), -2)</f>
        <v>#REF!</v>
      </c>
      <c r="V622" t="str">
        <f>ROUND(P622+Q622+R622+T622, -2)</f>
        <v>#REF!</v>
      </c>
      <c r="W622">
        <v>0</v>
      </c>
      <c r="X622" t="str">
        <f>U622*0.038</f>
        <v>#REF!</v>
      </c>
      <c r="Y622" t="str">
        <f>U622*0.02</f>
        <v>#REF!</v>
      </c>
      <c r="Z622" t="str">
        <f>V622*0.1</f>
        <v>#REF!</v>
      </c>
      <c r="AA622" t="str">
        <f>U622-X622-Y622</f>
        <v>#REF!</v>
      </c>
      <c r="AB622" t="str">
        <f>V622-Z622</f>
        <v>#REF!</v>
      </c>
      <c r="AC622" t="str">
        <f>AA622*0.01</f>
        <v>#REF!</v>
      </c>
      <c r="AD622" t="str">
        <f>AA622-P622-AC622-Q622</f>
        <v>#REF!</v>
      </c>
      <c r="AE622" t="str">
        <f>AB622-P622-Q622-AC622</f>
        <v>#REF!</v>
      </c>
      <c r="AF622" t="str">
        <f>AD622/U622</f>
        <v>#REF!</v>
      </c>
      <c r="AG622" t="str">
        <f>AE622/V622</f>
        <v>#REF!</v>
      </c>
    </row>
    <row r="623">
      <c r="G623" t="str">
        <v>A</v>
      </c>
      <c r="J623" t="str">
        <f>IF(K623&gt;0,K623*0.0625,IF(L623&gt;0,L623*2.204623,))</f>
        <v>#REF!</v>
      </c>
      <c r="K623" t="str">
        <f>IF(L623&gt;0,L623*35.273962,IF(J623&gt;0,J623*16,))</f>
        <v>#REF!</v>
      </c>
      <c r="L623" t="str">
        <f>IF(J623&gt;0,J623*0.453592,IF(K623&gt;0,K623*0.02835,))</f>
        <v>#REF!</v>
      </c>
      <c r="O623">
        <f>I623+N623+M623</f>
        <v>0</v>
      </c>
      <c r="P623">
        <f>O623*C$3</f>
        <v>0</v>
      </c>
      <c r="Q623" t="str">
        <f>ROUNDUP(HLOOKUP(IF(CEILING(L623,0.5)&lt;1,1,CEILING(L623,0.5)),'배송비 조회'!A$32:AY$36,2,0),-2)</f>
        <v>#REF!</v>
      </c>
      <c r="R623">
        <v>0</v>
      </c>
      <c r="S623" t="str">
        <f>ROUND((P623+Q623)*0.6,-2)</f>
        <v>#REF!</v>
      </c>
      <c r="T623" t="str">
        <f>ROUND((P623+Q623)*0.7,-2)</f>
        <v>#REF!</v>
      </c>
      <c r="U623" t="str">
        <f>ROUND(SUM(P623+Q623+R623+S623), -2)</f>
        <v>#REF!</v>
      </c>
      <c r="V623" t="str">
        <f>ROUND(P623+Q623+R623+T623, -2)</f>
        <v>#REF!</v>
      </c>
      <c r="W623">
        <v>0</v>
      </c>
      <c r="X623" t="str">
        <f>U623*0.038</f>
        <v>#REF!</v>
      </c>
      <c r="Y623" t="str">
        <f>U623*0.02</f>
        <v>#REF!</v>
      </c>
      <c r="Z623" t="str">
        <f>V623*0.1</f>
        <v>#REF!</v>
      </c>
      <c r="AA623" t="str">
        <f>U623-X623-Y623</f>
        <v>#REF!</v>
      </c>
      <c r="AB623" t="str">
        <f>V623-Z623</f>
        <v>#REF!</v>
      </c>
      <c r="AC623" t="str">
        <f>AA623*0.01</f>
        <v>#REF!</v>
      </c>
      <c r="AD623" t="str">
        <f>AA623-P623-AC623-Q623</f>
        <v>#REF!</v>
      </c>
      <c r="AE623" t="str">
        <f>AB623-P623-Q623-AC623</f>
        <v>#REF!</v>
      </c>
      <c r="AF623" t="str">
        <f>AD623/U623</f>
        <v>#REF!</v>
      </c>
      <c r="AG623" t="str">
        <f>AE623/V623</f>
        <v>#REF!</v>
      </c>
    </row>
    <row r="624">
      <c r="G624" t="str">
        <v>A</v>
      </c>
      <c r="J624" t="str">
        <f>IF(K624&gt;0,K624*0.0625,IF(L624&gt;0,L624*2.204623,))</f>
        <v>#REF!</v>
      </c>
      <c r="K624" t="str">
        <f>IF(L624&gt;0,L624*35.273962,IF(J624&gt;0,J624*16,))</f>
        <v>#REF!</v>
      </c>
      <c r="L624" t="str">
        <f>IF(J624&gt;0,J624*0.453592,IF(K624&gt;0,K624*0.02835,))</f>
        <v>#REF!</v>
      </c>
      <c r="O624">
        <f>I624+N624+M624</f>
        <v>0</v>
      </c>
      <c r="P624">
        <f>O624*C$3</f>
        <v>0</v>
      </c>
      <c r="Q624" t="str">
        <f>ROUNDUP(HLOOKUP(IF(CEILING(L624,0.5)&lt;1,1,CEILING(L624,0.5)),'배송비 조회'!A$32:AY$36,2,0),-2)</f>
        <v>#REF!</v>
      </c>
      <c r="R624">
        <v>0</v>
      </c>
      <c r="S624" t="str">
        <f>ROUND((P624+Q624)*0.6,-2)</f>
        <v>#REF!</v>
      </c>
      <c r="T624" t="str">
        <f>ROUND((P624+Q624)*0.7,-2)</f>
        <v>#REF!</v>
      </c>
      <c r="U624" t="str">
        <f>ROUND(SUM(P624+Q624+R624+S624), -2)</f>
        <v>#REF!</v>
      </c>
      <c r="V624" t="str">
        <f>ROUND(P624+Q624+R624+T624, -2)</f>
        <v>#REF!</v>
      </c>
      <c r="W624">
        <v>0</v>
      </c>
      <c r="X624" t="str">
        <f>U624*0.038</f>
        <v>#REF!</v>
      </c>
      <c r="Y624" t="str">
        <f>U624*0.02</f>
        <v>#REF!</v>
      </c>
      <c r="Z624" t="str">
        <f>V624*0.1</f>
        <v>#REF!</v>
      </c>
      <c r="AA624" t="str">
        <f>U624-X624-Y624</f>
        <v>#REF!</v>
      </c>
      <c r="AB624" t="str">
        <f>V624-Z624</f>
        <v>#REF!</v>
      </c>
      <c r="AC624" t="str">
        <f>AA624*0.01</f>
        <v>#REF!</v>
      </c>
      <c r="AD624" t="str">
        <f>AA624-P624-AC624-Q624</f>
        <v>#REF!</v>
      </c>
      <c r="AE624" t="str">
        <f>AB624-P624-Q624-AC624</f>
        <v>#REF!</v>
      </c>
      <c r="AF624" t="str">
        <f>AD624/U624</f>
        <v>#REF!</v>
      </c>
      <c r="AG624" t="str">
        <f>AE624/V624</f>
        <v>#REF!</v>
      </c>
    </row>
    <row r="625">
      <c r="G625" t="str">
        <v>A</v>
      </c>
      <c r="J625" t="str">
        <f>IF(K625&gt;0,K625*0.0625,IF(L625&gt;0,L625*2.204623,))</f>
        <v>#REF!</v>
      </c>
      <c r="K625" t="str">
        <f>IF(L625&gt;0,L625*35.273962,IF(J625&gt;0,J625*16,))</f>
        <v>#REF!</v>
      </c>
      <c r="L625" t="str">
        <f>IF(J625&gt;0,J625*0.453592,IF(K625&gt;0,K625*0.02835,))</f>
        <v>#REF!</v>
      </c>
      <c r="O625">
        <f>I625+N625+M625</f>
        <v>0</v>
      </c>
      <c r="P625">
        <f>O625*C$3</f>
        <v>0</v>
      </c>
      <c r="Q625" t="str">
        <f>ROUNDUP(HLOOKUP(IF(CEILING(L625,0.5)&lt;1,1,CEILING(L625,0.5)),'배송비 조회'!A$32:AY$36,2,0),-2)</f>
        <v>#REF!</v>
      </c>
      <c r="R625">
        <v>0</v>
      </c>
      <c r="S625" t="str">
        <f>ROUND((P625+Q625)*0.6,-2)</f>
        <v>#REF!</v>
      </c>
      <c r="T625" t="str">
        <f>ROUND((P625+Q625)*0.7,-2)</f>
        <v>#REF!</v>
      </c>
      <c r="U625" t="str">
        <f>ROUND(SUM(P625+Q625+R625+S625), -2)</f>
        <v>#REF!</v>
      </c>
      <c r="V625" t="str">
        <f>ROUND(P625+Q625+R625+T625, -2)</f>
        <v>#REF!</v>
      </c>
      <c r="W625">
        <v>0</v>
      </c>
      <c r="X625" t="str">
        <f>U625*0.038</f>
        <v>#REF!</v>
      </c>
      <c r="Y625" t="str">
        <f>U625*0.02</f>
        <v>#REF!</v>
      </c>
      <c r="Z625" t="str">
        <f>V625*0.1</f>
        <v>#REF!</v>
      </c>
      <c r="AA625" t="str">
        <f>U625-X625-Y625</f>
        <v>#REF!</v>
      </c>
      <c r="AB625" t="str">
        <f>V625-Z625</f>
        <v>#REF!</v>
      </c>
      <c r="AC625" t="str">
        <f>AA625*0.01</f>
        <v>#REF!</v>
      </c>
      <c r="AD625" t="str">
        <f>AA625-P625-AC625-Q625</f>
        <v>#REF!</v>
      </c>
      <c r="AE625" t="str">
        <f>AB625-P625-Q625-AC625</f>
        <v>#REF!</v>
      </c>
      <c r="AF625" t="str">
        <f>AD625/U625</f>
        <v>#REF!</v>
      </c>
      <c r="AG625" t="str">
        <f>AE625/V625</f>
        <v>#REF!</v>
      </c>
    </row>
    <row r="626">
      <c r="G626" t="str">
        <v>A</v>
      </c>
      <c r="J626" t="str">
        <f>IF(K626&gt;0,K626*0.0625,IF(L626&gt;0,L626*2.204623,))</f>
        <v>#REF!</v>
      </c>
      <c r="K626" t="str">
        <f>IF(L626&gt;0,L626*35.273962,IF(J626&gt;0,J626*16,))</f>
        <v>#REF!</v>
      </c>
      <c r="L626" t="str">
        <f>IF(J626&gt;0,J626*0.453592,IF(K626&gt;0,K626*0.02835,))</f>
        <v>#REF!</v>
      </c>
      <c r="O626">
        <f>I626+N626+M626</f>
        <v>0</v>
      </c>
      <c r="P626">
        <f>O626*C$3</f>
        <v>0</v>
      </c>
      <c r="Q626" t="str">
        <f>ROUNDUP(HLOOKUP(IF(CEILING(L626,0.5)&lt;1,1,CEILING(L626,0.5)),'배송비 조회'!A$32:AY$36,2,0),-2)</f>
        <v>#REF!</v>
      </c>
      <c r="R626">
        <v>0</v>
      </c>
      <c r="S626" t="str">
        <f>ROUND((P626+Q626)*0.6,-2)</f>
        <v>#REF!</v>
      </c>
      <c r="T626" t="str">
        <f>ROUND((P626+Q626)*0.7,-2)</f>
        <v>#REF!</v>
      </c>
      <c r="U626" t="str">
        <f>ROUND(SUM(P626+Q626+R626+S626), -2)</f>
        <v>#REF!</v>
      </c>
      <c r="V626" t="str">
        <f>ROUND(P626+Q626+R626+T626, -2)</f>
        <v>#REF!</v>
      </c>
      <c r="W626">
        <v>0</v>
      </c>
      <c r="X626" t="str">
        <f>U626*0.038</f>
        <v>#REF!</v>
      </c>
      <c r="Y626" t="str">
        <f>U626*0.02</f>
        <v>#REF!</v>
      </c>
      <c r="Z626" t="str">
        <f>V626*0.1</f>
        <v>#REF!</v>
      </c>
      <c r="AA626" t="str">
        <f>U626-X626-Y626</f>
        <v>#REF!</v>
      </c>
      <c r="AB626" t="str">
        <f>V626-Z626</f>
        <v>#REF!</v>
      </c>
      <c r="AC626" t="str">
        <f>AA626*0.01</f>
        <v>#REF!</v>
      </c>
      <c r="AD626" t="str">
        <f>AA626-P626-AC626-Q626</f>
        <v>#REF!</v>
      </c>
      <c r="AE626" t="str">
        <f>AB626-P626-Q626-AC626</f>
        <v>#REF!</v>
      </c>
      <c r="AF626" t="str">
        <f>AD626/U626</f>
        <v>#REF!</v>
      </c>
      <c r="AG626" t="str">
        <f>AE626/V626</f>
        <v>#REF!</v>
      </c>
    </row>
    <row r="627">
      <c r="G627" t="str">
        <v>A</v>
      </c>
      <c r="J627" t="str">
        <f>IF(K627&gt;0,K627*0.0625,IF(L627&gt;0,L627*2.204623,))</f>
        <v>#REF!</v>
      </c>
      <c r="K627" t="str">
        <f>IF(L627&gt;0,L627*35.273962,IF(J627&gt;0,J627*16,))</f>
        <v>#REF!</v>
      </c>
      <c r="L627" t="str">
        <f>IF(J627&gt;0,J627*0.453592,IF(K627&gt;0,K627*0.02835,))</f>
        <v>#REF!</v>
      </c>
      <c r="O627">
        <f>I627+N627+M627</f>
        <v>0</v>
      </c>
      <c r="P627">
        <f>O627*C$3</f>
        <v>0</v>
      </c>
      <c r="Q627" t="str">
        <f>ROUNDUP(HLOOKUP(IF(CEILING(L627,0.5)&lt;1,1,CEILING(L627,0.5)),'배송비 조회'!A$32:AY$36,2,0),-2)</f>
        <v>#REF!</v>
      </c>
      <c r="R627">
        <v>0</v>
      </c>
      <c r="S627" t="str">
        <f>ROUND((P627+Q627)*0.6,-2)</f>
        <v>#REF!</v>
      </c>
      <c r="T627" t="str">
        <f>ROUND((P627+Q627)*0.7,-2)</f>
        <v>#REF!</v>
      </c>
      <c r="U627" t="str">
        <f>ROUND(SUM(P627+Q627+R627+S627), -2)</f>
        <v>#REF!</v>
      </c>
      <c r="V627" t="str">
        <f>ROUND(P627+Q627+R627+T627, -2)</f>
        <v>#REF!</v>
      </c>
      <c r="W627">
        <v>0</v>
      </c>
      <c r="X627" t="str">
        <f>U627*0.038</f>
        <v>#REF!</v>
      </c>
      <c r="Y627" t="str">
        <f>U627*0.02</f>
        <v>#REF!</v>
      </c>
      <c r="Z627" t="str">
        <f>V627*0.1</f>
        <v>#REF!</v>
      </c>
      <c r="AA627" t="str">
        <f>U627-X627-Y627</f>
        <v>#REF!</v>
      </c>
      <c r="AB627" t="str">
        <f>V627-Z627</f>
        <v>#REF!</v>
      </c>
      <c r="AC627" t="str">
        <f>AA627*0.01</f>
        <v>#REF!</v>
      </c>
      <c r="AD627" t="str">
        <f>AA627-P627-AC627-Q627</f>
        <v>#REF!</v>
      </c>
      <c r="AE627" t="str">
        <f>AB627-P627-Q627-AC627</f>
        <v>#REF!</v>
      </c>
      <c r="AF627" t="str">
        <f>AD627/U627</f>
        <v>#REF!</v>
      </c>
      <c r="AG627" t="str">
        <f>AE627/V627</f>
        <v>#REF!</v>
      </c>
    </row>
    <row r="628">
      <c r="G628" t="str">
        <v>A</v>
      </c>
      <c r="J628" t="str">
        <f>IF(K628&gt;0,K628*0.0625,IF(L628&gt;0,L628*2.204623,))</f>
        <v>#REF!</v>
      </c>
      <c r="K628" t="str">
        <f>IF(L628&gt;0,L628*35.273962,IF(J628&gt;0,J628*16,))</f>
        <v>#REF!</v>
      </c>
      <c r="L628" t="str">
        <f>IF(J628&gt;0,J628*0.453592,IF(K628&gt;0,K628*0.02835,))</f>
        <v>#REF!</v>
      </c>
      <c r="O628">
        <f>I628+N628+M628</f>
        <v>0</v>
      </c>
      <c r="P628">
        <f>O628*C$3</f>
        <v>0</v>
      </c>
      <c r="Q628" t="str">
        <f>ROUNDUP(HLOOKUP(IF(CEILING(L628,0.5)&lt;1,1,CEILING(L628,0.5)),'배송비 조회'!A$32:AY$36,2,0),-2)</f>
        <v>#REF!</v>
      </c>
      <c r="R628">
        <v>0</v>
      </c>
      <c r="S628" t="str">
        <f>ROUND((P628+Q628)*0.6,-2)</f>
        <v>#REF!</v>
      </c>
      <c r="T628" t="str">
        <f>ROUND((P628+Q628)*0.7,-2)</f>
        <v>#REF!</v>
      </c>
      <c r="U628" t="str">
        <f>ROUND(SUM(P628+Q628+R628+S628), -2)</f>
        <v>#REF!</v>
      </c>
      <c r="V628" t="str">
        <f>ROUND(P628+Q628+R628+T628, -2)</f>
        <v>#REF!</v>
      </c>
      <c r="W628">
        <v>0</v>
      </c>
      <c r="X628" t="str">
        <f>U628*0.038</f>
        <v>#REF!</v>
      </c>
      <c r="Y628" t="str">
        <f>U628*0.02</f>
        <v>#REF!</v>
      </c>
      <c r="Z628" t="str">
        <f>V628*0.1</f>
        <v>#REF!</v>
      </c>
      <c r="AA628" t="str">
        <f>U628-X628-Y628</f>
        <v>#REF!</v>
      </c>
      <c r="AB628" t="str">
        <f>V628-Z628</f>
        <v>#REF!</v>
      </c>
      <c r="AC628" t="str">
        <f>AA628*0.01</f>
        <v>#REF!</v>
      </c>
      <c r="AD628" t="str">
        <f>AA628-P628-AC628-Q628</f>
        <v>#REF!</v>
      </c>
      <c r="AE628" t="str">
        <f>AB628-P628-Q628-AC628</f>
        <v>#REF!</v>
      </c>
      <c r="AF628" t="str">
        <f>AD628/U628</f>
        <v>#REF!</v>
      </c>
      <c r="AG628" t="str">
        <f>AE628/V628</f>
        <v>#REF!</v>
      </c>
    </row>
    <row r="629">
      <c r="G629" t="str">
        <v>A</v>
      </c>
      <c r="J629" t="str">
        <f>IF(K629&gt;0,K629*0.0625,IF(L629&gt;0,L629*2.204623,))</f>
        <v>#REF!</v>
      </c>
      <c r="K629" t="str">
        <f>IF(L629&gt;0,L629*35.273962,IF(J629&gt;0,J629*16,))</f>
        <v>#REF!</v>
      </c>
      <c r="L629" t="str">
        <f>IF(J629&gt;0,J629*0.453592,IF(K629&gt;0,K629*0.02835,))</f>
        <v>#REF!</v>
      </c>
      <c r="O629">
        <f>I629+N629+M629</f>
        <v>0</v>
      </c>
      <c r="P629">
        <f>O629*C$3</f>
        <v>0</v>
      </c>
      <c r="Q629" t="str">
        <f>ROUNDUP(HLOOKUP(IF(CEILING(L629,0.5)&lt;1,1,CEILING(L629,0.5)),'배송비 조회'!A$32:AY$36,2,0),-2)</f>
        <v>#REF!</v>
      </c>
      <c r="R629">
        <v>0</v>
      </c>
      <c r="S629" t="str">
        <f>ROUND((P629+Q629)*0.6,-2)</f>
        <v>#REF!</v>
      </c>
      <c r="T629" t="str">
        <f>ROUND((P629+Q629)*0.7,-2)</f>
        <v>#REF!</v>
      </c>
      <c r="U629" t="str">
        <f>ROUND(SUM(P629+Q629+R629+S629), -2)</f>
        <v>#REF!</v>
      </c>
      <c r="V629" t="str">
        <f>ROUND(P629+Q629+R629+T629, -2)</f>
        <v>#REF!</v>
      </c>
      <c r="W629">
        <v>0</v>
      </c>
      <c r="X629" t="str">
        <f>U629*0.038</f>
        <v>#REF!</v>
      </c>
      <c r="Y629" t="str">
        <f>U629*0.02</f>
        <v>#REF!</v>
      </c>
      <c r="Z629" t="str">
        <f>V629*0.1</f>
        <v>#REF!</v>
      </c>
      <c r="AA629" t="str">
        <f>U629-X629-Y629</f>
        <v>#REF!</v>
      </c>
      <c r="AB629" t="str">
        <f>V629-Z629</f>
        <v>#REF!</v>
      </c>
      <c r="AC629" t="str">
        <f>AA629*0.01</f>
        <v>#REF!</v>
      </c>
      <c r="AD629" t="str">
        <f>AA629-P629-AC629-Q629</f>
        <v>#REF!</v>
      </c>
      <c r="AE629" t="str">
        <f>AB629-P629-Q629-AC629</f>
        <v>#REF!</v>
      </c>
      <c r="AF629" t="str">
        <f>AD629/U629</f>
        <v>#REF!</v>
      </c>
      <c r="AG629" t="str">
        <f>AE629/V629</f>
        <v>#REF!</v>
      </c>
    </row>
    <row r="630">
      <c r="G630" t="str">
        <v>A</v>
      </c>
      <c r="J630" t="str">
        <f>IF(K630&gt;0,K630*0.0625,IF(L630&gt;0,L630*2.204623,))</f>
        <v>#REF!</v>
      </c>
      <c r="K630" t="str">
        <f>IF(L630&gt;0,L630*35.273962,IF(J630&gt;0,J630*16,))</f>
        <v>#REF!</v>
      </c>
      <c r="L630" t="str">
        <f>IF(J630&gt;0,J630*0.453592,IF(K630&gt;0,K630*0.02835,))</f>
        <v>#REF!</v>
      </c>
      <c r="O630">
        <f>I630+N630+M630</f>
        <v>0</v>
      </c>
      <c r="P630">
        <f>O630*C$3</f>
        <v>0</v>
      </c>
      <c r="Q630" t="str">
        <f>ROUNDUP(HLOOKUP(IF(CEILING(L630,0.5)&lt;1,1,CEILING(L630,0.5)),'배송비 조회'!A$32:AY$36,2,0),-2)</f>
        <v>#REF!</v>
      </c>
      <c r="R630">
        <v>0</v>
      </c>
      <c r="S630" t="str">
        <f>ROUND((P630+Q630)*0.6,-2)</f>
        <v>#REF!</v>
      </c>
      <c r="T630" t="str">
        <f>ROUND((P630+Q630)*0.7,-2)</f>
        <v>#REF!</v>
      </c>
      <c r="U630" t="str">
        <f>ROUND(SUM(P630+Q630+R630+S630), -2)</f>
        <v>#REF!</v>
      </c>
      <c r="V630" t="str">
        <f>ROUND(P630+Q630+R630+T630, -2)</f>
        <v>#REF!</v>
      </c>
      <c r="W630">
        <v>0</v>
      </c>
      <c r="X630" t="str">
        <f>U630*0.038</f>
        <v>#REF!</v>
      </c>
      <c r="Y630" t="str">
        <f>U630*0.02</f>
        <v>#REF!</v>
      </c>
      <c r="Z630" t="str">
        <f>V630*0.1</f>
        <v>#REF!</v>
      </c>
      <c r="AA630" t="str">
        <f>U630-X630-Y630</f>
        <v>#REF!</v>
      </c>
      <c r="AB630" t="str">
        <f>V630-Z630</f>
        <v>#REF!</v>
      </c>
      <c r="AC630" t="str">
        <f>AA630*0.01</f>
        <v>#REF!</v>
      </c>
      <c r="AD630" t="str">
        <f>AA630-P630-AC630-Q630</f>
        <v>#REF!</v>
      </c>
      <c r="AE630" t="str">
        <f>AB630-P630-Q630-AC630</f>
        <v>#REF!</v>
      </c>
      <c r="AF630" t="str">
        <f>AD630/U630</f>
        <v>#REF!</v>
      </c>
      <c r="AG630" t="str">
        <f>AE630/V630</f>
        <v>#REF!</v>
      </c>
    </row>
    <row r="631">
      <c r="G631" t="str">
        <v>A</v>
      </c>
      <c r="J631" t="str">
        <f>IF(K631&gt;0,K631*0.0625,IF(L631&gt;0,L631*2.204623,))</f>
        <v>#REF!</v>
      </c>
      <c r="K631" t="str">
        <f>IF(L631&gt;0,L631*35.273962,IF(J631&gt;0,J631*16,))</f>
        <v>#REF!</v>
      </c>
      <c r="L631" t="str">
        <f>IF(J631&gt;0,J631*0.453592,IF(K631&gt;0,K631*0.02835,))</f>
        <v>#REF!</v>
      </c>
      <c r="O631">
        <f>I631+N631+M631</f>
        <v>0</v>
      </c>
      <c r="P631">
        <f>O631*C$3</f>
        <v>0</v>
      </c>
      <c r="Q631" t="str">
        <f>ROUNDUP(HLOOKUP(IF(CEILING(L631,0.5)&lt;1,1,CEILING(L631,0.5)),'배송비 조회'!A$32:AY$36,2,0),-2)</f>
        <v>#REF!</v>
      </c>
      <c r="R631">
        <v>0</v>
      </c>
      <c r="S631" t="str">
        <f>ROUND((P631+Q631)*0.6,-2)</f>
        <v>#REF!</v>
      </c>
      <c r="T631" t="str">
        <f>ROUND((P631+Q631)*0.7,-2)</f>
        <v>#REF!</v>
      </c>
      <c r="U631" t="str">
        <f>ROUND(SUM(P631+Q631+R631+S631), -2)</f>
        <v>#REF!</v>
      </c>
      <c r="V631" t="str">
        <f>ROUND(P631+Q631+R631+T631, -2)</f>
        <v>#REF!</v>
      </c>
      <c r="W631">
        <v>0</v>
      </c>
      <c r="X631" t="str">
        <f>U631*0.038</f>
        <v>#REF!</v>
      </c>
      <c r="Y631" t="str">
        <f>U631*0.02</f>
        <v>#REF!</v>
      </c>
      <c r="Z631" t="str">
        <f>V631*0.1</f>
        <v>#REF!</v>
      </c>
      <c r="AA631" t="str">
        <f>U631-X631-Y631</f>
        <v>#REF!</v>
      </c>
      <c r="AB631" t="str">
        <f>V631-Z631</f>
        <v>#REF!</v>
      </c>
      <c r="AC631" t="str">
        <f>AA631*0.01</f>
        <v>#REF!</v>
      </c>
      <c r="AD631" t="str">
        <f>AA631-P631-AC631-Q631</f>
        <v>#REF!</v>
      </c>
      <c r="AE631" t="str">
        <f>AB631-P631-Q631-AC631</f>
        <v>#REF!</v>
      </c>
      <c r="AF631" t="str">
        <f>AD631/U631</f>
        <v>#REF!</v>
      </c>
      <c r="AG631" t="str">
        <f>AE631/V631</f>
        <v>#REF!</v>
      </c>
    </row>
    <row r="632">
      <c r="G632" t="str">
        <v>A</v>
      </c>
      <c r="J632" t="str">
        <f>IF(K632&gt;0,K632*0.0625,IF(L632&gt;0,L632*2.204623,))</f>
        <v>#REF!</v>
      </c>
      <c r="K632" t="str">
        <f>IF(L632&gt;0,L632*35.273962,IF(J632&gt;0,J632*16,))</f>
        <v>#REF!</v>
      </c>
      <c r="L632" t="str">
        <f>IF(J632&gt;0,J632*0.453592,IF(K632&gt;0,K632*0.02835,))</f>
        <v>#REF!</v>
      </c>
      <c r="O632">
        <f>I632+N632+M632</f>
        <v>0</v>
      </c>
      <c r="P632">
        <f>O632*C$3</f>
        <v>0</v>
      </c>
      <c r="Q632" t="str">
        <f>ROUNDUP(HLOOKUP(IF(CEILING(L632,0.5)&lt;1,1,CEILING(L632,0.5)),'배송비 조회'!A$32:AY$36,2,0),-2)</f>
        <v>#REF!</v>
      </c>
      <c r="R632">
        <v>0</v>
      </c>
      <c r="S632" t="str">
        <f>ROUND((P632+Q632)*0.6,-2)</f>
        <v>#REF!</v>
      </c>
      <c r="T632" t="str">
        <f>ROUND((P632+Q632)*0.7,-2)</f>
        <v>#REF!</v>
      </c>
      <c r="U632" t="str">
        <f>ROUND(SUM(P632+Q632+R632+S632), -2)</f>
        <v>#REF!</v>
      </c>
      <c r="V632" t="str">
        <f>ROUND(P632+Q632+R632+T632, -2)</f>
        <v>#REF!</v>
      </c>
      <c r="W632">
        <v>0</v>
      </c>
      <c r="X632" t="str">
        <f>U632*0.038</f>
        <v>#REF!</v>
      </c>
      <c r="Y632" t="str">
        <f>U632*0.02</f>
        <v>#REF!</v>
      </c>
      <c r="Z632" t="str">
        <f>V632*0.1</f>
        <v>#REF!</v>
      </c>
      <c r="AA632" t="str">
        <f>U632-X632-Y632</f>
        <v>#REF!</v>
      </c>
      <c r="AB632" t="str">
        <f>V632-Z632</f>
        <v>#REF!</v>
      </c>
      <c r="AC632" t="str">
        <f>AA632*0.01</f>
        <v>#REF!</v>
      </c>
      <c r="AD632" t="str">
        <f>AA632-P632-AC632-Q632</f>
        <v>#REF!</v>
      </c>
      <c r="AE632" t="str">
        <f>AB632-P632-Q632-AC632</f>
        <v>#REF!</v>
      </c>
      <c r="AF632" t="str">
        <f>AD632/U632</f>
        <v>#REF!</v>
      </c>
      <c r="AG632" t="str">
        <f>AE632/V632</f>
        <v>#REF!</v>
      </c>
    </row>
    <row r="633">
      <c r="G633" t="str">
        <v>A</v>
      </c>
      <c r="J633" t="str">
        <f>IF(K633&gt;0,K633*0.0625,IF(L633&gt;0,L633*2.204623,))</f>
        <v>#REF!</v>
      </c>
      <c r="K633" t="str">
        <f>IF(L633&gt;0,L633*35.273962,IF(J633&gt;0,J633*16,))</f>
        <v>#REF!</v>
      </c>
      <c r="L633" t="str">
        <f>IF(J633&gt;0,J633*0.453592,IF(K633&gt;0,K633*0.02835,))</f>
        <v>#REF!</v>
      </c>
      <c r="O633">
        <f>I633+N633+M633</f>
        <v>0</v>
      </c>
      <c r="P633">
        <f>O633*C$3</f>
        <v>0</v>
      </c>
      <c r="Q633" t="str">
        <f>ROUNDUP(HLOOKUP(IF(CEILING(L633,0.5)&lt;1,1,CEILING(L633,0.5)),'배송비 조회'!A$32:AY$36,2,0),-2)</f>
        <v>#REF!</v>
      </c>
      <c r="R633">
        <v>0</v>
      </c>
      <c r="S633" t="str">
        <f>ROUND((P633+Q633)*0.6,-2)</f>
        <v>#REF!</v>
      </c>
      <c r="T633" t="str">
        <f>ROUND((P633+Q633)*0.7,-2)</f>
        <v>#REF!</v>
      </c>
      <c r="U633" t="str">
        <f>ROUND(SUM(P633+Q633+R633+S633), -2)</f>
        <v>#REF!</v>
      </c>
      <c r="V633" t="str">
        <f>ROUND(P633+Q633+R633+T633, -2)</f>
        <v>#REF!</v>
      </c>
      <c r="W633">
        <v>0</v>
      </c>
      <c r="X633" t="str">
        <f>U633*0.038</f>
        <v>#REF!</v>
      </c>
      <c r="Y633" t="str">
        <f>U633*0.02</f>
        <v>#REF!</v>
      </c>
      <c r="Z633" t="str">
        <f>V633*0.1</f>
        <v>#REF!</v>
      </c>
      <c r="AA633" t="str">
        <f>U633-X633-Y633</f>
        <v>#REF!</v>
      </c>
      <c r="AB633" t="str">
        <f>V633-Z633</f>
        <v>#REF!</v>
      </c>
      <c r="AC633" t="str">
        <f>AA633*0.01</f>
        <v>#REF!</v>
      </c>
      <c r="AD633" t="str">
        <f>AA633-P633-AC633-Q633</f>
        <v>#REF!</v>
      </c>
      <c r="AE633" t="str">
        <f>AB633-P633-Q633-AC633</f>
        <v>#REF!</v>
      </c>
      <c r="AF633" t="str">
        <f>AD633/U633</f>
        <v>#REF!</v>
      </c>
      <c r="AG633" t="str">
        <f>AE633/V633</f>
        <v>#REF!</v>
      </c>
    </row>
    <row r="634">
      <c r="G634" t="str">
        <v>A</v>
      </c>
      <c r="J634" t="str">
        <f>IF(K634&gt;0,K634*0.0625,IF(L634&gt;0,L634*2.204623,))</f>
        <v>#REF!</v>
      </c>
      <c r="K634" t="str">
        <f>IF(L634&gt;0,L634*35.273962,IF(J634&gt;0,J634*16,))</f>
        <v>#REF!</v>
      </c>
      <c r="L634" t="str">
        <f>IF(J634&gt;0,J634*0.453592,IF(K634&gt;0,K634*0.02835,))</f>
        <v>#REF!</v>
      </c>
      <c r="O634">
        <f>I634+N634+M634</f>
        <v>0</v>
      </c>
      <c r="P634">
        <f>O634*C$3</f>
        <v>0</v>
      </c>
      <c r="Q634" t="str">
        <f>ROUNDUP(HLOOKUP(IF(CEILING(L634,0.5)&lt;1,1,CEILING(L634,0.5)),'배송비 조회'!A$32:AY$36,2,0),-2)</f>
        <v>#REF!</v>
      </c>
      <c r="R634">
        <v>0</v>
      </c>
      <c r="S634" t="str">
        <f>ROUND((P634+Q634)*0.6,-2)</f>
        <v>#REF!</v>
      </c>
      <c r="T634" t="str">
        <f>ROUND((P634+Q634)*0.7,-2)</f>
        <v>#REF!</v>
      </c>
      <c r="U634" t="str">
        <f>ROUND(SUM(P634+Q634+R634+S634), -2)</f>
        <v>#REF!</v>
      </c>
      <c r="V634" t="str">
        <f>ROUND(P634+Q634+R634+T634, -2)</f>
        <v>#REF!</v>
      </c>
      <c r="W634">
        <v>0</v>
      </c>
      <c r="X634" t="str">
        <f>U634*0.038</f>
        <v>#REF!</v>
      </c>
      <c r="Y634" t="str">
        <f>U634*0.02</f>
        <v>#REF!</v>
      </c>
      <c r="Z634" t="str">
        <f>V634*0.1</f>
        <v>#REF!</v>
      </c>
      <c r="AA634" t="str">
        <f>U634-X634-Y634</f>
        <v>#REF!</v>
      </c>
      <c r="AB634" t="str">
        <f>V634-Z634</f>
        <v>#REF!</v>
      </c>
      <c r="AC634" t="str">
        <f>AA634*0.01</f>
        <v>#REF!</v>
      </c>
      <c r="AD634" t="str">
        <f>AA634-P634-AC634-Q634</f>
        <v>#REF!</v>
      </c>
      <c r="AE634" t="str">
        <f>AB634-P634-Q634-AC634</f>
        <v>#REF!</v>
      </c>
      <c r="AF634" t="str">
        <f>AD634/U634</f>
        <v>#REF!</v>
      </c>
      <c r="AG634" t="str">
        <f>AE634/V634</f>
        <v>#REF!</v>
      </c>
    </row>
    <row r="635">
      <c r="G635" t="str">
        <v>A</v>
      </c>
      <c r="J635" t="str">
        <f>IF(K635&gt;0,K635*0.0625,IF(L635&gt;0,L635*2.204623,))</f>
        <v>#REF!</v>
      </c>
      <c r="K635" t="str">
        <f>IF(L635&gt;0,L635*35.273962,IF(J635&gt;0,J635*16,))</f>
        <v>#REF!</v>
      </c>
      <c r="L635" t="str">
        <f>IF(J635&gt;0,J635*0.453592,IF(K635&gt;0,K635*0.02835,))</f>
        <v>#REF!</v>
      </c>
      <c r="O635">
        <f>I635+N635+M635</f>
        <v>0</v>
      </c>
      <c r="P635">
        <f>O635*C$3</f>
        <v>0</v>
      </c>
      <c r="Q635" t="str">
        <f>ROUNDUP(HLOOKUP(IF(CEILING(L635,0.5)&lt;1,1,CEILING(L635,0.5)),'배송비 조회'!A$32:AY$36,2,0),-2)</f>
        <v>#REF!</v>
      </c>
      <c r="R635">
        <v>0</v>
      </c>
      <c r="S635" t="str">
        <f>ROUND((P635+Q635)*0.6,-2)</f>
        <v>#REF!</v>
      </c>
      <c r="T635" t="str">
        <f>ROUND((P635+Q635)*0.7,-2)</f>
        <v>#REF!</v>
      </c>
      <c r="U635" t="str">
        <f>ROUND(SUM(P635+Q635+R635+S635), -2)</f>
        <v>#REF!</v>
      </c>
      <c r="V635" t="str">
        <f>ROUND(P635+Q635+R635+T635, -2)</f>
        <v>#REF!</v>
      </c>
      <c r="W635">
        <v>0</v>
      </c>
      <c r="X635" t="str">
        <f>U635*0.038</f>
        <v>#REF!</v>
      </c>
      <c r="Y635" t="str">
        <f>U635*0.02</f>
        <v>#REF!</v>
      </c>
      <c r="Z635" t="str">
        <f>V635*0.1</f>
        <v>#REF!</v>
      </c>
      <c r="AA635" t="str">
        <f>U635-X635-Y635</f>
        <v>#REF!</v>
      </c>
      <c r="AB635" t="str">
        <f>V635-Z635</f>
        <v>#REF!</v>
      </c>
      <c r="AC635" t="str">
        <f>AA635*0.01</f>
        <v>#REF!</v>
      </c>
      <c r="AD635" t="str">
        <f>AA635-P635-AC635-Q635</f>
        <v>#REF!</v>
      </c>
      <c r="AE635" t="str">
        <f>AB635-P635-Q635-AC635</f>
        <v>#REF!</v>
      </c>
      <c r="AF635" t="str">
        <f>AD635/U635</f>
        <v>#REF!</v>
      </c>
      <c r="AG635" t="str">
        <f>AE635/V635</f>
        <v>#REF!</v>
      </c>
    </row>
    <row r="636">
      <c r="G636" t="str">
        <v>A</v>
      </c>
      <c r="J636" t="str">
        <f>IF(K636&gt;0,K636*0.0625,IF(L636&gt;0,L636*2.204623,))</f>
        <v>#REF!</v>
      </c>
      <c r="K636" t="str">
        <f>IF(L636&gt;0,L636*35.273962,IF(J636&gt;0,J636*16,))</f>
        <v>#REF!</v>
      </c>
      <c r="L636" t="str">
        <f>IF(J636&gt;0,J636*0.453592,IF(K636&gt;0,K636*0.02835,))</f>
        <v>#REF!</v>
      </c>
      <c r="O636">
        <f>I636+N636+M636</f>
        <v>0</v>
      </c>
      <c r="P636">
        <f>O636*C$3</f>
        <v>0</v>
      </c>
      <c r="Q636" t="str">
        <f>ROUNDUP(HLOOKUP(IF(CEILING(L636,0.5)&lt;1,1,CEILING(L636,0.5)),'배송비 조회'!A$32:AY$36,2,0),-2)</f>
        <v>#REF!</v>
      </c>
      <c r="R636">
        <v>0</v>
      </c>
      <c r="S636" t="str">
        <f>ROUND((P636+Q636)*0.6,-2)</f>
        <v>#REF!</v>
      </c>
      <c r="T636" t="str">
        <f>ROUND((P636+Q636)*0.7,-2)</f>
        <v>#REF!</v>
      </c>
      <c r="U636" t="str">
        <f>ROUND(SUM(P636+Q636+R636+S636), -2)</f>
        <v>#REF!</v>
      </c>
      <c r="V636" t="str">
        <f>ROUND(P636+Q636+R636+T636, -2)</f>
        <v>#REF!</v>
      </c>
      <c r="W636">
        <v>0</v>
      </c>
      <c r="X636" t="str">
        <f>U636*0.038</f>
        <v>#REF!</v>
      </c>
      <c r="Y636" t="str">
        <f>U636*0.02</f>
        <v>#REF!</v>
      </c>
      <c r="Z636" t="str">
        <f>V636*0.1</f>
        <v>#REF!</v>
      </c>
      <c r="AA636" t="str">
        <f>U636-X636-Y636</f>
        <v>#REF!</v>
      </c>
      <c r="AB636" t="str">
        <f>V636-Z636</f>
        <v>#REF!</v>
      </c>
      <c r="AC636" t="str">
        <f>AA636*0.01</f>
        <v>#REF!</v>
      </c>
      <c r="AD636" t="str">
        <f>AA636-P636-AC636-Q636</f>
        <v>#REF!</v>
      </c>
      <c r="AE636" t="str">
        <f>AB636-P636-Q636-AC636</f>
        <v>#REF!</v>
      </c>
      <c r="AF636" t="str">
        <f>AD636/U636</f>
        <v>#REF!</v>
      </c>
      <c r="AG636" t="str">
        <f>AE636/V636</f>
        <v>#REF!</v>
      </c>
    </row>
    <row r="637">
      <c r="G637" t="str">
        <v>A</v>
      </c>
      <c r="J637" t="str">
        <f>IF(K637&gt;0,K637*0.0625,IF(L637&gt;0,L637*2.204623,))</f>
        <v>#REF!</v>
      </c>
      <c r="K637" t="str">
        <f>IF(L637&gt;0,L637*35.273962,IF(J637&gt;0,J637*16,))</f>
        <v>#REF!</v>
      </c>
      <c r="L637" t="str">
        <f>IF(J637&gt;0,J637*0.453592,IF(K637&gt;0,K637*0.02835,))</f>
        <v>#REF!</v>
      </c>
      <c r="O637">
        <f>I637+N637+M637</f>
        <v>0</v>
      </c>
      <c r="P637">
        <f>O637*C$3</f>
        <v>0</v>
      </c>
      <c r="Q637" t="str">
        <f>ROUNDUP(HLOOKUP(IF(CEILING(L637,0.5)&lt;1,1,CEILING(L637,0.5)),'배송비 조회'!A$32:AY$36,2,0),-2)</f>
        <v>#REF!</v>
      </c>
      <c r="R637">
        <v>0</v>
      </c>
      <c r="S637" t="str">
        <f>ROUND((P637+Q637)*0.6,-2)</f>
        <v>#REF!</v>
      </c>
      <c r="T637" t="str">
        <f>ROUND((P637+Q637)*0.7,-2)</f>
        <v>#REF!</v>
      </c>
      <c r="U637" t="str">
        <f>ROUND(SUM(P637+Q637+R637+S637), -2)</f>
        <v>#REF!</v>
      </c>
      <c r="V637" t="str">
        <f>ROUND(P637+Q637+R637+T637, -2)</f>
        <v>#REF!</v>
      </c>
      <c r="W637">
        <v>0</v>
      </c>
      <c r="X637" t="str">
        <f>U637*0.038</f>
        <v>#REF!</v>
      </c>
      <c r="Y637" t="str">
        <f>U637*0.02</f>
        <v>#REF!</v>
      </c>
      <c r="Z637" t="str">
        <f>V637*0.1</f>
        <v>#REF!</v>
      </c>
      <c r="AA637" t="str">
        <f>U637-X637-Y637</f>
        <v>#REF!</v>
      </c>
      <c r="AB637" t="str">
        <f>V637-Z637</f>
        <v>#REF!</v>
      </c>
      <c r="AC637" t="str">
        <f>AA637*0.01</f>
        <v>#REF!</v>
      </c>
      <c r="AD637" t="str">
        <f>AA637-P637-AC637-Q637</f>
        <v>#REF!</v>
      </c>
      <c r="AE637" t="str">
        <f>AB637-P637-Q637-AC637</f>
        <v>#REF!</v>
      </c>
      <c r="AF637" t="str">
        <f>AD637/U637</f>
        <v>#REF!</v>
      </c>
      <c r="AG637" t="str">
        <f>AE637/V637</f>
        <v>#REF!</v>
      </c>
    </row>
    <row r="638">
      <c r="G638" t="str">
        <v>A</v>
      </c>
      <c r="J638" t="str">
        <f>IF(K638&gt;0,K638*0.0625,IF(L638&gt;0,L638*2.204623,))</f>
        <v>#REF!</v>
      </c>
      <c r="K638" t="str">
        <f>IF(L638&gt;0,L638*35.273962,IF(J638&gt;0,J638*16,))</f>
        <v>#REF!</v>
      </c>
      <c r="L638" t="str">
        <f>IF(J638&gt;0,J638*0.453592,IF(K638&gt;0,K638*0.02835,))</f>
        <v>#REF!</v>
      </c>
      <c r="O638">
        <f>I638+N638+M638</f>
        <v>0</v>
      </c>
      <c r="P638">
        <f>O638*C$3</f>
        <v>0</v>
      </c>
      <c r="Q638" t="str">
        <f>ROUNDUP(HLOOKUP(IF(CEILING(L638,0.5)&lt;1,1,CEILING(L638,0.5)),'배송비 조회'!A$32:AY$36,2,0),-2)</f>
        <v>#REF!</v>
      </c>
      <c r="R638">
        <v>0</v>
      </c>
      <c r="S638" t="str">
        <f>ROUND((P638+Q638)*0.6,-2)</f>
        <v>#REF!</v>
      </c>
      <c r="T638" t="str">
        <f>ROUND((P638+Q638)*0.7,-2)</f>
        <v>#REF!</v>
      </c>
      <c r="U638" t="str">
        <f>ROUND(SUM(P638+Q638+R638+S638), -2)</f>
        <v>#REF!</v>
      </c>
      <c r="V638" t="str">
        <f>ROUND(P638+Q638+R638+T638, -2)</f>
        <v>#REF!</v>
      </c>
      <c r="W638">
        <v>0</v>
      </c>
      <c r="X638" t="str">
        <f>U638*0.038</f>
        <v>#REF!</v>
      </c>
      <c r="Y638" t="str">
        <f>U638*0.02</f>
        <v>#REF!</v>
      </c>
      <c r="Z638" t="str">
        <f>V638*0.1</f>
        <v>#REF!</v>
      </c>
      <c r="AA638" t="str">
        <f>U638-X638-Y638</f>
        <v>#REF!</v>
      </c>
      <c r="AB638" t="str">
        <f>V638-Z638</f>
        <v>#REF!</v>
      </c>
      <c r="AC638" t="str">
        <f>AA638*0.01</f>
        <v>#REF!</v>
      </c>
      <c r="AD638" t="str">
        <f>AA638-P638-AC638-Q638</f>
        <v>#REF!</v>
      </c>
      <c r="AE638" t="str">
        <f>AB638-P638-Q638-AC638</f>
        <v>#REF!</v>
      </c>
      <c r="AF638" t="str">
        <f>AD638/U638</f>
        <v>#REF!</v>
      </c>
      <c r="AG638" t="str">
        <f>AE638/V638</f>
        <v>#REF!</v>
      </c>
    </row>
    <row r="639">
      <c r="G639" t="str">
        <v>A</v>
      </c>
      <c r="J639" t="str">
        <f>IF(K639&gt;0,K639*0.0625,IF(L639&gt;0,L639*2.204623,))</f>
        <v>#REF!</v>
      </c>
      <c r="K639" t="str">
        <f>IF(L639&gt;0,L639*35.273962,IF(J639&gt;0,J639*16,))</f>
        <v>#REF!</v>
      </c>
      <c r="L639" t="str">
        <f>IF(J639&gt;0,J639*0.453592,IF(K639&gt;0,K639*0.02835,))</f>
        <v>#REF!</v>
      </c>
      <c r="O639">
        <f>I639+N639+M639</f>
        <v>0</v>
      </c>
      <c r="P639">
        <f>O639*C$3</f>
        <v>0</v>
      </c>
      <c r="Q639" t="str">
        <f>ROUNDUP(HLOOKUP(IF(CEILING(L639,0.5)&lt;1,1,CEILING(L639,0.5)),'배송비 조회'!A$32:AY$36,2,0),-2)</f>
        <v>#REF!</v>
      </c>
      <c r="R639">
        <v>0</v>
      </c>
      <c r="S639" t="str">
        <f>ROUND((P639+Q639)*0.6,-2)</f>
        <v>#REF!</v>
      </c>
      <c r="T639" t="str">
        <f>ROUND((P639+Q639)*0.7,-2)</f>
        <v>#REF!</v>
      </c>
      <c r="U639" t="str">
        <f>ROUND(SUM(P639+Q639+R639+S639), -2)</f>
        <v>#REF!</v>
      </c>
      <c r="V639" t="str">
        <f>ROUND(P639+Q639+R639+T639, -2)</f>
        <v>#REF!</v>
      </c>
      <c r="W639">
        <v>0</v>
      </c>
      <c r="X639" t="str">
        <f>U639*0.038</f>
        <v>#REF!</v>
      </c>
      <c r="Y639" t="str">
        <f>U639*0.02</f>
        <v>#REF!</v>
      </c>
      <c r="Z639" t="str">
        <f>V639*0.1</f>
        <v>#REF!</v>
      </c>
      <c r="AA639" t="str">
        <f>U639-X639-Y639</f>
        <v>#REF!</v>
      </c>
      <c r="AB639" t="str">
        <f>V639-Z639</f>
        <v>#REF!</v>
      </c>
      <c r="AC639" t="str">
        <f>AA639*0.01</f>
        <v>#REF!</v>
      </c>
      <c r="AD639" t="str">
        <f>AA639-P639-AC639-Q639</f>
        <v>#REF!</v>
      </c>
      <c r="AE639" t="str">
        <f>AB639-P639-Q639-AC639</f>
        <v>#REF!</v>
      </c>
      <c r="AF639" t="str">
        <f>AD639/U639</f>
        <v>#REF!</v>
      </c>
      <c r="AG639" t="str">
        <f>AE639/V639</f>
        <v>#REF!</v>
      </c>
    </row>
    <row r="640">
      <c r="G640" t="str">
        <v>A</v>
      </c>
      <c r="J640" t="str">
        <f>IF(K640&gt;0,K640*0.0625,IF(L640&gt;0,L640*2.204623,))</f>
        <v>#REF!</v>
      </c>
      <c r="K640" t="str">
        <f>IF(L640&gt;0,L640*35.273962,IF(J640&gt;0,J640*16,))</f>
        <v>#REF!</v>
      </c>
      <c r="L640" t="str">
        <f>IF(J640&gt;0,J640*0.453592,IF(K640&gt;0,K640*0.02835,))</f>
        <v>#REF!</v>
      </c>
      <c r="O640">
        <f>I640+N640+M640</f>
        <v>0</v>
      </c>
      <c r="P640">
        <f>O640*C$3</f>
        <v>0</v>
      </c>
      <c r="Q640" t="str">
        <f>ROUNDUP(HLOOKUP(IF(CEILING(L640,0.5)&lt;1,1,CEILING(L640,0.5)),'배송비 조회'!A$32:AY$36,2,0),-2)</f>
        <v>#REF!</v>
      </c>
      <c r="R640">
        <v>0</v>
      </c>
      <c r="S640" t="str">
        <f>ROUND((P640+Q640)*0.6,-2)</f>
        <v>#REF!</v>
      </c>
      <c r="T640" t="str">
        <f>ROUND((P640+Q640)*0.7,-2)</f>
        <v>#REF!</v>
      </c>
      <c r="U640" t="str">
        <f>ROUND(SUM(P640+Q640+R640+S640), -2)</f>
        <v>#REF!</v>
      </c>
      <c r="V640" t="str">
        <f>ROUND(P640+Q640+R640+T640, -2)</f>
        <v>#REF!</v>
      </c>
      <c r="W640">
        <v>0</v>
      </c>
      <c r="X640" t="str">
        <f>U640*0.038</f>
        <v>#REF!</v>
      </c>
      <c r="Y640" t="str">
        <f>U640*0.02</f>
        <v>#REF!</v>
      </c>
      <c r="Z640" t="str">
        <f>V640*0.1</f>
        <v>#REF!</v>
      </c>
      <c r="AA640" t="str">
        <f>U640-X640-Y640</f>
        <v>#REF!</v>
      </c>
      <c r="AB640" t="str">
        <f>V640-Z640</f>
        <v>#REF!</v>
      </c>
      <c r="AC640" t="str">
        <f>AA640*0.01</f>
        <v>#REF!</v>
      </c>
      <c r="AD640" t="str">
        <f>AA640-P640-AC640-Q640</f>
        <v>#REF!</v>
      </c>
      <c r="AE640" t="str">
        <f>AB640-P640-Q640-AC640</f>
        <v>#REF!</v>
      </c>
      <c r="AF640" t="str">
        <f>AD640/U640</f>
        <v>#REF!</v>
      </c>
      <c r="AG640" t="str">
        <f>AE640/V640</f>
        <v>#REF!</v>
      </c>
    </row>
    <row r="641">
      <c r="G641" t="str">
        <v>A</v>
      </c>
      <c r="J641" t="str">
        <f>IF(K641&gt;0,K641*0.0625,IF(L641&gt;0,L641*2.204623,))</f>
        <v>#REF!</v>
      </c>
      <c r="K641" t="str">
        <f>IF(L641&gt;0,L641*35.273962,IF(J641&gt;0,J641*16,))</f>
        <v>#REF!</v>
      </c>
      <c r="L641" t="str">
        <f>IF(J641&gt;0,J641*0.453592,IF(K641&gt;0,K641*0.02835,))</f>
        <v>#REF!</v>
      </c>
      <c r="O641">
        <f>I641+N641+M641</f>
        <v>0</v>
      </c>
      <c r="P641">
        <f>O641*C$3</f>
        <v>0</v>
      </c>
      <c r="Q641" t="str">
        <f>ROUNDUP(HLOOKUP(IF(CEILING(L641,0.5)&lt;1,1,CEILING(L641,0.5)),'배송비 조회'!A$32:AY$36,2,0),-2)</f>
        <v>#REF!</v>
      </c>
      <c r="R641">
        <v>0</v>
      </c>
      <c r="S641" t="str">
        <f>ROUND((P641+Q641)*0.6,-2)</f>
        <v>#REF!</v>
      </c>
      <c r="T641" t="str">
        <f>ROUND((P641+Q641)*0.7,-2)</f>
        <v>#REF!</v>
      </c>
      <c r="U641" t="str">
        <f>ROUND(SUM(P641+Q641+R641+S641), -2)</f>
        <v>#REF!</v>
      </c>
      <c r="V641" t="str">
        <f>ROUND(P641+Q641+R641+T641, -2)</f>
        <v>#REF!</v>
      </c>
      <c r="W641">
        <v>0</v>
      </c>
      <c r="X641" t="str">
        <f>U641*0.038</f>
        <v>#REF!</v>
      </c>
      <c r="Y641" t="str">
        <f>U641*0.02</f>
        <v>#REF!</v>
      </c>
      <c r="Z641" t="str">
        <f>V641*0.1</f>
        <v>#REF!</v>
      </c>
      <c r="AA641" t="str">
        <f>U641-X641-Y641</f>
        <v>#REF!</v>
      </c>
      <c r="AB641" t="str">
        <f>V641-Z641</f>
        <v>#REF!</v>
      </c>
      <c r="AC641" t="str">
        <f>AA641*0.01</f>
        <v>#REF!</v>
      </c>
      <c r="AD641" t="str">
        <f>AA641-P641-AC641-Q641</f>
        <v>#REF!</v>
      </c>
      <c r="AE641" t="str">
        <f>AB641-P641-Q641-AC641</f>
        <v>#REF!</v>
      </c>
      <c r="AF641" t="str">
        <f>AD641/U641</f>
        <v>#REF!</v>
      </c>
      <c r="AG641" t="str">
        <f>AE641/V641</f>
        <v>#REF!</v>
      </c>
    </row>
    <row r="642">
      <c r="G642" t="str">
        <v>A</v>
      </c>
      <c r="J642" t="str">
        <f>IF(K642&gt;0,K642*0.0625,IF(L642&gt;0,L642*2.204623,))</f>
        <v>#REF!</v>
      </c>
      <c r="K642" t="str">
        <f>IF(L642&gt;0,L642*35.273962,IF(J642&gt;0,J642*16,))</f>
        <v>#REF!</v>
      </c>
      <c r="L642" t="str">
        <f>IF(J642&gt;0,J642*0.453592,IF(K642&gt;0,K642*0.02835,))</f>
        <v>#REF!</v>
      </c>
      <c r="O642">
        <f>I642+N642+M642</f>
        <v>0</v>
      </c>
      <c r="P642">
        <f>O642*C$3</f>
        <v>0</v>
      </c>
      <c r="Q642" t="str">
        <f>ROUNDUP(HLOOKUP(IF(CEILING(L642,0.5)&lt;1,1,CEILING(L642,0.5)),'배송비 조회'!A$32:AY$36,2,0),-2)</f>
        <v>#REF!</v>
      </c>
      <c r="R642">
        <v>0</v>
      </c>
      <c r="S642" t="str">
        <f>ROUND((P642+Q642)*0.6,-2)</f>
        <v>#REF!</v>
      </c>
      <c r="T642" t="str">
        <f>ROUND((P642+Q642)*0.7,-2)</f>
        <v>#REF!</v>
      </c>
      <c r="U642" t="str">
        <f>ROUND(SUM(P642+Q642+R642+S642), -2)</f>
        <v>#REF!</v>
      </c>
      <c r="V642" t="str">
        <f>ROUND(P642+Q642+R642+T642, -2)</f>
        <v>#REF!</v>
      </c>
      <c r="W642">
        <v>0</v>
      </c>
      <c r="X642" t="str">
        <f>U642*0.038</f>
        <v>#REF!</v>
      </c>
      <c r="Y642" t="str">
        <f>U642*0.02</f>
        <v>#REF!</v>
      </c>
      <c r="Z642" t="str">
        <f>V642*0.1</f>
        <v>#REF!</v>
      </c>
      <c r="AA642" t="str">
        <f>U642-X642-Y642</f>
        <v>#REF!</v>
      </c>
      <c r="AB642" t="str">
        <f>V642-Z642</f>
        <v>#REF!</v>
      </c>
      <c r="AC642" t="str">
        <f>AA642*0.01</f>
        <v>#REF!</v>
      </c>
      <c r="AD642" t="str">
        <f>AA642-P642-AC642-Q642</f>
        <v>#REF!</v>
      </c>
      <c r="AE642" t="str">
        <f>AB642-P642-Q642-AC642</f>
        <v>#REF!</v>
      </c>
      <c r="AF642" t="str">
        <f>AD642/U642</f>
        <v>#REF!</v>
      </c>
      <c r="AG642" t="str">
        <f>AE642/V642</f>
        <v>#REF!</v>
      </c>
    </row>
    <row r="643">
      <c r="G643" t="str">
        <v>A</v>
      </c>
      <c r="J643" t="str">
        <f>IF(K643&gt;0,K643*0.0625,IF(L643&gt;0,L643*2.204623,))</f>
        <v>#REF!</v>
      </c>
      <c r="K643" t="str">
        <f>IF(L643&gt;0,L643*35.273962,IF(J643&gt;0,J643*16,))</f>
        <v>#REF!</v>
      </c>
      <c r="L643" t="str">
        <f>IF(J643&gt;0,J643*0.453592,IF(K643&gt;0,K643*0.02835,))</f>
        <v>#REF!</v>
      </c>
      <c r="O643">
        <f>I643+N643+M643</f>
        <v>0</v>
      </c>
      <c r="P643">
        <f>O643*C$3</f>
        <v>0</v>
      </c>
      <c r="Q643" t="str">
        <f>ROUNDUP(HLOOKUP(IF(CEILING(L643,0.5)&lt;1,1,CEILING(L643,0.5)),'배송비 조회'!A$32:AY$36,2,0),-2)</f>
        <v>#REF!</v>
      </c>
      <c r="R643">
        <v>0</v>
      </c>
      <c r="S643" t="str">
        <f>ROUND((P643+Q643)*0.6,-2)</f>
        <v>#REF!</v>
      </c>
      <c r="T643" t="str">
        <f>ROUND((P643+Q643)*0.7,-2)</f>
        <v>#REF!</v>
      </c>
      <c r="U643" t="str">
        <f>ROUND(SUM(P643+Q643+R643+S643), -2)</f>
        <v>#REF!</v>
      </c>
      <c r="V643" t="str">
        <f>ROUND(P643+Q643+R643+T643, -2)</f>
        <v>#REF!</v>
      </c>
      <c r="W643">
        <v>0</v>
      </c>
      <c r="X643" t="str">
        <f>U643*0.038</f>
        <v>#REF!</v>
      </c>
      <c r="Y643" t="str">
        <f>U643*0.02</f>
        <v>#REF!</v>
      </c>
      <c r="Z643" t="str">
        <f>V643*0.1</f>
        <v>#REF!</v>
      </c>
      <c r="AA643" t="str">
        <f>U643-X643-Y643</f>
        <v>#REF!</v>
      </c>
      <c r="AB643" t="str">
        <f>V643-Z643</f>
        <v>#REF!</v>
      </c>
      <c r="AC643" t="str">
        <f>AA643*0.01</f>
        <v>#REF!</v>
      </c>
      <c r="AD643" t="str">
        <f>AA643-P643-AC643-Q643</f>
        <v>#REF!</v>
      </c>
      <c r="AE643" t="str">
        <f>AB643-P643-Q643-AC643</f>
        <v>#REF!</v>
      </c>
      <c r="AF643" t="str">
        <f>AD643/U643</f>
        <v>#REF!</v>
      </c>
      <c r="AG643" t="str">
        <f>AE643/V643</f>
        <v>#REF!</v>
      </c>
    </row>
    <row r="644">
      <c r="G644" t="str">
        <v>A</v>
      </c>
      <c r="J644" t="str">
        <f>IF(K644&gt;0,K644*0.0625,IF(L644&gt;0,L644*2.204623,))</f>
        <v>#REF!</v>
      </c>
      <c r="K644" t="str">
        <f>IF(L644&gt;0,L644*35.273962,IF(J644&gt;0,J644*16,))</f>
        <v>#REF!</v>
      </c>
      <c r="L644" t="str">
        <f>IF(J644&gt;0,J644*0.453592,IF(K644&gt;0,K644*0.02835,))</f>
        <v>#REF!</v>
      </c>
      <c r="O644">
        <f>I644+N644+M644</f>
        <v>0</v>
      </c>
      <c r="P644">
        <f>O644*C$3</f>
        <v>0</v>
      </c>
      <c r="Q644" t="str">
        <f>ROUNDUP(HLOOKUP(IF(CEILING(L644,0.5)&lt;1,1,CEILING(L644,0.5)),'배송비 조회'!A$32:AY$36,2,0),-2)</f>
        <v>#REF!</v>
      </c>
      <c r="R644">
        <v>0</v>
      </c>
      <c r="S644" t="str">
        <f>ROUND((P644+Q644)*0.6,-2)</f>
        <v>#REF!</v>
      </c>
      <c r="T644" t="str">
        <f>ROUND((P644+Q644)*0.7,-2)</f>
        <v>#REF!</v>
      </c>
      <c r="U644" t="str">
        <f>ROUND(SUM(P644+Q644+R644+S644), -2)</f>
        <v>#REF!</v>
      </c>
      <c r="V644" t="str">
        <f>ROUND(P644+Q644+R644+T644, -2)</f>
        <v>#REF!</v>
      </c>
      <c r="W644">
        <v>0</v>
      </c>
      <c r="X644" t="str">
        <f>U644*0.038</f>
        <v>#REF!</v>
      </c>
      <c r="Y644" t="str">
        <f>U644*0.02</f>
        <v>#REF!</v>
      </c>
      <c r="Z644" t="str">
        <f>V644*0.1</f>
        <v>#REF!</v>
      </c>
      <c r="AA644" t="str">
        <f>U644-X644-Y644</f>
        <v>#REF!</v>
      </c>
      <c r="AB644" t="str">
        <f>V644-Z644</f>
        <v>#REF!</v>
      </c>
      <c r="AC644" t="str">
        <f>AA644*0.01</f>
        <v>#REF!</v>
      </c>
      <c r="AD644" t="str">
        <f>AA644-P644-AC644-Q644</f>
        <v>#REF!</v>
      </c>
      <c r="AE644" t="str">
        <f>AB644-P644-Q644-AC644</f>
        <v>#REF!</v>
      </c>
      <c r="AF644" t="str">
        <f>AD644/U644</f>
        <v>#REF!</v>
      </c>
      <c r="AG644" t="str">
        <f>AE644/V644</f>
        <v>#REF!</v>
      </c>
    </row>
    <row r="645">
      <c r="G645" t="str">
        <v>A</v>
      </c>
      <c r="J645" t="str">
        <f>IF(K645&gt;0,K645*0.0625,IF(L645&gt;0,L645*2.204623,))</f>
        <v>#REF!</v>
      </c>
      <c r="K645" t="str">
        <f>IF(L645&gt;0,L645*35.273962,IF(J645&gt;0,J645*16,))</f>
        <v>#REF!</v>
      </c>
      <c r="L645" t="str">
        <f>IF(J645&gt;0,J645*0.453592,IF(K645&gt;0,K645*0.02835,))</f>
        <v>#REF!</v>
      </c>
      <c r="O645">
        <f>I645+N645+M645</f>
        <v>0</v>
      </c>
      <c r="P645">
        <f>O645*C$3</f>
        <v>0</v>
      </c>
      <c r="Q645" t="str">
        <f>ROUNDUP(HLOOKUP(IF(CEILING(L645,0.5)&lt;1,1,CEILING(L645,0.5)),'배송비 조회'!A$32:AY$36,2,0),-2)</f>
        <v>#REF!</v>
      </c>
      <c r="R645">
        <v>0</v>
      </c>
      <c r="S645" t="str">
        <f>ROUND((P645+Q645)*0.6,-2)</f>
        <v>#REF!</v>
      </c>
      <c r="T645" t="str">
        <f>ROUND((P645+Q645)*0.7,-2)</f>
        <v>#REF!</v>
      </c>
      <c r="U645" t="str">
        <f>ROUND(SUM(P645+Q645+R645+S645), -2)</f>
        <v>#REF!</v>
      </c>
      <c r="V645" t="str">
        <f>ROUND(P645+Q645+R645+T645, -2)</f>
        <v>#REF!</v>
      </c>
      <c r="W645">
        <v>0</v>
      </c>
      <c r="X645" t="str">
        <f>U645*0.038</f>
        <v>#REF!</v>
      </c>
      <c r="Y645" t="str">
        <f>U645*0.02</f>
        <v>#REF!</v>
      </c>
      <c r="Z645" t="str">
        <f>V645*0.1</f>
        <v>#REF!</v>
      </c>
      <c r="AA645" t="str">
        <f>U645-X645-Y645</f>
        <v>#REF!</v>
      </c>
      <c r="AB645" t="str">
        <f>V645-Z645</f>
        <v>#REF!</v>
      </c>
      <c r="AC645" t="str">
        <f>AA645*0.01</f>
        <v>#REF!</v>
      </c>
      <c r="AD645" t="str">
        <f>AA645-P645-AC645-Q645</f>
        <v>#REF!</v>
      </c>
      <c r="AE645" t="str">
        <f>AB645-P645-Q645-AC645</f>
        <v>#REF!</v>
      </c>
      <c r="AF645" t="str">
        <f>AD645/U645</f>
        <v>#REF!</v>
      </c>
      <c r="AG645" t="str">
        <f>AE645/V645</f>
        <v>#REF!</v>
      </c>
    </row>
    <row r="646">
      <c r="G646" t="str">
        <v>A</v>
      </c>
      <c r="J646" t="str">
        <f>IF(K646&gt;0,K646*0.0625,IF(L646&gt;0,L646*2.204623,))</f>
        <v>#REF!</v>
      </c>
      <c r="K646" t="str">
        <f>IF(L646&gt;0,L646*35.273962,IF(J646&gt;0,J646*16,))</f>
        <v>#REF!</v>
      </c>
      <c r="L646" t="str">
        <f>IF(J646&gt;0,J646*0.453592,IF(K646&gt;0,K646*0.02835,))</f>
        <v>#REF!</v>
      </c>
      <c r="O646">
        <f>I646+N646+M646</f>
        <v>0</v>
      </c>
      <c r="P646">
        <f>O646*C$3</f>
        <v>0</v>
      </c>
      <c r="Q646" t="str">
        <f>ROUNDUP(HLOOKUP(IF(CEILING(L646,0.5)&lt;1,1,CEILING(L646,0.5)),'배송비 조회'!A$32:AY$36,2,0),-2)</f>
        <v>#REF!</v>
      </c>
      <c r="R646">
        <v>0</v>
      </c>
      <c r="S646" t="str">
        <f>ROUND((P646+Q646)*0.6,-2)</f>
        <v>#REF!</v>
      </c>
      <c r="T646" t="str">
        <f>ROUND((P646+Q646)*0.7,-2)</f>
        <v>#REF!</v>
      </c>
      <c r="U646" t="str">
        <f>ROUND(SUM(P646+Q646+R646+S646), -2)</f>
        <v>#REF!</v>
      </c>
      <c r="V646" t="str">
        <f>ROUND(P646+Q646+R646+T646, -2)</f>
        <v>#REF!</v>
      </c>
      <c r="W646">
        <v>0</v>
      </c>
      <c r="X646" t="str">
        <f>U646*0.038</f>
        <v>#REF!</v>
      </c>
      <c r="Y646" t="str">
        <f>U646*0.02</f>
        <v>#REF!</v>
      </c>
      <c r="Z646" t="str">
        <f>V646*0.1</f>
        <v>#REF!</v>
      </c>
      <c r="AA646" t="str">
        <f>U646-X646-Y646</f>
        <v>#REF!</v>
      </c>
      <c r="AB646" t="str">
        <f>V646-Z646</f>
        <v>#REF!</v>
      </c>
      <c r="AC646" t="str">
        <f>AA646*0.01</f>
        <v>#REF!</v>
      </c>
      <c r="AD646" t="str">
        <f>AA646-P646-AC646-Q646</f>
        <v>#REF!</v>
      </c>
      <c r="AE646" t="str">
        <f>AB646-P646-Q646-AC646</f>
        <v>#REF!</v>
      </c>
      <c r="AF646" t="str">
        <f>AD646/U646</f>
        <v>#REF!</v>
      </c>
      <c r="AG646" t="str">
        <f>AE646/V646</f>
        <v>#REF!</v>
      </c>
    </row>
    <row r="647">
      <c r="G647" t="str">
        <v>A</v>
      </c>
      <c r="J647" t="str">
        <f>IF(K647&gt;0,K647*0.0625,IF(L647&gt;0,L647*2.204623,))</f>
        <v>#REF!</v>
      </c>
      <c r="K647" t="str">
        <f>IF(L647&gt;0,L647*35.273962,IF(J647&gt;0,J647*16,))</f>
        <v>#REF!</v>
      </c>
      <c r="L647" t="str">
        <f>IF(J647&gt;0,J647*0.453592,IF(K647&gt;0,K647*0.02835,))</f>
        <v>#REF!</v>
      </c>
      <c r="O647">
        <f>I647+N647+M647</f>
        <v>0</v>
      </c>
      <c r="P647">
        <f>O647*C$3</f>
        <v>0</v>
      </c>
      <c r="Q647" t="str">
        <f>ROUNDUP(HLOOKUP(IF(CEILING(L647,0.5)&lt;1,1,CEILING(L647,0.5)),'배송비 조회'!A$32:AY$36,2,0),-2)</f>
        <v>#REF!</v>
      </c>
      <c r="R647">
        <v>0</v>
      </c>
      <c r="S647" t="str">
        <f>ROUND((P647+Q647)*0.6,-2)</f>
        <v>#REF!</v>
      </c>
      <c r="T647" t="str">
        <f>ROUND((P647+Q647)*0.7,-2)</f>
        <v>#REF!</v>
      </c>
      <c r="U647" t="str">
        <f>ROUND(SUM(P647+Q647+R647+S647), -2)</f>
        <v>#REF!</v>
      </c>
      <c r="V647" t="str">
        <f>ROUND(P647+Q647+R647+T647, -2)</f>
        <v>#REF!</v>
      </c>
      <c r="W647">
        <v>0</v>
      </c>
      <c r="X647" t="str">
        <f>U647*0.038</f>
        <v>#REF!</v>
      </c>
      <c r="Y647" t="str">
        <f>U647*0.02</f>
        <v>#REF!</v>
      </c>
      <c r="Z647" t="str">
        <f>V647*0.1</f>
        <v>#REF!</v>
      </c>
      <c r="AA647" t="str">
        <f>U647-X647-Y647</f>
        <v>#REF!</v>
      </c>
      <c r="AB647" t="str">
        <f>V647-Z647</f>
        <v>#REF!</v>
      </c>
      <c r="AC647" t="str">
        <f>AA647*0.01</f>
        <v>#REF!</v>
      </c>
      <c r="AD647" t="str">
        <f>AA647-P647-AC647-Q647</f>
        <v>#REF!</v>
      </c>
      <c r="AE647" t="str">
        <f>AB647-P647-Q647-AC647</f>
        <v>#REF!</v>
      </c>
      <c r="AF647" t="str">
        <f>AD647/U647</f>
        <v>#REF!</v>
      </c>
      <c r="AG647" t="str">
        <f>AE647/V647</f>
        <v>#REF!</v>
      </c>
    </row>
    <row r="648">
      <c r="G648" t="str">
        <v>A</v>
      </c>
      <c r="J648" t="str">
        <f>IF(K648&gt;0,K648*0.0625,IF(L648&gt;0,L648*2.204623,))</f>
        <v>#REF!</v>
      </c>
      <c r="K648" t="str">
        <f>IF(L648&gt;0,L648*35.273962,IF(J648&gt;0,J648*16,))</f>
        <v>#REF!</v>
      </c>
      <c r="L648" t="str">
        <f>IF(J648&gt;0,J648*0.453592,IF(K648&gt;0,K648*0.02835,))</f>
        <v>#REF!</v>
      </c>
      <c r="O648">
        <f>I648+N648+M648</f>
        <v>0</v>
      </c>
      <c r="P648">
        <f>O648*C$3</f>
        <v>0</v>
      </c>
      <c r="Q648" t="str">
        <f>ROUNDUP(HLOOKUP(IF(CEILING(L648,0.5)&lt;1,1,CEILING(L648,0.5)),'배송비 조회'!A$32:AY$36,2,0),-2)</f>
        <v>#REF!</v>
      </c>
      <c r="R648">
        <v>0</v>
      </c>
      <c r="S648" t="str">
        <f>ROUND((P648+Q648)*0.6,-2)</f>
        <v>#REF!</v>
      </c>
      <c r="T648" t="str">
        <f>ROUND((P648+Q648)*0.7,-2)</f>
        <v>#REF!</v>
      </c>
      <c r="U648" t="str">
        <f>ROUND(SUM(P648+Q648+R648+S648), -2)</f>
        <v>#REF!</v>
      </c>
      <c r="V648" t="str">
        <f>ROUND(P648+Q648+R648+T648, -2)</f>
        <v>#REF!</v>
      </c>
      <c r="W648">
        <v>0</v>
      </c>
      <c r="X648" t="str">
        <f>U648*0.038</f>
        <v>#REF!</v>
      </c>
      <c r="Y648" t="str">
        <f>U648*0.02</f>
        <v>#REF!</v>
      </c>
      <c r="Z648" t="str">
        <f>V648*0.1</f>
        <v>#REF!</v>
      </c>
      <c r="AA648" t="str">
        <f>U648-X648-Y648</f>
        <v>#REF!</v>
      </c>
      <c r="AB648" t="str">
        <f>V648-Z648</f>
        <v>#REF!</v>
      </c>
      <c r="AC648" t="str">
        <f>AA648*0.01</f>
        <v>#REF!</v>
      </c>
      <c r="AD648" t="str">
        <f>AA648-P648-AC648-Q648</f>
        <v>#REF!</v>
      </c>
      <c r="AE648" t="str">
        <f>AB648-P648-Q648-AC648</f>
        <v>#REF!</v>
      </c>
      <c r="AF648" t="str">
        <f>AD648/U648</f>
        <v>#REF!</v>
      </c>
      <c r="AG648" t="str">
        <f>AE648/V648</f>
        <v>#REF!</v>
      </c>
    </row>
    <row r="649">
      <c r="G649" t="str">
        <v>A</v>
      </c>
      <c r="J649" t="str">
        <f>IF(K649&gt;0,K649*0.0625,IF(L649&gt;0,L649*2.204623,))</f>
        <v>#REF!</v>
      </c>
      <c r="K649" t="str">
        <f>IF(L649&gt;0,L649*35.273962,IF(J649&gt;0,J649*16,))</f>
        <v>#REF!</v>
      </c>
      <c r="L649" t="str">
        <f>IF(J649&gt;0,J649*0.453592,IF(K649&gt;0,K649*0.02835,))</f>
        <v>#REF!</v>
      </c>
      <c r="O649">
        <f>I649+N649+M649</f>
        <v>0</v>
      </c>
      <c r="P649">
        <f>O649*C$3</f>
        <v>0</v>
      </c>
      <c r="Q649" t="str">
        <f>ROUNDUP(HLOOKUP(IF(CEILING(L649,0.5)&lt;1,1,CEILING(L649,0.5)),'배송비 조회'!A$32:AY$36,2,0),-2)</f>
        <v>#REF!</v>
      </c>
      <c r="R649">
        <v>0</v>
      </c>
      <c r="S649" t="str">
        <f>ROUND((P649+Q649)*0.6,-2)</f>
        <v>#REF!</v>
      </c>
      <c r="T649" t="str">
        <f>ROUND((P649+Q649)*0.7,-2)</f>
        <v>#REF!</v>
      </c>
      <c r="U649" t="str">
        <f>ROUND(SUM(P649+Q649+R649+S649), -2)</f>
        <v>#REF!</v>
      </c>
      <c r="V649" t="str">
        <f>ROUND(P649+Q649+R649+T649, -2)</f>
        <v>#REF!</v>
      </c>
      <c r="W649">
        <v>0</v>
      </c>
      <c r="X649" t="str">
        <f>U649*0.038</f>
        <v>#REF!</v>
      </c>
      <c r="Y649" t="str">
        <f>U649*0.02</f>
        <v>#REF!</v>
      </c>
      <c r="Z649" t="str">
        <f>V649*0.1</f>
        <v>#REF!</v>
      </c>
      <c r="AA649" t="str">
        <f>U649-X649-Y649</f>
        <v>#REF!</v>
      </c>
      <c r="AB649" t="str">
        <f>V649-Z649</f>
        <v>#REF!</v>
      </c>
      <c r="AC649" t="str">
        <f>AA649*0.01</f>
        <v>#REF!</v>
      </c>
      <c r="AD649" t="str">
        <f>AA649-P649-AC649-Q649</f>
        <v>#REF!</v>
      </c>
      <c r="AE649" t="str">
        <f>AB649-P649-Q649-AC649</f>
        <v>#REF!</v>
      </c>
      <c r="AF649" t="str">
        <f>AD649/U649</f>
        <v>#REF!</v>
      </c>
      <c r="AG649" t="str">
        <f>AE649/V649</f>
        <v>#REF!</v>
      </c>
    </row>
    <row r="650">
      <c r="G650" t="str">
        <v>A</v>
      </c>
      <c r="J650" t="str">
        <f>IF(K650&gt;0,K650*0.0625,IF(L650&gt;0,L650*2.204623,))</f>
        <v>#REF!</v>
      </c>
      <c r="K650" t="str">
        <f>IF(L650&gt;0,L650*35.273962,IF(J650&gt;0,J650*16,))</f>
        <v>#REF!</v>
      </c>
      <c r="L650" t="str">
        <f>IF(J650&gt;0,J650*0.453592,IF(K650&gt;0,K650*0.02835,))</f>
        <v>#REF!</v>
      </c>
      <c r="O650">
        <f>I650+N650+M650</f>
        <v>0</v>
      </c>
      <c r="P650">
        <f>O650*C$3</f>
        <v>0</v>
      </c>
      <c r="Q650" t="str">
        <f>ROUNDUP(HLOOKUP(IF(CEILING(L650,0.5)&lt;1,1,CEILING(L650,0.5)),'배송비 조회'!A$32:AY$36,2,0),-2)</f>
        <v>#REF!</v>
      </c>
      <c r="R650">
        <v>0</v>
      </c>
      <c r="S650" t="str">
        <f>ROUND((P650+Q650)*0.6,-2)</f>
        <v>#REF!</v>
      </c>
      <c r="T650" t="str">
        <f>ROUND((P650+Q650)*0.7,-2)</f>
        <v>#REF!</v>
      </c>
      <c r="U650" t="str">
        <f>ROUND(SUM(P650+Q650+R650+S650), -2)</f>
        <v>#REF!</v>
      </c>
      <c r="V650" t="str">
        <f>ROUND(P650+Q650+R650+T650, -2)</f>
        <v>#REF!</v>
      </c>
      <c r="W650">
        <v>0</v>
      </c>
      <c r="X650" t="str">
        <f>U650*0.038</f>
        <v>#REF!</v>
      </c>
      <c r="Y650" t="str">
        <f>U650*0.02</f>
        <v>#REF!</v>
      </c>
      <c r="Z650" t="str">
        <f>V650*0.1</f>
        <v>#REF!</v>
      </c>
      <c r="AA650" t="str">
        <f>U650-X650-Y650</f>
        <v>#REF!</v>
      </c>
      <c r="AB650" t="str">
        <f>V650-Z650</f>
        <v>#REF!</v>
      </c>
      <c r="AC650" t="str">
        <f>AA650*0.01</f>
        <v>#REF!</v>
      </c>
      <c r="AD650" t="str">
        <f>AA650-P650-AC650-Q650</f>
        <v>#REF!</v>
      </c>
      <c r="AE650" t="str">
        <f>AB650-P650-Q650-AC650</f>
        <v>#REF!</v>
      </c>
      <c r="AF650" t="str">
        <f>AD650/U650</f>
        <v>#REF!</v>
      </c>
      <c r="AG650" t="str">
        <f>AE650/V650</f>
        <v>#REF!</v>
      </c>
    </row>
    <row r="651">
      <c r="G651" t="str">
        <v>A</v>
      </c>
      <c r="J651" t="str">
        <f>IF(K651&gt;0,K651*0.0625,IF(L651&gt;0,L651*2.204623,))</f>
        <v>#REF!</v>
      </c>
      <c r="K651" t="str">
        <f>IF(L651&gt;0,L651*35.273962,IF(J651&gt;0,J651*16,))</f>
        <v>#REF!</v>
      </c>
      <c r="L651" t="str">
        <f>IF(J651&gt;0,J651*0.453592,IF(K651&gt;0,K651*0.02835,))</f>
        <v>#REF!</v>
      </c>
      <c r="O651">
        <f>I651+N651+M651</f>
        <v>0</v>
      </c>
      <c r="P651">
        <f>O651*C$3</f>
        <v>0</v>
      </c>
      <c r="Q651" t="str">
        <f>ROUNDUP(HLOOKUP(IF(CEILING(L651,0.5)&lt;1,1,CEILING(L651,0.5)),'배송비 조회'!A$32:AY$36,2,0),-2)</f>
        <v>#REF!</v>
      </c>
      <c r="R651">
        <v>0</v>
      </c>
      <c r="S651" t="str">
        <f>ROUND((P651+Q651)*0.6,-2)</f>
        <v>#REF!</v>
      </c>
      <c r="T651" t="str">
        <f>ROUND((P651+Q651)*0.7,-2)</f>
        <v>#REF!</v>
      </c>
      <c r="U651" t="str">
        <f>ROUND(SUM(P651+Q651+R651+S651), -2)</f>
        <v>#REF!</v>
      </c>
      <c r="V651" t="str">
        <f>ROUND(P651+Q651+R651+T651, -2)</f>
        <v>#REF!</v>
      </c>
      <c r="W651">
        <v>0</v>
      </c>
      <c r="X651" t="str">
        <f>U651*0.038</f>
        <v>#REF!</v>
      </c>
      <c r="Y651" t="str">
        <f>U651*0.02</f>
        <v>#REF!</v>
      </c>
      <c r="Z651" t="str">
        <f>V651*0.1</f>
        <v>#REF!</v>
      </c>
      <c r="AA651" t="str">
        <f>U651-X651-Y651</f>
        <v>#REF!</v>
      </c>
      <c r="AB651" t="str">
        <f>V651-Z651</f>
        <v>#REF!</v>
      </c>
      <c r="AC651" t="str">
        <f>AA651*0.01</f>
        <v>#REF!</v>
      </c>
      <c r="AD651" t="str">
        <f>AA651-P651-AC651-Q651</f>
        <v>#REF!</v>
      </c>
      <c r="AE651" t="str">
        <f>AB651-P651-Q651-AC651</f>
        <v>#REF!</v>
      </c>
      <c r="AF651" t="str">
        <f>AD651/U651</f>
        <v>#REF!</v>
      </c>
      <c r="AG651" t="str">
        <f>AE651/V651</f>
        <v>#REF!</v>
      </c>
    </row>
    <row r="652">
      <c r="G652" t="str">
        <v>A</v>
      </c>
      <c r="J652" t="str">
        <f>IF(K652&gt;0,K652*0.0625,IF(L652&gt;0,L652*2.204623,))</f>
        <v>#REF!</v>
      </c>
      <c r="K652" t="str">
        <f>IF(L652&gt;0,L652*35.273962,IF(J652&gt;0,J652*16,))</f>
        <v>#REF!</v>
      </c>
      <c r="L652" t="str">
        <f>IF(J652&gt;0,J652*0.453592,IF(K652&gt;0,K652*0.02835,))</f>
        <v>#REF!</v>
      </c>
      <c r="O652">
        <f>I652+N652+M652</f>
        <v>0</v>
      </c>
      <c r="P652">
        <f>O652*C$3</f>
        <v>0</v>
      </c>
      <c r="Q652" t="str">
        <f>ROUNDUP(HLOOKUP(IF(CEILING(L652,0.5)&lt;1,1,CEILING(L652,0.5)),'배송비 조회'!A$32:AY$36,2,0),-2)</f>
        <v>#REF!</v>
      </c>
      <c r="R652">
        <v>0</v>
      </c>
      <c r="S652" t="str">
        <f>ROUND((P652+Q652)*0.6,-2)</f>
        <v>#REF!</v>
      </c>
      <c r="T652" t="str">
        <f>ROUND((P652+Q652)*0.7,-2)</f>
        <v>#REF!</v>
      </c>
      <c r="U652" t="str">
        <f>ROUND(SUM(P652+Q652+R652+S652), -2)</f>
        <v>#REF!</v>
      </c>
      <c r="V652" t="str">
        <f>ROUND(P652+Q652+R652+T652, -2)</f>
        <v>#REF!</v>
      </c>
      <c r="W652">
        <v>0</v>
      </c>
      <c r="X652" t="str">
        <f>U652*0.038</f>
        <v>#REF!</v>
      </c>
      <c r="Y652" t="str">
        <f>U652*0.02</f>
        <v>#REF!</v>
      </c>
      <c r="Z652" t="str">
        <f>V652*0.1</f>
        <v>#REF!</v>
      </c>
      <c r="AA652" t="str">
        <f>U652-X652-Y652</f>
        <v>#REF!</v>
      </c>
      <c r="AB652" t="str">
        <f>V652-Z652</f>
        <v>#REF!</v>
      </c>
      <c r="AC652" t="str">
        <f>AA652*0.01</f>
        <v>#REF!</v>
      </c>
      <c r="AD652" t="str">
        <f>AA652-P652-AC652-Q652</f>
        <v>#REF!</v>
      </c>
      <c r="AE652" t="str">
        <f>AB652-P652-Q652-AC652</f>
        <v>#REF!</v>
      </c>
      <c r="AF652" t="str">
        <f>AD652/U652</f>
        <v>#REF!</v>
      </c>
      <c r="AG652" t="str">
        <f>AE652/V652</f>
        <v>#REF!</v>
      </c>
    </row>
    <row r="653">
      <c r="G653" t="str">
        <v>A</v>
      </c>
      <c r="J653" t="str">
        <f>IF(K653&gt;0,K653*0.0625,IF(L653&gt;0,L653*2.204623,))</f>
        <v>#REF!</v>
      </c>
      <c r="K653" t="str">
        <f>IF(L653&gt;0,L653*35.273962,IF(J653&gt;0,J653*16,))</f>
        <v>#REF!</v>
      </c>
      <c r="L653" t="str">
        <f>IF(J653&gt;0,J653*0.453592,IF(K653&gt;0,K653*0.02835,))</f>
        <v>#REF!</v>
      </c>
      <c r="O653">
        <f>I653+N653+M653</f>
        <v>0</v>
      </c>
      <c r="P653">
        <f>O653*C$3</f>
        <v>0</v>
      </c>
      <c r="Q653" t="str">
        <f>ROUNDUP(HLOOKUP(IF(CEILING(L653,0.5)&lt;1,1,CEILING(L653,0.5)),'배송비 조회'!A$32:AY$36,2,0),-2)</f>
        <v>#REF!</v>
      </c>
      <c r="R653">
        <v>0</v>
      </c>
      <c r="S653" t="str">
        <f>ROUND((P653+Q653)*0.6,-2)</f>
        <v>#REF!</v>
      </c>
      <c r="T653" t="str">
        <f>ROUND((P653+Q653)*0.7,-2)</f>
        <v>#REF!</v>
      </c>
      <c r="U653" t="str">
        <f>ROUND(SUM(P653+Q653+R653+S653), -2)</f>
        <v>#REF!</v>
      </c>
      <c r="V653" t="str">
        <f>ROUND(P653+Q653+R653+T653, -2)</f>
        <v>#REF!</v>
      </c>
      <c r="W653">
        <v>0</v>
      </c>
      <c r="X653" t="str">
        <f>U653*0.038</f>
        <v>#REF!</v>
      </c>
      <c r="Y653" t="str">
        <f>U653*0.02</f>
        <v>#REF!</v>
      </c>
      <c r="Z653" t="str">
        <f>V653*0.1</f>
        <v>#REF!</v>
      </c>
      <c r="AA653" t="str">
        <f>U653-X653-Y653</f>
        <v>#REF!</v>
      </c>
      <c r="AB653" t="str">
        <f>V653-Z653</f>
        <v>#REF!</v>
      </c>
      <c r="AC653" t="str">
        <f>AA653*0.01</f>
        <v>#REF!</v>
      </c>
      <c r="AD653" t="str">
        <f>AA653-P653-AC653-Q653</f>
        <v>#REF!</v>
      </c>
      <c r="AE653" t="str">
        <f>AB653-P653-Q653-AC653</f>
        <v>#REF!</v>
      </c>
      <c r="AF653" t="str">
        <f>AD653/U653</f>
        <v>#REF!</v>
      </c>
      <c r="AG653" t="str">
        <f>AE653/V653</f>
        <v>#REF!</v>
      </c>
    </row>
    <row r="654">
      <c r="G654" t="str">
        <v>A</v>
      </c>
      <c r="J654" t="str">
        <f>IF(K654&gt;0,K654*0.0625,IF(L654&gt;0,L654*2.204623,))</f>
        <v>#REF!</v>
      </c>
      <c r="K654" t="str">
        <f>IF(L654&gt;0,L654*35.273962,IF(J654&gt;0,J654*16,))</f>
        <v>#REF!</v>
      </c>
      <c r="L654" t="str">
        <f>IF(J654&gt;0,J654*0.453592,IF(K654&gt;0,K654*0.02835,))</f>
        <v>#REF!</v>
      </c>
      <c r="O654">
        <f>I654+N654+M654</f>
        <v>0</v>
      </c>
      <c r="P654">
        <f>O654*C$3</f>
        <v>0</v>
      </c>
      <c r="Q654" t="str">
        <f>ROUNDUP(HLOOKUP(IF(CEILING(L654,0.5)&lt;1,1,CEILING(L654,0.5)),'배송비 조회'!A$32:AY$36,2,0),-2)</f>
        <v>#REF!</v>
      </c>
      <c r="R654">
        <v>0</v>
      </c>
      <c r="S654" t="str">
        <f>ROUND((P654+Q654)*0.6,-2)</f>
        <v>#REF!</v>
      </c>
      <c r="T654" t="str">
        <f>ROUND((P654+Q654)*0.7,-2)</f>
        <v>#REF!</v>
      </c>
      <c r="U654" t="str">
        <f>ROUND(SUM(P654+Q654+R654+S654), -2)</f>
        <v>#REF!</v>
      </c>
      <c r="V654" t="str">
        <f>ROUND(P654+Q654+R654+T654, -2)</f>
        <v>#REF!</v>
      </c>
      <c r="W654">
        <v>0</v>
      </c>
      <c r="X654" t="str">
        <f>U654*0.038</f>
        <v>#REF!</v>
      </c>
      <c r="Y654" t="str">
        <f>U654*0.02</f>
        <v>#REF!</v>
      </c>
      <c r="Z654" t="str">
        <f>V654*0.1</f>
        <v>#REF!</v>
      </c>
      <c r="AA654" t="str">
        <f>U654-X654-Y654</f>
        <v>#REF!</v>
      </c>
      <c r="AB654" t="str">
        <f>V654-Z654</f>
        <v>#REF!</v>
      </c>
      <c r="AC654" t="str">
        <f>AA654*0.01</f>
        <v>#REF!</v>
      </c>
      <c r="AD654" t="str">
        <f>AA654-P654-AC654-Q654</f>
        <v>#REF!</v>
      </c>
      <c r="AE654" t="str">
        <f>AB654-P654-Q654-AC654</f>
        <v>#REF!</v>
      </c>
      <c r="AF654" t="str">
        <f>AD654/U654</f>
        <v>#REF!</v>
      </c>
      <c r="AG654" t="str">
        <f>AE654/V654</f>
        <v>#REF!</v>
      </c>
    </row>
    <row r="655">
      <c r="G655" t="str">
        <v>A</v>
      </c>
      <c r="J655" t="str">
        <f>IF(K655&gt;0,K655*0.0625,IF(L655&gt;0,L655*2.204623,))</f>
        <v>#REF!</v>
      </c>
      <c r="K655" t="str">
        <f>IF(L655&gt;0,L655*35.273962,IF(J655&gt;0,J655*16,))</f>
        <v>#REF!</v>
      </c>
      <c r="L655" t="str">
        <f>IF(J655&gt;0,J655*0.453592,IF(K655&gt;0,K655*0.02835,))</f>
        <v>#REF!</v>
      </c>
      <c r="O655">
        <f>I655+N655+M655</f>
        <v>0</v>
      </c>
      <c r="P655">
        <f>O655*C$3</f>
        <v>0</v>
      </c>
      <c r="Q655" t="str">
        <f>ROUNDUP(HLOOKUP(IF(CEILING(L655,0.5)&lt;1,1,CEILING(L655,0.5)),'배송비 조회'!A$32:AY$36,2,0),-2)</f>
        <v>#REF!</v>
      </c>
      <c r="R655">
        <v>0</v>
      </c>
      <c r="S655" t="str">
        <f>ROUND((P655+Q655)*0.6,-2)</f>
        <v>#REF!</v>
      </c>
      <c r="T655" t="str">
        <f>ROUND((P655+Q655)*0.7,-2)</f>
        <v>#REF!</v>
      </c>
      <c r="U655" t="str">
        <f>ROUND(SUM(P655+Q655+R655+S655), -2)</f>
        <v>#REF!</v>
      </c>
      <c r="V655" t="str">
        <f>ROUND(P655+Q655+R655+T655, -2)</f>
        <v>#REF!</v>
      </c>
      <c r="W655">
        <v>0</v>
      </c>
      <c r="X655" t="str">
        <f>U655*0.038</f>
        <v>#REF!</v>
      </c>
      <c r="Y655" t="str">
        <f>U655*0.02</f>
        <v>#REF!</v>
      </c>
      <c r="Z655" t="str">
        <f>V655*0.1</f>
        <v>#REF!</v>
      </c>
      <c r="AA655" t="str">
        <f>U655-X655-Y655</f>
        <v>#REF!</v>
      </c>
      <c r="AB655" t="str">
        <f>V655-Z655</f>
        <v>#REF!</v>
      </c>
      <c r="AC655" t="str">
        <f>AA655*0.01</f>
        <v>#REF!</v>
      </c>
      <c r="AD655" t="str">
        <f>AA655-P655-AC655-Q655</f>
        <v>#REF!</v>
      </c>
      <c r="AE655" t="str">
        <f>AB655-P655-Q655-AC655</f>
        <v>#REF!</v>
      </c>
      <c r="AF655" t="str">
        <f>AD655/U655</f>
        <v>#REF!</v>
      </c>
      <c r="AG655" t="str">
        <f>AE655/V655</f>
        <v>#REF!</v>
      </c>
    </row>
    <row r="656">
      <c r="G656" t="str">
        <v>A</v>
      </c>
      <c r="J656" t="str">
        <f>IF(K656&gt;0,K656*0.0625,IF(L656&gt;0,L656*2.204623,))</f>
        <v>#REF!</v>
      </c>
      <c r="K656" t="str">
        <f>IF(L656&gt;0,L656*35.273962,IF(J656&gt;0,J656*16,))</f>
        <v>#REF!</v>
      </c>
      <c r="L656" t="str">
        <f>IF(J656&gt;0,J656*0.453592,IF(K656&gt;0,K656*0.02835,))</f>
        <v>#REF!</v>
      </c>
      <c r="O656">
        <f>I656+N656+M656</f>
        <v>0</v>
      </c>
      <c r="P656">
        <f>O656*C$3</f>
        <v>0</v>
      </c>
      <c r="Q656" t="str">
        <f>ROUNDUP(HLOOKUP(IF(CEILING(L656,0.5)&lt;1,1,CEILING(L656,0.5)),'배송비 조회'!A$32:AY$36,2,0),-2)</f>
        <v>#REF!</v>
      </c>
      <c r="R656">
        <v>0</v>
      </c>
      <c r="S656" t="str">
        <f>ROUND((P656+Q656)*0.6,-2)</f>
        <v>#REF!</v>
      </c>
      <c r="T656" t="str">
        <f>ROUND((P656+Q656)*0.7,-2)</f>
        <v>#REF!</v>
      </c>
      <c r="U656" t="str">
        <f>ROUND(SUM(P656+Q656+R656+S656), -2)</f>
        <v>#REF!</v>
      </c>
      <c r="V656" t="str">
        <f>ROUND(P656+Q656+R656+T656, -2)</f>
        <v>#REF!</v>
      </c>
      <c r="W656">
        <v>0</v>
      </c>
      <c r="X656" t="str">
        <f>U656*0.038</f>
        <v>#REF!</v>
      </c>
      <c r="Y656" t="str">
        <f>U656*0.02</f>
        <v>#REF!</v>
      </c>
      <c r="Z656" t="str">
        <f>V656*0.1</f>
        <v>#REF!</v>
      </c>
      <c r="AA656" t="str">
        <f>U656-X656-Y656</f>
        <v>#REF!</v>
      </c>
      <c r="AB656" t="str">
        <f>V656-Z656</f>
        <v>#REF!</v>
      </c>
      <c r="AC656" t="str">
        <f>AA656*0.01</f>
        <v>#REF!</v>
      </c>
      <c r="AD656" t="str">
        <f>AA656-P656-AC656-Q656</f>
        <v>#REF!</v>
      </c>
      <c r="AE656" t="str">
        <f>AB656-P656-Q656-AC656</f>
        <v>#REF!</v>
      </c>
      <c r="AF656" t="str">
        <f>AD656/U656</f>
        <v>#REF!</v>
      </c>
      <c r="AG656" t="str">
        <f>AE656/V656</f>
        <v>#REF!</v>
      </c>
    </row>
    <row r="657">
      <c r="G657" t="str">
        <v>A</v>
      </c>
      <c r="J657" t="str">
        <f>IF(K657&gt;0,K657*0.0625,IF(L657&gt;0,L657*2.204623,))</f>
        <v>#REF!</v>
      </c>
      <c r="K657" t="str">
        <f>IF(L657&gt;0,L657*35.273962,IF(J657&gt;0,J657*16,))</f>
        <v>#REF!</v>
      </c>
      <c r="L657" t="str">
        <f>IF(J657&gt;0,J657*0.453592,IF(K657&gt;0,K657*0.02835,))</f>
        <v>#REF!</v>
      </c>
      <c r="O657">
        <f>I657+N657+M657</f>
        <v>0</v>
      </c>
      <c r="P657">
        <f>O657*C$3</f>
        <v>0</v>
      </c>
      <c r="Q657" t="str">
        <f>ROUNDUP(HLOOKUP(IF(CEILING(L657,0.5)&lt;1,1,CEILING(L657,0.5)),'배송비 조회'!A$32:AY$36,2,0),-2)</f>
        <v>#REF!</v>
      </c>
      <c r="R657">
        <v>0</v>
      </c>
      <c r="S657" t="str">
        <f>ROUND((P657+Q657)*0.6,-2)</f>
        <v>#REF!</v>
      </c>
      <c r="T657" t="str">
        <f>ROUND((P657+Q657)*0.7,-2)</f>
        <v>#REF!</v>
      </c>
      <c r="U657" t="str">
        <f>ROUND(SUM(P657+Q657+R657+S657), -2)</f>
        <v>#REF!</v>
      </c>
      <c r="V657" t="str">
        <f>ROUND(P657+Q657+R657+T657, -2)</f>
        <v>#REF!</v>
      </c>
      <c r="W657">
        <v>0</v>
      </c>
      <c r="X657" t="str">
        <f>U657*0.038</f>
        <v>#REF!</v>
      </c>
      <c r="Y657" t="str">
        <f>U657*0.02</f>
        <v>#REF!</v>
      </c>
      <c r="Z657" t="str">
        <f>V657*0.1</f>
        <v>#REF!</v>
      </c>
      <c r="AA657" t="str">
        <f>U657-X657-Y657</f>
        <v>#REF!</v>
      </c>
      <c r="AB657" t="str">
        <f>V657-Z657</f>
        <v>#REF!</v>
      </c>
      <c r="AC657" t="str">
        <f>AA657*0.01</f>
        <v>#REF!</v>
      </c>
      <c r="AD657" t="str">
        <f>AA657-P657-AC657-Q657</f>
        <v>#REF!</v>
      </c>
      <c r="AE657" t="str">
        <f>AB657-P657-Q657-AC657</f>
        <v>#REF!</v>
      </c>
      <c r="AF657" t="str">
        <f>AD657/U657</f>
        <v>#REF!</v>
      </c>
      <c r="AG657" t="str">
        <f>AE657/V657</f>
        <v>#REF!</v>
      </c>
    </row>
    <row r="658">
      <c r="G658" t="str">
        <v>A</v>
      </c>
      <c r="J658" t="str">
        <f>IF(K658&gt;0,K658*0.0625,IF(L658&gt;0,L658*2.204623,))</f>
        <v>#REF!</v>
      </c>
      <c r="K658" t="str">
        <f>IF(L658&gt;0,L658*35.273962,IF(J658&gt;0,J658*16,))</f>
        <v>#REF!</v>
      </c>
      <c r="L658" t="str">
        <f>IF(J658&gt;0,J658*0.453592,IF(K658&gt;0,K658*0.02835,))</f>
        <v>#REF!</v>
      </c>
      <c r="O658">
        <f>I658+N658+M658</f>
        <v>0</v>
      </c>
      <c r="P658">
        <f>O658*C$3</f>
        <v>0</v>
      </c>
      <c r="Q658" t="str">
        <f>ROUNDUP(HLOOKUP(IF(CEILING(L658,0.5)&lt;1,1,CEILING(L658,0.5)),'배송비 조회'!A$32:AY$36,2,0),-2)</f>
        <v>#REF!</v>
      </c>
      <c r="R658">
        <v>0</v>
      </c>
      <c r="S658" t="str">
        <f>ROUND((P658+Q658)*0.6,-2)</f>
        <v>#REF!</v>
      </c>
      <c r="T658" t="str">
        <f>ROUND((P658+Q658)*0.7,-2)</f>
        <v>#REF!</v>
      </c>
      <c r="U658" t="str">
        <f>ROUND(SUM(P658+Q658+R658+S658), -2)</f>
        <v>#REF!</v>
      </c>
      <c r="V658" t="str">
        <f>ROUND(P658+Q658+R658+T658, -2)</f>
        <v>#REF!</v>
      </c>
      <c r="W658">
        <v>0</v>
      </c>
      <c r="X658" t="str">
        <f>U658*0.038</f>
        <v>#REF!</v>
      </c>
      <c r="Y658" t="str">
        <f>U658*0.02</f>
        <v>#REF!</v>
      </c>
      <c r="Z658" t="str">
        <f>V658*0.1</f>
        <v>#REF!</v>
      </c>
      <c r="AA658" t="str">
        <f>U658-X658-Y658</f>
        <v>#REF!</v>
      </c>
      <c r="AB658" t="str">
        <f>V658-Z658</f>
        <v>#REF!</v>
      </c>
      <c r="AC658" t="str">
        <f>AA658*0.01</f>
        <v>#REF!</v>
      </c>
      <c r="AD658" t="str">
        <f>AA658-P658-AC658-Q658</f>
        <v>#REF!</v>
      </c>
      <c r="AE658" t="str">
        <f>AB658-P658-Q658-AC658</f>
        <v>#REF!</v>
      </c>
      <c r="AF658" t="str">
        <f>AD658/U658</f>
        <v>#REF!</v>
      </c>
      <c r="AG658" t="str">
        <f>AE658/V658</f>
        <v>#REF!</v>
      </c>
    </row>
    <row r="659">
      <c r="G659" t="str">
        <v>A</v>
      </c>
      <c r="J659" t="str">
        <f>IF(K659&gt;0,K659*0.0625,IF(L659&gt;0,L659*2.204623,))</f>
        <v>#REF!</v>
      </c>
      <c r="K659" t="str">
        <f>IF(L659&gt;0,L659*35.273962,IF(J659&gt;0,J659*16,))</f>
        <v>#REF!</v>
      </c>
      <c r="L659" t="str">
        <f>IF(J659&gt;0,J659*0.453592,IF(K659&gt;0,K659*0.02835,))</f>
        <v>#REF!</v>
      </c>
      <c r="O659">
        <f>I659+N659+M659</f>
        <v>0</v>
      </c>
      <c r="P659">
        <f>O659*C$3</f>
        <v>0</v>
      </c>
      <c r="Q659" t="str">
        <f>ROUNDUP(HLOOKUP(IF(CEILING(L659,0.5)&lt;1,1,CEILING(L659,0.5)),'배송비 조회'!A$32:AY$36,2,0),-2)</f>
        <v>#REF!</v>
      </c>
      <c r="R659">
        <v>0</v>
      </c>
      <c r="S659" t="str">
        <f>ROUND((P659+Q659)*0.6,-2)</f>
        <v>#REF!</v>
      </c>
      <c r="T659" t="str">
        <f>ROUND((P659+Q659)*0.7,-2)</f>
        <v>#REF!</v>
      </c>
      <c r="U659" t="str">
        <f>ROUND(SUM(P659+Q659+R659+S659), -2)</f>
        <v>#REF!</v>
      </c>
      <c r="V659" t="str">
        <f>ROUND(P659+Q659+R659+T659, -2)</f>
        <v>#REF!</v>
      </c>
      <c r="W659">
        <v>0</v>
      </c>
      <c r="X659" t="str">
        <f>U659*0.038</f>
        <v>#REF!</v>
      </c>
      <c r="Y659" t="str">
        <f>U659*0.02</f>
        <v>#REF!</v>
      </c>
      <c r="Z659" t="str">
        <f>V659*0.1</f>
        <v>#REF!</v>
      </c>
      <c r="AA659" t="str">
        <f>U659-X659-Y659</f>
        <v>#REF!</v>
      </c>
      <c r="AB659" t="str">
        <f>V659-Z659</f>
        <v>#REF!</v>
      </c>
      <c r="AC659" t="str">
        <f>AA659*0.01</f>
        <v>#REF!</v>
      </c>
      <c r="AD659" t="str">
        <f>AA659-P659-AC659-Q659</f>
        <v>#REF!</v>
      </c>
      <c r="AE659" t="str">
        <f>AB659-P659-Q659-AC659</f>
        <v>#REF!</v>
      </c>
      <c r="AF659" t="str">
        <f>AD659/U659</f>
        <v>#REF!</v>
      </c>
      <c r="AG659" t="str">
        <f>AE659/V659</f>
        <v>#REF!</v>
      </c>
    </row>
    <row r="660">
      <c r="G660" t="str">
        <v>A</v>
      </c>
      <c r="J660" t="str">
        <f>IF(K660&gt;0,K660*0.0625,IF(L660&gt;0,L660*2.204623,))</f>
        <v>#REF!</v>
      </c>
      <c r="K660" t="str">
        <f>IF(L660&gt;0,L660*35.273962,IF(J660&gt;0,J660*16,))</f>
        <v>#REF!</v>
      </c>
      <c r="L660" t="str">
        <f>IF(J660&gt;0,J660*0.453592,IF(K660&gt;0,K660*0.02835,))</f>
        <v>#REF!</v>
      </c>
      <c r="O660">
        <f>I660+N660+M660</f>
        <v>0</v>
      </c>
      <c r="P660">
        <f>O660*C$3</f>
        <v>0</v>
      </c>
      <c r="Q660" t="str">
        <f>ROUNDUP(HLOOKUP(IF(CEILING(L660,0.5)&lt;1,1,CEILING(L660,0.5)),'배송비 조회'!A$32:AY$36,2,0),-2)</f>
        <v>#REF!</v>
      </c>
      <c r="R660">
        <v>0</v>
      </c>
      <c r="S660" t="str">
        <f>ROUND((P660+Q660)*0.6,-2)</f>
        <v>#REF!</v>
      </c>
      <c r="T660" t="str">
        <f>ROUND((P660+Q660)*0.7,-2)</f>
        <v>#REF!</v>
      </c>
      <c r="U660" t="str">
        <f>ROUND(SUM(P660+Q660+R660+S660), -2)</f>
        <v>#REF!</v>
      </c>
      <c r="V660" t="str">
        <f>ROUND(P660+Q660+R660+T660, -2)</f>
        <v>#REF!</v>
      </c>
      <c r="W660">
        <v>0</v>
      </c>
      <c r="X660" t="str">
        <f>U660*0.038</f>
        <v>#REF!</v>
      </c>
      <c r="Y660" t="str">
        <f>U660*0.02</f>
        <v>#REF!</v>
      </c>
      <c r="Z660" t="str">
        <f>V660*0.1</f>
        <v>#REF!</v>
      </c>
      <c r="AA660" t="str">
        <f>U660-X660-Y660</f>
        <v>#REF!</v>
      </c>
      <c r="AB660" t="str">
        <f>V660-Z660</f>
        <v>#REF!</v>
      </c>
      <c r="AC660" t="str">
        <f>AA660*0.01</f>
        <v>#REF!</v>
      </c>
      <c r="AD660" t="str">
        <f>AA660-P660-AC660-Q660</f>
        <v>#REF!</v>
      </c>
      <c r="AE660" t="str">
        <f>AB660-P660-Q660-AC660</f>
        <v>#REF!</v>
      </c>
      <c r="AF660" t="str">
        <f>AD660/U660</f>
        <v>#REF!</v>
      </c>
      <c r="AG660" t="str">
        <f>AE660/V660</f>
        <v>#REF!</v>
      </c>
    </row>
    <row r="661">
      <c r="G661" t="str">
        <v>A</v>
      </c>
      <c r="J661" t="str">
        <f>IF(K661&gt;0,K661*0.0625,IF(L661&gt;0,L661*2.204623,))</f>
        <v>#REF!</v>
      </c>
      <c r="K661" t="str">
        <f>IF(L661&gt;0,L661*35.273962,IF(J661&gt;0,J661*16,))</f>
        <v>#REF!</v>
      </c>
      <c r="L661" t="str">
        <f>IF(J661&gt;0,J661*0.453592,IF(K661&gt;0,K661*0.02835,))</f>
        <v>#REF!</v>
      </c>
      <c r="O661">
        <f>I661+N661+M661</f>
        <v>0</v>
      </c>
      <c r="P661">
        <f>O661*C$3</f>
        <v>0</v>
      </c>
      <c r="Q661" t="str">
        <f>ROUNDUP(HLOOKUP(IF(CEILING(L661,0.5)&lt;1,1,CEILING(L661,0.5)),'배송비 조회'!A$32:AY$36,2,0),-2)</f>
        <v>#REF!</v>
      </c>
      <c r="R661">
        <v>0</v>
      </c>
      <c r="S661" t="str">
        <f>ROUND((P661+Q661)*0.6,-2)</f>
        <v>#REF!</v>
      </c>
      <c r="T661" t="str">
        <f>ROUND((P661+Q661)*0.7,-2)</f>
        <v>#REF!</v>
      </c>
      <c r="U661" t="str">
        <f>ROUND(SUM(P661+Q661+R661+S661), -2)</f>
        <v>#REF!</v>
      </c>
      <c r="V661" t="str">
        <f>ROUND(P661+Q661+R661+T661, -2)</f>
        <v>#REF!</v>
      </c>
      <c r="W661">
        <v>0</v>
      </c>
      <c r="X661" t="str">
        <f>U661*0.038</f>
        <v>#REF!</v>
      </c>
      <c r="Y661" t="str">
        <f>U661*0.02</f>
        <v>#REF!</v>
      </c>
      <c r="Z661" t="str">
        <f>V661*0.1</f>
        <v>#REF!</v>
      </c>
      <c r="AA661" t="str">
        <f>U661-X661-Y661</f>
        <v>#REF!</v>
      </c>
      <c r="AB661" t="str">
        <f>V661-Z661</f>
        <v>#REF!</v>
      </c>
      <c r="AC661" t="str">
        <f>AA661*0.01</f>
        <v>#REF!</v>
      </c>
      <c r="AD661" t="str">
        <f>AA661-P661-AC661-Q661</f>
        <v>#REF!</v>
      </c>
      <c r="AE661" t="str">
        <f>AB661-P661-Q661-AC661</f>
        <v>#REF!</v>
      </c>
      <c r="AF661" t="str">
        <f>AD661/U661</f>
        <v>#REF!</v>
      </c>
      <c r="AG661" t="str">
        <f>AE661/V661</f>
        <v>#REF!</v>
      </c>
    </row>
    <row r="662">
      <c r="G662" t="str">
        <v>A</v>
      </c>
      <c r="J662" t="str">
        <f>IF(K662&gt;0,K662*0.0625,IF(L662&gt;0,L662*2.204623,))</f>
        <v>#REF!</v>
      </c>
      <c r="K662" t="str">
        <f>IF(L662&gt;0,L662*35.273962,IF(J662&gt;0,J662*16,))</f>
        <v>#REF!</v>
      </c>
      <c r="L662" t="str">
        <f>IF(J662&gt;0,J662*0.453592,IF(K662&gt;0,K662*0.02835,))</f>
        <v>#REF!</v>
      </c>
      <c r="O662">
        <f>I662+N662+M662</f>
        <v>0</v>
      </c>
      <c r="P662">
        <f>O662*C$3</f>
        <v>0</v>
      </c>
      <c r="Q662" t="str">
        <f>ROUNDUP(HLOOKUP(IF(CEILING(L662,0.5)&lt;1,1,CEILING(L662,0.5)),'배송비 조회'!A$32:AY$36,2,0),-2)</f>
        <v>#REF!</v>
      </c>
      <c r="R662">
        <v>0</v>
      </c>
      <c r="S662" t="str">
        <f>ROUND((P662+Q662)*0.6,-2)</f>
        <v>#REF!</v>
      </c>
      <c r="T662" t="str">
        <f>ROUND((P662+Q662)*0.7,-2)</f>
        <v>#REF!</v>
      </c>
      <c r="U662" t="str">
        <f>ROUND(SUM(P662+Q662+R662+S662), -2)</f>
        <v>#REF!</v>
      </c>
      <c r="V662" t="str">
        <f>ROUND(P662+Q662+R662+T662, -2)</f>
        <v>#REF!</v>
      </c>
      <c r="W662">
        <v>0</v>
      </c>
      <c r="X662" t="str">
        <f>U662*0.038</f>
        <v>#REF!</v>
      </c>
      <c r="Y662" t="str">
        <f>U662*0.02</f>
        <v>#REF!</v>
      </c>
      <c r="Z662" t="str">
        <f>V662*0.1</f>
        <v>#REF!</v>
      </c>
      <c r="AA662" t="str">
        <f>U662-X662-Y662</f>
        <v>#REF!</v>
      </c>
      <c r="AB662" t="str">
        <f>V662-Z662</f>
        <v>#REF!</v>
      </c>
      <c r="AC662" t="str">
        <f>AA662*0.01</f>
        <v>#REF!</v>
      </c>
      <c r="AD662" t="str">
        <f>AA662-P662-AC662-Q662</f>
        <v>#REF!</v>
      </c>
      <c r="AE662" t="str">
        <f>AB662-P662-Q662-AC662</f>
        <v>#REF!</v>
      </c>
      <c r="AF662" t="str">
        <f>AD662/U662</f>
        <v>#REF!</v>
      </c>
      <c r="AG662" t="str">
        <f>AE662/V662</f>
        <v>#REF!</v>
      </c>
    </row>
    <row r="663">
      <c r="G663" t="str">
        <v>A</v>
      </c>
      <c r="J663" t="str">
        <f>IF(K663&gt;0,K663*0.0625,IF(L663&gt;0,L663*2.204623,))</f>
        <v>#REF!</v>
      </c>
      <c r="K663" t="str">
        <f>IF(L663&gt;0,L663*35.273962,IF(J663&gt;0,J663*16,))</f>
        <v>#REF!</v>
      </c>
      <c r="L663" t="str">
        <f>IF(J663&gt;0,J663*0.453592,IF(K663&gt;0,K663*0.02835,))</f>
        <v>#REF!</v>
      </c>
      <c r="O663">
        <f>I663+N663+M663</f>
        <v>0</v>
      </c>
      <c r="P663">
        <f>O663*C$3</f>
        <v>0</v>
      </c>
      <c r="Q663" t="str">
        <f>ROUNDUP(HLOOKUP(IF(CEILING(L663,0.5)&lt;1,1,CEILING(L663,0.5)),'배송비 조회'!A$32:AY$36,2,0),-2)</f>
        <v>#REF!</v>
      </c>
      <c r="R663">
        <v>0</v>
      </c>
      <c r="S663" t="str">
        <f>ROUND((P663+Q663)*0.6,-2)</f>
        <v>#REF!</v>
      </c>
      <c r="T663" t="str">
        <f>ROUND((P663+Q663)*0.7,-2)</f>
        <v>#REF!</v>
      </c>
      <c r="U663" t="str">
        <f>ROUND(SUM(P663+Q663+R663+S663), -2)</f>
        <v>#REF!</v>
      </c>
      <c r="V663" t="str">
        <f>ROUND(P663+Q663+R663+T663, -2)</f>
        <v>#REF!</v>
      </c>
      <c r="W663">
        <v>0</v>
      </c>
      <c r="X663" t="str">
        <f>U663*0.038</f>
        <v>#REF!</v>
      </c>
      <c r="Y663" t="str">
        <f>U663*0.02</f>
        <v>#REF!</v>
      </c>
      <c r="Z663" t="str">
        <f>V663*0.1</f>
        <v>#REF!</v>
      </c>
      <c r="AA663" t="str">
        <f>U663-X663-Y663</f>
        <v>#REF!</v>
      </c>
      <c r="AB663" t="str">
        <f>V663-Z663</f>
        <v>#REF!</v>
      </c>
      <c r="AC663" t="str">
        <f>AA663*0.01</f>
        <v>#REF!</v>
      </c>
      <c r="AD663" t="str">
        <f>AA663-P663-AC663-Q663</f>
        <v>#REF!</v>
      </c>
      <c r="AE663" t="str">
        <f>AB663-P663-Q663-AC663</f>
        <v>#REF!</v>
      </c>
      <c r="AF663" t="str">
        <f>AD663/U663</f>
        <v>#REF!</v>
      </c>
      <c r="AG663" t="str">
        <f>AE663/V663</f>
        <v>#REF!</v>
      </c>
    </row>
    <row r="664">
      <c r="G664" t="str">
        <v>A</v>
      </c>
      <c r="J664" t="str">
        <f>IF(K664&gt;0,K664*0.0625,IF(L664&gt;0,L664*2.204623,))</f>
        <v>#REF!</v>
      </c>
      <c r="K664" t="str">
        <f>IF(L664&gt;0,L664*35.273962,IF(J664&gt;0,J664*16,))</f>
        <v>#REF!</v>
      </c>
      <c r="L664" t="str">
        <f>IF(J664&gt;0,J664*0.453592,IF(K664&gt;0,K664*0.02835,))</f>
        <v>#REF!</v>
      </c>
      <c r="O664">
        <f>I664+N664+M664</f>
        <v>0</v>
      </c>
      <c r="P664">
        <f>O664*C$3</f>
        <v>0</v>
      </c>
      <c r="Q664" t="str">
        <f>ROUNDUP(HLOOKUP(IF(CEILING(L664,0.5)&lt;1,1,CEILING(L664,0.5)),'배송비 조회'!A$32:AY$36,2,0),-2)</f>
        <v>#REF!</v>
      </c>
      <c r="R664">
        <v>0</v>
      </c>
      <c r="S664" t="str">
        <f>ROUND((P664+Q664)*0.6,-2)</f>
        <v>#REF!</v>
      </c>
      <c r="T664" t="str">
        <f>ROUND((P664+Q664)*0.7,-2)</f>
        <v>#REF!</v>
      </c>
      <c r="U664" t="str">
        <f>ROUND(SUM(P664+Q664+R664+S664), -2)</f>
        <v>#REF!</v>
      </c>
      <c r="V664" t="str">
        <f>ROUND(P664+Q664+R664+T664, -2)</f>
        <v>#REF!</v>
      </c>
      <c r="W664">
        <v>0</v>
      </c>
      <c r="X664" t="str">
        <f>U664*0.038</f>
        <v>#REF!</v>
      </c>
      <c r="Y664" t="str">
        <f>U664*0.02</f>
        <v>#REF!</v>
      </c>
      <c r="Z664" t="str">
        <f>V664*0.1</f>
        <v>#REF!</v>
      </c>
      <c r="AA664" t="str">
        <f>U664-X664-Y664</f>
        <v>#REF!</v>
      </c>
      <c r="AB664" t="str">
        <f>V664-Z664</f>
        <v>#REF!</v>
      </c>
      <c r="AC664" t="str">
        <f>AA664*0.01</f>
        <v>#REF!</v>
      </c>
      <c r="AD664" t="str">
        <f>AA664-P664-AC664-Q664</f>
        <v>#REF!</v>
      </c>
      <c r="AE664" t="str">
        <f>AB664-P664-Q664-AC664</f>
        <v>#REF!</v>
      </c>
      <c r="AF664" t="str">
        <f>AD664/U664</f>
        <v>#REF!</v>
      </c>
      <c r="AG664" t="str">
        <f>AE664/V664</f>
        <v>#REF!</v>
      </c>
    </row>
    <row r="665">
      <c r="G665" t="str">
        <v>A</v>
      </c>
      <c r="J665" t="str">
        <f>IF(K665&gt;0,K665*0.0625,IF(L665&gt;0,L665*2.204623,))</f>
        <v>#REF!</v>
      </c>
      <c r="K665" t="str">
        <f>IF(L665&gt;0,L665*35.273962,IF(J665&gt;0,J665*16,))</f>
        <v>#REF!</v>
      </c>
      <c r="L665" t="str">
        <f>IF(J665&gt;0,J665*0.453592,IF(K665&gt;0,K665*0.02835,))</f>
        <v>#REF!</v>
      </c>
      <c r="O665">
        <f>I665+N665+M665</f>
        <v>0</v>
      </c>
      <c r="P665">
        <f>O665*C$3</f>
        <v>0</v>
      </c>
      <c r="Q665" t="str">
        <f>ROUNDUP(HLOOKUP(IF(CEILING(L665,0.5)&lt;1,1,CEILING(L665,0.5)),'배송비 조회'!A$32:AY$36,2,0),-2)</f>
        <v>#REF!</v>
      </c>
      <c r="R665">
        <v>0</v>
      </c>
      <c r="S665" t="str">
        <f>ROUND((P665+Q665)*0.6,-2)</f>
        <v>#REF!</v>
      </c>
      <c r="T665" t="str">
        <f>ROUND((P665+Q665)*0.7,-2)</f>
        <v>#REF!</v>
      </c>
      <c r="U665" t="str">
        <f>ROUND(SUM(P665+Q665+R665+S665), -2)</f>
        <v>#REF!</v>
      </c>
      <c r="V665" t="str">
        <f>ROUND(P665+Q665+R665+T665, -2)</f>
        <v>#REF!</v>
      </c>
      <c r="W665">
        <v>0</v>
      </c>
      <c r="X665" t="str">
        <f>U665*0.038</f>
        <v>#REF!</v>
      </c>
      <c r="Y665" t="str">
        <f>U665*0.02</f>
        <v>#REF!</v>
      </c>
      <c r="Z665" t="str">
        <f>V665*0.1</f>
        <v>#REF!</v>
      </c>
      <c r="AA665" t="str">
        <f>U665-X665-Y665</f>
        <v>#REF!</v>
      </c>
      <c r="AB665" t="str">
        <f>V665-Z665</f>
        <v>#REF!</v>
      </c>
      <c r="AC665" t="str">
        <f>AA665*0.01</f>
        <v>#REF!</v>
      </c>
      <c r="AD665" t="str">
        <f>AA665-P665-AC665-Q665</f>
        <v>#REF!</v>
      </c>
      <c r="AE665" t="str">
        <f>AB665-P665-Q665-AC665</f>
        <v>#REF!</v>
      </c>
      <c r="AF665" t="str">
        <f>AD665/U665</f>
        <v>#REF!</v>
      </c>
      <c r="AG665" t="str">
        <f>AE665/V665</f>
        <v>#REF!</v>
      </c>
    </row>
    <row r="666">
      <c r="G666" t="str">
        <v>A</v>
      </c>
      <c r="J666" t="str">
        <f>IF(K666&gt;0,K666*0.0625,IF(L666&gt;0,L666*2.204623,))</f>
        <v>#REF!</v>
      </c>
      <c r="K666" t="str">
        <f>IF(L666&gt;0,L666*35.273962,IF(J666&gt;0,J666*16,))</f>
        <v>#REF!</v>
      </c>
      <c r="L666" t="str">
        <f>IF(J666&gt;0,J666*0.453592,IF(K666&gt;0,K666*0.02835,))</f>
        <v>#REF!</v>
      </c>
      <c r="O666">
        <f>I666+N666+M666</f>
        <v>0</v>
      </c>
      <c r="P666">
        <f>O666*C$3</f>
        <v>0</v>
      </c>
      <c r="Q666" t="str">
        <f>ROUNDUP(HLOOKUP(IF(CEILING(L666,0.5)&lt;1,1,CEILING(L666,0.5)),'배송비 조회'!A$32:AY$36,2,0),-2)</f>
        <v>#REF!</v>
      </c>
      <c r="R666">
        <v>0</v>
      </c>
      <c r="S666" t="str">
        <f>ROUND((P666+Q666)*0.6,-2)</f>
        <v>#REF!</v>
      </c>
      <c r="T666" t="str">
        <f>ROUND((P666+Q666)*0.7,-2)</f>
        <v>#REF!</v>
      </c>
      <c r="U666" t="str">
        <f>ROUND(SUM(P666+Q666+R666+S666), -2)</f>
        <v>#REF!</v>
      </c>
      <c r="V666" t="str">
        <f>ROUND(P666+Q666+R666+T666, -2)</f>
        <v>#REF!</v>
      </c>
      <c r="W666">
        <v>0</v>
      </c>
      <c r="X666" t="str">
        <f>U666*0.038</f>
        <v>#REF!</v>
      </c>
      <c r="Y666" t="str">
        <f>U666*0.02</f>
        <v>#REF!</v>
      </c>
      <c r="Z666" t="str">
        <f>V666*0.1</f>
        <v>#REF!</v>
      </c>
      <c r="AA666" t="str">
        <f>U666-X666-Y666</f>
        <v>#REF!</v>
      </c>
      <c r="AB666" t="str">
        <f>V666-Z666</f>
        <v>#REF!</v>
      </c>
      <c r="AC666" t="str">
        <f>AA666*0.01</f>
        <v>#REF!</v>
      </c>
      <c r="AD666" t="str">
        <f>AA666-P666-AC666-Q666</f>
        <v>#REF!</v>
      </c>
      <c r="AE666" t="str">
        <f>AB666-P666-Q666-AC666</f>
        <v>#REF!</v>
      </c>
      <c r="AF666" t="str">
        <f>AD666/U666</f>
        <v>#REF!</v>
      </c>
      <c r="AG666" t="str">
        <f>AE666/V666</f>
        <v>#REF!</v>
      </c>
    </row>
    <row r="667">
      <c r="G667" t="str">
        <v>A</v>
      </c>
      <c r="J667" t="str">
        <f>IF(K667&gt;0,K667*0.0625,IF(L667&gt;0,L667*2.204623,))</f>
        <v>#REF!</v>
      </c>
      <c r="K667" t="str">
        <f>IF(L667&gt;0,L667*35.273962,IF(J667&gt;0,J667*16,))</f>
        <v>#REF!</v>
      </c>
      <c r="L667" t="str">
        <f>IF(J667&gt;0,J667*0.453592,IF(K667&gt;0,K667*0.02835,))</f>
        <v>#REF!</v>
      </c>
      <c r="O667">
        <f>I667+N667+M667</f>
        <v>0</v>
      </c>
      <c r="P667">
        <f>O667*C$3</f>
        <v>0</v>
      </c>
      <c r="Q667" t="str">
        <f>ROUNDUP(HLOOKUP(IF(CEILING(L667,0.5)&lt;1,1,CEILING(L667,0.5)),'배송비 조회'!A$32:AY$36,2,0),-2)</f>
        <v>#REF!</v>
      </c>
      <c r="R667">
        <v>0</v>
      </c>
      <c r="S667" t="str">
        <f>ROUND((P667+Q667)*0.6,-2)</f>
        <v>#REF!</v>
      </c>
      <c r="T667" t="str">
        <f>ROUND((P667+Q667)*0.7,-2)</f>
        <v>#REF!</v>
      </c>
      <c r="U667" t="str">
        <f>ROUND(SUM(P667+Q667+R667+S667), -2)</f>
        <v>#REF!</v>
      </c>
      <c r="V667" t="str">
        <f>ROUND(P667+Q667+R667+T667, -2)</f>
        <v>#REF!</v>
      </c>
      <c r="W667">
        <v>0</v>
      </c>
      <c r="X667" t="str">
        <f>U667*0.038</f>
        <v>#REF!</v>
      </c>
      <c r="Y667" t="str">
        <f>U667*0.02</f>
        <v>#REF!</v>
      </c>
      <c r="Z667" t="str">
        <f>V667*0.1</f>
        <v>#REF!</v>
      </c>
      <c r="AA667" t="str">
        <f>U667-X667-Y667</f>
        <v>#REF!</v>
      </c>
      <c r="AB667" t="str">
        <f>V667-Z667</f>
        <v>#REF!</v>
      </c>
      <c r="AC667" t="str">
        <f>AA667*0.01</f>
        <v>#REF!</v>
      </c>
      <c r="AD667" t="str">
        <f>AA667-P667-AC667-Q667</f>
        <v>#REF!</v>
      </c>
      <c r="AE667" t="str">
        <f>AB667-P667-Q667-AC667</f>
        <v>#REF!</v>
      </c>
      <c r="AF667" t="str">
        <f>AD667/U667</f>
        <v>#REF!</v>
      </c>
      <c r="AG667" t="str">
        <f>AE667/V667</f>
        <v>#REF!</v>
      </c>
    </row>
    <row r="668">
      <c r="G668" t="str">
        <v>A</v>
      </c>
      <c r="J668" t="str">
        <f>IF(K668&gt;0,K668*0.0625,IF(L668&gt;0,L668*2.204623,))</f>
        <v>#REF!</v>
      </c>
      <c r="K668" t="str">
        <f>IF(L668&gt;0,L668*35.273962,IF(J668&gt;0,J668*16,))</f>
        <v>#REF!</v>
      </c>
      <c r="L668" t="str">
        <f>IF(J668&gt;0,J668*0.453592,IF(K668&gt;0,K668*0.02835,))</f>
        <v>#REF!</v>
      </c>
      <c r="O668">
        <f>I668+N668+M668</f>
        <v>0</v>
      </c>
      <c r="P668">
        <f>O668*C$3</f>
        <v>0</v>
      </c>
      <c r="Q668" t="str">
        <f>ROUNDUP(HLOOKUP(IF(CEILING(L668,0.5)&lt;1,1,CEILING(L668,0.5)),'배송비 조회'!A$32:AY$36,2,0),-2)</f>
        <v>#REF!</v>
      </c>
      <c r="R668">
        <v>0</v>
      </c>
      <c r="S668" t="str">
        <f>ROUND((P668+Q668)*0.6,-2)</f>
        <v>#REF!</v>
      </c>
      <c r="T668" t="str">
        <f>ROUND((P668+Q668)*0.7,-2)</f>
        <v>#REF!</v>
      </c>
      <c r="U668" t="str">
        <f>ROUND(SUM(P668+Q668+R668+S668), -2)</f>
        <v>#REF!</v>
      </c>
      <c r="V668" t="str">
        <f>ROUND(P668+Q668+R668+T668, -2)</f>
        <v>#REF!</v>
      </c>
      <c r="W668">
        <v>0</v>
      </c>
      <c r="X668" t="str">
        <f>U668*0.038</f>
        <v>#REF!</v>
      </c>
      <c r="Y668" t="str">
        <f>U668*0.02</f>
        <v>#REF!</v>
      </c>
      <c r="Z668" t="str">
        <f>V668*0.1</f>
        <v>#REF!</v>
      </c>
      <c r="AA668" t="str">
        <f>U668-X668-Y668</f>
        <v>#REF!</v>
      </c>
      <c r="AB668" t="str">
        <f>V668-Z668</f>
        <v>#REF!</v>
      </c>
      <c r="AC668" t="str">
        <f>AA668*0.01</f>
        <v>#REF!</v>
      </c>
      <c r="AD668" t="str">
        <f>AA668-P668-AC668-Q668</f>
        <v>#REF!</v>
      </c>
      <c r="AE668" t="str">
        <f>AB668-P668-Q668-AC668</f>
        <v>#REF!</v>
      </c>
      <c r="AF668" t="str">
        <f>AD668/U668</f>
        <v>#REF!</v>
      </c>
      <c r="AG668" t="str">
        <f>AE668/V668</f>
        <v>#REF!</v>
      </c>
    </row>
    <row r="669">
      <c r="G669" t="str">
        <v>A</v>
      </c>
      <c r="J669" t="str">
        <f>IF(K669&gt;0,K669*0.0625,IF(L669&gt;0,L669*2.204623,))</f>
        <v>#REF!</v>
      </c>
      <c r="K669" t="str">
        <f>IF(L669&gt;0,L669*35.273962,IF(J669&gt;0,J669*16,))</f>
        <v>#REF!</v>
      </c>
      <c r="L669" t="str">
        <f>IF(J669&gt;0,J669*0.453592,IF(K669&gt;0,K669*0.02835,))</f>
        <v>#REF!</v>
      </c>
      <c r="O669">
        <f>I669+N669+M669</f>
        <v>0</v>
      </c>
      <c r="P669">
        <f>O669*C$3</f>
        <v>0</v>
      </c>
      <c r="Q669" t="str">
        <f>ROUNDUP(HLOOKUP(IF(CEILING(L669,0.5)&lt;1,1,CEILING(L669,0.5)),'배송비 조회'!A$32:AY$36,2,0),-2)</f>
        <v>#REF!</v>
      </c>
      <c r="R669">
        <v>0</v>
      </c>
      <c r="S669" t="str">
        <f>ROUND((P669+Q669)*0.6,-2)</f>
        <v>#REF!</v>
      </c>
      <c r="T669" t="str">
        <f>ROUND((P669+Q669)*0.7,-2)</f>
        <v>#REF!</v>
      </c>
      <c r="U669" t="str">
        <f>ROUND(SUM(P669+Q669+R669+S669), -2)</f>
        <v>#REF!</v>
      </c>
      <c r="V669" t="str">
        <f>ROUND(P669+Q669+R669+T669, -2)</f>
        <v>#REF!</v>
      </c>
      <c r="W669">
        <v>0</v>
      </c>
      <c r="X669" t="str">
        <f>U669*0.038</f>
        <v>#REF!</v>
      </c>
      <c r="Y669" t="str">
        <f>U669*0.02</f>
        <v>#REF!</v>
      </c>
      <c r="Z669" t="str">
        <f>V669*0.1</f>
        <v>#REF!</v>
      </c>
      <c r="AA669" t="str">
        <f>U669-X669-Y669</f>
        <v>#REF!</v>
      </c>
      <c r="AB669" t="str">
        <f>V669-Z669</f>
        <v>#REF!</v>
      </c>
      <c r="AC669" t="str">
        <f>AA669*0.01</f>
        <v>#REF!</v>
      </c>
      <c r="AD669" t="str">
        <f>AA669-P669-AC669-Q669</f>
        <v>#REF!</v>
      </c>
      <c r="AE669" t="str">
        <f>AB669-P669-Q669-AC669</f>
        <v>#REF!</v>
      </c>
      <c r="AF669" t="str">
        <f>AD669/U669</f>
        <v>#REF!</v>
      </c>
      <c r="AG669" t="str">
        <f>AE669/V669</f>
        <v>#REF!</v>
      </c>
    </row>
    <row r="670">
      <c r="G670" t="str">
        <v>A</v>
      </c>
      <c r="J670" t="str">
        <f>IF(K670&gt;0,K670*0.0625,IF(L670&gt;0,L670*2.204623,))</f>
        <v>#REF!</v>
      </c>
      <c r="K670" t="str">
        <f>IF(L670&gt;0,L670*35.273962,IF(J670&gt;0,J670*16,))</f>
        <v>#REF!</v>
      </c>
      <c r="L670" t="str">
        <f>IF(J670&gt;0,J670*0.453592,IF(K670&gt;0,K670*0.02835,))</f>
        <v>#REF!</v>
      </c>
      <c r="O670">
        <f>I670+N670+M670</f>
        <v>0</v>
      </c>
      <c r="P670">
        <f>O670*C$3</f>
        <v>0</v>
      </c>
      <c r="Q670" t="str">
        <f>ROUNDUP(HLOOKUP(IF(CEILING(L670,0.5)&lt;1,1,CEILING(L670,0.5)),'배송비 조회'!A$32:AY$36,2,0),-2)</f>
        <v>#REF!</v>
      </c>
      <c r="R670">
        <v>0</v>
      </c>
      <c r="S670" t="str">
        <f>ROUND((P670+Q670)*0.6,-2)</f>
        <v>#REF!</v>
      </c>
      <c r="T670" t="str">
        <f>ROUND((P670+Q670)*0.7,-2)</f>
        <v>#REF!</v>
      </c>
      <c r="U670" t="str">
        <f>ROUND(SUM(P670+Q670+R670+S670), -2)</f>
        <v>#REF!</v>
      </c>
      <c r="V670" t="str">
        <f>ROUND(P670+Q670+R670+T670, -2)</f>
        <v>#REF!</v>
      </c>
      <c r="W670">
        <v>0</v>
      </c>
      <c r="X670" t="str">
        <f>U670*0.038</f>
        <v>#REF!</v>
      </c>
      <c r="Y670" t="str">
        <f>U670*0.02</f>
        <v>#REF!</v>
      </c>
      <c r="Z670" t="str">
        <f>V670*0.1</f>
        <v>#REF!</v>
      </c>
      <c r="AA670" t="str">
        <f>U670-X670-Y670</f>
        <v>#REF!</v>
      </c>
      <c r="AB670" t="str">
        <f>V670-Z670</f>
        <v>#REF!</v>
      </c>
      <c r="AC670" t="str">
        <f>AA670*0.01</f>
        <v>#REF!</v>
      </c>
      <c r="AD670" t="str">
        <f>AA670-P670-AC670-Q670</f>
        <v>#REF!</v>
      </c>
      <c r="AE670" t="str">
        <f>AB670-P670-Q670-AC670</f>
        <v>#REF!</v>
      </c>
      <c r="AF670" t="str">
        <f>AD670/U670</f>
        <v>#REF!</v>
      </c>
      <c r="AG670" t="str">
        <f>AE670/V670</f>
        <v>#REF!</v>
      </c>
    </row>
    <row r="671">
      <c r="G671" t="str">
        <v>A</v>
      </c>
      <c r="J671" t="str">
        <f>IF(K671&gt;0,K671*0.0625,IF(L671&gt;0,L671*2.204623,))</f>
        <v>#REF!</v>
      </c>
      <c r="K671" t="str">
        <f>IF(L671&gt;0,L671*35.273962,IF(J671&gt;0,J671*16,))</f>
        <v>#REF!</v>
      </c>
      <c r="L671" t="str">
        <f>IF(J671&gt;0,J671*0.453592,IF(K671&gt;0,K671*0.02835,))</f>
        <v>#REF!</v>
      </c>
      <c r="O671">
        <f>I671+N671+M671</f>
        <v>0</v>
      </c>
      <c r="P671">
        <f>O671*C$3</f>
        <v>0</v>
      </c>
      <c r="Q671" t="str">
        <f>ROUNDUP(HLOOKUP(IF(CEILING(L671,0.5)&lt;1,1,CEILING(L671,0.5)),'배송비 조회'!A$32:AY$36,2,0),-2)</f>
        <v>#REF!</v>
      </c>
      <c r="R671">
        <v>0</v>
      </c>
      <c r="S671" t="str">
        <f>ROUND((P671+Q671)*0.6,-2)</f>
        <v>#REF!</v>
      </c>
      <c r="T671" t="str">
        <f>ROUND((P671+Q671)*0.7,-2)</f>
        <v>#REF!</v>
      </c>
      <c r="U671" t="str">
        <f>ROUND(SUM(P671+Q671+R671+S671), -2)</f>
        <v>#REF!</v>
      </c>
      <c r="V671" t="str">
        <f>ROUND(P671+Q671+R671+T671, -2)</f>
        <v>#REF!</v>
      </c>
      <c r="W671">
        <v>0</v>
      </c>
      <c r="X671" t="str">
        <f>U671*0.038</f>
        <v>#REF!</v>
      </c>
      <c r="Y671" t="str">
        <f>U671*0.02</f>
        <v>#REF!</v>
      </c>
      <c r="Z671" t="str">
        <f>V671*0.1</f>
        <v>#REF!</v>
      </c>
      <c r="AA671" t="str">
        <f>U671-X671-Y671</f>
        <v>#REF!</v>
      </c>
      <c r="AB671" t="str">
        <f>V671-Z671</f>
        <v>#REF!</v>
      </c>
      <c r="AC671" t="str">
        <f>AA671*0.01</f>
        <v>#REF!</v>
      </c>
      <c r="AD671" t="str">
        <f>AA671-P671-AC671-Q671</f>
        <v>#REF!</v>
      </c>
      <c r="AE671" t="str">
        <f>AB671-P671-Q671-AC671</f>
        <v>#REF!</v>
      </c>
      <c r="AF671" t="str">
        <f>AD671/U671</f>
        <v>#REF!</v>
      </c>
      <c r="AG671" t="str">
        <f>AE671/V671</f>
        <v>#REF!</v>
      </c>
    </row>
    <row r="672">
      <c r="G672" t="str">
        <v>A</v>
      </c>
      <c r="J672" t="str">
        <f>IF(K672&gt;0,K672*0.0625,IF(L672&gt;0,L672*2.204623,))</f>
        <v>#REF!</v>
      </c>
      <c r="K672" t="str">
        <f>IF(L672&gt;0,L672*35.273962,IF(J672&gt;0,J672*16,))</f>
        <v>#REF!</v>
      </c>
      <c r="L672" t="str">
        <f>IF(J672&gt;0,J672*0.453592,IF(K672&gt;0,K672*0.02835,))</f>
        <v>#REF!</v>
      </c>
      <c r="O672">
        <f>I672+N672+M672</f>
        <v>0</v>
      </c>
      <c r="P672">
        <f>O672*C$3</f>
        <v>0</v>
      </c>
      <c r="Q672" t="str">
        <f>ROUNDUP(HLOOKUP(IF(CEILING(L672,0.5)&lt;1,1,CEILING(L672,0.5)),'배송비 조회'!A$32:AY$36,2,0),-2)</f>
        <v>#REF!</v>
      </c>
      <c r="R672">
        <v>0</v>
      </c>
      <c r="S672" t="str">
        <f>ROUND((P672+Q672)*0.6,-2)</f>
        <v>#REF!</v>
      </c>
      <c r="T672" t="str">
        <f>ROUND((P672+Q672)*0.7,-2)</f>
        <v>#REF!</v>
      </c>
      <c r="U672" t="str">
        <f>ROUND(SUM(P672+Q672+R672+S672), -2)</f>
        <v>#REF!</v>
      </c>
      <c r="V672" t="str">
        <f>ROUND(P672+Q672+R672+T672, -2)</f>
        <v>#REF!</v>
      </c>
      <c r="W672">
        <v>0</v>
      </c>
      <c r="X672" t="str">
        <f>U672*0.038</f>
        <v>#REF!</v>
      </c>
      <c r="Y672" t="str">
        <f>U672*0.02</f>
        <v>#REF!</v>
      </c>
      <c r="Z672" t="str">
        <f>V672*0.1</f>
        <v>#REF!</v>
      </c>
      <c r="AA672" t="str">
        <f>U672-X672-Y672</f>
        <v>#REF!</v>
      </c>
      <c r="AB672" t="str">
        <f>V672-Z672</f>
        <v>#REF!</v>
      </c>
      <c r="AC672" t="str">
        <f>AA672*0.01</f>
        <v>#REF!</v>
      </c>
      <c r="AD672" t="str">
        <f>AA672-P672-AC672-Q672</f>
        <v>#REF!</v>
      </c>
      <c r="AE672" t="str">
        <f>AB672-P672-Q672-AC672</f>
        <v>#REF!</v>
      </c>
      <c r="AF672" t="str">
        <f>AD672/U672</f>
        <v>#REF!</v>
      </c>
      <c r="AG672" t="str">
        <f>AE672/V672</f>
        <v>#REF!</v>
      </c>
    </row>
    <row r="673">
      <c r="G673" t="str">
        <v>A</v>
      </c>
      <c r="J673" t="str">
        <f>IF(K673&gt;0,K673*0.0625,IF(L673&gt;0,L673*2.204623,))</f>
        <v>#REF!</v>
      </c>
      <c r="K673" t="str">
        <f>IF(L673&gt;0,L673*35.273962,IF(J673&gt;0,J673*16,))</f>
        <v>#REF!</v>
      </c>
      <c r="L673" t="str">
        <f>IF(J673&gt;0,J673*0.453592,IF(K673&gt;0,K673*0.02835,))</f>
        <v>#REF!</v>
      </c>
      <c r="O673">
        <f>I673+N673+M673</f>
        <v>0</v>
      </c>
      <c r="P673">
        <f>O673*C$3</f>
        <v>0</v>
      </c>
      <c r="Q673" t="str">
        <f>ROUNDUP(HLOOKUP(IF(CEILING(L673,0.5)&lt;1,1,CEILING(L673,0.5)),'배송비 조회'!A$32:AY$36,2,0),-2)</f>
        <v>#REF!</v>
      </c>
      <c r="R673">
        <v>0</v>
      </c>
      <c r="S673" t="str">
        <f>ROUND((P673+Q673)*0.6,-2)</f>
        <v>#REF!</v>
      </c>
      <c r="T673" t="str">
        <f>ROUND((P673+Q673)*0.7,-2)</f>
        <v>#REF!</v>
      </c>
      <c r="U673" t="str">
        <f>ROUND(SUM(P673+Q673+R673+S673), -2)</f>
        <v>#REF!</v>
      </c>
      <c r="V673" t="str">
        <f>ROUND(P673+Q673+R673+T673, -2)</f>
        <v>#REF!</v>
      </c>
      <c r="W673">
        <v>0</v>
      </c>
      <c r="X673" t="str">
        <f>U673*0.038</f>
        <v>#REF!</v>
      </c>
      <c r="Y673" t="str">
        <f>U673*0.02</f>
        <v>#REF!</v>
      </c>
      <c r="Z673" t="str">
        <f>V673*0.1</f>
        <v>#REF!</v>
      </c>
      <c r="AA673" t="str">
        <f>U673-X673-Y673</f>
        <v>#REF!</v>
      </c>
      <c r="AB673" t="str">
        <f>V673-Z673</f>
        <v>#REF!</v>
      </c>
      <c r="AC673" t="str">
        <f>AA673*0.01</f>
        <v>#REF!</v>
      </c>
      <c r="AD673" t="str">
        <f>AA673-P673-AC673-Q673</f>
        <v>#REF!</v>
      </c>
      <c r="AE673" t="str">
        <f>AB673-P673-Q673-AC673</f>
        <v>#REF!</v>
      </c>
      <c r="AF673" t="str">
        <f>AD673/U673</f>
        <v>#REF!</v>
      </c>
      <c r="AG673" t="str">
        <f>AE673/V673</f>
        <v>#REF!</v>
      </c>
    </row>
    <row r="674">
      <c r="G674" t="str">
        <v>A</v>
      </c>
      <c r="J674" t="str">
        <f>IF(K674&gt;0,K674*0.0625,IF(L674&gt;0,L674*2.204623,))</f>
        <v>#REF!</v>
      </c>
      <c r="K674" t="str">
        <f>IF(L674&gt;0,L674*35.273962,IF(J674&gt;0,J674*16,))</f>
        <v>#REF!</v>
      </c>
      <c r="L674" t="str">
        <f>IF(J674&gt;0,J674*0.453592,IF(K674&gt;0,K674*0.02835,))</f>
        <v>#REF!</v>
      </c>
      <c r="O674">
        <f>I674+N674+M674</f>
        <v>0</v>
      </c>
      <c r="P674">
        <f>O674*C$3</f>
        <v>0</v>
      </c>
      <c r="Q674" t="str">
        <f>ROUNDUP(HLOOKUP(IF(CEILING(L674,0.5)&lt;1,1,CEILING(L674,0.5)),'배송비 조회'!A$32:AY$36,2,0),-2)</f>
        <v>#REF!</v>
      </c>
      <c r="R674">
        <v>0</v>
      </c>
      <c r="S674" t="str">
        <f>ROUND((P674+Q674)*0.6,-2)</f>
        <v>#REF!</v>
      </c>
      <c r="T674" t="str">
        <f>ROUND((P674+Q674)*0.7,-2)</f>
        <v>#REF!</v>
      </c>
      <c r="U674" t="str">
        <f>ROUND(SUM(P674+Q674+R674+S674), -2)</f>
        <v>#REF!</v>
      </c>
      <c r="V674" t="str">
        <f>ROUND(P674+Q674+R674+T674, -2)</f>
        <v>#REF!</v>
      </c>
      <c r="W674">
        <v>0</v>
      </c>
      <c r="X674" t="str">
        <f>U674*0.038</f>
        <v>#REF!</v>
      </c>
      <c r="Y674" t="str">
        <f>U674*0.02</f>
        <v>#REF!</v>
      </c>
      <c r="Z674" t="str">
        <f>V674*0.1</f>
        <v>#REF!</v>
      </c>
      <c r="AA674" t="str">
        <f>U674-X674-Y674</f>
        <v>#REF!</v>
      </c>
      <c r="AB674" t="str">
        <f>V674-Z674</f>
        <v>#REF!</v>
      </c>
      <c r="AC674" t="str">
        <f>AA674*0.01</f>
        <v>#REF!</v>
      </c>
      <c r="AD674" t="str">
        <f>AA674-P674-AC674-Q674</f>
        <v>#REF!</v>
      </c>
      <c r="AE674" t="str">
        <f>AB674-P674-Q674-AC674</f>
        <v>#REF!</v>
      </c>
      <c r="AF674" t="str">
        <f>AD674/U674</f>
        <v>#REF!</v>
      </c>
      <c r="AG674" t="str">
        <f>AE674/V674</f>
        <v>#REF!</v>
      </c>
    </row>
    <row r="675">
      <c r="G675" t="str">
        <v>A</v>
      </c>
      <c r="J675" t="str">
        <f>IF(K675&gt;0,K675*0.0625,IF(L675&gt;0,L675*2.204623,))</f>
        <v>#REF!</v>
      </c>
      <c r="K675" t="str">
        <f>IF(L675&gt;0,L675*35.273962,IF(J675&gt;0,J675*16,))</f>
        <v>#REF!</v>
      </c>
      <c r="L675" t="str">
        <f>IF(J675&gt;0,J675*0.453592,IF(K675&gt;0,K675*0.02835,))</f>
        <v>#REF!</v>
      </c>
      <c r="O675">
        <f>I675+N675+M675</f>
        <v>0</v>
      </c>
      <c r="P675">
        <f>O675*C$3</f>
        <v>0</v>
      </c>
      <c r="Q675" t="str">
        <f>ROUNDUP(HLOOKUP(IF(CEILING(L675,0.5)&lt;1,1,CEILING(L675,0.5)),'배송비 조회'!A$32:AY$36,2,0),-2)</f>
        <v>#REF!</v>
      </c>
      <c r="R675">
        <v>0</v>
      </c>
      <c r="S675" t="str">
        <f>ROUND((P675+Q675)*0.6,-2)</f>
        <v>#REF!</v>
      </c>
      <c r="T675" t="str">
        <f>ROUND((P675+Q675)*0.7,-2)</f>
        <v>#REF!</v>
      </c>
      <c r="U675" t="str">
        <f>ROUND(SUM(P675+Q675+R675+S675), -2)</f>
        <v>#REF!</v>
      </c>
      <c r="V675" t="str">
        <f>ROUND(P675+Q675+R675+T675, -2)</f>
        <v>#REF!</v>
      </c>
      <c r="W675">
        <v>0</v>
      </c>
      <c r="X675" t="str">
        <f>U675*0.038</f>
        <v>#REF!</v>
      </c>
      <c r="Y675" t="str">
        <f>U675*0.02</f>
        <v>#REF!</v>
      </c>
      <c r="Z675" t="str">
        <f>V675*0.1</f>
        <v>#REF!</v>
      </c>
      <c r="AA675" t="str">
        <f>U675-X675-Y675</f>
        <v>#REF!</v>
      </c>
      <c r="AB675" t="str">
        <f>V675-Z675</f>
        <v>#REF!</v>
      </c>
      <c r="AC675" t="str">
        <f>AA675*0.01</f>
        <v>#REF!</v>
      </c>
      <c r="AD675" t="str">
        <f>AA675-P675-AC675-Q675</f>
        <v>#REF!</v>
      </c>
      <c r="AE675" t="str">
        <f>AB675-P675-Q675-AC675</f>
        <v>#REF!</v>
      </c>
      <c r="AF675" t="str">
        <f>AD675/U675</f>
        <v>#REF!</v>
      </c>
      <c r="AG675" t="str">
        <f>AE675/V675</f>
        <v>#REF!</v>
      </c>
    </row>
    <row r="676">
      <c r="G676" t="str">
        <v>A</v>
      </c>
      <c r="J676" t="str">
        <f>IF(K676&gt;0,K676*0.0625,IF(L676&gt;0,L676*2.204623,))</f>
        <v>#REF!</v>
      </c>
      <c r="K676" t="str">
        <f>IF(L676&gt;0,L676*35.273962,IF(J676&gt;0,J676*16,))</f>
        <v>#REF!</v>
      </c>
      <c r="L676" t="str">
        <f>IF(J676&gt;0,J676*0.453592,IF(K676&gt;0,K676*0.02835,))</f>
        <v>#REF!</v>
      </c>
      <c r="O676">
        <f>I676+N676+M676</f>
        <v>0</v>
      </c>
      <c r="P676">
        <f>O676*C$3</f>
        <v>0</v>
      </c>
      <c r="Q676" t="str">
        <f>ROUNDUP(HLOOKUP(IF(CEILING(L676,0.5)&lt;1,1,CEILING(L676,0.5)),'배송비 조회'!A$32:AY$36,2,0),-2)</f>
        <v>#REF!</v>
      </c>
      <c r="R676">
        <v>0</v>
      </c>
      <c r="S676" t="str">
        <f>ROUND((P676+Q676)*0.6,-2)</f>
        <v>#REF!</v>
      </c>
      <c r="T676" t="str">
        <f>ROUND((P676+Q676)*0.7,-2)</f>
        <v>#REF!</v>
      </c>
      <c r="U676" t="str">
        <f>ROUND(SUM(P676+Q676+R676+S676), -2)</f>
        <v>#REF!</v>
      </c>
      <c r="V676" t="str">
        <f>ROUND(P676+Q676+R676+T676, -2)</f>
        <v>#REF!</v>
      </c>
      <c r="W676">
        <v>0</v>
      </c>
      <c r="X676" t="str">
        <f>U676*0.038</f>
        <v>#REF!</v>
      </c>
      <c r="Y676" t="str">
        <f>U676*0.02</f>
        <v>#REF!</v>
      </c>
      <c r="Z676" t="str">
        <f>V676*0.1</f>
        <v>#REF!</v>
      </c>
      <c r="AA676" t="str">
        <f>U676-X676-Y676</f>
        <v>#REF!</v>
      </c>
      <c r="AB676" t="str">
        <f>V676-Z676</f>
        <v>#REF!</v>
      </c>
      <c r="AC676" t="str">
        <f>AA676*0.01</f>
        <v>#REF!</v>
      </c>
      <c r="AD676" t="str">
        <f>AA676-P676-AC676-Q676</f>
        <v>#REF!</v>
      </c>
      <c r="AE676" t="str">
        <f>AB676-P676-Q676-AC676</f>
        <v>#REF!</v>
      </c>
      <c r="AF676" t="str">
        <f>AD676/U676</f>
        <v>#REF!</v>
      </c>
      <c r="AG676" t="str">
        <f>AE676/V676</f>
        <v>#REF!</v>
      </c>
    </row>
    <row r="677">
      <c r="G677" t="str">
        <v>A</v>
      </c>
      <c r="J677" t="str">
        <f>IF(K677&gt;0,K677*0.0625,IF(L677&gt;0,L677*2.204623,))</f>
        <v>#REF!</v>
      </c>
      <c r="K677" t="str">
        <f>IF(L677&gt;0,L677*35.273962,IF(J677&gt;0,J677*16,))</f>
        <v>#REF!</v>
      </c>
      <c r="L677" t="str">
        <f>IF(J677&gt;0,J677*0.453592,IF(K677&gt;0,K677*0.02835,))</f>
        <v>#REF!</v>
      </c>
      <c r="O677">
        <f>I677+N677+M677</f>
        <v>0</v>
      </c>
      <c r="P677">
        <f>O677*C$3</f>
        <v>0</v>
      </c>
      <c r="Q677" t="str">
        <f>ROUNDUP(HLOOKUP(IF(CEILING(L677,0.5)&lt;1,1,CEILING(L677,0.5)),'배송비 조회'!A$32:AY$36,2,0),-2)</f>
        <v>#REF!</v>
      </c>
      <c r="R677">
        <v>0</v>
      </c>
      <c r="S677" t="str">
        <f>ROUND((P677+Q677)*0.6,-2)</f>
        <v>#REF!</v>
      </c>
      <c r="T677" t="str">
        <f>ROUND((P677+Q677)*0.7,-2)</f>
        <v>#REF!</v>
      </c>
      <c r="U677" t="str">
        <f>ROUND(SUM(P677+Q677+R677+S677), -2)</f>
        <v>#REF!</v>
      </c>
      <c r="V677" t="str">
        <f>ROUND(P677+Q677+R677+T677, -2)</f>
        <v>#REF!</v>
      </c>
      <c r="W677">
        <v>0</v>
      </c>
      <c r="X677" t="str">
        <f>U677*0.038</f>
        <v>#REF!</v>
      </c>
      <c r="Y677" t="str">
        <f>U677*0.02</f>
        <v>#REF!</v>
      </c>
      <c r="Z677" t="str">
        <f>V677*0.1</f>
        <v>#REF!</v>
      </c>
      <c r="AA677" t="str">
        <f>U677-X677-Y677</f>
        <v>#REF!</v>
      </c>
      <c r="AB677" t="str">
        <f>V677-Z677</f>
        <v>#REF!</v>
      </c>
      <c r="AC677" t="str">
        <f>AA677*0.01</f>
        <v>#REF!</v>
      </c>
      <c r="AD677" t="str">
        <f>AA677-P677-AC677-Q677</f>
        <v>#REF!</v>
      </c>
      <c r="AE677" t="str">
        <f>AB677-P677-Q677-AC677</f>
        <v>#REF!</v>
      </c>
      <c r="AF677" t="str">
        <f>AD677/U677</f>
        <v>#REF!</v>
      </c>
      <c r="AG677" t="str">
        <f>AE677/V677</f>
        <v>#REF!</v>
      </c>
    </row>
    <row r="678">
      <c r="G678" t="str">
        <v>A</v>
      </c>
      <c r="J678" t="str">
        <f>IF(K678&gt;0,K678*0.0625,IF(L678&gt;0,L678*2.204623,))</f>
        <v>#REF!</v>
      </c>
      <c r="K678" t="str">
        <f>IF(L678&gt;0,L678*35.273962,IF(J678&gt;0,J678*16,))</f>
        <v>#REF!</v>
      </c>
      <c r="L678" t="str">
        <f>IF(J678&gt;0,J678*0.453592,IF(K678&gt;0,K678*0.02835,))</f>
        <v>#REF!</v>
      </c>
      <c r="O678">
        <f>I678+N678+M678</f>
        <v>0</v>
      </c>
      <c r="P678">
        <f>O678*C$3</f>
        <v>0</v>
      </c>
      <c r="Q678" t="str">
        <f>ROUNDUP(HLOOKUP(IF(CEILING(L678,0.5)&lt;1,1,CEILING(L678,0.5)),'배송비 조회'!A$32:AY$36,2,0),-2)</f>
        <v>#REF!</v>
      </c>
      <c r="R678">
        <v>0</v>
      </c>
      <c r="S678" t="str">
        <f>ROUND((P678+Q678)*0.6,-2)</f>
        <v>#REF!</v>
      </c>
      <c r="T678" t="str">
        <f>ROUND((P678+Q678)*0.7,-2)</f>
        <v>#REF!</v>
      </c>
      <c r="U678" t="str">
        <f>ROUND(SUM(P678+Q678+R678+S678), -2)</f>
        <v>#REF!</v>
      </c>
      <c r="V678" t="str">
        <f>ROUND(P678+Q678+R678+T678, -2)</f>
        <v>#REF!</v>
      </c>
      <c r="W678">
        <v>0</v>
      </c>
      <c r="X678" t="str">
        <f>U678*0.038</f>
        <v>#REF!</v>
      </c>
      <c r="Y678" t="str">
        <f>U678*0.02</f>
        <v>#REF!</v>
      </c>
      <c r="Z678" t="str">
        <f>V678*0.1</f>
        <v>#REF!</v>
      </c>
      <c r="AA678" t="str">
        <f>U678-X678-Y678</f>
        <v>#REF!</v>
      </c>
      <c r="AB678" t="str">
        <f>V678-Z678</f>
        <v>#REF!</v>
      </c>
      <c r="AC678" t="str">
        <f>AA678*0.01</f>
        <v>#REF!</v>
      </c>
      <c r="AD678" t="str">
        <f>AA678-P678-AC678-Q678</f>
        <v>#REF!</v>
      </c>
      <c r="AE678" t="str">
        <f>AB678-P678-Q678-AC678</f>
        <v>#REF!</v>
      </c>
      <c r="AF678" t="str">
        <f>AD678/U678</f>
        <v>#REF!</v>
      </c>
      <c r="AG678" t="str">
        <f>AE678/V678</f>
        <v>#REF!</v>
      </c>
    </row>
    <row r="679">
      <c r="G679" t="str">
        <v>A</v>
      </c>
      <c r="J679" t="str">
        <f>IF(K679&gt;0,K679*0.0625,IF(L679&gt;0,L679*2.204623,))</f>
        <v>#REF!</v>
      </c>
      <c r="K679" t="str">
        <f>IF(L679&gt;0,L679*35.273962,IF(J679&gt;0,J679*16,))</f>
        <v>#REF!</v>
      </c>
      <c r="L679" t="str">
        <f>IF(J679&gt;0,J679*0.453592,IF(K679&gt;0,K679*0.02835,))</f>
        <v>#REF!</v>
      </c>
      <c r="O679">
        <f>I679+N679+M679</f>
        <v>0</v>
      </c>
      <c r="P679">
        <f>O679*C$3</f>
        <v>0</v>
      </c>
      <c r="Q679" t="str">
        <f>ROUNDUP(HLOOKUP(IF(CEILING(L679,0.5)&lt;1,1,CEILING(L679,0.5)),'배송비 조회'!A$32:AY$36,2,0),-2)</f>
        <v>#REF!</v>
      </c>
      <c r="R679">
        <v>0</v>
      </c>
      <c r="S679" t="str">
        <f>ROUND((P679+Q679)*0.6,-2)</f>
        <v>#REF!</v>
      </c>
      <c r="T679" t="str">
        <f>ROUND((P679+Q679)*0.7,-2)</f>
        <v>#REF!</v>
      </c>
      <c r="U679" t="str">
        <f>ROUND(SUM(P679+Q679+R679+S679), -2)</f>
        <v>#REF!</v>
      </c>
      <c r="V679" t="str">
        <f>ROUND(P679+Q679+R679+T679, -2)</f>
        <v>#REF!</v>
      </c>
      <c r="W679">
        <v>0</v>
      </c>
      <c r="X679" t="str">
        <f>U679*0.038</f>
        <v>#REF!</v>
      </c>
      <c r="Y679" t="str">
        <f>U679*0.02</f>
        <v>#REF!</v>
      </c>
      <c r="Z679" t="str">
        <f>V679*0.1</f>
        <v>#REF!</v>
      </c>
      <c r="AA679" t="str">
        <f>U679-X679-Y679</f>
        <v>#REF!</v>
      </c>
      <c r="AB679" t="str">
        <f>V679-Z679</f>
        <v>#REF!</v>
      </c>
      <c r="AC679" t="str">
        <f>AA679*0.01</f>
        <v>#REF!</v>
      </c>
      <c r="AD679" t="str">
        <f>AA679-P679-AC679-Q679</f>
        <v>#REF!</v>
      </c>
      <c r="AE679" t="str">
        <f>AB679-P679-Q679-AC679</f>
        <v>#REF!</v>
      </c>
      <c r="AF679" t="str">
        <f>AD679/U679</f>
        <v>#REF!</v>
      </c>
      <c r="AG679" t="str">
        <f>AE679/V679</f>
        <v>#REF!</v>
      </c>
    </row>
    <row r="680">
      <c r="G680" t="str">
        <v>A</v>
      </c>
      <c r="J680" t="str">
        <f>IF(K680&gt;0,K680*0.0625,IF(L680&gt;0,L680*2.204623,))</f>
        <v>#REF!</v>
      </c>
      <c r="K680" t="str">
        <f>IF(L680&gt;0,L680*35.273962,IF(J680&gt;0,J680*16,))</f>
        <v>#REF!</v>
      </c>
      <c r="L680" t="str">
        <f>IF(J680&gt;0,J680*0.453592,IF(K680&gt;0,K680*0.02835,))</f>
        <v>#REF!</v>
      </c>
      <c r="O680">
        <f>I680+N680+M680</f>
        <v>0</v>
      </c>
      <c r="P680">
        <f>O680*C$3</f>
        <v>0</v>
      </c>
      <c r="Q680" t="str">
        <f>ROUNDUP(HLOOKUP(IF(CEILING(L680,0.5)&lt;1,1,CEILING(L680,0.5)),'배송비 조회'!A$32:AY$36,2,0),-2)</f>
        <v>#REF!</v>
      </c>
      <c r="R680">
        <v>0</v>
      </c>
      <c r="S680" t="str">
        <f>ROUND((P680+Q680)*0.6,-2)</f>
        <v>#REF!</v>
      </c>
      <c r="T680" t="str">
        <f>ROUND((P680+Q680)*0.7,-2)</f>
        <v>#REF!</v>
      </c>
      <c r="U680" t="str">
        <f>ROUND(SUM(P680+Q680+R680+S680), -2)</f>
        <v>#REF!</v>
      </c>
      <c r="V680" t="str">
        <f>ROUND(P680+Q680+R680+T680, -2)</f>
        <v>#REF!</v>
      </c>
      <c r="W680">
        <v>0</v>
      </c>
      <c r="X680" t="str">
        <f>U680*0.038</f>
        <v>#REF!</v>
      </c>
      <c r="Y680" t="str">
        <f>U680*0.02</f>
        <v>#REF!</v>
      </c>
      <c r="Z680" t="str">
        <f>V680*0.1</f>
        <v>#REF!</v>
      </c>
      <c r="AA680" t="str">
        <f>U680-X680-Y680</f>
        <v>#REF!</v>
      </c>
      <c r="AB680" t="str">
        <f>V680-Z680</f>
        <v>#REF!</v>
      </c>
      <c r="AC680" t="str">
        <f>AA680*0.01</f>
        <v>#REF!</v>
      </c>
      <c r="AD680" t="str">
        <f>AA680-P680-AC680-Q680</f>
        <v>#REF!</v>
      </c>
      <c r="AE680" t="str">
        <f>AB680-P680-Q680-AC680</f>
        <v>#REF!</v>
      </c>
      <c r="AF680" t="str">
        <f>AD680/U680</f>
        <v>#REF!</v>
      </c>
      <c r="AG680" t="str">
        <f>AE680/V680</f>
        <v>#REF!</v>
      </c>
    </row>
    <row r="681">
      <c r="G681" t="str">
        <v>A</v>
      </c>
      <c r="J681" t="str">
        <f>IF(K681&gt;0,K681*0.0625,IF(L681&gt;0,L681*2.204623,))</f>
        <v>#REF!</v>
      </c>
      <c r="K681" t="str">
        <f>IF(L681&gt;0,L681*35.273962,IF(J681&gt;0,J681*16,))</f>
        <v>#REF!</v>
      </c>
      <c r="L681" t="str">
        <f>IF(J681&gt;0,J681*0.453592,IF(K681&gt;0,K681*0.02835,))</f>
        <v>#REF!</v>
      </c>
      <c r="O681">
        <f>I681+N681+M681</f>
        <v>0</v>
      </c>
      <c r="P681">
        <f>O681*C$3</f>
        <v>0</v>
      </c>
      <c r="Q681" t="str">
        <f>ROUNDUP(HLOOKUP(IF(CEILING(L681,0.5)&lt;1,1,CEILING(L681,0.5)),'배송비 조회'!A$32:AY$36,2,0),-2)</f>
        <v>#REF!</v>
      </c>
      <c r="R681">
        <v>0</v>
      </c>
      <c r="S681" t="str">
        <f>ROUND((P681+Q681)*0.6,-2)</f>
        <v>#REF!</v>
      </c>
      <c r="T681" t="str">
        <f>ROUND((P681+Q681)*0.7,-2)</f>
        <v>#REF!</v>
      </c>
      <c r="U681" t="str">
        <f>ROUND(SUM(P681+Q681+R681+S681), -2)</f>
        <v>#REF!</v>
      </c>
      <c r="V681" t="str">
        <f>ROUND(P681+Q681+R681+T681, -2)</f>
        <v>#REF!</v>
      </c>
      <c r="W681">
        <v>0</v>
      </c>
      <c r="X681" t="str">
        <f>U681*0.038</f>
        <v>#REF!</v>
      </c>
      <c r="Y681" t="str">
        <f>U681*0.02</f>
        <v>#REF!</v>
      </c>
      <c r="Z681" t="str">
        <f>V681*0.1</f>
        <v>#REF!</v>
      </c>
      <c r="AA681" t="str">
        <f>U681-X681-Y681</f>
        <v>#REF!</v>
      </c>
      <c r="AB681" t="str">
        <f>V681-Z681</f>
        <v>#REF!</v>
      </c>
      <c r="AC681" t="str">
        <f>AA681*0.01</f>
        <v>#REF!</v>
      </c>
      <c r="AD681" t="str">
        <f>AA681-P681-AC681-Q681</f>
        <v>#REF!</v>
      </c>
      <c r="AE681" t="str">
        <f>AB681-P681-Q681-AC681</f>
        <v>#REF!</v>
      </c>
      <c r="AF681" t="str">
        <f>AD681/U681</f>
        <v>#REF!</v>
      </c>
      <c r="AG681" t="str">
        <f>AE681/V681</f>
        <v>#REF!</v>
      </c>
    </row>
    <row r="682">
      <c r="G682" t="str">
        <v>A</v>
      </c>
      <c r="J682" t="str">
        <f>IF(K682&gt;0,K682*0.0625,IF(L682&gt;0,L682*2.204623,))</f>
        <v>#REF!</v>
      </c>
      <c r="K682" t="str">
        <f>IF(L682&gt;0,L682*35.273962,IF(J682&gt;0,J682*16,))</f>
        <v>#REF!</v>
      </c>
      <c r="L682" t="str">
        <f>IF(J682&gt;0,J682*0.453592,IF(K682&gt;0,K682*0.02835,))</f>
        <v>#REF!</v>
      </c>
      <c r="O682">
        <f>I682+N682+M682</f>
        <v>0</v>
      </c>
      <c r="P682">
        <f>O682*C$3</f>
        <v>0</v>
      </c>
      <c r="Q682" t="str">
        <f>ROUNDUP(HLOOKUP(IF(CEILING(L682,0.5)&lt;1,1,CEILING(L682,0.5)),'배송비 조회'!A$32:AY$36,2,0),-2)</f>
        <v>#REF!</v>
      </c>
      <c r="R682">
        <v>0</v>
      </c>
      <c r="S682" t="str">
        <f>ROUND((P682+Q682)*0.6,-2)</f>
        <v>#REF!</v>
      </c>
      <c r="T682" t="str">
        <f>ROUND((P682+Q682)*0.7,-2)</f>
        <v>#REF!</v>
      </c>
      <c r="U682" t="str">
        <f>ROUND(SUM(P682+Q682+R682+S682), -2)</f>
        <v>#REF!</v>
      </c>
      <c r="V682" t="str">
        <f>ROUND(P682+Q682+R682+T682, -2)</f>
        <v>#REF!</v>
      </c>
      <c r="W682">
        <v>0</v>
      </c>
      <c r="X682" t="str">
        <f>U682*0.038</f>
        <v>#REF!</v>
      </c>
      <c r="Y682" t="str">
        <f>U682*0.02</f>
        <v>#REF!</v>
      </c>
      <c r="Z682" t="str">
        <f>V682*0.1</f>
        <v>#REF!</v>
      </c>
      <c r="AA682" t="str">
        <f>U682-X682-Y682</f>
        <v>#REF!</v>
      </c>
      <c r="AB682" t="str">
        <f>V682-Z682</f>
        <v>#REF!</v>
      </c>
      <c r="AC682" t="str">
        <f>AA682*0.01</f>
        <v>#REF!</v>
      </c>
      <c r="AD682" t="str">
        <f>AA682-P682-AC682-Q682</f>
        <v>#REF!</v>
      </c>
      <c r="AE682" t="str">
        <f>AB682-P682-Q682-AC682</f>
        <v>#REF!</v>
      </c>
      <c r="AF682" t="str">
        <f>AD682/U682</f>
        <v>#REF!</v>
      </c>
      <c r="AG682" t="str">
        <f>AE682/V682</f>
        <v>#REF!</v>
      </c>
    </row>
    <row r="683">
      <c r="G683" t="str">
        <v>A</v>
      </c>
      <c r="J683" t="str">
        <f>IF(K683&gt;0,K683*0.0625,IF(L683&gt;0,L683*2.204623,))</f>
        <v>#REF!</v>
      </c>
      <c r="K683" t="str">
        <f>IF(L683&gt;0,L683*35.273962,IF(J683&gt;0,J683*16,))</f>
        <v>#REF!</v>
      </c>
      <c r="L683" t="str">
        <f>IF(J683&gt;0,J683*0.453592,IF(K683&gt;0,K683*0.02835,))</f>
        <v>#REF!</v>
      </c>
      <c r="O683">
        <f>I683+N683+M683</f>
        <v>0</v>
      </c>
      <c r="P683">
        <f>O683*C$3</f>
        <v>0</v>
      </c>
      <c r="Q683" t="str">
        <f>ROUNDUP(HLOOKUP(IF(CEILING(L683,0.5)&lt;1,1,CEILING(L683,0.5)),'배송비 조회'!A$32:AY$36,2,0),-2)</f>
        <v>#REF!</v>
      </c>
      <c r="R683">
        <v>0</v>
      </c>
      <c r="S683" t="str">
        <f>ROUND((P683+Q683)*0.6,-2)</f>
        <v>#REF!</v>
      </c>
      <c r="T683" t="str">
        <f>ROUND((P683+Q683)*0.7,-2)</f>
        <v>#REF!</v>
      </c>
      <c r="U683" t="str">
        <f>ROUND(SUM(P683+Q683+R683+S683), -2)</f>
        <v>#REF!</v>
      </c>
      <c r="V683" t="str">
        <f>ROUND(P683+Q683+R683+T683, -2)</f>
        <v>#REF!</v>
      </c>
      <c r="W683">
        <v>0</v>
      </c>
      <c r="X683" t="str">
        <f>U683*0.038</f>
        <v>#REF!</v>
      </c>
      <c r="Y683" t="str">
        <f>U683*0.02</f>
        <v>#REF!</v>
      </c>
      <c r="Z683" t="str">
        <f>V683*0.1</f>
        <v>#REF!</v>
      </c>
      <c r="AA683" t="str">
        <f>U683-X683-Y683</f>
        <v>#REF!</v>
      </c>
      <c r="AB683" t="str">
        <f>V683-Z683</f>
        <v>#REF!</v>
      </c>
      <c r="AC683" t="str">
        <f>AA683*0.01</f>
        <v>#REF!</v>
      </c>
      <c r="AD683" t="str">
        <f>AA683-P683-AC683-Q683</f>
        <v>#REF!</v>
      </c>
      <c r="AE683" t="str">
        <f>AB683-P683-Q683-AC683</f>
        <v>#REF!</v>
      </c>
      <c r="AF683" t="str">
        <f>AD683/U683</f>
        <v>#REF!</v>
      </c>
      <c r="AG683" t="str">
        <f>AE683/V683</f>
        <v>#REF!</v>
      </c>
    </row>
    <row r="684">
      <c r="G684" t="str">
        <v>A</v>
      </c>
      <c r="J684" t="str">
        <f>IF(K684&gt;0,K684*0.0625,IF(L684&gt;0,L684*2.204623,))</f>
        <v>#REF!</v>
      </c>
      <c r="K684" t="str">
        <f>IF(L684&gt;0,L684*35.273962,IF(J684&gt;0,J684*16,))</f>
        <v>#REF!</v>
      </c>
      <c r="L684" t="str">
        <f>IF(J684&gt;0,J684*0.453592,IF(K684&gt;0,K684*0.02835,))</f>
        <v>#REF!</v>
      </c>
      <c r="O684">
        <f>I684+N684+M684</f>
        <v>0</v>
      </c>
      <c r="P684">
        <f>O684*C$3</f>
        <v>0</v>
      </c>
      <c r="Q684" t="str">
        <f>ROUNDUP(HLOOKUP(IF(CEILING(L684,0.5)&lt;1,1,CEILING(L684,0.5)),'배송비 조회'!A$32:AY$36,2,0),-2)</f>
        <v>#REF!</v>
      </c>
      <c r="R684">
        <v>0</v>
      </c>
      <c r="S684" t="str">
        <f>ROUND((P684+Q684)*0.6,-2)</f>
        <v>#REF!</v>
      </c>
      <c r="T684" t="str">
        <f>ROUND((P684+Q684)*0.7,-2)</f>
        <v>#REF!</v>
      </c>
      <c r="U684" t="str">
        <f>ROUND(SUM(P684+Q684+R684+S684), -2)</f>
        <v>#REF!</v>
      </c>
      <c r="V684" t="str">
        <f>ROUND(P684+Q684+R684+T684, -2)</f>
        <v>#REF!</v>
      </c>
      <c r="W684">
        <v>0</v>
      </c>
      <c r="X684" t="str">
        <f>U684*0.038</f>
        <v>#REF!</v>
      </c>
      <c r="Y684" t="str">
        <f>U684*0.02</f>
        <v>#REF!</v>
      </c>
      <c r="Z684" t="str">
        <f>V684*0.1</f>
        <v>#REF!</v>
      </c>
      <c r="AA684" t="str">
        <f>U684-X684-Y684</f>
        <v>#REF!</v>
      </c>
      <c r="AB684" t="str">
        <f>V684-Z684</f>
        <v>#REF!</v>
      </c>
      <c r="AC684" t="str">
        <f>AA684*0.01</f>
        <v>#REF!</v>
      </c>
      <c r="AD684" t="str">
        <f>AA684-P684-AC684-Q684</f>
        <v>#REF!</v>
      </c>
      <c r="AE684" t="str">
        <f>AB684-P684-Q684-AC684</f>
        <v>#REF!</v>
      </c>
      <c r="AF684" t="str">
        <f>AD684/U684</f>
        <v>#REF!</v>
      </c>
      <c r="AG684" t="str">
        <f>AE684/V684</f>
        <v>#REF!</v>
      </c>
    </row>
    <row r="685">
      <c r="G685" t="str">
        <v>A</v>
      </c>
      <c r="J685" t="str">
        <f>IF(K685&gt;0,K685*0.0625,IF(L685&gt;0,L685*2.204623,))</f>
        <v>#REF!</v>
      </c>
      <c r="K685" t="str">
        <f>IF(L685&gt;0,L685*35.273962,IF(J685&gt;0,J685*16,))</f>
        <v>#REF!</v>
      </c>
      <c r="L685" t="str">
        <f>IF(J685&gt;0,J685*0.453592,IF(K685&gt;0,K685*0.02835,))</f>
        <v>#REF!</v>
      </c>
      <c r="O685">
        <f>I685+N685+M685</f>
        <v>0</v>
      </c>
      <c r="P685">
        <f>O685*C$3</f>
        <v>0</v>
      </c>
      <c r="Q685" t="str">
        <f>ROUNDUP(HLOOKUP(IF(CEILING(L685,0.5)&lt;1,1,CEILING(L685,0.5)),'배송비 조회'!A$32:AY$36,2,0),-2)</f>
        <v>#REF!</v>
      </c>
      <c r="R685">
        <v>0</v>
      </c>
      <c r="S685" t="str">
        <f>ROUND((P685+Q685)*0.6,-2)</f>
        <v>#REF!</v>
      </c>
      <c r="T685" t="str">
        <f>ROUND((P685+Q685)*0.7,-2)</f>
        <v>#REF!</v>
      </c>
      <c r="U685" t="str">
        <f>ROUND(SUM(P685+Q685+R685+S685), -2)</f>
        <v>#REF!</v>
      </c>
      <c r="V685" t="str">
        <f>ROUND(P685+Q685+R685+T685, -2)</f>
        <v>#REF!</v>
      </c>
      <c r="W685">
        <v>0</v>
      </c>
      <c r="X685" t="str">
        <f>U685*0.038</f>
        <v>#REF!</v>
      </c>
      <c r="Y685" t="str">
        <f>U685*0.02</f>
        <v>#REF!</v>
      </c>
      <c r="Z685" t="str">
        <f>V685*0.1</f>
        <v>#REF!</v>
      </c>
      <c r="AA685" t="str">
        <f>U685-X685-Y685</f>
        <v>#REF!</v>
      </c>
      <c r="AB685" t="str">
        <f>V685-Z685</f>
        <v>#REF!</v>
      </c>
      <c r="AC685" t="str">
        <f>AA685*0.01</f>
        <v>#REF!</v>
      </c>
      <c r="AD685" t="str">
        <f>AA685-P685-AC685-Q685</f>
        <v>#REF!</v>
      </c>
      <c r="AE685" t="str">
        <f>AB685-P685-Q685-AC685</f>
        <v>#REF!</v>
      </c>
      <c r="AF685" t="str">
        <f>AD685/U685</f>
        <v>#REF!</v>
      </c>
      <c r="AG685" t="str">
        <f>AE685/V685</f>
        <v>#REF!</v>
      </c>
    </row>
    <row r="686">
      <c r="G686" t="str">
        <v>A</v>
      </c>
      <c r="J686" t="str">
        <f>IF(K686&gt;0,K686*0.0625,IF(L686&gt;0,L686*2.204623,))</f>
        <v>#REF!</v>
      </c>
      <c r="K686" t="str">
        <f>IF(L686&gt;0,L686*35.273962,IF(J686&gt;0,J686*16,))</f>
        <v>#REF!</v>
      </c>
      <c r="L686" t="str">
        <f>IF(J686&gt;0,J686*0.453592,IF(K686&gt;0,K686*0.02835,))</f>
        <v>#REF!</v>
      </c>
      <c r="O686">
        <f>I686+N686+M686</f>
        <v>0</v>
      </c>
      <c r="P686">
        <f>O686*C$3</f>
        <v>0</v>
      </c>
      <c r="Q686" t="str">
        <f>ROUNDUP(HLOOKUP(IF(CEILING(L686,0.5)&lt;1,1,CEILING(L686,0.5)),'배송비 조회'!A$32:AY$36,2,0),-2)</f>
        <v>#REF!</v>
      </c>
      <c r="R686">
        <v>0</v>
      </c>
      <c r="S686" t="str">
        <f>ROUND((P686+Q686)*0.6,-2)</f>
        <v>#REF!</v>
      </c>
      <c r="T686" t="str">
        <f>ROUND((P686+Q686)*0.7,-2)</f>
        <v>#REF!</v>
      </c>
      <c r="U686" t="str">
        <f>ROUND(SUM(P686+Q686+R686+S686), -2)</f>
        <v>#REF!</v>
      </c>
      <c r="V686" t="str">
        <f>ROUND(P686+Q686+R686+T686, -2)</f>
        <v>#REF!</v>
      </c>
      <c r="W686">
        <v>0</v>
      </c>
      <c r="X686" t="str">
        <f>U686*0.038</f>
        <v>#REF!</v>
      </c>
      <c r="Y686" t="str">
        <f>U686*0.02</f>
        <v>#REF!</v>
      </c>
      <c r="Z686" t="str">
        <f>V686*0.1</f>
        <v>#REF!</v>
      </c>
      <c r="AA686" t="str">
        <f>U686-X686-Y686</f>
        <v>#REF!</v>
      </c>
      <c r="AB686" t="str">
        <f>V686-Z686</f>
        <v>#REF!</v>
      </c>
      <c r="AC686" t="str">
        <f>AA686*0.01</f>
        <v>#REF!</v>
      </c>
      <c r="AD686" t="str">
        <f>AA686-P686-AC686-Q686</f>
        <v>#REF!</v>
      </c>
      <c r="AE686" t="str">
        <f>AB686-P686-Q686-AC686</f>
        <v>#REF!</v>
      </c>
      <c r="AF686" t="str">
        <f>AD686/U686</f>
        <v>#REF!</v>
      </c>
      <c r="AG686" t="str">
        <f>AE686/V686</f>
        <v>#REF!</v>
      </c>
    </row>
    <row r="687">
      <c r="G687" t="str">
        <v>A</v>
      </c>
      <c r="J687" t="str">
        <f>IF(K687&gt;0,K687*0.0625,IF(L687&gt;0,L687*2.204623,))</f>
        <v>#REF!</v>
      </c>
      <c r="K687" t="str">
        <f>IF(L687&gt;0,L687*35.273962,IF(J687&gt;0,J687*16,))</f>
        <v>#REF!</v>
      </c>
      <c r="L687" t="str">
        <f>IF(J687&gt;0,J687*0.453592,IF(K687&gt;0,K687*0.02835,))</f>
        <v>#REF!</v>
      </c>
      <c r="O687">
        <f>I687+N687+M687</f>
        <v>0</v>
      </c>
      <c r="P687">
        <f>O687*C$3</f>
        <v>0</v>
      </c>
      <c r="Q687" t="str">
        <f>ROUNDUP(HLOOKUP(IF(CEILING(L687,0.5)&lt;1,1,CEILING(L687,0.5)),'배송비 조회'!A$32:AY$36,2,0),-2)</f>
        <v>#REF!</v>
      </c>
      <c r="R687">
        <v>0</v>
      </c>
      <c r="S687" t="str">
        <f>ROUND((P687+Q687)*0.6,-2)</f>
        <v>#REF!</v>
      </c>
      <c r="T687" t="str">
        <f>ROUND((P687+Q687)*0.7,-2)</f>
        <v>#REF!</v>
      </c>
      <c r="U687" t="str">
        <f>ROUND(SUM(P687+Q687+R687+S687), -2)</f>
        <v>#REF!</v>
      </c>
      <c r="V687" t="str">
        <f>ROUND(P687+Q687+R687+T687, -2)</f>
        <v>#REF!</v>
      </c>
      <c r="W687">
        <v>0</v>
      </c>
      <c r="X687" t="str">
        <f>U687*0.038</f>
        <v>#REF!</v>
      </c>
      <c r="Y687" t="str">
        <f>U687*0.02</f>
        <v>#REF!</v>
      </c>
      <c r="Z687" t="str">
        <f>V687*0.1</f>
        <v>#REF!</v>
      </c>
      <c r="AA687" t="str">
        <f>U687-X687-Y687</f>
        <v>#REF!</v>
      </c>
      <c r="AB687" t="str">
        <f>V687-Z687</f>
        <v>#REF!</v>
      </c>
      <c r="AC687" t="str">
        <f>AA687*0.01</f>
        <v>#REF!</v>
      </c>
      <c r="AD687" t="str">
        <f>AA687-P687-AC687-Q687</f>
        <v>#REF!</v>
      </c>
      <c r="AE687" t="str">
        <f>AB687-P687-Q687-AC687</f>
        <v>#REF!</v>
      </c>
      <c r="AF687" t="str">
        <f>AD687/U687</f>
        <v>#REF!</v>
      </c>
      <c r="AG687" t="str">
        <f>AE687/V687</f>
        <v>#REF!</v>
      </c>
    </row>
    <row r="688">
      <c r="G688" t="str">
        <v>A</v>
      </c>
      <c r="J688" t="str">
        <f>IF(K688&gt;0,K688*0.0625,IF(L688&gt;0,L688*2.204623,))</f>
        <v>#REF!</v>
      </c>
      <c r="K688" t="str">
        <f>IF(L688&gt;0,L688*35.273962,IF(J688&gt;0,J688*16,))</f>
        <v>#REF!</v>
      </c>
      <c r="L688" t="str">
        <f>IF(J688&gt;0,J688*0.453592,IF(K688&gt;0,K688*0.02835,))</f>
        <v>#REF!</v>
      </c>
      <c r="O688">
        <f>I688+N688+M688</f>
        <v>0</v>
      </c>
      <c r="P688">
        <f>O688*C$3</f>
        <v>0</v>
      </c>
      <c r="Q688" t="str">
        <f>ROUNDUP(HLOOKUP(IF(CEILING(L688,0.5)&lt;1,1,CEILING(L688,0.5)),'배송비 조회'!A$32:AY$36,2,0),-2)</f>
        <v>#REF!</v>
      </c>
      <c r="R688">
        <v>0</v>
      </c>
      <c r="S688" t="str">
        <f>ROUND((P688+Q688)*0.6,-2)</f>
        <v>#REF!</v>
      </c>
      <c r="T688" t="str">
        <f>ROUND((P688+Q688)*0.7,-2)</f>
        <v>#REF!</v>
      </c>
      <c r="U688" t="str">
        <f>ROUND(SUM(P688+Q688+R688+S688), -2)</f>
        <v>#REF!</v>
      </c>
      <c r="V688" t="str">
        <f>ROUND(P688+Q688+R688+T688, -2)</f>
        <v>#REF!</v>
      </c>
      <c r="W688">
        <v>0</v>
      </c>
      <c r="X688" t="str">
        <f>U688*0.038</f>
        <v>#REF!</v>
      </c>
      <c r="Y688" t="str">
        <f>U688*0.02</f>
        <v>#REF!</v>
      </c>
      <c r="Z688" t="str">
        <f>V688*0.1</f>
        <v>#REF!</v>
      </c>
      <c r="AA688" t="str">
        <f>U688-X688-Y688</f>
        <v>#REF!</v>
      </c>
      <c r="AB688" t="str">
        <f>V688-Z688</f>
        <v>#REF!</v>
      </c>
      <c r="AC688" t="str">
        <f>AA688*0.01</f>
        <v>#REF!</v>
      </c>
      <c r="AD688" t="str">
        <f>AA688-P688-AC688-Q688</f>
        <v>#REF!</v>
      </c>
      <c r="AE688" t="str">
        <f>AB688-P688-Q688-AC688</f>
        <v>#REF!</v>
      </c>
      <c r="AF688" t="str">
        <f>AD688/U688</f>
        <v>#REF!</v>
      </c>
      <c r="AG688" t="str">
        <f>AE688/V688</f>
        <v>#REF!</v>
      </c>
    </row>
    <row r="689">
      <c r="G689" t="str">
        <v>A</v>
      </c>
      <c r="J689" t="str">
        <f>IF(K689&gt;0,K689*0.0625,IF(L689&gt;0,L689*2.204623,))</f>
        <v>#REF!</v>
      </c>
      <c r="K689" t="str">
        <f>IF(L689&gt;0,L689*35.273962,IF(J689&gt;0,J689*16,))</f>
        <v>#REF!</v>
      </c>
      <c r="L689" t="str">
        <f>IF(J689&gt;0,J689*0.453592,IF(K689&gt;0,K689*0.02835,))</f>
        <v>#REF!</v>
      </c>
      <c r="O689">
        <f>I689+N689+M689</f>
        <v>0</v>
      </c>
      <c r="P689">
        <f>O689*C$3</f>
        <v>0</v>
      </c>
      <c r="Q689" t="str">
        <f>ROUNDUP(HLOOKUP(IF(CEILING(L689,0.5)&lt;1,1,CEILING(L689,0.5)),'배송비 조회'!A$32:AY$36,2,0),-2)</f>
        <v>#REF!</v>
      </c>
      <c r="R689">
        <v>0</v>
      </c>
      <c r="S689" t="str">
        <f>ROUND((P689+Q689)*0.6,-2)</f>
        <v>#REF!</v>
      </c>
      <c r="T689" t="str">
        <f>ROUND((P689+Q689)*0.7,-2)</f>
        <v>#REF!</v>
      </c>
      <c r="U689" t="str">
        <f>ROUND(SUM(P689+Q689+R689+S689), -2)</f>
        <v>#REF!</v>
      </c>
      <c r="V689" t="str">
        <f>ROUND(P689+Q689+R689+T689, -2)</f>
        <v>#REF!</v>
      </c>
      <c r="W689">
        <v>0</v>
      </c>
      <c r="X689" t="str">
        <f>U689*0.038</f>
        <v>#REF!</v>
      </c>
      <c r="Y689" t="str">
        <f>U689*0.02</f>
        <v>#REF!</v>
      </c>
      <c r="Z689" t="str">
        <f>V689*0.1</f>
        <v>#REF!</v>
      </c>
      <c r="AA689" t="str">
        <f>U689-X689-Y689</f>
        <v>#REF!</v>
      </c>
      <c r="AB689" t="str">
        <f>V689-Z689</f>
        <v>#REF!</v>
      </c>
      <c r="AC689" t="str">
        <f>AA689*0.01</f>
        <v>#REF!</v>
      </c>
      <c r="AD689" t="str">
        <f>AA689-P689-AC689-Q689</f>
        <v>#REF!</v>
      </c>
      <c r="AE689" t="str">
        <f>AB689-P689-Q689-AC689</f>
        <v>#REF!</v>
      </c>
      <c r="AF689" t="str">
        <f>AD689/U689</f>
        <v>#REF!</v>
      </c>
      <c r="AG689" t="str">
        <f>AE689/V689</f>
        <v>#REF!</v>
      </c>
    </row>
    <row r="690">
      <c r="G690" t="str">
        <v>A</v>
      </c>
      <c r="J690" t="str">
        <f>IF(K690&gt;0,K690*0.0625,IF(L690&gt;0,L690*2.204623,))</f>
        <v>#REF!</v>
      </c>
      <c r="K690" t="str">
        <f>IF(L690&gt;0,L690*35.273962,IF(J690&gt;0,J690*16,))</f>
        <v>#REF!</v>
      </c>
      <c r="L690" t="str">
        <f>IF(J690&gt;0,J690*0.453592,IF(K690&gt;0,K690*0.02835,))</f>
        <v>#REF!</v>
      </c>
      <c r="O690">
        <f>I690+N690+M690</f>
        <v>0</v>
      </c>
      <c r="P690">
        <f>O690*C$3</f>
        <v>0</v>
      </c>
      <c r="Q690" t="str">
        <f>ROUNDUP(HLOOKUP(IF(CEILING(L690,0.5)&lt;1,1,CEILING(L690,0.5)),'배송비 조회'!A$32:AY$36,2,0),-2)</f>
        <v>#REF!</v>
      </c>
      <c r="R690">
        <v>0</v>
      </c>
      <c r="S690" t="str">
        <f>ROUND((P690+Q690)*0.6,-2)</f>
        <v>#REF!</v>
      </c>
      <c r="T690" t="str">
        <f>ROUND((P690+Q690)*0.7,-2)</f>
        <v>#REF!</v>
      </c>
      <c r="U690" t="str">
        <f>ROUND(SUM(P690+Q690+R690+S690), -2)</f>
        <v>#REF!</v>
      </c>
      <c r="V690" t="str">
        <f>ROUND(P690+Q690+R690+T690, -2)</f>
        <v>#REF!</v>
      </c>
      <c r="W690">
        <v>0</v>
      </c>
      <c r="X690" t="str">
        <f>U690*0.038</f>
        <v>#REF!</v>
      </c>
      <c r="Y690" t="str">
        <f>U690*0.02</f>
        <v>#REF!</v>
      </c>
      <c r="Z690" t="str">
        <f>V690*0.1</f>
        <v>#REF!</v>
      </c>
      <c r="AA690" t="str">
        <f>U690-X690-Y690</f>
        <v>#REF!</v>
      </c>
      <c r="AB690" t="str">
        <f>V690-Z690</f>
        <v>#REF!</v>
      </c>
      <c r="AC690" t="str">
        <f>AA690*0.01</f>
        <v>#REF!</v>
      </c>
      <c r="AD690" t="str">
        <f>AA690-P690-AC690-Q690</f>
        <v>#REF!</v>
      </c>
      <c r="AE690" t="str">
        <f>AB690-P690-Q690-AC690</f>
        <v>#REF!</v>
      </c>
      <c r="AF690" t="str">
        <f>AD690/U690</f>
        <v>#REF!</v>
      </c>
      <c r="AG690" t="str">
        <f>AE690/V690</f>
        <v>#REF!</v>
      </c>
    </row>
    <row r="691">
      <c r="G691" t="str">
        <v>A</v>
      </c>
      <c r="J691" t="str">
        <f>IF(K691&gt;0,K691*0.0625,IF(L691&gt;0,L691*2.204623,))</f>
        <v>#REF!</v>
      </c>
      <c r="K691" t="str">
        <f>IF(L691&gt;0,L691*35.273962,IF(J691&gt;0,J691*16,))</f>
        <v>#REF!</v>
      </c>
      <c r="L691" t="str">
        <f>IF(J691&gt;0,J691*0.453592,IF(K691&gt;0,K691*0.02835,))</f>
        <v>#REF!</v>
      </c>
      <c r="O691">
        <f>I691+N691+M691</f>
        <v>0</v>
      </c>
      <c r="P691">
        <f>O691*C$3</f>
        <v>0</v>
      </c>
      <c r="Q691" t="str">
        <f>ROUNDUP(HLOOKUP(IF(CEILING(L691,0.5)&lt;1,1,CEILING(L691,0.5)),'배송비 조회'!A$32:AY$36,2,0),-2)</f>
        <v>#REF!</v>
      </c>
      <c r="R691">
        <v>0</v>
      </c>
      <c r="S691" t="str">
        <f>ROUND((P691+Q691)*0.6,-2)</f>
        <v>#REF!</v>
      </c>
      <c r="T691" t="str">
        <f>ROUND((P691+Q691)*0.7,-2)</f>
        <v>#REF!</v>
      </c>
      <c r="U691" t="str">
        <f>ROUND(SUM(P691+Q691+R691+S691), -2)</f>
        <v>#REF!</v>
      </c>
      <c r="V691" t="str">
        <f>ROUND(P691+Q691+R691+T691, -2)</f>
        <v>#REF!</v>
      </c>
      <c r="W691">
        <v>0</v>
      </c>
      <c r="X691" t="str">
        <f>U691*0.038</f>
        <v>#REF!</v>
      </c>
      <c r="Y691" t="str">
        <f>U691*0.02</f>
        <v>#REF!</v>
      </c>
      <c r="Z691" t="str">
        <f>V691*0.1</f>
        <v>#REF!</v>
      </c>
      <c r="AA691" t="str">
        <f>U691-X691-Y691</f>
        <v>#REF!</v>
      </c>
      <c r="AB691" t="str">
        <f>V691-Z691</f>
        <v>#REF!</v>
      </c>
      <c r="AC691" t="str">
        <f>AA691*0.01</f>
        <v>#REF!</v>
      </c>
      <c r="AD691" t="str">
        <f>AA691-P691-AC691-Q691</f>
        <v>#REF!</v>
      </c>
      <c r="AE691" t="str">
        <f>AB691-P691-Q691-AC691</f>
        <v>#REF!</v>
      </c>
      <c r="AF691" t="str">
        <f>AD691/U691</f>
        <v>#REF!</v>
      </c>
      <c r="AG691" t="str">
        <f>AE691/V691</f>
        <v>#REF!</v>
      </c>
    </row>
    <row r="692">
      <c r="G692" t="str">
        <v>A</v>
      </c>
      <c r="J692" t="str">
        <f>IF(K692&gt;0,K692*0.0625,IF(L692&gt;0,L692*2.204623,))</f>
        <v>#REF!</v>
      </c>
      <c r="K692" t="str">
        <f>IF(L692&gt;0,L692*35.273962,IF(J692&gt;0,J692*16,))</f>
        <v>#REF!</v>
      </c>
      <c r="L692" t="str">
        <f>IF(J692&gt;0,J692*0.453592,IF(K692&gt;0,K692*0.02835,))</f>
        <v>#REF!</v>
      </c>
      <c r="O692">
        <f>I692+N692+M692</f>
        <v>0</v>
      </c>
      <c r="P692">
        <f>O692*C$3</f>
        <v>0</v>
      </c>
      <c r="Q692" t="str">
        <f>ROUNDUP(HLOOKUP(IF(CEILING(L692,0.5)&lt;1,1,CEILING(L692,0.5)),'배송비 조회'!A$32:AY$36,2,0),-2)</f>
        <v>#REF!</v>
      </c>
      <c r="R692">
        <v>0</v>
      </c>
      <c r="S692" t="str">
        <f>ROUND((P692+Q692)*0.6,-2)</f>
        <v>#REF!</v>
      </c>
      <c r="T692" t="str">
        <f>ROUND((P692+Q692)*0.7,-2)</f>
        <v>#REF!</v>
      </c>
      <c r="U692" t="str">
        <f>ROUND(SUM(P692+Q692+R692+S692), -2)</f>
        <v>#REF!</v>
      </c>
      <c r="V692" t="str">
        <f>ROUND(P692+Q692+R692+T692, -2)</f>
        <v>#REF!</v>
      </c>
      <c r="W692">
        <v>0</v>
      </c>
      <c r="X692" t="str">
        <f>U692*0.038</f>
        <v>#REF!</v>
      </c>
      <c r="Y692" t="str">
        <f>U692*0.02</f>
        <v>#REF!</v>
      </c>
      <c r="Z692" t="str">
        <f>V692*0.1</f>
        <v>#REF!</v>
      </c>
      <c r="AA692" t="str">
        <f>U692-X692-Y692</f>
        <v>#REF!</v>
      </c>
      <c r="AB692" t="str">
        <f>V692-Z692</f>
        <v>#REF!</v>
      </c>
      <c r="AC692" t="str">
        <f>AA692*0.01</f>
        <v>#REF!</v>
      </c>
      <c r="AD692" t="str">
        <f>AA692-P692-AC692-Q692</f>
        <v>#REF!</v>
      </c>
      <c r="AE692" t="str">
        <f>AB692-P692-Q692-AC692</f>
        <v>#REF!</v>
      </c>
      <c r="AF692" t="str">
        <f>AD692/U692</f>
        <v>#REF!</v>
      </c>
      <c r="AG692" t="str">
        <f>AE692/V692</f>
        <v>#REF!</v>
      </c>
    </row>
    <row r="693">
      <c r="G693" t="str">
        <v>A</v>
      </c>
      <c r="J693" t="str">
        <f>IF(K693&gt;0,K693*0.0625,IF(L693&gt;0,L693*2.204623,))</f>
        <v>#REF!</v>
      </c>
      <c r="K693" t="str">
        <f>IF(L693&gt;0,L693*35.273962,IF(J693&gt;0,J693*16,))</f>
        <v>#REF!</v>
      </c>
      <c r="L693" t="str">
        <f>IF(J693&gt;0,J693*0.453592,IF(K693&gt;0,K693*0.02835,))</f>
        <v>#REF!</v>
      </c>
      <c r="O693">
        <f>I693+N693+M693</f>
        <v>0</v>
      </c>
      <c r="P693">
        <f>O693*C$3</f>
        <v>0</v>
      </c>
      <c r="Q693" t="str">
        <f>ROUNDUP(HLOOKUP(IF(CEILING(L693,0.5)&lt;1,1,CEILING(L693,0.5)),'배송비 조회'!A$32:AY$36,2,0),-2)</f>
        <v>#REF!</v>
      </c>
      <c r="R693">
        <v>0</v>
      </c>
      <c r="S693" t="str">
        <f>ROUND((P693+Q693)*0.6,-2)</f>
        <v>#REF!</v>
      </c>
      <c r="T693" t="str">
        <f>ROUND((P693+Q693)*0.7,-2)</f>
        <v>#REF!</v>
      </c>
      <c r="U693" t="str">
        <f>ROUND(SUM(P693+Q693+R693+S693), -2)</f>
        <v>#REF!</v>
      </c>
      <c r="V693" t="str">
        <f>ROUND(P693+Q693+R693+T693, -2)</f>
        <v>#REF!</v>
      </c>
      <c r="W693">
        <v>0</v>
      </c>
      <c r="X693" t="str">
        <f>U693*0.038</f>
        <v>#REF!</v>
      </c>
      <c r="Y693" t="str">
        <f>U693*0.02</f>
        <v>#REF!</v>
      </c>
      <c r="Z693" t="str">
        <f>V693*0.1</f>
        <v>#REF!</v>
      </c>
      <c r="AA693" t="str">
        <f>U693-X693-Y693</f>
        <v>#REF!</v>
      </c>
      <c r="AB693" t="str">
        <f>V693-Z693</f>
        <v>#REF!</v>
      </c>
      <c r="AC693" t="str">
        <f>AA693*0.01</f>
        <v>#REF!</v>
      </c>
      <c r="AD693" t="str">
        <f>AA693-P693-AC693-Q693</f>
        <v>#REF!</v>
      </c>
      <c r="AE693" t="str">
        <f>AB693-P693-Q693-AC693</f>
        <v>#REF!</v>
      </c>
      <c r="AF693" t="str">
        <f>AD693/U693</f>
        <v>#REF!</v>
      </c>
      <c r="AG693" t="str">
        <f>AE693/V693</f>
        <v>#REF!</v>
      </c>
    </row>
    <row r="694">
      <c r="G694" t="str">
        <v>A</v>
      </c>
      <c r="J694" t="str">
        <f>IF(K694&gt;0,K694*0.0625,IF(L694&gt;0,L694*2.204623,))</f>
        <v>#REF!</v>
      </c>
      <c r="K694" t="str">
        <f>IF(L694&gt;0,L694*35.273962,IF(J694&gt;0,J694*16,))</f>
        <v>#REF!</v>
      </c>
      <c r="L694" t="str">
        <f>IF(J694&gt;0,J694*0.453592,IF(K694&gt;0,K694*0.02835,))</f>
        <v>#REF!</v>
      </c>
      <c r="O694">
        <f>I694+N694+M694</f>
        <v>0</v>
      </c>
      <c r="P694">
        <f>O694*C$3</f>
        <v>0</v>
      </c>
      <c r="Q694" t="str">
        <f>ROUNDUP(HLOOKUP(IF(CEILING(L694,0.5)&lt;1,1,CEILING(L694,0.5)),'배송비 조회'!A$32:AY$36,2,0),-2)</f>
        <v>#REF!</v>
      </c>
      <c r="R694">
        <v>0</v>
      </c>
      <c r="S694" t="str">
        <f>ROUND((P694+Q694)*0.6,-2)</f>
        <v>#REF!</v>
      </c>
      <c r="T694" t="str">
        <f>ROUND((P694+Q694)*0.7,-2)</f>
        <v>#REF!</v>
      </c>
      <c r="U694" t="str">
        <f>ROUND(SUM(P694+Q694+R694+S694), -2)</f>
        <v>#REF!</v>
      </c>
      <c r="V694" t="str">
        <f>ROUND(P694+Q694+R694+T694, -2)</f>
        <v>#REF!</v>
      </c>
      <c r="W694">
        <v>0</v>
      </c>
      <c r="X694" t="str">
        <f>U694*0.038</f>
        <v>#REF!</v>
      </c>
      <c r="Y694" t="str">
        <f>U694*0.02</f>
        <v>#REF!</v>
      </c>
      <c r="Z694" t="str">
        <f>V694*0.1</f>
        <v>#REF!</v>
      </c>
      <c r="AA694" t="str">
        <f>U694-X694-Y694</f>
        <v>#REF!</v>
      </c>
      <c r="AB694" t="str">
        <f>V694-Z694</f>
        <v>#REF!</v>
      </c>
      <c r="AC694" t="str">
        <f>AA694*0.01</f>
        <v>#REF!</v>
      </c>
      <c r="AD694" t="str">
        <f>AA694-P694-AC694-Q694</f>
        <v>#REF!</v>
      </c>
      <c r="AE694" t="str">
        <f>AB694-P694-Q694-AC694</f>
        <v>#REF!</v>
      </c>
      <c r="AF694" t="str">
        <f>AD694/U694</f>
        <v>#REF!</v>
      </c>
      <c r="AG694" t="str">
        <f>AE694/V694</f>
        <v>#REF!</v>
      </c>
    </row>
    <row r="695">
      <c r="G695" t="str">
        <v>A</v>
      </c>
      <c r="J695" t="str">
        <f>IF(K695&gt;0,K695*0.0625,IF(L695&gt;0,L695*2.204623,))</f>
        <v>#REF!</v>
      </c>
      <c r="K695" t="str">
        <f>IF(L695&gt;0,L695*35.273962,IF(J695&gt;0,J695*16,))</f>
        <v>#REF!</v>
      </c>
      <c r="L695" t="str">
        <f>IF(J695&gt;0,J695*0.453592,IF(K695&gt;0,K695*0.02835,))</f>
        <v>#REF!</v>
      </c>
      <c r="O695">
        <f>I695+N695+M695</f>
        <v>0</v>
      </c>
      <c r="P695">
        <f>O695*C$3</f>
        <v>0</v>
      </c>
      <c r="Q695" t="str">
        <f>ROUNDUP(HLOOKUP(IF(CEILING(L695,0.5)&lt;1,1,CEILING(L695,0.5)),'배송비 조회'!A$32:AY$36,2,0),-2)</f>
        <v>#REF!</v>
      </c>
      <c r="R695">
        <v>0</v>
      </c>
      <c r="S695" t="str">
        <f>ROUND((P695+Q695)*0.6,-2)</f>
        <v>#REF!</v>
      </c>
      <c r="T695" t="str">
        <f>ROUND((P695+Q695)*0.7,-2)</f>
        <v>#REF!</v>
      </c>
      <c r="U695" t="str">
        <f>ROUND(SUM(P695+Q695+R695+S695), -2)</f>
        <v>#REF!</v>
      </c>
      <c r="V695" t="str">
        <f>ROUND(P695+Q695+R695+T695, -2)</f>
        <v>#REF!</v>
      </c>
      <c r="W695">
        <v>0</v>
      </c>
      <c r="X695" t="str">
        <f>U695*0.038</f>
        <v>#REF!</v>
      </c>
      <c r="Y695" t="str">
        <f>U695*0.02</f>
        <v>#REF!</v>
      </c>
      <c r="Z695" t="str">
        <f>V695*0.1</f>
        <v>#REF!</v>
      </c>
      <c r="AA695" t="str">
        <f>U695-X695-Y695</f>
        <v>#REF!</v>
      </c>
      <c r="AB695" t="str">
        <f>V695-Z695</f>
        <v>#REF!</v>
      </c>
      <c r="AC695" t="str">
        <f>AA695*0.01</f>
        <v>#REF!</v>
      </c>
      <c r="AD695" t="str">
        <f>AA695-P695-AC695-Q695</f>
        <v>#REF!</v>
      </c>
      <c r="AE695" t="str">
        <f>AB695-P695-Q695-AC695</f>
        <v>#REF!</v>
      </c>
      <c r="AF695" t="str">
        <f>AD695/U695</f>
        <v>#REF!</v>
      </c>
      <c r="AG695" t="str">
        <f>AE695/V695</f>
        <v>#REF!</v>
      </c>
    </row>
    <row r="696">
      <c r="G696" t="str">
        <v>A</v>
      </c>
      <c r="J696" t="str">
        <f>IF(K696&gt;0,K696*0.0625,IF(L696&gt;0,L696*2.204623,))</f>
        <v>#REF!</v>
      </c>
      <c r="K696" t="str">
        <f>IF(L696&gt;0,L696*35.273962,IF(J696&gt;0,J696*16,))</f>
        <v>#REF!</v>
      </c>
      <c r="L696" t="str">
        <f>IF(J696&gt;0,J696*0.453592,IF(K696&gt;0,K696*0.02835,))</f>
        <v>#REF!</v>
      </c>
      <c r="O696">
        <f>I696+N696+M696</f>
        <v>0</v>
      </c>
      <c r="P696">
        <f>O696*C$3</f>
        <v>0</v>
      </c>
      <c r="Q696" t="str">
        <f>ROUNDUP(HLOOKUP(IF(CEILING(L696,0.5)&lt;1,1,CEILING(L696,0.5)),'배송비 조회'!A$32:AY$36,2,0),-2)</f>
        <v>#REF!</v>
      </c>
      <c r="R696">
        <v>0</v>
      </c>
      <c r="S696" t="str">
        <f>ROUND((P696+Q696)*0.6,-2)</f>
        <v>#REF!</v>
      </c>
      <c r="T696" t="str">
        <f>ROUND((P696+Q696)*0.7,-2)</f>
        <v>#REF!</v>
      </c>
      <c r="U696" t="str">
        <f>ROUND(SUM(P696+Q696+R696+S696), -2)</f>
        <v>#REF!</v>
      </c>
      <c r="V696" t="str">
        <f>ROUND(P696+Q696+R696+T696, -2)</f>
        <v>#REF!</v>
      </c>
      <c r="W696">
        <v>0</v>
      </c>
      <c r="X696" t="str">
        <f>U696*0.038</f>
        <v>#REF!</v>
      </c>
      <c r="Y696" t="str">
        <f>U696*0.02</f>
        <v>#REF!</v>
      </c>
      <c r="Z696" t="str">
        <f>V696*0.1</f>
        <v>#REF!</v>
      </c>
      <c r="AA696" t="str">
        <f>U696-X696-Y696</f>
        <v>#REF!</v>
      </c>
      <c r="AB696" t="str">
        <f>V696-Z696</f>
        <v>#REF!</v>
      </c>
      <c r="AC696" t="str">
        <f>AA696*0.01</f>
        <v>#REF!</v>
      </c>
      <c r="AD696" t="str">
        <f>AA696-P696-AC696-Q696</f>
        <v>#REF!</v>
      </c>
      <c r="AE696" t="str">
        <f>AB696-P696-Q696-AC696</f>
        <v>#REF!</v>
      </c>
      <c r="AF696" t="str">
        <f>AD696/U696</f>
        <v>#REF!</v>
      </c>
      <c r="AG696" t="str">
        <f>AE696/V696</f>
        <v>#REF!</v>
      </c>
    </row>
    <row r="697">
      <c r="G697" t="str">
        <v>A</v>
      </c>
      <c r="J697" t="str">
        <f>IF(K697&gt;0,K697*0.0625,IF(L697&gt;0,L697*2.204623,))</f>
        <v>#REF!</v>
      </c>
      <c r="K697" t="str">
        <f>IF(L697&gt;0,L697*35.273962,IF(J697&gt;0,J697*16,))</f>
        <v>#REF!</v>
      </c>
      <c r="L697" t="str">
        <f>IF(J697&gt;0,J697*0.453592,IF(K697&gt;0,K697*0.02835,))</f>
        <v>#REF!</v>
      </c>
      <c r="O697">
        <f>I697+N697+M697</f>
        <v>0</v>
      </c>
      <c r="P697">
        <f>O697*C$3</f>
        <v>0</v>
      </c>
      <c r="Q697" t="str">
        <f>ROUNDUP(HLOOKUP(IF(CEILING(L697,0.5)&lt;1,1,CEILING(L697,0.5)),'배송비 조회'!A$32:AY$36,2,0),-2)</f>
        <v>#REF!</v>
      </c>
      <c r="R697">
        <v>0</v>
      </c>
      <c r="S697" t="str">
        <f>ROUND((P697+Q697)*0.6,-2)</f>
        <v>#REF!</v>
      </c>
      <c r="T697" t="str">
        <f>ROUND((P697+Q697)*0.7,-2)</f>
        <v>#REF!</v>
      </c>
      <c r="U697" t="str">
        <f>ROUND(SUM(P697+Q697+R697+S697), -2)</f>
        <v>#REF!</v>
      </c>
      <c r="V697" t="str">
        <f>ROUND(P697+Q697+R697+T697, -2)</f>
        <v>#REF!</v>
      </c>
      <c r="W697">
        <v>0</v>
      </c>
      <c r="X697" t="str">
        <f>U697*0.038</f>
        <v>#REF!</v>
      </c>
      <c r="Y697" t="str">
        <f>U697*0.02</f>
        <v>#REF!</v>
      </c>
      <c r="Z697" t="str">
        <f>V697*0.1</f>
        <v>#REF!</v>
      </c>
      <c r="AA697" t="str">
        <f>U697-X697-Y697</f>
        <v>#REF!</v>
      </c>
      <c r="AB697" t="str">
        <f>V697-Z697</f>
        <v>#REF!</v>
      </c>
      <c r="AC697" t="str">
        <f>AA697*0.01</f>
        <v>#REF!</v>
      </c>
      <c r="AD697" t="str">
        <f>AA697-P697-AC697-Q697</f>
        <v>#REF!</v>
      </c>
      <c r="AE697" t="str">
        <f>AB697-P697-Q697-AC697</f>
        <v>#REF!</v>
      </c>
      <c r="AF697" t="str">
        <f>AD697/U697</f>
        <v>#REF!</v>
      </c>
      <c r="AG697" t="str">
        <f>AE697/V697</f>
        <v>#REF!</v>
      </c>
    </row>
    <row r="698">
      <c r="G698" t="str">
        <v>A</v>
      </c>
      <c r="J698" t="str">
        <f>IF(K698&gt;0,K698*0.0625,IF(L698&gt;0,L698*2.204623,))</f>
        <v>#REF!</v>
      </c>
      <c r="K698" t="str">
        <f>IF(L698&gt;0,L698*35.273962,IF(J698&gt;0,J698*16,))</f>
        <v>#REF!</v>
      </c>
      <c r="L698" t="str">
        <f>IF(J698&gt;0,J698*0.453592,IF(K698&gt;0,K698*0.02835,))</f>
        <v>#REF!</v>
      </c>
      <c r="O698">
        <f>I698+N698+M698</f>
        <v>0</v>
      </c>
      <c r="P698">
        <f>O698*C$3</f>
        <v>0</v>
      </c>
      <c r="Q698" t="str">
        <f>ROUNDUP(HLOOKUP(IF(CEILING(L698,0.5)&lt;1,1,CEILING(L698,0.5)),'배송비 조회'!A$32:AY$36,2,0),-2)</f>
        <v>#REF!</v>
      </c>
      <c r="R698">
        <v>0</v>
      </c>
      <c r="S698" t="str">
        <f>ROUND((P698+Q698)*0.6,-2)</f>
        <v>#REF!</v>
      </c>
      <c r="T698" t="str">
        <f>ROUND((P698+Q698)*0.7,-2)</f>
        <v>#REF!</v>
      </c>
      <c r="U698" t="str">
        <f>ROUND(SUM(P698+Q698+R698+S698), -2)</f>
        <v>#REF!</v>
      </c>
      <c r="V698" t="str">
        <f>ROUND(P698+Q698+R698+T698, -2)</f>
        <v>#REF!</v>
      </c>
      <c r="W698">
        <v>0</v>
      </c>
      <c r="X698" t="str">
        <f>U698*0.038</f>
        <v>#REF!</v>
      </c>
      <c r="Y698" t="str">
        <f>U698*0.02</f>
        <v>#REF!</v>
      </c>
      <c r="Z698" t="str">
        <f>V698*0.1</f>
        <v>#REF!</v>
      </c>
      <c r="AA698" t="str">
        <f>U698-X698-Y698</f>
        <v>#REF!</v>
      </c>
      <c r="AB698" t="str">
        <f>V698-Z698</f>
        <v>#REF!</v>
      </c>
      <c r="AC698" t="str">
        <f>AA698*0.01</f>
        <v>#REF!</v>
      </c>
      <c r="AD698" t="str">
        <f>AA698-P698-AC698-Q698</f>
        <v>#REF!</v>
      </c>
      <c r="AE698" t="str">
        <f>AB698-P698-Q698-AC698</f>
        <v>#REF!</v>
      </c>
      <c r="AF698" t="str">
        <f>AD698/U698</f>
        <v>#REF!</v>
      </c>
      <c r="AG698" t="str">
        <f>AE698/V698</f>
        <v>#REF!</v>
      </c>
    </row>
    <row r="699">
      <c r="G699" t="str">
        <v>A</v>
      </c>
      <c r="J699" t="str">
        <f>IF(K699&gt;0,K699*0.0625,IF(L699&gt;0,L699*2.204623,))</f>
        <v>#REF!</v>
      </c>
      <c r="K699" t="str">
        <f>IF(L699&gt;0,L699*35.273962,IF(J699&gt;0,J699*16,))</f>
        <v>#REF!</v>
      </c>
      <c r="L699" t="str">
        <f>IF(J699&gt;0,J699*0.453592,IF(K699&gt;0,K699*0.02835,))</f>
        <v>#REF!</v>
      </c>
      <c r="O699">
        <f>I699+N699+M699</f>
        <v>0</v>
      </c>
      <c r="P699">
        <f>O699*C$3</f>
        <v>0</v>
      </c>
      <c r="Q699" t="str">
        <f>ROUNDUP(HLOOKUP(IF(CEILING(L699,0.5)&lt;1,1,CEILING(L699,0.5)),'배송비 조회'!A$32:AY$36,2,0),-2)</f>
        <v>#REF!</v>
      </c>
      <c r="R699">
        <v>0</v>
      </c>
      <c r="S699" t="str">
        <f>ROUND((P699+Q699)*0.6,-2)</f>
        <v>#REF!</v>
      </c>
      <c r="T699" t="str">
        <f>ROUND((P699+Q699)*0.7,-2)</f>
        <v>#REF!</v>
      </c>
      <c r="U699" t="str">
        <f>ROUND(SUM(P699+Q699+R699+S699), -2)</f>
        <v>#REF!</v>
      </c>
      <c r="V699" t="str">
        <f>ROUND(P699+Q699+R699+T699, -2)</f>
        <v>#REF!</v>
      </c>
      <c r="W699">
        <v>0</v>
      </c>
      <c r="X699" t="str">
        <f>U699*0.038</f>
        <v>#REF!</v>
      </c>
      <c r="Y699" t="str">
        <f>U699*0.02</f>
        <v>#REF!</v>
      </c>
      <c r="Z699" t="str">
        <f>V699*0.1</f>
        <v>#REF!</v>
      </c>
      <c r="AA699" t="str">
        <f>U699-X699-Y699</f>
        <v>#REF!</v>
      </c>
      <c r="AB699" t="str">
        <f>V699-Z699</f>
        <v>#REF!</v>
      </c>
      <c r="AC699" t="str">
        <f>AA699*0.01</f>
        <v>#REF!</v>
      </c>
      <c r="AD699" t="str">
        <f>AA699-P699-AC699-Q699</f>
        <v>#REF!</v>
      </c>
      <c r="AE699" t="str">
        <f>AB699-P699-Q699-AC699</f>
        <v>#REF!</v>
      </c>
      <c r="AF699" t="str">
        <f>AD699/U699</f>
        <v>#REF!</v>
      </c>
      <c r="AG699" t="str">
        <f>AE699/V699</f>
        <v>#REF!</v>
      </c>
    </row>
    <row r="700">
      <c r="G700" t="str">
        <v>A</v>
      </c>
      <c r="J700" t="str">
        <f>IF(K700&gt;0,K700*0.0625,IF(L700&gt;0,L700*2.204623,))</f>
        <v>#REF!</v>
      </c>
      <c r="K700" t="str">
        <f>IF(L700&gt;0,L700*35.273962,IF(J700&gt;0,J700*16,))</f>
        <v>#REF!</v>
      </c>
      <c r="L700" t="str">
        <f>IF(J700&gt;0,J700*0.453592,IF(K700&gt;0,K700*0.02835,))</f>
        <v>#REF!</v>
      </c>
      <c r="O700">
        <f>I700+N700+M700</f>
        <v>0</v>
      </c>
      <c r="P700">
        <f>O700*C$3</f>
        <v>0</v>
      </c>
      <c r="Q700" t="str">
        <f>ROUNDUP(HLOOKUP(IF(CEILING(L700,0.5)&lt;1,1,CEILING(L700,0.5)),'배송비 조회'!A$32:AY$36,2,0),-2)</f>
        <v>#REF!</v>
      </c>
      <c r="R700">
        <v>0</v>
      </c>
      <c r="S700" t="str">
        <f>ROUND((P700+Q700)*0.6,-2)</f>
        <v>#REF!</v>
      </c>
      <c r="T700" t="str">
        <f>ROUND((P700+Q700)*0.7,-2)</f>
        <v>#REF!</v>
      </c>
      <c r="U700" t="str">
        <f>ROUND(SUM(P700+Q700+R700+S700), -2)</f>
        <v>#REF!</v>
      </c>
      <c r="V700" t="str">
        <f>ROUND(P700+Q700+R700+T700, -2)</f>
        <v>#REF!</v>
      </c>
      <c r="W700">
        <v>0</v>
      </c>
      <c r="X700" t="str">
        <f>U700*0.038</f>
        <v>#REF!</v>
      </c>
      <c r="Y700" t="str">
        <f>U700*0.02</f>
        <v>#REF!</v>
      </c>
      <c r="Z700" t="str">
        <f>V700*0.1</f>
        <v>#REF!</v>
      </c>
      <c r="AA700" t="str">
        <f>U700-X700-Y700</f>
        <v>#REF!</v>
      </c>
      <c r="AB700" t="str">
        <f>V700-Z700</f>
        <v>#REF!</v>
      </c>
      <c r="AC700" t="str">
        <f>AA700*0.01</f>
        <v>#REF!</v>
      </c>
      <c r="AD700" t="str">
        <f>AA700-P700-AC700-Q700</f>
        <v>#REF!</v>
      </c>
      <c r="AE700" t="str">
        <f>AB700-P700-Q700-AC700</f>
        <v>#REF!</v>
      </c>
      <c r="AF700" t="str">
        <f>AD700/U700</f>
        <v>#REF!</v>
      </c>
      <c r="AG700" t="str">
        <f>AE700/V700</f>
        <v>#REF!</v>
      </c>
    </row>
    <row r="701">
      <c r="G701" t="str">
        <v>A</v>
      </c>
      <c r="J701" t="str">
        <f>IF(K701&gt;0,K701*0.0625,IF(L701&gt;0,L701*2.204623,))</f>
        <v>#REF!</v>
      </c>
      <c r="K701" t="str">
        <f>IF(L701&gt;0,L701*35.273962,IF(J701&gt;0,J701*16,))</f>
        <v>#REF!</v>
      </c>
      <c r="L701" t="str">
        <f>IF(J701&gt;0,J701*0.453592,IF(K701&gt;0,K701*0.02835,))</f>
        <v>#REF!</v>
      </c>
      <c r="O701">
        <f>I701+N701+M701</f>
        <v>0</v>
      </c>
      <c r="P701">
        <f>O701*C$3</f>
        <v>0</v>
      </c>
      <c r="Q701" t="str">
        <f>ROUNDUP(HLOOKUP(IF(CEILING(L701,0.5)&lt;1,1,CEILING(L701,0.5)),'배송비 조회'!A$32:AY$36,2,0),-2)</f>
        <v>#REF!</v>
      </c>
      <c r="R701">
        <v>0</v>
      </c>
      <c r="S701" t="str">
        <f>ROUND((P701+Q701)*0.6,-2)</f>
        <v>#REF!</v>
      </c>
      <c r="T701" t="str">
        <f>ROUND((P701+Q701)*0.7,-2)</f>
        <v>#REF!</v>
      </c>
      <c r="U701" t="str">
        <f>ROUND(SUM(P701+Q701+R701+S701), -2)</f>
        <v>#REF!</v>
      </c>
      <c r="V701" t="str">
        <f>ROUND(P701+Q701+R701+T701, -2)</f>
        <v>#REF!</v>
      </c>
      <c r="W701">
        <v>0</v>
      </c>
      <c r="X701" t="str">
        <f>U701*0.038</f>
        <v>#REF!</v>
      </c>
      <c r="Y701" t="str">
        <f>U701*0.02</f>
        <v>#REF!</v>
      </c>
      <c r="Z701" t="str">
        <f>V701*0.1</f>
        <v>#REF!</v>
      </c>
      <c r="AA701" t="str">
        <f>U701-X701-Y701</f>
        <v>#REF!</v>
      </c>
      <c r="AB701" t="str">
        <f>V701-Z701</f>
        <v>#REF!</v>
      </c>
      <c r="AC701" t="str">
        <f>AA701*0.01</f>
        <v>#REF!</v>
      </c>
      <c r="AD701" t="str">
        <f>AA701-P701-AC701-Q701</f>
        <v>#REF!</v>
      </c>
      <c r="AE701" t="str">
        <f>AB701-P701-Q701-AC701</f>
        <v>#REF!</v>
      </c>
      <c r="AF701" t="str">
        <f>AD701/U701</f>
        <v>#REF!</v>
      </c>
      <c r="AG701" t="str">
        <f>AE701/V701</f>
        <v>#REF!</v>
      </c>
    </row>
    <row r="702">
      <c r="G702" t="str">
        <v>A</v>
      </c>
      <c r="J702" t="str">
        <f>IF(K702&gt;0,K702*0.0625,IF(L702&gt;0,L702*2.204623,))</f>
        <v>#REF!</v>
      </c>
      <c r="K702" t="str">
        <f>IF(L702&gt;0,L702*35.273962,IF(J702&gt;0,J702*16,))</f>
        <v>#REF!</v>
      </c>
      <c r="L702" t="str">
        <f>IF(J702&gt;0,J702*0.453592,IF(K702&gt;0,K702*0.02835,))</f>
        <v>#REF!</v>
      </c>
      <c r="O702">
        <f>I702+N702+M702</f>
        <v>0</v>
      </c>
      <c r="P702">
        <f>O702*C$3</f>
        <v>0</v>
      </c>
      <c r="Q702" t="str">
        <f>ROUNDUP(HLOOKUP(IF(CEILING(L702,0.5)&lt;1,1,CEILING(L702,0.5)),'배송비 조회'!A$32:AY$36,2,0),-2)</f>
        <v>#REF!</v>
      </c>
      <c r="R702">
        <v>0</v>
      </c>
      <c r="S702" t="str">
        <f>ROUND((P702+Q702)*0.6,-2)</f>
        <v>#REF!</v>
      </c>
      <c r="T702" t="str">
        <f>ROUND((P702+Q702)*0.7,-2)</f>
        <v>#REF!</v>
      </c>
      <c r="U702" t="str">
        <f>ROUND(SUM(P702+Q702+R702+S702), -2)</f>
        <v>#REF!</v>
      </c>
      <c r="V702" t="str">
        <f>ROUND(P702+Q702+R702+T702, -2)</f>
        <v>#REF!</v>
      </c>
      <c r="W702">
        <v>0</v>
      </c>
      <c r="X702" t="str">
        <f>U702*0.038</f>
        <v>#REF!</v>
      </c>
      <c r="Y702" t="str">
        <f>U702*0.02</f>
        <v>#REF!</v>
      </c>
      <c r="Z702" t="str">
        <f>V702*0.1</f>
        <v>#REF!</v>
      </c>
      <c r="AA702" t="str">
        <f>U702-X702-Y702</f>
        <v>#REF!</v>
      </c>
      <c r="AB702" t="str">
        <f>V702-Z702</f>
        <v>#REF!</v>
      </c>
      <c r="AC702" t="str">
        <f>AA702*0.01</f>
        <v>#REF!</v>
      </c>
      <c r="AD702" t="str">
        <f>AA702-P702-AC702-Q702</f>
        <v>#REF!</v>
      </c>
      <c r="AE702" t="str">
        <f>AB702-P702-Q702-AC702</f>
        <v>#REF!</v>
      </c>
      <c r="AF702" t="str">
        <f>AD702/U702</f>
        <v>#REF!</v>
      </c>
      <c r="AG702" t="str">
        <f>AE702/V702</f>
        <v>#REF!</v>
      </c>
    </row>
    <row r="703">
      <c r="G703" t="str">
        <v>A</v>
      </c>
      <c r="J703" t="str">
        <f>IF(K703&gt;0,K703*0.0625,IF(L703&gt;0,L703*2.204623,))</f>
        <v>#REF!</v>
      </c>
      <c r="K703" t="str">
        <f>IF(L703&gt;0,L703*35.273962,IF(J703&gt;0,J703*16,))</f>
        <v>#REF!</v>
      </c>
      <c r="L703" t="str">
        <f>IF(J703&gt;0,J703*0.453592,IF(K703&gt;0,K703*0.02835,))</f>
        <v>#REF!</v>
      </c>
      <c r="O703">
        <f>I703+N703+M703</f>
        <v>0</v>
      </c>
      <c r="P703">
        <f>O703*C$3</f>
        <v>0</v>
      </c>
      <c r="Q703" t="str">
        <f>ROUNDUP(HLOOKUP(IF(CEILING(L703,0.5)&lt;1,1,CEILING(L703,0.5)),'배송비 조회'!A$32:AY$36,2,0),-2)</f>
        <v>#REF!</v>
      </c>
      <c r="R703">
        <v>0</v>
      </c>
      <c r="S703" t="str">
        <f>ROUND((P703+Q703)*0.6,-2)</f>
        <v>#REF!</v>
      </c>
      <c r="T703" t="str">
        <f>ROUND((P703+Q703)*0.7,-2)</f>
        <v>#REF!</v>
      </c>
      <c r="U703" t="str">
        <f>ROUND(SUM(P703+Q703+R703+S703), -2)</f>
        <v>#REF!</v>
      </c>
      <c r="V703" t="str">
        <f>ROUND(P703+Q703+R703+T703, -2)</f>
        <v>#REF!</v>
      </c>
      <c r="W703">
        <v>0</v>
      </c>
      <c r="X703" t="str">
        <f>U703*0.038</f>
        <v>#REF!</v>
      </c>
      <c r="Y703" t="str">
        <f>U703*0.02</f>
        <v>#REF!</v>
      </c>
      <c r="Z703" t="str">
        <f>V703*0.1</f>
        <v>#REF!</v>
      </c>
      <c r="AA703" t="str">
        <f>U703-X703-Y703</f>
        <v>#REF!</v>
      </c>
      <c r="AB703" t="str">
        <f>V703-Z703</f>
        <v>#REF!</v>
      </c>
      <c r="AC703" t="str">
        <f>AA703*0.01</f>
        <v>#REF!</v>
      </c>
      <c r="AD703" t="str">
        <f>AA703-P703-AC703-Q703</f>
        <v>#REF!</v>
      </c>
      <c r="AE703" t="str">
        <f>AB703-P703-Q703-AC703</f>
        <v>#REF!</v>
      </c>
      <c r="AF703" t="str">
        <f>AD703/U703</f>
        <v>#REF!</v>
      </c>
      <c r="AG703" t="str">
        <f>AE703/V703</f>
        <v>#REF!</v>
      </c>
    </row>
    <row r="704">
      <c r="G704" t="str">
        <v>A</v>
      </c>
      <c r="J704" t="str">
        <f>IF(K704&gt;0,K704*0.0625,IF(L704&gt;0,L704*2.204623,))</f>
        <v>#REF!</v>
      </c>
      <c r="K704" t="str">
        <f>IF(L704&gt;0,L704*35.273962,IF(J704&gt;0,J704*16,))</f>
        <v>#REF!</v>
      </c>
      <c r="L704" t="str">
        <f>IF(J704&gt;0,J704*0.453592,IF(K704&gt;0,K704*0.02835,))</f>
        <v>#REF!</v>
      </c>
      <c r="O704">
        <f>I704+N704+M704</f>
        <v>0</v>
      </c>
      <c r="P704">
        <f>O704*C$3</f>
        <v>0</v>
      </c>
      <c r="Q704" t="str">
        <f>ROUNDUP(HLOOKUP(IF(CEILING(L704,0.5)&lt;1,1,CEILING(L704,0.5)),'배송비 조회'!A$32:AY$36,2,0),-2)</f>
        <v>#REF!</v>
      </c>
      <c r="R704">
        <v>0</v>
      </c>
      <c r="S704" t="str">
        <f>ROUND((P704+Q704)*0.6,-2)</f>
        <v>#REF!</v>
      </c>
      <c r="T704" t="str">
        <f>ROUND((P704+Q704)*0.7,-2)</f>
        <v>#REF!</v>
      </c>
      <c r="U704" t="str">
        <f>ROUND(SUM(P704+Q704+R704+S704), -2)</f>
        <v>#REF!</v>
      </c>
      <c r="V704" t="str">
        <f>ROUND(P704+Q704+R704+T704, -2)</f>
        <v>#REF!</v>
      </c>
      <c r="W704">
        <v>0</v>
      </c>
      <c r="X704" t="str">
        <f>U704*0.038</f>
        <v>#REF!</v>
      </c>
      <c r="Y704" t="str">
        <f>U704*0.02</f>
        <v>#REF!</v>
      </c>
      <c r="Z704" t="str">
        <f>V704*0.1</f>
        <v>#REF!</v>
      </c>
      <c r="AA704" t="str">
        <f>U704-X704-Y704</f>
        <v>#REF!</v>
      </c>
      <c r="AB704" t="str">
        <f>V704-Z704</f>
        <v>#REF!</v>
      </c>
      <c r="AC704" t="str">
        <f>AA704*0.01</f>
        <v>#REF!</v>
      </c>
      <c r="AD704" t="str">
        <f>AA704-P704-AC704-Q704</f>
        <v>#REF!</v>
      </c>
      <c r="AE704" t="str">
        <f>AB704-P704-Q704-AC704</f>
        <v>#REF!</v>
      </c>
      <c r="AF704" t="str">
        <f>AD704/U704</f>
        <v>#REF!</v>
      </c>
      <c r="AG704" t="str">
        <f>AE704/V704</f>
        <v>#REF!</v>
      </c>
    </row>
    <row r="705">
      <c r="G705" t="str">
        <v>A</v>
      </c>
      <c r="J705" t="str">
        <f>IF(K705&gt;0,K705*0.0625,IF(L705&gt;0,L705*2.204623,))</f>
        <v>#REF!</v>
      </c>
      <c r="K705" t="str">
        <f>IF(L705&gt;0,L705*35.273962,IF(J705&gt;0,J705*16,))</f>
        <v>#REF!</v>
      </c>
      <c r="L705" t="str">
        <f>IF(J705&gt;0,J705*0.453592,IF(K705&gt;0,K705*0.02835,))</f>
        <v>#REF!</v>
      </c>
      <c r="O705">
        <f>I705+N705+M705</f>
        <v>0</v>
      </c>
      <c r="P705">
        <f>O705*C$3</f>
        <v>0</v>
      </c>
      <c r="Q705" t="str">
        <f>ROUNDUP(HLOOKUP(IF(CEILING(L705,0.5)&lt;1,1,CEILING(L705,0.5)),'배송비 조회'!A$32:AY$36,2,0),-2)</f>
        <v>#REF!</v>
      </c>
      <c r="R705">
        <v>0</v>
      </c>
      <c r="S705" t="str">
        <f>ROUND((P705+Q705)*0.6,-2)</f>
        <v>#REF!</v>
      </c>
      <c r="T705" t="str">
        <f>ROUND((P705+Q705)*0.7,-2)</f>
        <v>#REF!</v>
      </c>
      <c r="U705" t="str">
        <f>ROUND(SUM(P705+Q705+R705+S705), -2)</f>
        <v>#REF!</v>
      </c>
      <c r="V705" t="str">
        <f>ROUND(P705+Q705+R705+T705, -2)</f>
        <v>#REF!</v>
      </c>
      <c r="W705">
        <v>0</v>
      </c>
      <c r="X705" t="str">
        <f>U705*0.038</f>
        <v>#REF!</v>
      </c>
      <c r="Y705" t="str">
        <f>U705*0.02</f>
        <v>#REF!</v>
      </c>
      <c r="Z705" t="str">
        <f>V705*0.1</f>
        <v>#REF!</v>
      </c>
      <c r="AA705" t="str">
        <f>U705-X705-Y705</f>
        <v>#REF!</v>
      </c>
      <c r="AB705" t="str">
        <f>V705-Z705</f>
        <v>#REF!</v>
      </c>
      <c r="AC705" t="str">
        <f>AA705*0.01</f>
        <v>#REF!</v>
      </c>
      <c r="AD705" t="str">
        <f>AA705-P705-AC705-Q705</f>
        <v>#REF!</v>
      </c>
      <c r="AE705" t="str">
        <f>AB705-P705-Q705-AC705</f>
        <v>#REF!</v>
      </c>
      <c r="AF705" t="str">
        <f>AD705/U705</f>
        <v>#REF!</v>
      </c>
      <c r="AG705" t="str">
        <f>AE705/V705</f>
        <v>#REF!</v>
      </c>
    </row>
    <row r="706">
      <c r="G706" t="str">
        <v>A</v>
      </c>
      <c r="J706" t="str">
        <f>IF(K706&gt;0,K706*0.0625,IF(L706&gt;0,L706*2.204623,))</f>
        <v>#REF!</v>
      </c>
      <c r="K706" t="str">
        <f>IF(L706&gt;0,L706*35.273962,IF(J706&gt;0,J706*16,))</f>
        <v>#REF!</v>
      </c>
      <c r="L706" t="str">
        <f>IF(J706&gt;0,J706*0.453592,IF(K706&gt;0,K706*0.02835,))</f>
        <v>#REF!</v>
      </c>
      <c r="O706">
        <f>I706+N706+M706</f>
        <v>0</v>
      </c>
      <c r="P706">
        <f>O706*C$3</f>
        <v>0</v>
      </c>
      <c r="Q706" t="str">
        <f>ROUNDUP(HLOOKUP(IF(CEILING(L706,0.5)&lt;1,1,CEILING(L706,0.5)),'배송비 조회'!A$32:AY$36,2,0),-2)</f>
        <v>#REF!</v>
      </c>
      <c r="R706">
        <v>0</v>
      </c>
      <c r="S706" t="str">
        <f>ROUND((P706+Q706)*0.6,-2)</f>
        <v>#REF!</v>
      </c>
      <c r="T706" t="str">
        <f>ROUND((P706+Q706)*0.7,-2)</f>
        <v>#REF!</v>
      </c>
      <c r="U706" t="str">
        <f>ROUND(SUM(P706+Q706+R706+S706), -2)</f>
        <v>#REF!</v>
      </c>
      <c r="V706" t="str">
        <f>ROUND(P706+Q706+R706+T706, -2)</f>
        <v>#REF!</v>
      </c>
      <c r="W706">
        <v>0</v>
      </c>
      <c r="X706" t="str">
        <f>U706*0.038</f>
        <v>#REF!</v>
      </c>
      <c r="Y706" t="str">
        <f>U706*0.02</f>
        <v>#REF!</v>
      </c>
      <c r="Z706" t="str">
        <f>V706*0.1</f>
        <v>#REF!</v>
      </c>
      <c r="AA706" t="str">
        <f>U706-X706-Y706</f>
        <v>#REF!</v>
      </c>
      <c r="AB706" t="str">
        <f>V706-Z706</f>
        <v>#REF!</v>
      </c>
      <c r="AC706" t="str">
        <f>AA706*0.01</f>
        <v>#REF!</v>
      </c>
      <c r="AD706" t="str">
        <f>AA706-P706-AC706-Q706</f>
        <v>#REF!</v>
      </c>
      <c r="AE706" t="str">
        <f>AB706-P706-Q706-AC706</f>
        <v>#REF!</v>
      </c>
      <c r="AF706" t="str">
        <f>AD706/U706</f>
        <v>#REF!</v>
      </c>
      <c r="AG706" t="str">
        <f>AE706/V706</f>
        <v>#REF!</v>
      </c>
    </row>
    <row r="707">
      <c r="G707" t="str">
        <v>A</v>
      </c>
      <c r="J707" t="str">
        <f>IF(K707&gt;0,K707*0.0625,IF(L707&gt;0,L707*2.204623,))</f>
        <v>#REF!</v>
      </c>
      <c r="K707" t="str">
        <f>IF(L707&gt;0,L707*35.273962,IF(J707&gt;0,J707*16,))</f>
        <v>#REF!</v>
      </c>
      <c r="L707" t="str">
        <f>IF(J707&gt;0,J707*0.453592,IF(K707&gt;0,K707*0.02835,))</f>
        <v>#REF!</v>
      </c>
      <c r="O707">
        <f>I707+N707+M707</f>
        <v>0</v>
      </c>
      <c r="P707">
        <f>O707*C$3</f>
        <v>0</v>
      </c>
      <c r="Q707" t="str">
        <f>ROUNDUP(HLOOKUP(IF(CEILING(L707,0.5)&lt;1,1,CEILING(L707,0.5)),'배송비 조회'!A$32:AY$36,2,0),-2)</f>
        <v>#REF!</v>
      </c>
      <c r="R707">
        <v>0</v>
      </c>
      <c r="S707" t="str">
        <f>ROUND((P707+Q707)*0.6,-2)</f>
        <v>#REF!</v>
      </c>
      <c r="T707" t="str">
        <f>ROUND((P707+Q707)*0.7,-2)</f>
        <v>#REF!</v>
      </c>
      <c r="U707" t="str">
        <f>ROUND(SUM(P707+Q707+R707+S707), -2)</f>
        <v>#REF!</v>
      </c>
      <c r="V707" t="str">
        <f>ROUND(P707+Q707+R707+T707, -2)</f>
        <v>#REF!</v>
      </c>
      <c r="W707">
        <v>0</v>
      </c>
      <c r="X707" t="str">
        <f>U707*0.038</f>
        <v>#REF!</v>
      </c>
      <c r="Y707" t="str">
        <f>U707*0.02</f>
        <v>#REF!</v>
      </c>
      <c r="Z707" t="str">
        <f>V707*0.1</f>
        <v>#REF!</v>
      </c>
      <c r="AA707" t="str">
        <f>U707-X707-Y707</f>
        <v>#REF!</v>
      </c>
      <c r="AB707" t="str">
        <f>V707-Z707</f>
        <v>#REF!</v>
      </c>
      <c r="AC707" t="str">
        <f>AA707*0.01</f>
        <v>#REF!</v>
      </c>
      <c r="AD707" t="str">
        <f>AA707-P707-AC707-Q707</f>
        <v>#REF!</v>
      </c>
      <c r="AE707" t="str">
        <f>AB707-P707-Q707-AC707</f>
        <v>#REF!</v>
      </c>
      <c r="AF707" t="str">
        <f>AD707/U707</f>
        <v>#REF!</v>
      </c>
      <c r="AG707" t="str">
        <f>AE707/V707</f>
        <v>#REF!</v>
      </c>
    </row>
    <row r="708">
      <c r="G708" t="str">
        <v>A</v>
      </c>
      <c r="J708" t="str">
        <f>IF(K708&gt;0,K708*0.0625,IF(L708&gt;0,L708*2.204623,))</f>
        <v>#REF!</v>
      </c>
      <c r="K708" t="str">
        <f>IF(L708&gt;0,L708*35.273962,IF(J708&gt;0,J708*16,))</f>
        <v>#REF!</v>
      </c>
      <c r="L708" t="str">
        <f>IF(J708&gt;0,J708*0.453592,IF(K708&gt;0,K708*0.02835,))</f>
        <v>#REF!</v>
      </c>
      <c r="O708">
        <f>I708+N708+M708</f>
        <v>0</v>
      </c>
      <c r="P708">
        <f>O708*C$3</f>
        <v>0</v>
      </c>
      <c r="Q708" t="str">
        <f>ROUNDUP(HLOOKUP(IF(CEILING(L708,0.5)&lt;1,1,CEILING(L708,0.5)),'배송비 조회'!A$32:AY$36,2,0),-2)</f>
        <v>#REF!</v>
      </c>
      <c r="R708">
        <v>0</v>
      </c>
      <c r="S708" t="str">
        <f>ROUND((P708+Q708)*0.6,-2)</f>
        <v>#REF!</v>
      </c>
      <c r="T708" t="str">
        <f>ROUND((P708+Q708)*0.7,-2)</f>
        <v>#REF!</v>
      </c>
      <c r="U708" t="str">
        <f>ROUND(SUM(P708+Q708+R708+S708), -2)</f>
        <v>#REF!</v>
      </c>
      <c r="V708" t="str">
        <f>ROUND(P708+Q708+R708+T708, -2)</f>
        <v>#REF!</v>
      </c>
      <c r="W708">
        <v>0</v>
      </c>
      <c r="X708" t="str">
        <f>U708*0.038</f>
        <v>#REF!</v>
      </c>
      <c r="Y708" t="str">
        <f>U708*0.02</f>
        <v>#REF!</v>
      </c>
      <c r="Z708" t="str">
        <f>V708*0.1</f>
        <v>#REF!</v>
      </c>
      <c r="AA708" t="str">
        <f>U708-X708-Y708</f>
        <v>#REF!</v>
      </c>
      <c r="AB708" t="str">
        <f>V708-Z708</f>
        <v>#REF!</v>
      </c>
      <c r="AC708" t="str">
        <f>AA708*0.01</f>
        <v>#REF!</v>
      </c>
      <c r="AD708" t="str">
        <f>AA708-P708-AC708-Q708</f>
        <v>#REF!</v>
      </c>
      <c r="AE708" t="str">
        <f>AB708-P708-Q708-AC708</f>
        <v>#REF!</v>
      </c>
      <c r="AF708" t="str">
        <f>AD708/U708</f>
        <v>#REF!</v>
      </c>
      <c r="AG708" t="str">
        <f>AE708/V708</f>
        <v>#REF!</v>
      </c>
    </row>
    <row r="709">
      <c r="G709" t="str">
        <v>A</v>
      </c>
      <c r="J709" t="str">
        <f>IF(K709&gt;0,K709*0.0625,IF(L709&gt;0,L709*2.204623,))</f>
        <v>#REF!</v>
      </c>
      <c r="K709" t="str">
        <f>IF(L709&gt;0,L709*35.273962,IF(J709&gt;0,J709*16,))</f>
        <v>#REF!</v>
      </c>
      <c r="L709" t="str">
        <f>IF(J709&gt;0,J709*0.453592,IF(K709&gt;0,K709*0.02835,))</f>
        <v>#REF!</v>
      </c>
      <c r="O709">
        <f>I709+N709+M709</f>
        <v>0</v>
      </c>
      <c r="P709">
        <f>O709*C$3</f>
        <v>0</v>
      </c>
      <c r="Q709" t="str">
        <f>ROUNDUP(HLOOKUP(IF(CEILING(L709,0.5)&lt;1,1,CEILING(L709,0.5)),'배송비 조회'!A$32:AY$36,2,0),-2)</f>
        <v>#REF!</v>
      </c>
      <c r="R709">
        <v>0</v>
      </c>
      <c r="S709" t="str">
        <f>ROUND((P709+Q709)*0.6,-2)</f>
        <v>#REF!</v>
      </c>
      <c r="T709" t="str">
        <f>ROUND((P709+Q709)*0.7,-2)</f>
        <v>#REF!</v>
      </c>
      <c r="U709" t="str">
        <f>ROUND(SUM(P709+Q709+R709+S709), -2)</f>
        <v>#REF!</v>
      </c>
      <c r="V709" t="str">
        <f>ROUND(P709+Q709+R709+T709, -2)</f>
        <v>#REF!</v>
      </c>
      <c r="W709">
        <v>0</v>
      </c>
      <c r="X709" t="str">
        <f>U709*0.038</f>
        <v>#REF!</v>
      </c>
      <c r="Y709" t="str">
        <f>U709*0.02</f>
        <v>#REF!</v>
      </c>
      <c r="Z709" t="str">
        <f>V709*0.1</f>
        <v>#REF!</v>
      </c>
      <c r="AA709" t="str">
        <f>U709-X709-Y709</f>
        <v>#REF!</v>
      </c>
      <c r="AB709" t="str">
        <f>V709-Z709</f>
        <v>#REF!</v>
      </c>
      <c r="AC709" t="str">
        <f>AA709*0.01</f>
        <v>#REF!</v>
      </c>
      <c r="AD709" t="str">
        <f>AA709-P709-AC709-Q709</f>
        <v>#REF!</v>
      </c>
      <c r="AE709" t="str">
        <f>AB709-P709-Q709-AC709</f>
        <v>#REF!</v>
      </c>
      <c r="AF709" t="str">
        <f>AD709/U709</f>
        <v>#REF!</v>
      </c>
      <c r="AG709" t="str">
        <f>AE709/V709</f>
        <v>#REF!</v>
      </c>
    </row>
    <row r="710">
      <c r="G710" t="str">
        <v>A</v>
      </c>
      <c r="J710" t="str">
        <f>IF(K710&gt;0,K710*0.0625,IF(L710&gt;0,L710*2.204623,))</f>
        <v>#REF!</v>
      </c>
      <c r="K710" t="str">
        <f>IF(L710&gt;0,L710*35.273962,IF(J710&gt;0,J710*16,))</f>
        <v>#REF!</v>
      </c>
      <c r="L710" t="str">
        <f>IF(J710&gt;0,J710*0.453592,IF(K710&gt;0,K710*0.02835,))</f>
        <v>#REF!</v>
      </c>
      <c r="O710">
        <f>I710+N710+M710</f>
        <v>0</v>
      </c>
      <c r="P710">
        <f>O710*C$3</f>
        <v>0</v>
      </c>
      <c r="Q710" t="str">
        <f>ROUNDUP(HLOOKUP(IF(CEILING(L710,0.5)&lt;1,1,CEILING(L710,0.5)),'배송비 조회'!A$32:AY$36,2,0),-2)</f>
        <v>#REF!</v>
      </c>
      <c r="R710">
        <v>0</v>
      </c>
      <c r="S710" t="str">
        <f>ROUND((P710+Q710)*0.6,-2)</f>
        <v>#REF!</v>
      </c>
      <c r="T710" t="str">
        <f>ROUND((P710+Q710)*0.7,-2)</f>
        <v>#REF!</v>
      </c>
      <c r="U710" t="str">
        <f>ROUND(SUM(P710+Q710+R710+S710), -2)</f>
        <v>#REF!</v>
      </c>
      <c r="V710" t="str">
        <f>ROUND(P710+Q710+R710+T710, -2)</f>
        <v>#REF!</v>
      </c>
      <c r="W710">
        <v>0</v>
      </c>
      <c r="X710" t="str">
        <f>U710*0.038</f>
        <v>#REF!</v>
      </c>
      <c r="Y710" t="str">
        <f>U710*0.02</f>
        <v>#REF!</v>
      </c>
      <c r="Z710" t="str">
        <f>V710*0.1</f>
        <v>#REF!</v>
      </c>
      <c r="AA710" t="str">
        <f>U710-X710-Y710</f>
        <v>#REF!</v>
      </c>
      <c r="AB710" t="str">
        <f>V710-Z710</f>
        <v>#REF!</v>
      </c>
      <c r="AC710" t="str">
        <f>AA710*0.01</f>
        <v>#REF!</v>
      </c>
      <c r="AD710" t="str">
        <f>AA710-P710-AC710-Q710</f>
        <v>#REF!</v>
      </c>
      <c r="AE710" t="str">
        <f>AB710-P710-Q710-AC710</f>
        <v>#REF!</v>
      </c>
      <c r="AF710" t="str">
        <f>AD710/U710</f>
        <v>#REF!</v>
      </c>
      <c r="AG710" t="str">
        <f>AE710/V710</f>
        <v>#REF!</v>
      </c>
    </row>
    <row r="711">
      <c r="G711" t="str">
        <v>A</v>
      </c>
      <c r="J711" t="str">
        <f>IF(K711&gt;0,K711*0.0625,IF(L711&gt;0,L711*2.204623,))</f>
        <v>#REF!</v>
      </c>
      <c r="K711" t="str">
        <f>IF(L711&gt;0,L711*35.273962,IF(J711&gt;0,J711*16,))</f>
        <v>#REF!</v>
      </c>
      <c r="L711" t="str">
        <f>IF(J711&gt;0,J711*0.453592,IF(K711&gt;0,K711*0.02835,))</f>
        <v>#REF!</v>
      </c>
      <c r="O711">
        <f>I711+N711+M711</f>
        <v>0</v>
      </c>
      <c r="P711">
        <f>O711*C$3</f>
        <v>0</v>
      </c>
      <c r="Q711" t="str">
        <f>ROUNDUP(HLOOKUP(IF(CEILING(L711,0.5)&lt;1,1,CEILING(L711,0.5)),'배송비 조회'!A$32:AY$36,2,0),-2)</f>
        <v>#REF!</v>
      </c>
      <c r="R711">
        <v>0</v>
      </c>
      <c r="S711" t="str">
        <f>ROUND((P711+Q711)*0.6,-2)</f>
        <v>#REF!</v>
      </c>
      <c r="T711" t="str">
        <f>ROUND((P711+Q711)*0.7,-2)</f>
        <v>#REF!</v>
      </c>
      <c r="U711" t="str">
        <f>ROUND(SUM(P711+Q711+R711+S711), -2)</f>
        <v>#REF!</v>
      </c>
      <c r="V711" t="str">
        <f>ROUND(P711+Q711+R711+T711, -2)</f>
        <v>#REF!</v>
      </c>
      <c r="W711">
        <v>0</v>
      </c>
      <c r="X711" t="str">
        <f>U711*0.038</f>
        <v>#REF!</v>
      </c>
      <c r="Y711" t="str">
        <f>U711*0.02</f>
        <v>#REF!</v>
      </c>
      <c r="Z711" t="str">
        <f>V711*0.1</f>
        <v>#REF!</v>
      </c>
      <c r="AA711" t="str">
        <f>U711-X711-Y711</f>
        <v>#REF!</v>
      </c>
      <c r="AB711" t="str">
        <f>V711-Z711</f>
        <v>#REF!</v>
      </c>
      <c r="AC711" t="str">
        <f>AA711*0.01</f>
        <v>#REF!</v>
      </c>
      <c r="AD711" t="str">
        <f>AA711-P711-AC711-Q711</f>
        <v>#REF!</v>
      </c>
      <c r="AE711" t="str">
        <f>AB711-P711-Q711-AC711</f>
        <v>#REF!</v>
      </c>
      <c r="AF711" t="str">
        <f>AD711/U711</f>
        <v>#REF!</v>
      </c>
      <c r="AG711" t="str">
        <f>AE711/V711</f>
        <v>#REF!</v>
      </c>
    </row>
    <row r="712">
      <c r="G712" t="str">
        <v>A</v>
      </c>
      <c r="J712" t="str">
        <f>IF(K712&gt;0,K712*0.0625,IF(L712&gt;0,L712*2.204623,))</f>
        <v>#REF!</v>
      </c>
      <c r="K712" t="str">
        <f>IF(L712&gt;0,L712*35.273962,IF(J712&gt;0,J712*16,))</f>
        <v>#REF!</v>
      </c>
      <c r="L712" t="str">
        <f>IF(J712&gt;0,J712*0.453592,IF(K712&gt;0,K712*0.02835,))</f>
        <v>#REF!</v>
      </c>
      <c r="O712">
        <f>I712+N712+M712</f>
        <v>0</v>
      </c>
      <c r="P712">
        <f>O712*C$3</f>
        <v>0</v>
      </c>
      <c r="Q712" t="str">
        <f>ROUNDUP(HLOOKUP(IF(CEILING(L712,0.5)&lt;1,1,CEILING(L712,0.5)),'배송비 조회'!A$32:AY$36,2,0),-2)</f>
        <v>#REF!</v>
      </c>
      <c r="R712">
        <v>0</v>
      </c>
      <c r="S712" t="str">
        <f>ROUND((P712+Q712)*0.6,-2)</f>
        <v>#REF!</v>
      </c>
      <c r="T712" t="str">
        <f>ROUND((P712+Q712)*0.7,-2)</f>
        <v>#REF!</v>
      </c>
      <c r="U712" t="str">
        <f>ROUND(SUM(P712+Q712+R712+S712), -2)</f>
        <v>#REF!</v>
      </c>
      <c r="V712" t="str">
        <f>ROUND(P712+Q712+R712+T712, -2)</f>
        <v>#REF!</v>
      </c>
      <c r="W712">
        <v>0</v>
      </c>
      <c r="X712" t="str">
        <f>U712*0.038</f>
        <v>#REF!</v>
      </c>
      <c r="Y712" t="str">
        <f>U712*0.02</f>
        <v>#REF!</v>
      </c>
      <c r="Z712" t="str">
        <f>V712*0.1</f>
        <v>#REF!</v>
      </c>
      <c r="AA712" t="str">
        <f>U712-X712-Y712</f>
        <v>#REF!</v>
      </c>
      <c r="AB712" t="str">
        <f>V712-Z712</f>
        <v>#REF!</v>
      </c>
      <c r="AC712" t="str">
        <f>AA712*0.01</f>
        <v>#REF!</v>
      </c>
      <c r="AD712" t="str">
        <f>AA712-P712-AC712-Q712</f>
        <v>#REF!</v>
      </c>
      <c r="AE712" t="str">
        <f>AB712-P712-Q712-AC712</f>
        <v>#REF!</v>
      </c>
      <c r="AF712" t="str">
        <f>AD712/U712</f>
        <v>#REF!</v>
      </c>
      <c r="AG712" t="str">
        <f>AE712/V712</f>
        <v>#REF!</v>
      </c>
    </row>
    <row r="713">
      <c r="G713" t="str">
        <v>A</v>
      </c>
      <c r="J713" t="str">
        <f>IF(K713&gt;0,K713*0.0625,IF(L713&gt;0,L713*2.204623,))</f>
        <v>#REF!</v>
      </c>
      <c r="K713" t="str">
        <f>IF(L713&gt;0,L713*35.273962,IF(J713&gt;0,J713*16,))</f>
        <v>#REF!</v>
      </c>
      <c r="L713" t="str">
        <f>IF(J713&gt;0,J713*0.453592,IF(K713&gt;0,K713*0.02835,))</f>
        <v>#REF!</v>
      </c>
      <c r="O713">
        <f>I713+N713+M713</f>
        <v>0</v>
      </c>
      <c r="P713">
        <f>O713*C$3</f>
        <v>0</v>
      </c>
      <c r="Q713" t="str">
        <f>ROUNDUP(HLOOKUP(IF(CEILING(L713,0.5)&lt;1,1,CEILING(L713,0.5)),'배송비 조회'!A$32:AY$36,2,0),-2)</f>
        <v>#REF!</v>
      </c>
      <c r="R713">
        <v>0</v>
      </c>
      <c r="S713" t="str">
        <f>ROUND((P713+Q713)*0.6,-2)</f>
        <v>#REF!</v>
      </c>
      <c r="T713" t="str">
        <f>ROUND((P713+Q713)*0.7,-2)</f>
        <v>#REF!</v>
      </c>
      <c r="U713" t="str">
        <f>ROUND(SUM(P713+Q713+R713+S713), -2)</f>
        <v>#REF!</v>
      </c>
      <c r="V713" t="str">
        <f>ROUND(P713+Q713+R713+T713, -2)</f>
        <v>#REF!</v>
      </c>
      <c r="W713">
        <v>0</v>
      </c>
      <c r="X713" t="str">
        <f>U713*0.038</f>
        <v>#REF!</v>
      </c>
      <c r="Y713" t="str">
        <f>U713*0.02</f>
        <v>#REF!</v>
      </c>
      <c r="Z713" t="str">
        <f>V713*0.1</f>
        <v>#REF!</v>
      </c>
      <c r="AA713" t="str">
        <f>U713-X713-Y713</f>
        <v>#REF!</v>
      </c>
      <c r="AB713" t="str">
        <f>V713-Z713</f>
        <v>#REF!</v>
      </c>
      <c r="AC713" t="str">
        <f>AA713*0.01</f>
        <v>#REF!</v>
      </c>
      <c r="AD713" t="str">
        <f>AA713-P713-AC713-Q713</f>
        <v>#REF!</v>
      </c>
      <c r="AE713" t="str">
        <f>AB713-P713-Q713-AC713</f>
        <v>#REF!</v>
      </c>
      <c r="AF713" t="str">
        <f>AD713/U713</f>
        <v>#REF!</v>
      </c>
      <c r="AG713" t="str">
        <f>AE713/V713</f>
        <v>#REF!</v>
      </c>
    </row>
    <row r="714">
      <c r="G714" t="str">
        <v>A</v>
      </c>
      <c r="J714" t="str">
        <f>IF(K714&gt;0,K714*0.0625,IF(L714&gt;0,L714*2.204623,))</f>
        <v>#REF!</v>
      </c>
      <c r="K714" t="str">
        <f>IF(L714&gt;0,L714*35.273962,IF(J714&gt;0,J714*16,))</f>
        <v>#REF!</v>
      </c>
      <c r="L714" t="str">
        <f>IF(J714&gt;0,J714*0.453592,IF(K714&gt;0,K714*0.02835,))</f>
        <v>#REF!</v>
      </c>
      <c r="O714">
        <f>I714+N714+M714</f>
        <v>0</v>
      </c>
      <c r="P714">
        <f>O714*C$3</f>
        <v>0</v>
      </c>
      <c r="Q714" t="str">
        <f>ROUNDUP(HLOOKUP(IF(CEILING(L714,0.5)&lt;1,1,CEILING(L714,0.5)),'배송비 조회'!A$32:AY$36,2,0),-2)</f>
        <v>#REF!</v>
      </c>
      <c r="R714">
        <v>0</v>
      </c>
      <c r="S714" t="str">
        <f>ROUND((P714+Q714)*0.6,-2)</f>
        <v>#REF!</v>
      </c>
      <c r="T714" t="str">
        <f>ROUND((P714+Q714)*0.7,-2)</f>
        <v>#REF!</v>
      </c>
      <c r="U714" t="str">
        <f>ROUND(SUM(P714+Q714+R714+S714), -2)</f>
        <v>#REF!</v>
      </c>
      <c r="V714" t="str">
        <f>ROUND(P714+Q714+R714+T714, -2)</f>
        <v>#REF!</v>
      </c>
      <c r="W714">
        <v>0</v>
      </c>
      <c r="X714" t="str">
        <f>U714*0.038</f>
        <v>#REF!</v>
      </c>
      <c r="Y714" t="str">
        <f>U714*0.02</f>
        <v>#REF!</v>
      </c>
      <c r="Z714" t="str">
        <f>V714*0.1</f>
        <v>#REF!</v>
      </c>
      <c r="AA714" t="str">
        <f>U714-X714-Y714</f>
        <v>#REF!</v>
      </c>
      <c r="AB714" t="str">
        <f>V714-Z714</f>
        <v>#REF!</v>
      </c>
      <c r="AC714" t="str">
        <f>AA714*0.01</f>
        <v>#REF!</v>
      </c>
      <c r="AD714" t="str">
        <f>AA714-P714-AC714-Q714</f>
        <v>#REF!</v>
      </c>
      <c r="AE714" t="str">
        <f>AB714-P714-Q714-AC714</f>
        <v>#REF!</v>
      </c>
      <c r="AF714" t="str">
        <f>AD714/U714</f>
        <v>#REF!</v>
      </c>
      <c r="AG714" t="str">
        <f>AE714/V714</f>
        <v>#REF!</v>
      </c>
    </row>
    <row r="715">
      <c r="G715" t="str">
        <v>A</v>
      </c>
      <c r="J715" t="str">
        <f>IF(K715&gt;0,K715*0.0625,IF(L715&gt;0,L715*2.204623,))</f>
        <v>#REF!</v>
      </c>
      <c r="K715" t="str">
        <f>IF(L715&gt;0,L715*35.273962,IF(J715&gt;0,J715*16,))</f>
        <v>#REF!</v>
      </c>
      <c r="L715" t="str">
        <f>IF(J715&gt;0,J715*0.453592,IF(K715&gt;0,K715*0.02835,))</f>
        <v>#REF!</v>
      </c>
      <c r="O715">
        <f>I715+N715+M715</f>
        <v>0</v>
      </c>
      <c r="P715">
        <f>O715*C$3</f>
        <v>0</v>
      </c>
      <c r="Q715" t="str">
        <f>ROUNDUP(HLOOKUP(IF(CEILING(L715,0.5)&lt;1,1,CEILING(L715,0.5)),'배송비 조회'!A$32:AY$36,2,0),-2)</f>
        <v>#REF!</v>
      </c>
      <c r="R715">
        <v>0</v>
      </c>
      <c r="S715" t="str">
        <f>ROUND((P715+Q715)*0.6,-2)</f>
        <v>#REF!</v>
      </c>
      <c r="T715" t="str">
        <f>ROUND((P715+Q715)*0.7,-2)</f>
        <v>#REF!</v>
      </c>
      <c r="U715" t="str">
        <f>ROUND(SUM(P715+Q715+R715+S715), -2)</f>
        <v>#REF!</v>
      </c>
      <c r="V715" t="str">
        <f>ROUND(P715+Q715+R715+T715, -2)</f>
        <v>#REF!</v>
      </c>
      <c r="W715">
        <v>0</v>
      </c>
      <c r="X715" t="str">
        <f>U715*0.038</f>
        <v>#REF!</v>
      </c>
      <c r="Y715" t="str">
        <f>U715*0.02</f>
        <v>#REF!</v>
      </c>
      <c r="Z715" t="str">
        <f>V715*0.1</f>
        <v>#REF!</v>
      </c>
      <c r="AA715" t="str">
        <f>U715-X715-Y715</f>
        <v>#REF!</v>
      </c>
      <c r="AB715" t="str">
        <f>V715-Z715</f>
        <v>#REF!</v>
      </c>
      <c r="AC715" t="str">
        <f>AA715*0.01</f>
        <v>#REF!</v>
      </c>
      <c r="AD715" t="str">
        <f>AA715-P715-AC715-Q715</f>
        <v>#REF!</v>
      </c>
      <c r="AE715" t="str">
        <f>AB715-P715-Q715-AC715</f>
        <v>#REF!</v>
      </c>
      <c r="AF715" t="str">
        <f>AD715/U715</f>
        <v>#REF!</v>
      </c>
      <c r="AG715" t="str">
        <f>AE715/V715</f>
        <v>#REF!</v>
      </c>
    </row>
    <row r="716">
      <c r="G716" t="str">
        <v>A</v>
      </c>
      <c r="J716" t="str">
        <f>IF(K716&gt;0,K716*0.0625,IF(L716&gt;0,L716*2.204623,))</f>
        <v>#REF!</v>
      </c>
      <c r="K716" t="str">
        <f>IF(L716&gt;0,L716*35.273962,IF(J716&gt;0,J716*16,))</f>
        <v>#REF!</v>
      </c>
      <c r="L716" t="str">
        <f>IF(J716&gt;0,J716*0.453592,IF(K716&gt;0,K716*0.02835,))</f>
        <v>#REF!</v>
      </c>
      <c r="O716">
        <f>I716+N716+M716</f>
        <v>0</v>
      </c>
      <c r="P716">
        <f>O716*C$3</f>
        <v>0</v>
      </c>
      <c r="Q716" t="str">
        <f>ROUNDUP(HLOOKUP(IF(CEILING(L716,0.5)&lt;1,1,CEILING(L716,0.5)),'배송비 조회'!A$32:AY$36,2,0),-2)</f>
        <v>#REF!</v>
      </c>
      <c r="R716">
        <v>0</v>
      </c>
      <c r="S716" t="str">
        <f>ROUND((P716+Q716)*0.6,-2)</f>
        <v>#REF!</v>
      </c>
      <c r="T716" t="str">
        <f>ROUND((P716+Q716)*0.7,-2)</f>
        <v>#REF!</v>
      </c>
      <c r="U716" t="str">
        <f>ROUND(SUM(P716+Q716+R716+S716), -2)</f>
        <v>#REF!</v>
      </c>
      <c r="V716" t="str">
        <f>ROUND(P716+Q716+R716+T716, -2)</f>
        <v>#REF!</v>
      </c>
      <c r="W716">
        <v>0</v>
      </c>
      <c r="X716" t="str">
        <f>U716*0.038</f>
        <v>#REF!</v>
      </c>
      <c r="Y716" t="str">
        <f>U716*0.02</f>
        <v>#REF!</v>
      </c>
      <c r="Z716" t="str">
        <f>V716*0.1</f>
        <v>#REF!</v>
      </c>
      <c r="AA716" t="str">
        <f>U716-X716-Y716</f>
        <v>#REF!</v>
      </c>
      <c r="AB716" t="str">
        <f>V716-Z716</f>
        <v>#REF!</v>
      </c>
      <c r="AC716" t="str">
        <f>AA716*0.01</f>
        <v>#REF!</v>
      </c>
      <c r="AD716" t="str">
        <f>AA716-P716-AC716-Q716</f>
        <v>#REF!</v>
      </c>
      <c r="AE716" t="str">
        <f>AB716-P716-Q716-AC716</f>
        <v>#REF!</v>
      </c>
      <c r="AF716" t="str">
        <f>AD716/U716</f>
        <v>#REF!</v>
      </c>
      <c r="AG716" t="str">
        <f>AE716/V716</f>
        <v>#REF!</v>
      </c>
    </row>
    <row r="717">
      <c r="G717" t="str">
        <v>A</v>
      </c>
      <c r="J717" t="str">
        <f>IF(K717&gt;0,K717*0.0625,IF(L717&gt;0,L717*2.204623,))</f>
        <v>#REF!</v>
      </c>
      <c r="K717" t="str">
        <f>IF(L717&gt;0,L717*35.273962,IF(J717&gt;0,J717*16,))</f>
        <v>#REF!</v>
      </c>
      <c r="L717" t="str">
        <f>IF(J717&gt;0,J717*0.453592,IF(K717&gt;0,K717*0.02835,))</f>
        <v>#REF!</v>
      </c>
      <c r="O717">
        <f>I717+N717+M717</f>
        <v>0</v>
      </c>
      <c r="P717">
        <f>O717*C$3</f>
        <v>0</v>
      </c>
      <c r="Q717" t="str">
        <f>ROUNDUP(HLOOKUP(IF(CEILING(L717,0.5)&lt;1,1,CEILING(L717,0.5)),'배송비 조회'!A$32:AY$36,2,0),-2)</f>
        <v>#REF!</v>
      </c>
      <c r="R717">
        <v>0</v>
      </c>
      <c r="S717" t="str">
        <f>ROUND((P717+Q717)*0.6,-2)</f>
        <v>#REF!</v>
      </c>
      <c r="T717" t="str">
        <f>ROUND((P717+Q717)*0.7,-2)</f>
        <v>#REF!</v>
      </c>
      <c r="U717" t="str">
        <f>ROUND(SUM(P717+Q717+R717+S717), -2)</f>
        <v>#REF!</v>
      </c>
      <c r="V717" t="str">
        <f>ROUND(P717+Q717+R717+T717, -2)</f>
        <v>#REF!</v>
      </c>
      <c r="W717">
        <v>0</v>
      </c>
      <c r="X717" t="str">
        <f>U717*0.038</f>
        <v>#REF!</v>
      </c>
      <c r="Y717" t="str">
        <f>U717*0.02</f>
        <v>#REF!</v>
      </c>
      <c r="Z717" t="str">
        <f>V717*0.1</f>
        <v>#REF!</v>
      </c>
      <c r="AA717" t="str">
        <f>U717-X717-Y717</f>
        <v>#REF!</v>
      </c>
      <c r="AB717" t="str">
        <f>V717-Z717</f>
        <v>#REF!</v>
      </c>
      <c r="AC717" t="str">
        <f>AA717*0.01</f>
        <v>#REF!</v>
      </c>
      <c r="AD717" t="str">
        <f>AA717-P717-AC717-Q717</f>
        <v>#REF!</v>
      </c>
      <c r="AE717" t="str">
        <f>AB717-P717-Q717-AC717</f>
        <v>#REF!</v>
      </c>
      <c r="AF717" t="str">
        <f>AD717/U717</f>
        <v>#REF!</v>
      </c>
      <c r="AG717" t="str">
        <f>AE717/V717</f>
        <v>#REF!</v>
      </c>
    </row>
    <row r="718">
      <c r="G718" t="str">
        <v>A</v>
      </c>
      <c r="J718" t="str">
        <f>IF(K718&gt;0,K718*0.0625,IF(L718&gt;0,L718*2.204623,))</f>
        <v>#REF!</v>
      </c>
      <c r="K718" t="str">
        <f>IF(L718&gt;0,L718*35.273962,IF(J718&gt;0,J718*16,))</f>
        <v>#REF!</v>
      </c>
      <c r="L718" t="str">
        <f>IF(J718&gt;0,J718*0.453592,IF(K718&gt;0,K718*0.02835,))</f>
        <v>#REF!</v>
      </c>
      <c r="O718">
        <f>I718+N718+M718</f>
        <v>0</v>
      </c>
      <c r="P718">
        <f>O718*C$3</f>
        <v>0</v>
      </c>
      <c r="Q718" t="str">
        <f>ROUNDUP(HLOOKUP(IF(CEILING(L718,0.5)&lt;1,1,CEILING(L718,0.5)),'배송비 조회'!A$32:AY$36,2,0),-2)</f>
        <v>#REF!</v>
      </c>
      <c r="R718">
        <v>0</v>
      </c>
      <c r="S718" t="str">
        <f>ROUND((P718+Q718)*0.6,-2)</f>
        <v>#REF!</v>
      </c>
      <c r="T718" t="str">
        <f>ROUND((P718+Q718)*0.7,-2)</f>
        <v>#REF!</v>
      </c>
      <c r="U718" t="str">
        <f>ROUND(SUM(P718+Q718+R718+S718), -2)</f>
        <v>#REF!</v>
      </c>
      <c r="V718" t="str">
        <f>ROUND(P718+Q718+R718+T718, -2)</f>
        <v>#REF!</v>
      </c>
      <c r="W718">
        <v>0</v>
      </c>
      <c r="X718" t="str">
        <f>U718*0.038</f>
        <v>#REF!</v>
      </c>
      <c r="Y718" t="str">
        <f>U718*0.02</f>
        <v>#REF!</v>
      </c>
      <c r="Z718" t="str">
        <f>V718*0.1</f>
        <v>#REF!</v>
      </c>
      <c r="AA718" t="str">
        <f>U718-X718-Y718</f>
        <v>#REF!</v>
      </c>
      <c r="AB718" t="str">
        <f>V718-Z718</f>
        <v>#REF!</v>
      </c>
      <c r="AC718" t="str">
        <f>AA718*0.01</f>
        <v>#REF!</v>
      </c>
      <c r="AD718" t="str">
        <f>AA718-P718-AC718-Q718</f>
        <v>#REF!</v>
      </c>
      <c r="AE718" t="str">
        <f>AB718-P718-Q718-AC718</f>
        <v>#REF!</v>
      </c>
      <c r="AF718" t="str">
        <f>AD718/U718</f>
        <v>#REF!</v>
      </c>
      <c r="AG718" t="str">
        <f>AE718/V718</f>
        <v>#REF!</v>
      </c>
    </row>
    <row r="719">
      <c r="G719" t="str">
        <v>A</v>
      </c>
      <c r="J719" t="str">
        <f>IF(K719&gt;0,K719*0.0625,IF(L719&gt;0,L719*2.204623,))</f>
        <v>#REF!</v>
      </c>
      <c r="K719" t="str">
        <f>IF(L719&gt;0,L719*35.273962,IF(J719&gt;0,J719*16,))</f>
        <v>#REF!</v>
      </c>
      <c r="L719" t="str">
        <f>IF(J719&gt;0,J719*0.453592,IF(K719&gt;0,K719*0.02835,))</f>
        <v>#REF!</v>
      </c>
      <c r="O719">
        <f>I719+N719+M719</f>
        <v>0</v>
      </c>
      <c r="P719">
        <f>O719*C$3</f>
        <v>0</v>
      </c>
      <c r="Q719" t="str">
        <f>ROUNDUP(HLOOKUP(IF(CEILING(L719,0.5)&lt;1,1,CEILING(L719,0.5)),'배송비 조회'!A$32:AY$36,2,0),-2)</f>
        <v>#REF!</v>
      </c>
      <c r="R719">
        <v>0</v>
      </c>
      <c r="S719" t="str">
        <f>ROUND((P719+Q719)*0.6,-2)</f>
        <v>#REF!</v>
      </c>
      <c r="T719" t="str">
        <f>ROUND((P719+Q719)*0.7,-2)</f>
        <v>#REF!</v>
      </c>
      <c r="U719" t="str">
        <f>ROUND(SUM(P719+Q719+R719+S719), -2)</f>
        <v>#REF!</v>
      </c>
      <c r="V719" t="str">
        <f>ROUND(P719+Q719+R719+T719, -2)</f>
        <v>#REF!</v>
      </c>
      <c r="W719">
        <v>0</v>
      </c>
      <c r="X719" t="str">
        <f>U719*0.038</f>
        <v>#REF!</v>
      </c>
      <c r="Y719" t="str">
        <f>U719*0.02</f>
        <v>#REF!</v>
      </c>
      <c r="Z719" t="str">
        <f>V719*0.1</f>
        <v>#REF!</v>
      </c>
      <c r="AA719" t="str">
        <f>U719-X719-Y719</f>
        <v>#REF!</v>
      </c>
      <c r="AB719" t="str">
        <f>V719-Z719</f>
        <v>#REF!</v>
      </c>
      <c r="AC719" t="str">
        <f>AA719*0.01</f>
        <v>#REF!</v>
      </c>
      <c r="AD719" t="str">
        <f>AA719-P719-AC719-Q719</f>
        <v>#REF!</v>
      </c>
      <c r="AE719" t="str">
        <f>AB719-P719-Q719-AC719</f>
        <v>#REF!</v>
      </c>
      <c r="AF719" t="str">
        <f>AD719/U719</f>
        <v>#REF!</v>
      </c>
      <c r="AG719" t="str">
        <f>AE719/V719</f>
        <v>#REF!</v>
      </c>
    </row>
    <row r="720">
      <c r="G720" t="str">
        <v>A</v>
      </c>
      <c r="J720" t="str">
        <f>IF(K720&gt;0,K720*0.0625,IF(L720&gt;0,L720*2.204623,))</f>
        <v>#REF!</v>
      </c>
      <c r="K720" t="str">
        <f>IF(L720&gt;0,L720*35.273962,IF(J720&gt;0,J720*16,))</f>
        <v>#REF!</v>
      </c>
      <c r="L720" t="str">
        <f>IF(J720&gt;0,J720*0.453592,IF(K720&gt;0,K720*0.02835,))</f>
        <v>#REF!</v>
      </c>
      <c r="O720">
        <f>I720+N720+M720</f>
        <v>0</v>
      </c>
      <c r="P720">
        <f>O720*C$3</f>
        <v>0</v>
      </c>
      <c r="Q720" t="str">
        <f>ROUNDUP(HLOOKUP(IF(CEILING(L720,0.5)&lt;1,1,CEILING(L720,0.5)),'배송비 조회'!A$32:AY$36,2,0),-2)</f>
        <v>#REF!</v>
      </c>
      <c r="R720">
        <v>0</v>
      </c>
      <c r="S720" t="str">
        <f>ROUND((P720+Q720)*0.6,-2)</f>
        <v>#REF!</v>
      </c>
      <c r="T720" t="str">
        <f>ROUND((P720+Q720)*0.7,-2)</f>
        <v>#REF!</v>
      </c>
      <c r="U720" t="str">
        <f>ROUND(SUM(P720+Q720+R720+S720), -2)</f>
        <v>#REF!</v>
      </c>
      <c r="V720" t="str">
        <f>ROUND(P720+Q720+R720+T720, -2)</f>
        <v>#REF!</v>
      </c>
      <c r="W720">
        <v>0</v>
      </c>
      <c r="X720" t="str">
        <f>U720*0.038</f>
        <v>#REF!</v>
      </c>
      <c r="Y720" t="str">
        <f>U720*0.02</f>
        <v>#REF!</v>
      </c>
      <c r="Z720" t="str">
        <f>V720*0.1</f>
        <v>#REF!</v>
      </c>
      <c r="AA720" t="str">
        <f>U720-X720-Y720</f>
        <v>#REF!</v>
      </c>
      <c r="AB720" t="str">
        <f>V720-Z720</f>
        <v>#REF!</v>
      </c>
      <c r="AC720" t="str">
        <f>AA720*0.01</f>
        <v>#REF!</v>
      </c>
      <c r="AD720" t="str">
        <f>AA720-P720-AC720-Q720</f>
        <v>#REF!</v>
      </c>
      <c r="AE720" t="str">
        <f>AB720-P720-Q720-AC720</f>
        <v>#REF!</v>
      </c>
      <c r="AF720" t="str">
        <f>AD720/U720</f>
        <v>#REF!</v>
      </c>
      <c r="AG720" t="str">
        <f>AE720/V720</f>
        <v>#REF!</v>
      </c>
    </row>
    <row r="721">
      <c r="G721" t="str">
        <v>A</v>
      </c>
      <c r="J721" t="str">
        <f>IF(K721&gt;0,K721*0.0625,IF(L721&gt;0,L721*2.204623,))</f>
        <v>#REF!</v>
      </c>
      <c r="K721" t="str">
        <f>IF(L721&gt;0,L721*35.273962,IF(J721&gt;0,J721*16,))</f>
        <v>#REF!</v>
      </c>
      <c r="L721" t="str">
        <f>IF(J721&gt;0,J721*0.453592,IF(K721&gt;0,K721*0.02835,))</f>
        <v>#REF!</v>
      </c>
      <c r="O721">
        <f>I721+N721+M721</f>
        <v>0</v>
      </c>
      <c r="P721">
        <f>O721*C$3</f>
        <v>0</v>
      </c>
      <c r="Q721" t="str">
        <f>ROUNDUP(HLOOKUP(IF(CEILING(L721,0.5)&lt;1,1,CEILING(L721,0.5)),'배송비 조회'!A$32:AY$36,2,0),-2)</f>
        <v>#REF!</v>
      </c>
      <c r="R721">
        <v>0</v>
      </c>
      <c r="S721" t="str">
        <f>ROUND((P721+Q721)*0.6,-2)</f>
        <v>#REF!</v>
      </c>
      <c r="T721" t="str">
        <f>ROUND((P721+Q721)*0.7,-2)</f>
        <v>#REF!</v>
      </c>
      <c r="U721" t="str">
        <f>ROUND(SUM(P721+Q721+R721+S721), -2)</f>
        <v>#REF!</v>
      </c>
      <c r="V721" t="str">
        <f>ROUND(P721+Q721+R721+T721, -2)</f>
        <v>#REF!</v>
      </c>
      <c r="W721">
        <v>0</v>
      </c>
      <c r="X721" t="str">
        <f>U721*0.038</f>
        <v>#REF!</v>
      </c>
      <c r="Y721" t="str">
        <f>U721*0.02</f>
        <v>#REF!</v>
      </c>
      <c r="Z721" t="str">
        <f>V721*0.1</f>
        <v>#REF!</v>
      </c>
      <c r="AA721" t="str">
        <f>U721-X721-Y721</f>
        <v>#REF!</v>
      </c>
      <c r="AB721" t="str">
        <f>V721-Z721</f>
        <v>#REF!</v>
      </c>
      <c r="AC721" t="str">
        <f>AA721*0.01</f>
        <v>#REF!</v>
      </c>
      <c r="AD721" t="str">
        <f>AA721-P721-AC721-Q721</f>
        <v>#REF!</v>
      </c>
      <c r="AE721" t="str">
        <f>AB721-P721-Q721-AC721</f>
        <v>#REF!</v>
      </c>
      <c r="AF721" t="str">
        <f>AD721/U721</f>
        <v>#REF!</v>
      </c>
      <c r="AG721" t="str">
        <f>AE721/V721</f>
        <v>#REF!</v>
      </c>
    </row>
    <row r="722">
      <c r="G722" t="str">
        <v>A</v>
      </c>
      <c r="J722" t="str">
        <f>IF(K722&gt;0,K722*0.0625,IF(L722&gt;0,L722*2.204623,))</f>
        <v>#REF!</v>
      </c>
      <c r="K722" t="str">
        <f>IF(L722&gt;0,L722*35.273962,IF(J722&gt;0,J722*16,))</f>
        <v>#REF!</v>
      </c>
      <c r="L722" t="str">
        <f>IF(J722&gt;0,J722*0.453592,IF(K722&gt;0,K722*0.02835,))</f>
        <v>#REF!</v>
      </c>
      <c r="O722">
        <f>I722+N722+M722</f>
        <v>0</v>
      </c>
      <c r="P722">
        <f>O722*C$3</f>
        <v>0</v>
      </c>
      <c r="Q722" t="str">
        <f>ROUNDUP(HLOOKUP(IF(CEILING(L722,0.5)&lt;1,1,CEILING(L722,0.5)),'배송비 조회'!A$32:AY$36,2,0),-2)</f>
        <v>#REF!</v>
      </c>
      <c r="R722">
        <v>0</v>
      </c>
      <c r="S722" t="str">
        <f>ROUND((P722+Q722)*0.6,-2)</f>
        <v>#REF!</v>
      </c>
      <c r="T722" t="str">
        <f>ROUND((P722+Q722)*0.7,-2)</f>
        <v>#REF!</v>
      </c>
      <c r="U722" t="str">
        <f>ROUND(SUM(P722+Q722+R722+S722), -2)</f>
        <v>#REF!</v>
      </c>
      <c r="V722" t="str">
        <f>ROUND(P722+Q722+R722+T722, -2)</f>
        <v>#REF!</v>
      </c>
      <c r="W722">
        <v>0</v>
      </c>
      <c r="X722" t="str">
        <f>U722*0.038</f>
        <v>#REF!</v>
      </c>
      <c r="Y722" t="str">
        <f>U722*0.02</f>
        <v>#REF!</v>
      </c>
      <c r="Z722" t="str">
        <f>V722*0.1</f>
        <v>#REF!</v>
      </c>
      <c r="AA722" t="str">
        <f>U722-X722-Y722</f>
        <v>#REF!</v>
      </c>
      <c r="AB722" t="str">
        <f>V722-Z722</f>
        <v>#REF!</v>
      </c>
      <c r="AC722" t="str">
        <f>AA722*0.01</f>
        <v>#REF!</v>
      </c>
      <c r="AD722" t="str">
        <f>AA722-P722-AC722-Q722</f>
        <v>#REF!</v>
      </c>
      <c r="AE722" t="str">
        <f>AB722-P722-Q722-AC722</f>
        <v>#REF!</v>
      </c>
      <c r="AF722" t="str">
        <f>AD722/U722</f>
        <v>#REF!</v>
      </c>
      <c r="AG722" t="str">
        <f>AE722/V722</f>
        <v>#REF!</v>
      </c>
    </row>
    <row r="723">
      <c r="G723" t="str">
        <v>A</v>
      </c>
      <c r="J723" t="str">
        <f>IF(K723&gt;0,K723*0.0625,IF(L723&gt;0,L723*2.204623,))</f>
        <v>#REF!</v>
      </c>
      <c r="K723" t="str">
        <f>IF(L723&gt;0,L723*35.273962,IF(J723&gt;0,J723*16,))</f>
        <v>#REF!</v>
      </c>
      <c r="L723" t="str">
        <f>IF(J723&gt;0,J723*0.453592,IF(K723&gt;0,K723*0.02835,))</f>
        <v>#REF!</v>
      </c>
      <c r="O723">
        <f>I723+N723+M723</f>
        <v>0</v>
      </c>
      <c r="P723">
        <f>O723*C$3</f>
        <v>0</v>
      </c>
      <c r="Q723" t="str">
        <f>ROUNDUP(HLOOKUP(IF(CEILING(L723,0.5)&lt;1,1,CEILING(L723,0.5)),'배송비 조회'!A$32:AY$36,2,0),-2)</f>
        <v>#REF!</v>
      </c>
      <c r="R723">
        <v>0</v>
      </c>
      <c r="S723" t="str">
        <f>ROUND((P723+Q723)*0.6,-2)</f>
        <v>#REF!</v>
      </c>
      <c r="T723" t="str">
        <f>ROUND((P723+Q723)*0.7,-2)</f>
        <v>#REF!</v>
      </c>
      <c r="U723" t="str">
        <f>ROUND(SUM(P723+Q723+R723+S723), -2)</f>
        <v>#REF!</v>
      </c>
      <c r="V723" t="str">
        <f>ROUND(P723+Q723+R723+T723, -2)</f>
        <v>#REF!</v>
      </c>
      <c r="W723">
        <v>0</v>
      </c>
      <c r="X723" t="str">
        <f>U723*0.038</f>
        <v>#REF!</v>
      </c>
      <c r="Y723" t="str">
        <f>U723*0.02</f>
        <v>#REF!</v>
      </c>
      <c r="Z723" t="str">
        <f>V723*0.1</f>
        <v>#REF!</v>
      </c>
      <c r="AA723" t="str">
        <f>U723-X723-Y723</f>
        <v>#REF!</v>
      </c>
      <c r="AB723" t="str">
        <f>V723-Z723</f>
        <v>#REF!</v>
      </c>
      <c r="AC723" t="str">
        <f>AA723*0.01</f>
        <v>#REF!</v>
      </c>
      <c r="AD723" t="str">
        <f>AA723-P723-AC723-Q723</f>
        <v>#REF!</v>
      </c>
      <c r="AE723" t="str">
        <f>AB723-P723-Q723-AC723</f>
        <v>#REF!</v>
      </c>
      <c r="AF723" t="str">
        <f>AD723/U723</f>
        <v>#REF!</v>
      </c>
      <c r="AG723" t="str">
        <f>AE723/V723</f>
        <v>#REF!</v>
      </c>
    </row>
    <row r="724">
      <c r="G724" t="str">
        <v>A</v>
      </c>
      <c r="J724" t="str">
        <f>IF(K724&gt;0,K724*0.0625,IF(L724&gt;0,L724*2.204623,))</f>
        <v>#REF!</v>
      </c>
      <c r="K724" t="str">
        <f>IF(L724&gt;0,L724*35.273962,IF(J724&gt;0,J724*16,))</f>
        <v>#REF!</v>
      </c>
      <c r="L724" t="str">
        <f>IF(J724&gt;0,J724*0.453592,IF(K724&gt;0,K724*0.02835,))</f>
        <v>#REF!</v>
      </c>
      <c r="O724">
        <f>I724+N724+M724</f>
        <v>0</v>
      </c>
      <c r="P724">
        <f>O724*C$3</f>
        <v>0</v>
      </c>
      <c r="Q724" t="str">
        <f>ROUNDUP(HLOOKUP(IF(CEILING(L724,0.5)&lt;1,1,CEILING(L724,0.5)),'배송비 조회'!A$32:AY$36,2,0),-2)</f>
        <v>#REF!</v>
      </c>
      <c r="R724">
        <v>0</v>
      </c>
      <c r="S724" t="str">
        <f>ROUND((P724+Q724)*0.6,-2)</f>
        <v>#REF!</v>
      </c>
      <c r="T724" t="str">
        <f>ROUND((P724+Q724)*0.7,-2)</f>
        <v>#REF!</v>
      </c>
      <c r="U724" t="str">
        <f>ROUND(SUM(P724+Q724+R724+S724), -2)</f>
        <v>#REF!</v>
      </c>
      <c r="V724" t="str">
        <f>ROUND(P724+Q724+R724+T724, -2)</f>
        <v>#REF!</v>
      </c>
      <c r="W724">
        <v>0</v>
      </c>
      <c r="X724" t="str">
        <f>U724*0.038</f>
        <v>#REF!</v>
      </c>
      <c r="Y724" t="str">
        <f>U724*0.02</f>
        <v>#REF!</v>
      </c>
      <c r="Z724" t="str">
        <f>V724*0.1</f>
        <v>#REF!</v>
      </c>
      <c r="AA724" t="str">
        <f>U724-X724-Y724</f>
        <v>#REF!</v>
      </c>
      <c r="AB724" t="str">
        <f>V724-Z724</f>
        <v>#REF!</v>
      </c>
      <c r="AC724" t="str">
        <f>AA724*0.01</f>
        <v>#REF!</v>
      </c>
      <c r="AD724" t="str">
        <f>AA724-P724-AC724-Q724</f>
        <v>#REF!</v>
      </c>
      <c r="AE724" t="str">
        <f>AB724-P724-Q724-AC724</f>
        <v>#REF!</v>
      </c>
      <c r="AF724" t="str">
        <f>AD724/U724</f>
        <v>#REF!</v>
      </c>
      <c r="AG724" t="str">
        <f>AE724/V724</f>
        <v>#REF!</v>
      </c>
    </row>
    <row r="725">
      <c r="G725" t="str">
        <v>A</v>
      </c>
      <c r="J725" t="str">
        <f>IF(K725&gt;0,K725*0.0625,IF(L725&gt;0,L725*2.204623,))</f>
        <v>#REF!</v>
      </c>
      <c r="K725" t="str">
        <f>IF(L725&gt;0,L725*35.273962,IF(J725&gt;0,J725*16,))</f>
        <v>#REF!</v>
      </c>
      <c r="L725" t="str">
        <f>IF(J725&gt;0,J725*0.453592,IF(K725&gt;0,K725*0.02835,))</f>
        <v>#REF!</v>
      </c>
      <c r="O725">
        <f>I725+N725+M725</f>
        <v>0</v>
      </c>
      <c r="P725">
        <f>O725*C$3</f>
        <v>0</v>
      </c>
      <c r="Q725" t="str">
        <f>ROUNDUP(HLOOKUP(IF(CEILING(L725,0.5)&lt;1,1,CEILING(L725,0.5)),'배송비 조회'!A$32:AY$36,2,0),-2)</f>
        <v>#REF!</v>
      </c>
      <c r="R725">
        <v>0</v>
      </c>
      <c r="S725" t="str">
        <f>ROUND((P725+Q725)*0.6,-2)</f>
        <v>#REF!</v>
      </c>
      <c r="T725" t="str">
        <f>ROUND((P725+Q725)*0.7,-2)</f>
        <v>#REF!</v>
      </c>
      <c r="U725" t="str">
        <f>ROUND(SUM(P725+Q725+R725+S725), -2)</f>
        <v>#REF!</v>
      </c>
      <c r="V725" t="str">
        <f>ROUND(P725+Q725+R725+T725, -2)</f>
        <v>#REF!</v>
      </c>
      <c r="W725">
        <v>0</v>
      </c>
      <c r="X725" t="str">
        <f>U725*0.038</f>
        <v>#REF!</v>
      </c>
      <c r="Y725" t="str">
        <f>U725*0.02</f>
        <v>#REF!</v>
      </c>
      <c r="Z725" t="str">
        <f>V725*0.1</f>
        <v>#REF!</v>
      </c>
      <c r="AA725" t="str">
        <f>U725-X725-Y725</f>
        <v>#REF!</v>
      </c>
      <c r="AB725" t="str">
        <f>V725-Z725</f>
        <v>#REF!</v>
      </c>
      <c r="AC725" t="str">
        <f>AA725*0.01</f>
        <v>#REF!</v>
      </c>
      <c r="AD725" t="str">
        <f>AA725-P725-AC725-Q725</f>
        <v>#REF!</v>
      </c>
      <c r="AE725" t="str">
        <f>AB725-P725-Q725-AC725</f>
        <v>#REF!</v>
      </c>
      <c r="AF725" t="str">
        <f>AD725/U725</f>
        <v>#REF!</v>
      </c>
      <c r="AG725" t="str">
        <f>AE725/V725</f>
        <v>#REF!</v>
      </c>
    </row>
    <row r="726">
      <c r="G726" t="str">
        <v>A</v>
      </c>
      <c r="J726" t="str">
        <f>IF(K726&gt;0,K726*0.0625,IF(L726&gt;0,L726*2.204623,))</f>
        <v>#REF!</v>
      </c>
      <c r="K726" t="str">
        <f>IF(L726&gt;0,L726*35.273962,IF(J726&gt;0,J726*16,))</f>
        <v>#REF!</v>
      </c>
      <c r="L726" t="str">
        <f>IF(J726&gt;0,J726*0.453592,IF(K726&gt;0,K726*0.02835,))</f>
        <v>#REF!</v>
      </c>
      <c r="O726">
        <f>I726+N726+M726</f>
        <v>0</v>
      </c>
      <c r="P726">
        <f>O726*C$3</f>
        <v>0</v>
      </c>
      <c r="Q726" t="str">
        <f>ROUNDUP(HLOOKUP(IF(CEILING(L726,0.5)&lt;1,1,CEILING(L726,0.5)),'배송비 조회'!A$32:AY$36,2,0),-2)</f>
        <v>#REF!</v>
      </c>
      <c r="R726">
        <v>0</v>
      </c>
      <c r="S726" t="str">
        <f>ROUND((P726+Q726)*0.6,-2)</f>
        <v>#REF!</v>
      </c>
      <c r="T726" t="str">
        <f>ROUND((P726+Q726)*0.7,-2)</f>
        <v>#REF!</v>
      </c>
      <c r="U726" t="str">
        <f>ROUND(SUM(P726+Q726+R726+S726), -2)</f>
        <v>#REF!</v>
      </c>
      <c r="V726" t="str">
        <f>ROUND(P726+Q726+R726+T726, -2)</f>
        <v>#REF!</v>
      </c>
      <c r="W726">
        <v>0</v>
      </c>
      <c r="X726" t="str">
        <f>U726*0.038</f>
        <v>#REF!</v>
      </c>
      <c r="Y726" t="str">
        <f>U726*0.02</f>
        <v>#REF!</v>
      </c>
      <c r="Z726" t="str">
        <f>V726*0.1</f>
        <v>#REF!</v>
      </c>
      <c r="AA726" t="str">
        <f>U726-X726-Y726</f>
        <v>#REF!</v>
      </c>
      <c r="AB726" t="str">
        <f>V726-Z726</f>
        <v>#REF!</v>
      </c>
      <c r="AC726" t="str">
        <f>AA726*0.01</f>
        <v>#REF!</v>
      </c>
      <c r="AD726" t="str">
        <f>AA726-P726-AC726-Q726</f>
        <v>#REF!</v>
      </c>
      <c r="AE726" t="str">
        <f>AB726-P726-Q726-AC726</f>
        <v>#REF!</v>
      </c>
      <c r="AF726" t="str">
        <f>AD726/U726</f>
        <v>#REF!</v>
      </c>
      <c r="AG726" t="str">
        <f>AE726/V726</f>
        <v>#REF!</v>
      </c>
    </row>
    <row r="727">
      <c r="G727" t="str">
        <v>A</v>
      </c>
      <c r="J727" t="str">
        <f>IF(K727&gt;0,K727*0.0625,IF(L727&gt;0,L727*2.204623,))</f>
        <v>#REF!</v>
      </c>
      <c r="K727" t="str">
        <f>IF(L727&gt;0,L727*35.273962,IF(J727&gt;0,J727*16,))</f>
        <v>#REF!</v>
      </c>
      <c r="L727" t="str">
        <f>IF(J727&gt;0,J727*0.453592,IF(K727&gt;0,K727*0.02835,))</f>
        <v>#REF!</v>
      </c>
      <c r="O727">
        <f>I727+N727+M727</f>
        <v>0</v>
      </c>
      <c r="P727">
        <f>O727*C$3</f>
        <v>0</v>
      </c>
      <c r="Q727" t="str">
        <f>ROUNDUP(HLOOKUP(IF(CEILING(L727,0.5)&lt;1,1,CEILING(L727,0.5)),'배송비 조회'!A$32:AY$36,2,0),-2)</f>
        <v>#REF!</v>
      </c>
      <c r="R727">
        <v>0</v>
      </c>
      <c r="S727" t="str">
        <f>ROUND((P727+Q727)*0.6,-2)</f>
        <v>#REF!</v>
      </c>
      <c r="T727" t="str">
        <f>ROUND((P727+Q727)*0.7,-2)</f>
        <v>#REF!</v>
      </c>
      <c r="U727" t="str">
        <f>ROUND(SUM(P727+Q727+R727+S727), -2)</f>
        <v>#REF!</v>
      </c>
      <c r="V727" t="str">
        <f>ROUND(P727+Q727+R727+T727, -2)</f>
        <v>#REF!</v>
      </c>
      <c r="W727">
        <v>0</v>
      </c>
      <c r="X727" t="str">
        <f>U727*0.038</f>
        <v>#REF!</v>
      </c>
      <c r="Y727" t="str">
        <f>U727*0.02</f>
        <v>#REF!</v>
      </c>
      <c r="Z727" t="str">
        <f>V727*0.1</f>
        <v>#REF!</v>
      </c>
      <c r="AA727" t="str">
        <f>U727-X727-Y727</f>
        <v>#REF!</v>
      </c>
      <c r="AB727" t="str">
        <f>V727-Z727</f>
        <v>#REF!</v>
      </c>
      <c r="AC727" t="str">
        <f>AA727*0.01</f>
        <v>#REF!</v>
      </c>
      <c r="AD727" t="str">
        <f>AA727-P727-AC727-Q727</f>
        <v>#REF!</v>
      </c>
      <c r="AE727" t="str">
        <f>AB727-P727-Q727-AC727</f>
        <v>#REF!</v>
      </c>
      <c r="AF727" t="str">
        <f>AD727/U727</f>
        <v>#REF!</v>
      </c>
      <c r="AG727" t="str">
        <f>AE727/V727</f>
        <v>#REF!</v>
      </c>
    </row>
    <row r="728">
      <c r="G728" t="str">
        <v>A</v>
      </c>
      <c r="J728" t="str">
        <f>IF(K728&gt;0,K728*0.0625,IF(L728&gt;0,L728*2.204623,))</f>
        <v>#REF!</v>
      </c>
      <c r="K728" t="str">
        <f>IF(L728&gt;0,L728*35.273962,IF(J728&gt;0,J728*16,))</f>
        <v>#REF!</v>
      </c>
      <c r="L728" t="str">
        <f>IF(J728&gt;0,J728*0.453592,IF(K728&gt;0,K728*0.02835,))</f>
        <v>#REF!</v>
      </c>
      <c r="O728">
        <f>I728+N728+M728</f>
        <v>0</v>
      </c>
      <c r="P728">
        <f>O728*C$3</f>
        <v>0</v>
      </c>
      <c r="Q728" t="str">
        <f>ROUNDUP(HLOOKUP(IF(CEILING(L728,0.5)&lt;1,1,CEILING(L728,0.5)),'배송비 조회'!A$32:AY$36,2,0),-2)</f>
        <v>#REF!</v>
      </c>
      <c r="R728">
        <v>0</v>
      </c>
      <c r="S728" t="str">
        <f>ROUND((P728+Q728)*0.6,-2)</f>
        <v>#REF!</v>
      </c>
      <c r="T728" t="str">
        <f>ROUND((P728+Q728)*0.7,-2)</f>
        <v>#REF!</v>
      </c>
      <c r="U728" t="str">
        <f>ROUND(SUM(P728+Q728+R728+S728), -2)</f>
        <v>#REF!</v>
      </c>
      <c r="V728" t="str">
        <f>ROUND(P728+Q728+R728+T728, -2)</f>
        <v>#REF!</v>
      </c>
      <c r="W728">
        <v>0</v>
      </c>
      <c r="X728" t="str">
        <f>U728*0.038</f>
        <v>#REF!</v>
      </c>
      <c r="Y728" t="str">
        <f>U728*0.02</f>
        <v>#REF!</v>
      </c>
      <c r="Z728" t="str">
        <f>V728*0.1</f>
        <v>#REF!</v>
      </c>
      <c r="AA728" t="str">
        <f>U728-X728-Y728</f>
        <v>#REF!</v>
      </c>
      <c r="AB728" t="str">
        <f>V728-Z728</f>
        <v>#REF!</v>
      </c>
      <c r="AC728" t="str">
        <f>AA728*0.01</f>
        <v>#REF!</v>
      </c>
      <c r="AD728" t="str">
        <f>AA728-P728-AC728-Q728</f>
        <v>#REF!</v>
      </c>
      <c r="AE728" t="str">
        <f>AB728-P728-Q728-AC728</f>
        <v>#REF!</v>
      </c>
      <c r="AF728" t="str">
        <f>AD728/U728</f>
        <v>#REF!</v>
      </c>
      <c r="AG728" t="str">
        <f>AE728/V728</f>
        <v>#REF!</v>
      </c>
    </row>
    <row r="729">
      <c r="G729" t="str">
        <v>A</v>
      </c>
      <c r="J729" t="str">
        <f>IF(K729&gt;0,K729*0.0625,IF(L729&gt;0,L729*2.204623,))</f>
        <v>#REF!</v>
      </c>
      <c r="K729" t="str">
        <f>IF(L729&gt;0,L729*35.273962,IF(J729&gt;0,J729*16,))</f>
        <v>#REF!</v>
      </c>
      <c r="L729" t="str">
        <f>IF(J729&gt;0,J729*0.453592,IF(K729&gt;0,K729*0.02835,))</f>
        <v>#REF!</v>
      </c>
      <c r="O729">
        <f>I729+N729+M729</f>
        <v>0</v>
      </c>
      <c r="P729">
        <f>O729*C$3</f>
        <v>0</v>
      </c>
      <c r="Q729" t="str">
        <f>ROUNDUP(HLOOKUP(IF(CEILING(L729,0.5)&lt;1,1,CEILING(L729,0.5)),'배송비 조회'!A$32:AY$36,2,0),-2)</f>
        <v>#REF!</v>
      </c>
      <c r="R729">
        <v>0</v>
      </c>
      <c r="S729" t="str">
        <f>ROUND((P729+Q729)*0.6,-2)</f>
        <v>#REF!</v>
      </c>
      <c r="T729" t="str">
        <f>ROUND((P729+Q729)*0.7,-2)</f>
        <v>#REF!</v>
      </c>
      <c r="U729" t="str">
        <f>ROUND(SUM(P729+Q729+R729+S729), -2)</f>
        <v>#REF!</v>
      </c>
      <c r="V729" t="str">
        <f>ROUND(P729+Q729+R729+T729, -2)</f>
        <v>#REF!</v>
      </c>
      <c r="W729">
        <v>0</v>
      </c>
      <c r="X729" t="str">
        <f>U729*0.038</f>
        <v>#REF!</v>
      </c>
      <c r="Y729" t="str">
        <f>U729*0.02</f>
        <v>#REF!</v>
      </c>
      <c r="Z729" t="str">
        <f>V729*0.1</f>
        <v>#REF!</v>
      </c>
      <c r="AA729" t="str">
        <f>U729-X729-Y729</f>
        <v>#REF!</v>
      </c>
      <c r="AB729" t="str">
        <f>V729-Z729</f>
        <v>#REF!</v>
      </c>
      <c r="AC729" t="str">
        <f>AA729*0.01</f>
        <v>#REF!</v>
      </c>
      <c r="AD729" t="str">
        <f>AA729-P729-AC729-Q729</f>
        <v>#REF!</v>
      </c>
      <c r="AE729" t="str">
        <f>AB729-P729-Q729-AC729</f>
        <v>#REF!</v>
      </c>
      <c r="AF729" t="str">
        <f>AD729/U729</f>
        <v>#REF!</v>
      </c>
      <c r="AG729" t="str">
        <f>AE729/V729</f>
        <v>#REF!</v>
      </c>
    </row>
    <row r="730">
      <c r="G730" t="str">
        <v>A</v>
      </c>
      <c r="J730" t="str">
        <f>IF(K730&gt;0,K730*0.0625,IF(L730&gt;0,L730*2.204623,))</f>
        <v>#REF!</v>
      </c>
      <c r="K730" t="str">
        <f>IF(L730&gt;0,L730*35.273962,IF(J730&gt;0,J730*16,))</f>
        <v>#REF!</v>
      </c>
      <c r="L730" t="str">
        <f>IF(J730&gt;0,J730*0.453592,IF(K730&gt;0,K730*0.02835,))</f>
        <v>#REF!</v>
      </c>
      <c r="O730">
        <f>I730+N730+M730</f>
        <v>0</v>
      </c>
      <c r="P730">
        <f>O730*C$3</f>
        <v>0</v>
      </c>
      <c r="Q730" t="str">
        <f>ROUNDUP(HLOOKUP(IF(CEILING(L730,0.5)&lt;1,1,CEILING(L730,0.5)),'배송비 조회'!A$32:AY$36,2,0),-2)</f>
        <v>#REF!</v>
      </c>
      <c r="R730">
        <v>0</v>
      </c>
      <c r="S730" t="str">
        <f>ROUND((P730+Q730)*0.6,-2)</f>
        <v>#REF!</v>
      </c>
      <c r="T730" t="str">
        <f>ROUND((P730+Q730)*0.7,-2)</f>
        <v>#REF!</v>
      </c>
      <c r="U730" t="str">
        <f>ROUND(SUM(P730+Q730+R730+S730), -2)</f>
        <v>#REF!</v>
      </c>
      <c r="V730" t="str">
        <f>ROUND(P730+Q730+R730+T730, -2)</f>
        <v>#REF!</v>
      </c>
      <c r="W730">
        <v>0</v>
      </c>
      <c r="X730" t="str">
        <f>U730*0.038</f>
        <v>#REF!</v>
      </c>
      <c r="Y730" t="str">
        <f>U730*0.02</f>
        <v>#REF!</v>
      </c>
      <c r="Z730" t="str">
        <f>V730*0.1</f>
        <v>#REF!</v>
      </c>
      <c r="AA730" t="str">
        <f>U730-X730-Y730</f>
        <v>#REF!</v>
      </c>
      <c r="AB730" t="str">
        <f>V730-Z730</f>
        <v>#REF!</v>
      </c>
      <c r="AC730" t="str">
        <f>AA730*0.01</f>
        <v>#REF!</v>
      </c>
      <c r="AD730" t="str">
        <f>AA730-P730-AC730-Q730</f>
        <v>#REF!</v>
      </c>
      <c r="AE730" t="str">
        <f>AB730-P730-Q730-AC730</f>
        <v>#REF!</v>
      </c>
      <c r="AF730" t="str">
        <f>AD730/U730</f>
        <v>#REF!</v>
      </c>
      <c r="AG730" t="str">
        <f>AE730/V730</f>
        <v>#REF!</v>
      </c>
    </row>
    <row r="731">
      <c r="G731" t="str">
        <v>A</v>
      </c>
      <c r="J731" t="str">
        <f>IF(K731&gt;0,K731*0.0625,IF(L731&gt;0,L731*2.204623,))</f>
        <v>#REF!</v>
      </c>
      <c r="K731" t="str">
        <f>IF(L731&gt;0,L731*35.273962,IF(J731&gt;0,J731*16,))</f>
        <v>#REF!</v>
      </c>
      <c r="L731" t="str">
        <f>IF(J731&gt;0,J731*0.453592,IF(K731&gt;0,K731*0.02835,))</f>
        <v>#REF!</v>
      </c>
      <c r="O731">
        <f>I731+N731+M731</f>
        <v>0</v>
      </c>
      <c r="P731">
        <f>O731*C$3</f>
        <v>0</v>
      </c>
      <c r="Q731" t="str">
        <f>ROUNDUP(HLOOKUP(IF(CEILING(L731,0.5)&lt;1,1,CEILING(L731,0.5)),'배송비 조회'!A$32:AY$36,2,0),-2)</f>
        <v>#REF!</v>
      </c>
      <c r="R731">
        <v>0</v>
      </c>
      <c r="S731" t="str">
        <f>ROUND((P731+Q731)*0.6,-2)</f>
        <v>#REF!</v>
      </c>
      <c r="T731" t="str">
        <f>ROUND((P731+Q731)*0.7,-2)</f>
        <v>#REF!</v>
      </c>
      <c r="U731" t="str">
        <f>ROUND(SUM(P731+Q731+R731+S731), -2)</f>
        <v>#REF!</v>
      </c>
      <c r="V731" t="str">
        <f>ROUND(P731+Q731+R731+T731, -2)</f>
        <v>#REF!</v>
      </c>
      <c r="W731">
        <v>0</v>
      </c>
      <c r="X731" t="str">
        <f>U731*0.038</f>
        <v>#REF!</v>
      </c>
      <c r="Y731" t="str">
        <f>U731*0.02</f>
        <v>#REF!</v>
      </c>
      <c r="Z731" t="str">
        <f>V731*0.1</f>
        <v>#REF!</v>
      </c>
      <c r="AA731" t="str">
        <f>U731-X731-Y731</f>
        <v>#REF!</v>
      </c>
      <c r="AB731" t="str">
        <f>V731-Z731</f>
        <v>#REF!</v>
      </c>
      <c r="AC731" t="str">
        <f>AA731*0.01</f>
        <v>#REF!</v>
      </c>
      <c r="AD731" t="str">
        <f>AA731-P731-AC731-Q731</f>
        <v>#REF!</v>
      </c>
      <c r="AE731" t="str">
        <f>AB731-P731-Q731-AC731</f>
        <v>#REF!</v>
      </c>
      <c r="AF731" t="str">
        <f>AD731/U731</f>
        <v>#REF!</v>
      </c>
      <c r="AG731" t="str">
        <f>AE731/V731</f>
        <v>#REF!</v>
      </c>
    </row>
    <row r="732">
      <c r="G732" t="str">
        <v>A</v>
      </c>
      <c r="J732" t="str">
        <f>IF(K732&gt;0,K732*0.0625,IF(L732&gt;0,L732*2.204623,))</f>
        <v>#REF!</v>
      </c>
      <c r="K732" t="str">
        <f>IF(L732&gt;0,L732*35.273962,IF(J732&gt;0,J732*16,))</f>
        <v>#REF!</v>
      </c>
      <c r="L732" t="str">
        <f>IF(J732&gt;0,J732*0.453592,IF(K732&gt;0,K732*0.02835,))</f>
        <v>#REF!</v>
      </c>
      <c r="O732">
        <f>I732+N732+M732</f>
        <v>0</v>
      </c>
      <c r="P732">
        <f>O732*C$3</f>
        <v>0</v>
      </c>
      <c r="Q732" t="str">
        <f>ROUNDUP(HLOOKUP(IF(CEILING(L732,0.5)&lt;1,1,CEILING(L732,0.5)),'배송비 조회'!A$32:AY$36,2,0),-2)</f>
        <v>#REF!</v>
      </c>
      <c r="R732">
        <v>0</v>
      </c>
      <c r="S732" t="str">
        <f>ROUND((P732+Q732)*0.6,-2)</f>
        <v>#REF!</v>
      </c>
      <c r="T732" t="str">
        <f>ROUND((P732+Q732)*0.7,-2)</f>
        <v>#REF!</v>
      </c>
      <c r="U732" t="str">
        <f>ROUND(SUM(P732+Q732+R732+S732), -2)</f>
        <v>#REF!</v>
      </c>
      <c r="V732" t="str">
        <f>ROUND(P732+Q732+R732+T732, -2)</f>
        <v>#REF!</v>
      </c>
      <c r="W732">
        <v>0</v>
      </c>
      <c r="X732" t="str">
        <f>U732*0.038</f>
        <v>#REF!</v>
      </c>
      <c r="Y732" t="str">
        <f>U732*0.02</f>
        <v>#REF!</v>
      </c>
      <c r="Z732" t="str">
        <f>V732*0.1</f>
        <v>#REF!</v>
      </c>
      <c r="AA732" t="str">
        <f>U732-X732-Y732</f>
        <v>#REF!</v>
      </c>
      <c r="AB732" t="str">
        <f>V732-Z732</f>
        <v>#REF!</v>
      </c>
      <c r="AC732" t="str">
        <f>AA732*0.01</f>
        <v>#REF!</v>
      </c>
      <c r="AD732" t="str">
        <f>AA732-P732-AC732-Q732</f>
        <v>#REF!</v>
      </c>
      <c r="AE732" t="str">
        <f>AB732-P732-Q732-AC732</f>
        <v>#REF!</v>
      </c>
      <c r="AF732" t="str">
        <f>AD732/U732</f>
        <v>#REF!</v>
      </c>
      <c r="AG732" t="str">
        <f>AE732/V732</f>
        <v>#REF!</v>
      </c>
    </row>
    <row r="733">
      <c r="G733" t="str">
        <v>A</v>
      </c>
      <c r="J733" t="str">
        <f>IF(K733&gt;0,K733*0.0625,IF(L733&gt;0,L733*2.204623,))</f>
        <v>#REF!</v>
      </c>
      <c r="K733" t="str">
        <f>IF(L733&gt;0,L733*35.273962,IF(J733&gt;0,J733*16,))</f>
        <v>#REF!</v>
      </c>
      <c r="L733" t="str">
        <f>IF(J733&gt;0,J733*0.453592,IF(K733&gt;0,K733*0.02835,))</f>
        <v>#REF!</v>
      </c>
      <c r="O733">
        <f>I733+N733+M733</f>
        <v>0</v>
      </c>
      <c r="P733">
        <f>O733*C$3</f>
        <v>0</v>
      </c>
      <c r="Q733" t="str">
        <f>ROUNDUP(HLOOKUP(IF(CEILING(L733,0.5)&lt;1,1,CEILING(L733,0.5)),'배송비 조회'!A$32:AY$36,2,0),-2)</f>
        <v>#REF!</v>
      </c>
      <c r="R733">
        <v>0</v>
      </c>
      <c r="S733" t="str">
        <f>ROUND((P733+Q733)*0.6,-2)</f>
        <v>#REF!</v>
      </c>
      <c r="T733" t="str">
        <f>ROUND((P733+Q733)*0.7,-2)</f>
        <v>#REF!</v>
      </c>
      <c r="U733" t="str">
        <f>ROUND(SUM(P733+Q733+R733+S733), -2)</f>
        <v>#REF!</v>
      </c>
      <c r="V733" t="str">
        <f>ROUND(P733+Q733+R733+T733, -2)</f>
        <v>#REF!</v>
      </c>
      <c r="W733">
        <v>0</v>
      </c>
      <c r="X733" t="str">
        <f>U733*0.038</f>
        <v>#REF!</v>
      </c>
      <c r="Y733" t="str">
        <f>U733*0.02</f>
        <v>#REF!</v>
      </c>
      <c r="Z733" t="str">
        <f>V733*0.1</f>
        <v>#REF!</v>
      </c>
      <c r="AA733" t="str">
        <f>U733-X733-Y733</f>
        <v>#REF!</v>
      </c>
      <c r="AB733" t="str">
        <f>V733-Z733</f>
        <v>#REF!</v>
      </c>
      <c r="AC733" t="str">
        <f>AA733*0.01</f>
        <v>#REF!</v>
      </c>
      <c r="AD733" t="str">
        <f>AA733-P733-AC733-Q733</f>
        <v>#REF!</v>
      </c>
      <c r="AE733" t="str">
        <f>AB733-P733-Q733-AC733</f>
        <v>#REF!</v>
      </c>
      <c r="AF733" t="str">
        <f>AD733/U733</f>
        <v>#REF!</v>
      </c>
      <c r="AG733" t="str">
        <f>AE733/V733</f>
        <v>#REF!</v>
      </c>
    </row>
    <row r="734">
      <c r="G734" t="str">
        <v>A</v>
      </c>
      <c r="J734" t="str">
        <f>IF(K734&gt;0,K734*0.0625,IF(L734&gt;0,L734*2.204623,))</f>
        <v>#REF!</v>
      </c>
      <c r="K734" t="str">
        <f>IF(L734&gt;0,L734*35.273962,IF(J734&gt;0,J734*16,))</f>
        <v>#REF!</v>
      </c>
      <c r="L734" t="str">
        <f>IF(J734&gt;0,J734*0.453592,IF(K734&gt;0,K734*0.02835,))</f>
        <v>#REF!</v>
      </c>
      <c r="O734">
        <f>I734+N734+M734</f>
        <v>0</v>
      </c>
      <c r="P734">
        <f>O734*C$3</f>
        <v>0</v>
      </c>
      <c r="Q734" t="str">
        <f>ROUNDUP(HLOOKUP(IF(CEILING(L734,0.5)&lt;1,1,CEILING(L734,0.5)),'배송비 조회'!A$32:AY$36,2,0),-2)</f>
        <v>#REF!</v>
      </c>
      <c r="R734">
        <v>0</v>
      </c>
      <c r="S734" t="str">
        <f>ROUND((P734+Q734)*0.6,-2)</f>
        <v>#REF!</v>
      </c>
      <c r="T734" t="str">
        <f>ROUND((P734+Q734)*0.7,-2)</f>
        <v>#REF!</v>
      </c>
      <c r="U734" t="str">
        <f>ROUND(SUM(P734+Q734+R734+S734), -2)</f>
        <v>#REF!</v>
      </c>
      <c r="V734" t="str">
        <f>ROUND(P734+Q734+R734+T734, -2)</f>
        <v>#REF!</v>
      </c>
      <c r="W734">
        <v>0</v>
      </c>
      <c r="X734" t="str">
        <f>U734*0.038</f>
        <v>#REF!</v>
      </c>
      <c r="Y734" t="str">
        <f>U734*0.02</f>
        <v>#REF!</v>
      </c>
      <c r="Z734" t="str">
        <f>V734*0.1</f>
        <v>#REF!</v>
      </c>
      <c r="AA734" t="str">
        <f>U734-X734-Y734</f>
        <v>#REF!</v>
      </c>
      <c r="AB734" t="str">
        <f>V734-Z734</f>
        <v>#REF!</v>
      </c>
      <c r="AC734" t="str">
        <f>AA734*0.01</f>
        <v>#REF!</v>
      </c>
      <c r="AD734" t="str">
        <f>AA734-P734-AC734-Q734</f>
        <v>#REF!</v>
      </c>
      <c r="AE734" t="str">
        <f>AB734-P734-Q734-AC734</f>
        <v>#REF!</v>
      </c>
      <c r="AF734" t="str">
        <f>AD734/U734</f>
        <v>#REF!</v>
      </c>
      <c r="AG734" t="str">
        <f>AE734/V734</f>
        <v>#REF!</v>
      </c>
    </row>
    <row r="735">
      <c r="G735" t="str">
        <v>A</v>
      </c>
      <c r="J735" t="str">
        <f>IF(K735&gt;0,K735*0.0625,IF(L735&gt;0,L735*2.204623,))</f>
        <v>#REF!</v>
      </c>
      <c r="K735" t="str">
        <f>IF(L735&gt;0,L735*35.273962,IF(J735&gt;0,J735*16,))</f>
        <v>#REF!</v>
      </c>
      <c r="L735" t="str">
        <f>IF(J735&gt;0,J735*0.453592,IF(K735&gt;0,K735*0.02835,))</f>
        <v>#REF!</v>
      </c>
      <c r="O735">
        <f>I735+N735+M735</f>
        <v>0</v>
      </c>
      <c r="P735">
        <f>O735*C$3</f>
        <v>0</v>
      </c>
      <c r="Q735" t="str">
        <f>ROUNDUP(HLOOKUP(IF(CEILING(L735,0.5)&lt;1,1,CEILING(L735,0.5)),'배송비 조회'!A$32:AY$36,2,0),-2)</f>
        <v>#REF!</v>
      </c>
      <c r="R735">
        <v>0</v>
      </c>
      <c r="S735" t="str">
        <f>ROUND((P735+Q735)*0.6,-2)</f>
        <v>#REF!</v>
      </c>
      <c r="T735" t="str">
        <f>ROUND((P735+Q735)*0.7,-2)</f>
        <v>#REF!</v>
      </c>
      <c r="U735" t="str">
        <f>ROUND(SUM(P735+Q735+R735+S735), -2)</f>
        <v>#REF!</v>
      </c>
      <c r="V735" t="str">
        <f>ROUND(P735+Q735+R735+T735, -2)</f>
        <v>#REF!</v>
      </c>
      <c r="W735">
        <v>0</v>
      </c>
      <c r="X735" t="str">
        <f>U735*0.038</f>
        <v>#REF!</v>
      </c>
      <c r="Y735" t="str">
        <f>U735*0.02</f>
        <v>#REF!</v>
      </c>
      <c r="Z735" t="str">
        <f>V735*0.1</f>
        <v>#REF!</v>
      </c>
      <c r="AA735" t="str">
        <f>U735-X735-Y735</f>
        <v>#REF!</v>
      </c>
      <c r="AB735" t="str">
        <f>V735-Z735</f>
        <v>#REF!</v>
      </c>
      <c r="AC735" t="str">
        <f>AA735*0.01</f>
        <v>#REF!</v>
      </c>
      <c r="AD735" t="str">
        <f>AA735-P735-AC735-Q735</f>
        <v>#REF!</v>
      </c>
      <c r="AE735" t="str">
        <f>AB735-P735-Q735-AC735</f>
        <v>#REF!</v>
      </c>
      <c r="AF735" t="str">
        <f>AD735/U735</f>
        <v>#REF!</v>
      </c>
      <c r="AG735" t="str">
        <f>AE735/V735</f>
        <v>#REF!</v>
      </c>
    </row>
    <row r="736">
      <c r="G736" t="str">
        <v>A</v>
      </c>
      <c r="J736" t="str">
        <f>IF(K736&gt;0,K736*0.0625,IF(L736&gt;0,L736*2.204623,))</f>
        <v>#REF!</v>
      </c>
      <c r="K736" t="str">
        <f>IF(L736&gt;0,L736*35.273962,IF(J736&gt;0,J736*16,))</f>
        <v>#REF!</v>
      </c>
      <c r="L736" t="str">
        <f>IF(J736&gt;0,J736*0.453592,IF(K736&gt;0,K736*0.02835,))</f>
        <v>#REF!</v>
      </c>
      <c r="O736">
        <f>I736+N736+M736</f>
        <v>0</v>
      </c>
      <c r="P736">
        <f>O736*C$3</f>
        <v>0</v>
      </c>
      <c r="Q736" t="str">
        <f>ROUNDUP(HLOOKUP(IF(CEILING(L736,0.5)&lt;1,1,CEILING(L736,0.5)),'배송비 조회'!A$32:AY$36,2,0),-2)</f>
        <v>#REF!</v>
      </c>
      <c r="R736">
        <v>0</v>
      </c>
      <c r="S736" t="str">
        <f>ROUND((P736+Q736)*0.6,-2)</f>
        <v>#REF!</v>
      </c>
      <c r="T736" t="str">
        <f>ROUND((P736+Q736)*0.7,-2)</f>
        <v>#REF!</v>
      </c>
      <c r="U736" t="str">
        <f>ROUND(SUM(P736+Q736+R736+S736), -2)</f>
        <v>#REF!</v>
      </c>
      <c r="V736" t="str">
        <f>ROUND(P736+Q736+R736+T736, -2)</f>
        <v>#REF!</v>
      </c>
      <c r="W736">
        <v>0</v>
      </c>
      <c r="X736" t="str">
        <f>U736*0.038</f>
        <v>#REF!</v>
      </c>
      <c r="Y736" t="str">
        <f>U736*0.02</f>
        <v>#REF!</v>
      </c>
      <c r="Z736" t="str">
        <f>V736*0.1</f>
        <v>#REF!</v>
      </c>
      <c r="AA736" t="str">
        <f>U736-X736-Y736</f>
        <v>#REF!</v>
      </c>
      <c r="AB736" t="str">
        <f>V736-Z736</f>
        <v>#REF!</v>
      </c>
      <c r="AC736" t="str">
        <f>AA736*0.01</f>
        <v>#REF!</v>
      </c>
      <c r="AD736" t="str">
        <f>AA736-P736-AC736-Q736</f>
        <v>#REF!</v>
      </c>
      <c r="AE736" t="str">
        <f>AB736-P736-Q736-AC736</f>
        <v>#REF!</v>
      </c>
      <c r="AF736" t="str">
        <f>AD736/U736</f>
        <v>#REF!</v>
      </c>
      <c r="AG736" t="str">
        <f>AE736/V736</f>
        <v>#REF!</v>
      </c>
    </row>
    <row r="737">
      <c r="G737" t="str">
        <v>A</v>
      </c>
      <c r="J737" t="str">
        <f>IF(K737&gt;0,K737*0.0625,IF(L737&gt;0,L737*2.204623,))</f>
        <v>#REF!</v>
      </c>
      <c r="K737" t="str">
        <f>IF(L737&gt;0,L737*35.273962,IF(J737&gt;0,J737*16,))</f>
        <v>#REF!</v>
      </c>
      <c r="L737" t="str">
        <f>IF(J737&gt;0,J737*0.453592,IF(K737&gt;0,K737*0.02835,))</f>
        <v>#REF!</v>
      </c>
      <c r="O737">
        <f>I737+N737+M737</f>
        <v>0</v>
      </c>
      <c r="P737">
        <f>O737*C$3</f>
        <v>0</v>
      </c>
      <c r="Q737" t="str">
        <f>ROUNDUP(HLOOKUP(IF(CEILING(L737,0.5)&lt;1,1,CEILING(L737,0.5)),'배송비 조회'!A$32:AY$36,2,0),-2)</f>
        <v>#REF!</v>
      </c>
      <c r="R737">
        <v>0</v>
      </c>
      <c r="S737" t="str">
        <f>ROUND((P737+Q737)*0.6,-2)</f>
        <v>#REF!</v>
      </c>
      <c r="T737" t="str">
        <f>ROUND((P737+Q737)*0.7,-2)</f>
        <v>#REF!</v>
      </c>
      <c r="U737" t="str">
        <f>ROUND(SUM(P737+Q737+R737+S737), -2)</f>
        <v>#REF!</v>
      </c>
      <c r="V737" t="str">
        <f>ROUND(P737+Q737+R737+T737, -2)</f>
        <v>#REF!</v>
      </c>
      <c r="W737">
        <v>0</v>
      </c>
      <c r="X737" t="str">
        <f>U737*0.038</f>
        <v>#REF!</v>
      </c>
      <c r="Y737" t="str">
        <f>U737*0.02</f>
        <v>#REF!</v>
      </c>
      <c r="Z737" t="str">
        <f>V737*0.1</f>
        <v>#REF!</v>
      </c>
      <c r="AA737" t="str">
        <f>U737-X737-Y737</f>
        <v>#REF!</v>
      </c>
      <c r="AB737" t="str">
        <f>V737-Z737</f>
        <v>#REF!</v>
      </c>
      <c r="AC737" t="str">
        <f>AA737*0.01</f>
        <v>#REF!</v>
      </c>
      <c r="AD737" t="str">
        <f>AA737-P737-AC737-Q737</f>
        <v>#REF!</v>
      </c>
      <c r="AE737" t="str">
        <f>AB737-P737-Q737-AC737</f>
        <v>#REF!</v>
      </c>
      <c r="AF737" t="str">
        <f>AD737/U737</f>
        <v>#REF!</v>
      </c>
      <c r="AG737" t="str">
        <f>AE737/V737</f>
        <v>#REF!</v>
      </c>
    </row>
    <row r="738">
      <c r="G738" t="str">
        <v>A</v>
      </c>
      <c r="J738" t="str">
        <f>IF(K738&gt;0,K738*0.0625,IF(L738&gt;0,L738*2.204623,))</f>
        <v>#REF!</v>
      </c>
      <c r="K738" t="str">
        <f>IF(L738&gt;0,L738*35.273962,IF(J738&gt;0,J738*16,))</f>
        <v>#REF!</v>
      </c>
      <c r="L738" t="str">
        <f>IF(J738&gt;0,J738*0.453592,IF(K738&gt;0,K738*0.02835,))</f>
        <v>#REF!</v>
      </c>
      <c r="O738">
        <f>I738+N738+M738</f>
        <v>0</v>
      </c>
      <c r="P738">
        <f>O738*C$3</f>
        <v>0</v>
      </c>
      <c r="Q738" t="str">
        <f>ROUNDUP(HLOOKUP(IF(CEILING(L738,0.5)&lt;1,1,CEILING(L738,0.5)),'배송비 조회'!A$32:AY$36,2,0),-2)</f>
        <v>#REF!</v>
      </c>
      <c r="R738">
        <v>0</v>
      </c>
      <c r="S738" t="str">
        <f>ROUND((P738+Q738)*0.6,-2)</f>
        <v>#REF!</v>
      </c>
      <c r="T738" t="str">
        <f>ROUND((P738+Q738)*0.7,-2)</f>
        <v>#REF!</v>
      </c>
      <c r="U738" t="str">
        <f>ROUND(SUM(P738+Q738+R738+S738), -2)</f>
        <v>#REF!</v>
      </c>
      <c r="V738" t="str">
        <f>ROUND(P738+Q738+R738+T738, -2)</f>
        <v>#REF!</v>
      </c>
      <c r="W738">
        <v>0</v>
      </c>
      <c r="X738" t="str">
        <f>U738*0.038</f>
        <v>#REF!</v>
      </c>
      <c r="Y738" t="str">
        <f>U738*0.02</f>
        <v>#REF!</v>
      </c>
      <c r="Z738" t="str">
        <f>V738*0.1</f>
        <v>#REF!</v>
      </c>
      <c r="AA738" t="str">
        <f>U738-X738-Y738</f>
        <v>#REF!</v>
      </c>
      <c r="AB738" t="str">
        <f>V738-Z738</f>
        <v>#REF!</v>
      </c>
      <c r="AC738" t="str">
        <f>AA738*0.01</f>
        <v>#REF!</v>
      </c>
      <c r="AD738" t="str">
        <f>AA738-P738-AC738-Q738</f>
        <v>#REF!</v>
      </c>
      <c r="AE738" t="str">
        <f>AB738-P738-Q738-AC738</f>
        <v>#REF!</v>
      </c>
      <c r="AF738" t="str">
        <f>AD738/U738</f>
        <v>#REF!</v>
      </c>
      <c r="AG738" t="str">
        <f>AE738/V738</f>
        <v>#REF!</v>
      </c>
    </row>
    <row r="739">
      <c r="G739" t="str">
        <v>A</v>
      </c>
      <c r="J739" t="str">
        <f>IF(K739&gt;0,K739*0.0625,IF(L739&gt;0,L739*2.204623,))</f>
        <v>#REF!</v>
      </c>
      <c r="K739" t="str">
        <f>IF(L739&gt;0,L739*35.273962,IF(J739&gt;0,J739*16,))</f>
        <v>#REF!</v>
      </c>
      <c r="L739" t="str">
        <f>IF(J739&gt;0,J739*0.453592,IF(K739&gt;0,K739*0.02835,))</f>
        <v>#REF!</v>
      </c>
      <c r="O739">
        <f>I739+N739+M739</f>
        <v>0</v>
      </c>
      <c r="P739">
        <f>O739*C$3</f>
        <v>0</v>
      </c>
      <c r="Q739" t="str">
        <f>ROUNDUP(HLOOKUP(IF(CEILING(L739,0.5)&lt;1,1,CEILING(L739,0.5)),'배송비 조회'!A$32:AY$36,2,0),-2)</f>
        <v>#REF!</v>
      </c>
      <c r="R739">
        <v>0</v>
      </c>
      <c r="S739" t="str">
        <f>ROUND((P739+Q739)*0.6,-2)</f>
        <v>#REF!</v>
      </c>
      <c r="T739" t="str">
        <f>ROUND((P739+Q739)*0.7,-2)</f>
        <v>#REF!</v>
      </c>
      <c r="U739" t="str">
        <f>ROUND(SUM(P739+Q739+R739+S739), -2)</f>
        <v>#REF!</v>
      </c>
      <c r="V739" t="str">
        <f>ROUND(P739+Q739+R739+T739, -2)</f>
        <v>#REF!</v>
      </c>
      <c r="W739">
        <v>0</v>
      </c>
      <c r="X739" t="str">
        <f>U739*0.038</f>
        <v>#REF!</v>
      </c>
      <c r="Y739" t="str">
        <f>U739*0.02</f>
        <v>#REF!</v>
      </c>
      <c r="Z739" t="str">
        <f>V739*0.1</f>
        <v>#REF!</v>
      </c>
      <c r="AA739" t="str">
        <f>U739-X739-Y739</f>
        <v>#REF!</v>
      </c>
      <c r="AB739" t="str">
        <f>V739-Z739</f>
        <v>#REF!</v>
      </c>
      <c r="AC739" t="str">
        <f>AA739*0.01</f>
        <v>#REF!</v>
      </c>
      <c r="AD739" t="str">
        <f>AA739-P739-AC739-Q739</f>
        <v>#REF!</v>
      </c>
      <c r="AE739" t="str">
        <f>AB739-P739-Q739-AC739</f>
        <v>#REF!</v>
      </c>
      <c r="AF739" t="str">
        <f>AD739/U739</f>
        <v>#REF!</v>
      </c>
      <c r="AG739" t="str">
        <f>AE739/V739</f>
        <v>#REF!</v>
      </c>
    </row>
    <row r="740">
      <c r="G740" t="str">
        <v>A</v>
      </c>
      <c r="J740" t="str">
        <f>IF(K740&gt;0,K740*0.0625,IF(L740&gt;0,L740*2.204623,))</f>
        <v>#REF!</v>
      </c>
      <c r="K740" t="str">
        <f>IF(L740&gt;0,L740*35.273962,IF(J740&gt;0,J740*16,))</f>
        <v>#REF!</v>
      </c>
      <c r="L740" t="str">
        <f>IF(J740&gt;0,J740*0.453592,IF(K740&gt;0,K740*0.02835,))</f>
        <v>#REF!</v>
      </c>
      <c r="O740">
        <f>I740+N740+M740</f>
        <v>0</v>
      </c>
      <c r="P740">
        <f>O740*C$3</f>
        <v>0</v>
      </c>
      <c r="Q740" t="str">
        <f>ROUNDUP(HLOOKUP(IF(CEILING(L740,0.5)&lt;1,1,CEILING(L740,0.5)),'배송비 조회'!A$32:AY$36,2,0),-2)</f>
        <v>#REF!</v>
      </c>
      <c r="R740">
        <v>0</v>
      </c>
      <c r="S740" t="str">
        <f>ROUND((P740+Q740)*0.6,-2)</f>
        <v>#REF!</v>
      </c>
      <c r="T740" t="str">
        <f>ROUND((P740+Q740)*0.7,-2)</f>
        <v>#REF!</v>
      </c>
      <c r="U740" t="str">
        <f>ROUND(SUM(P740+Q740+R740+S740), -2)</f>
        <v>#REF!</v>
      </c>
      <c r="V740" t="str">
        <f>ROUND(P740+Q740+R740+T740, -2)</f>
        <v>#REF!</v>
      </c>
      <c r="W740">
        <v>0</v>
      </c>
      <c r="X740" t="str">
        <f>U740*0.038</f>
        <v>#REF!</v>
      </c>
      <c r="Y740" t="str">
        <f>U740*0.02</f>
        <v>#REF!</v>
      </c>
      <c r="Z740" t="str">
        <f>V740*0.1</f>
        <v>#REF!</v>
      </c>
      <c r="AA740" t="str">
        <f>U740-X740-Y740</f>
        <v>#REF!</v>
      </c>
      <c r="AB740" t="str">
        <f>V740-Z740</f>
        <v>#REF!</v>
      </c>
      <c r="AC740" t="str">
        <f>AA740*0.01</f>
        <v>#REF!</v>
      </c>
      <c r="AD740" t="str">
        <f>AA740-P740-AC740-Q740</f>
        <v>#REF!</v>
      </c>
      <c r="AE740" t="str">
        <f>AB740-P740-Q740-AC740</f>
        <v>#REF!</v>
      </c>
      <c r="AF740" t="str">
        <f>AD740/U740</f>
        <v>#REF!</v>
      </c>
      <c r="AG740" t="str">
        <f>AE740/V740</f>
        <v>#REF!</v>
      </c>
    </row>
    <row r="741">
      <c r="G741" t="str">
        <v>A</v>
      </c>
      <c r="J741" t="str">
        <f>IF(K741&gt;0,K741*0.0625,IF(L741&gt;0,L741*2.204623,))</f>
        <v>#REF!</v>
      </c>
      <c r="K741" t="str">
        <f>IF(L741&gt;0,L741*35.273962,IF(J741&gt;0,J741*16,))</f>
        <v>#REF!</v>
      </c>
      <c r="L741" t="str">
        <f>IF(J741&gt;0,J741*0.453592,IF(K741&gt;0,K741*0.02835,))</f>
        <v>#REF!</v>
      </c>
      <c r="O741">
        <f>I741+N741+M741</f>
        <v>0</v>
      </c>
      <c r="P741">
        <f>O741*C$3</f>
        <v>0</v>
      </c>
      <c r="Q741" t="str">
        <f>ROUNDUP(HLOOKUP(IF(CEILING(L741,0.5)&lt;1,1,CEILING(L741,0.5)),'배송비 조회'!A$32:AY$36,2,0),-2)</f>
        <v>#REF!</v>
      </c>
      <c r="R741">
        <v>0</v>
      </c>
      <c r="S741" t="str">
        <f>ROUND((P741+Q741)*0.6,-2)</f>
        <v>#REF!</v>
      </c>
      <c r="T741" t="str">
        <f>ROUND((P741+Q741)*0.7,-2)</f>
        <v>#REF!</v>
      </c>
      <c r="U741" t="str">
        <f>ROUND(SUM(P741+Q741+R741+S741), -2)</f>
        <v>#REF!</v>
      </c>
      <c r="V741" t="str">
        <f>ROUND(P741+Q741+R741+T741, -2)</f>
        <v>#REF!</v>
      </c>
      <c r="W741">
        <v>0</v>
      </c>
      <c r="X741" t="str">
        <f>U741*0.038</f>
        <v>#REF!</v>
      </c>
      <c r="Y741" t="str">
        <f>U741*0.02</f>
        <v>#REF!</v>
      </c>
      <c r="Z741" t="str">
        <f>V741*0.1</f>
        <v>#REF!</v>
      </c>
      <c r="AA741" t="str">
        <f>U741-X741-Y741</f>
        <v>#REF!</v>
      </c>
      <c r="AB741" t="str">
        <f>V741-Z741</f>
        <v>#REF!</v>
      </c>
      <c r="AC741" t="str">
        <f>AA741*0.01</f>
        <v>#REF!</v>
      </c>
      <c r="AD741" t="str">
        <f>AA741-P741-AC741-Q741</f>
        <v>#REF!</v>
      </c>
      <c r="AE741" t="str">
        <f>AB741-P741-Q741-AC741</f>
        <v>#REF!</v>
      </c>
      <c r="AF741" t="str">
        <f>AD741/U741</f>
        <v>#REF!</v>
      </c>
      <c r="AG741" t="str">
        <f>AE741/V741</f>
        <v>#REF!</v>
      </c>
    </row>
    <row r="742">
      <c r="G742" t="str">
        <v>A</v>
      </c>
      <c r="J742" t="str">
        <f>IF(K742&gt;0,K742*0.0625,IF(L742&gt;0,L742*2.204623,))</f>
        <v>#REF!</v>
      </c>
      <c r="K742" t="str">
        <f>IF(L742&gt;0,L742*35.273962,IF(J742&gt;0,J742*16,))</f>
        <v>#REF!</v>
      </c>
      <c r="L742" t="str">
        <f>IF(J742&gt;0,J742*0.453592,IF(K742&gt;0,K742*0.02835,))</f>
        <v>#REF!</v>
      </c>
      <c r="O742">
        <f>I742+N742+M742</f>
        <v>0</v>
      </c>
      <c r="P742">
        <f>O742*C$3</f>
        <v>0</v>
      </c>
      <c r="Q742" t="str">
        <f>ROUNDUP(HLOOKUP(IF(CEILING(L742,0.5)&lt;1,1,CEILING(L742,0.5)),'배송비 조회'!A$32:AY$36,2,0),-2)</f>
        <v>#REF!</v>
      </c>
      <c r="R742">
        <v>0</v>
      </c>
      <c r="S742" t="str">
        <f>ROUND((P742+Q742)*0.6,-2)</f>
        <v>#REF!</v>
      </c>
      <c r="T742" t="str">
        <f>ROUND((P742+Q742)*0.7,-2)</f>
        <v>#REF!</v>
      </c>
      <c r="U742" t="str">
        <f>ROUND(SUM(P742+Q742+R742+S742), -2)</f>
        <v>#REF!</v>
      </c>
      <c r="V742" t="str">
        <f>ROUND(P742+Q742+R742+T742, -2)</f>
        <v>#REF!</v>
      </c>
      <c r="W742">
        <v>0</v>
      </c>
      <c r="X742" t="str">
        <f>U742*0.038</f>
        <v>#REF!</v>
      </c>
      <c r="Y742" t="str">
        <f>U742*0.02</f>
        <v>#REF!</v>
      </c>
      <c r="Z742" t="str">
        <f>V742*0.1</f>
        <v>#REF!</v>
      </c>
      <c r="AA742" t="str">
        <f>U742-X742-Y742</f>
        <v>#REF!</v>
      </c>
      <c r="AB742" t="str">
        <f>V742-Z742</f>
        <v>#REF!</v>
      </c>
      <c r="AC742" t="str">
        <f>AA742*0.01</f>
        <v>#REF!</v>
      </c>
      <c r="AD742" t="str">
        <f>AA742-P742-AC742-Q742</f>
        <v>#REF!</v>
      </c>
      <c r="AE742" t="str">
        <f>AB742-P742-Q742-AC742</f>
        <v>#REF!</v>
      </c>
      <c r="AF742" t="str">
        <f>AD742/U742</f>
        <v>#REF!</v>
      </c>
      <c r="AG742" t="str">
        <f>AE742/V742</f>
        <v>#REF!</v>
      </c>
    </row>
    <row r="743">
      <c r="G743" t="str">
        <v>A</v>
      </c>
      <c r="J743" t="str">
        <f>IF(K743&gt;0,K743*0.0625,IF(L743&gt;0,L743*2.204623,))</f>
        <v>#REF!</v>
      </c>
      <c r="K743" t="str">
        <f>IF(L743&gt;0,L743*35.273962,IF(J743&gt;0,J743*16,))</f>
        <v>#REF!</v>
      </c>
      <c r="L743" t="str">
        <f>IF(J743&gt;0,J743*0.453592,IF(K743&gt;0,K743*0.02835,))</f>
        <v>#REF!</v>
      </c>
      <c r="O743">
        <f>I743+N743+M743</f>
        <v>0</v>
      </c>
      <c r="P743">
        <f>O743*C$3</f>
        <v>0</v>
      </c>
      <c r="Q743" t="str">
        <f>ROUNDUP(HLOOKUP(IF(CEILING(L743,0.5)&lt;1,1,CEILING(L743,0.5)),'배송비 조회'!A$32:AY$36,2,0),-2)</f>
        <v>#REF!</v>
      </c>
      <c r="R743">
        <v>0</v>
      </c>
      <c r="S743" t="str">
        <f>ROUND((P743+Q743)*0.6,-2)</f>
        <v>#REF!</v>
      </c>
      <c r="T743" t="str">
        <f>ROUND((P743+Q743)*0.7,-2)</f>
        <v>#REF!</v>
      </c>
      <c r="U743" t="str">
        <f>ROUND(SUM(P743+Q743+R743+S743), -2)</f>
        <v>#REF!</v>
      </c>
      <c r="V743" t="str">
        <f>ROUND(P743+Q743+R743+T743, -2)</f>
        <v>#REF!</v>
      </c>
      <c r="W743">
        <v>0</v>
      </c>
      <c r="X743" t="str">
        <f>U743*0.038</f>
        <v>#REF!</v>
      </c>
      <c r="Y743" t="str">
        <f>U743*0.02</f>
        <v>#REF!</v>
      </c>
      <c r="Z743" t="str">
        <f>V743*0.1</f>
        <v>#REF!</v>
      </c>
      <c r="AA743" t="str">
        <f>U743-X743-Y743</f>
        <v>#REF!</v>
      </c>
      <c r="AB743" t="str">
        <f>V743-Z743</f>
        <v>#REF!</v>
      </c>
      <c r="AC743" t="str">
        <f>AA743*0.01</f>
        <v>#REF!</v>
      </c>
      <c r="AD743" t="str">
        <f>AA743-P743-AC743-Q743</f>
        <v>#REF!</v>
      </c>
      <c r="AE743" t="str">
        <f>AB743-P743-Q743-AC743</f>
        <v>#REF!</v>
      </c>
      <c r="AF743" t="str">
        <f>AD743/U743</f>
        <v>#REF!</v>
      </c>
      <c r="AG743" t="str">
        <f>AE743/V743</f>
        <v>#REF!</v>
      </c>
    </row>
    <row r="744">
      <c r="G744" t="str">
        <v>A</v>
      </c>
      <c r="J744" t="str">
        <f>IF(K744&gt;0,K744*0.0625,IF(L744&gt;0,L744*2.204623,))</f>
        <v>#REF!</v>
      </c>
      <c r="K744" t="str">
        <f>IF(L744&gt;0,L744*35.273962,IF(J744&gt;0,J744*16,))</f>
        <v>#REF!</v>
      </c>
      <c r="L744" t="str">
        <f>IF(J744&gt;0,J744*0.453592,IF(K744&gt;0,K744*0.02835,))</f>
        <v>#REF!</v>
      </c>
      <c r="O744">
        <f>I744+N744+M744</f>
        <v>0</v>
      </c>
      <c r="P744">
        <f>O744*C$3</f>
        <v>0</v>
      </c>
      <c r="Q744" t="str">
        <f>ROUNDUP(HLOOKUP(IF(CEILING(L744,0.5)&lt;1,1,CEILING(L744,0.5)),'배송비 조회'!A$32:AY$36,2,0),-2)</f>
        <v>#REF!</v>
      </c>
      <c r="R744">
        <v>0</v>
      </c>
      <c r="S744" t="str">
        <f>ROUND((P744+Q744)*0.6,-2)</f>
        <v>#REF!</v>
      </c>
      <c r="T744" t="str">
        <f>ROUND((P744+Q744)*0.7,-2)</f>
        <v>#REF!</v>
      </c>
      <c r="U744" t="str">
        <f>ROUND(SUM(P744+Q744+R744+S744), -2)</f>
        <v>#REF!</v>
      </c>
      <c r="V744" t="str">
        <f>ROUND(P744+Q744+R744+T744, -2)</f>
        <v>#REF!</v>
      </c>
      <c r="W744">
        <v>0</v>
      </c>
      <c r="X744" t="str">
        <f>U744*0.038</f>
        <v>#REF!</v>
      </c>
      <c r="Y744" t="str">
        <f>U744*0.02</f>
        <v>#REF!</v>
      </c>
      <c r="Z744" t="str">
        <f>V744*0.1</f>
        <v>#REF!</v>
      </c>
      <c r="AA744" t="str">
        <f>U744-X744-Y744</f>
        <v>#REF!</v>
      </c>
      <c r="AB744" t="str">
        <f>V744-Z744</f>
        <v>#REF!</v>
      </c>
      <c r="AC744" t="str">
        <f>AA744*0.01</f>
        <v>#REF!</v>
      </c>
      <c r="AD744" t="str">
        <f>AA744-P744-AC744-Q744</f>
        <v>#REF!</v>
      </c>
      <c r="AE744" t="str">
        <f>AB744-P744-Q744-AC744</f>
        <v>#REF!</v>
      </c>
      <c r="AF744" t="str">
        <f>AD744/U744</f>
        <v>#REF!</v>
      </c>
      <c r="AG744" t="str">
        <f>AE744/V744</f>
        <v>#REF!</v>
      </c>
    </row>
    <row r="745">
      <c r="G745" t="str">
        <v>A</v>
      </c>
      <c r="J745" t="str">
        <f>IF(K745&gt;0,K745*0.0625,IF(L745&gt;0,L745*2.204623,))</f>
        <v>#REF!</v>
      </c>
      <c r="K745" t="str">
        <f>IF(L745&gt;0,L745*35.273962,IF(J745&gt;0,J745*16,))</f>
        <v>#REF!</v>
      </c>
      <c r="L745" t="str">
        <f>IF(J745&gt;0,J745*0.453592,IF(K745&gt;0,K745*0.02835,))</f>
        <v>#REF!</v>
      </c>
      <c r="O745">
        <f>I745+N745+M745</f>
        <v>0</v>
      </c>
      <c r="P745">
        <f>O745*C$3</f>
        <v>0</v>
      </c>
      <c r="Q745" t="str">
        <f>ROUNDUP(HLOOKUP(IF(CEILING(L745,0.5)&lt;1,1,CEILING(L745,0.5)),'배송비 조회'!A$32:AY$36,2,0),-2)</f>
        <v>#REF!</v>
      </c>
      <c r="R745">
        <v>0</v>
      </c>
      <c r="S745" t="str">
        <f>ROUND((P745+Q745)*0.6,-2)</f>
        <v>#REF!</v>
      </c>
      <c r="T745" t="str">
        <f>ROUND((P745+Q745)*0.7,-2)</f>
        <v>#REF!</v>
      </c>
      <c r="U745" t="str">
        <f>ROUND(SUM(P745+Q745+R745+S745), -2)</f>
        <v>#REF!</v>
      </c>
      <c r="V745" t="str">
        <f>ROUND(P745+Q745+R745+T745, -2)</f>
        <v>#REF!</v>
      </c>
      <c r="W745">
        <v>0</v>
      </c>
      <c r="X745" t="str">
        <f>U745*0.038</f>
        <v>#REF!</v>
      </c>
      <c r="Y745" t="str">
        <f>U745*0.02</f>
        <v>#REF!</v>
      </c>
      <c r="Z745" t="str">
        <f>V745*0.1</f>
        <v>#REF!</v>
      </c>
      <c r="AA745" t="str">
        <f>U745-X745-Y745</f>
        <v>#REF!</v>
      </c>
      <c r="AB745" t="str">
        <f>V745-Z745</f>
        <v>#REF!</v>
      </c>
      <c r="AC745" t="str">
        <f>AA745*0.01</f>
        <v>#REF!</v>
      </c>
      <c r="AD745" t="str">
        <f>AA745-P745-AC745-Q745</f>
        <v>#REF!</v>
      </c>
      <c r="AE745" t="str">
        <f>AB745-P745-Q745-AC745</f>
        <v>#REF!</v>
      </c>
      <c r="AF745" t="str">
        <f>AD745/U745</f>
        <v>#REF!</v>
      </c>
      <c r="AG745" t="str">
        <f>AE745/V745</f>
        <v>#REF!</v>
      </c>
    </row>
    <row r="746">
      <c r="G746" t="str">
        <v>A</v>
      </c>
      <c r="J746" t="str">
        <f>IF(K746&gt;0,K746*0.0625,IF(L746&gt;0,L746*2.204623,))</f>
        <v>#REF!</v>
      </c>
      <c r="K746" t="str">
        <f>IF(L746&gt;0,L746*35.273962,IF(J746&gt;0,J746*16,))</f>
        <v>#REF!</v>
      </c>
      <c r="L746" t="str">
        <f>IF(J746&gt;0,J746*0.453592,IF(K746&gt;0,K746*0.02835,))</f>
        <v>#REF!</v>
      </c>
      <c r="O746">
        <f>I746+N746+M746</f>
        <v>0</v>
      </c>
      <c r="P746">
        <f>O746*C$3</f>
        <v>0</v>
      </c>
      <c r="Q746" t="str">
        <f>ROUNDUP(HLOOKUP(IF(CEILING(L746,0.5)&lt;1,1,CEILING(L746,0.5)),'배송비 조회'!A$32:AY$36,2,0),-2)</f>
        <v>#REF!</v>
      </c>
      <c r="R746">
        <v>0</v>
      </c>
      <c r="S746" t="str">
        <f>ROUND((P746+Q746)*0.6,-2)</f>
        <v>#REF!</v>
      </c>
      <c r="T746" t="str">
        <f>ROUND((P746+Q746)*0.7,-2)</f>
        <v>#REF!</v>
      </c>
      <c r="U746" t="str">
        <f>ROUND(SUM(P746+Q746+R746+S746), -2)</f>
        <v>#REF!</v>
      </c>
      <c r="V746" t="str">
        <f>ROUND(P746+Q746+R746+T746, -2)</f>
        <v>#REF!</v>
      </c>
      <c r="W746">
        <v>0</v>
      </c>
      <c r="X746" t="str">
        <f>U746*0.038</f>
        <v>#REF!</v>
      </c>
      <c r="Y746" t="str">
        <f>U746*0.02</f>
        <v>#REF!</v>
      </c>
      <c r="Z746" t="str">
        <f>V746*0.1</f>
        <v>#REF!</v>
      </c>
      <c r="AA746" t="str">
        <f>U746-X746-Y746</f>
        <v>#REF!</v>
      </c>
      <c r="AB746" t="str">
        <f>V746-Z746</f>
        <v>#REF!</v>
      </c>
      <c r="AC746" t="str">
        <f>AA746*0.01</f>
        <v>#REF!</v>
      </c>
      <c r="AD746" t="str">
        <f>AA746-P746-AC746-Q746</f>
        <v>#REF!</v>
      </c>
      <c r="AE746" t="str">
        <f>AB746-P746-Q746-AC746</f>
        <v>#REF!</v>
      </c>
      <c r="AF746" t="str">
        <f>AD746/U746</f>
        <v>#REF!</v>
      </c>
      <c r="AG746" t="str">
        <f>AE746/V746</f>
        <v>#REF!</v>
      </c>
    </row>
    <row r="747">
      <c r="G747" t="str">
        <v>A</v>
      </c>
      <c r="J747" t="str">
        <f>IF(K747&gt;0,K747*0.0625,IF(L747&gt;0,L747*2.204623,))</f>
        <v>#REF!</v>
      </c>
      <c r="K747" t="str">
        <f>IF(L747&gt;0,L747*35.273962,IF(J747&gt;0,J747*16,))</f>
        <v>#REF!</v>
      </c>
      <c r="L747" t="str">
        <f>IF(J747&gt;0,J747*0.453592,IF(K747&gt;0,K747*0.02835,))</f>
        <v>#REF!</v>
      </c>
      <c r="O747">
        <f>I747+N747+M747</f>
        <v>0</v>
      </c>
      <c r="P747">
        <f>O747*C$3</f>
        <v>0</v>
      </c>
      <c r="Q747" t="str">
        <f>ROUNDUP(HLOOKUP(IF(CEILING(L747,0.5)&lt;1,1,CEILING(L747,0.5)),'배송비 조회'!A$32:AY$36,2,0),-2)</f>
        <v>#REF!</v>
      </c>
      <c r="R747">
        <v>0</v>
      </c>
      <c r="S747" t="str">
        <f>ROUND((P747+Q747)*0.6,-2)</f>
        <v>#REF!</v>
      </c>
      <c r="T747" t="str">
        <f>ROUND((P747+Q747)*0.7,-2)</f>
        <v>#REF!</v>
      </c>
      <c r="U747" t="str">
        <f>ROUND(SUM(P747+Q747+R747+S747), -2)</f>
        <v>#REF!</v>
      </c>
      <c r="V747" t="str">
        <f>ROUND(P747+Q747+R747+T747, -2)</f>
        <v>#REF!</v>
      </c>
      <c r="W747">
        <v>0</v>
      </c>
      <c r="X747" t="str">
        <f>U747*0.038</f>
        <v>#REF!</v>
      </c>
      <c r="Y747" t="str">
        <f>U747*0.02</f>
        <v>#REF!</v>
      </c>
      <c r="Z747" t="str">
        <f>V747*0.1</f>
        <v>#REF!</v>
      </c>
      <c r="AA747" t="str">
        <f>U747-X747-Y747</f>
        <v>#REF!</v>
      </c>
      <c r="AB747" t="str">
        <f>V747-Z747</f>
        <v>#REF!</v>
      </c>
      <c r="AC747" t="str">
        <f>AA747*0.01</f>
        <v>#REF!</v>
      </c>
      <c r="AD747" t="str">
        <f>AA747-P747-AC747-Q747</f>
        <v>#REF!</v>
      </c>
      <c r="AE747" t="str">
        <f>AB747-P747-Q747-AC747</f>
        <v>#REF!</v>
      </c>
      <c r="AF747" t="str">
        <f>AD747/U747</f>
        <v>#REF!</v>
      </c>
      <c r="AG747" t="str">
        <f>AE747/V747</f>
        <v>#REF!</v>
      </c>
    </row>
    <row r="748">
      <c r="G748" t="str">
        <v>A</v>
      </c>
      <c r="J748" t="str">
        <f>IF(K748&gt;0,K748*0.0625,IF(L748&gt;0,L748*2.204623,))</f>
        <v>#REF!</v>
      </c>
      <c r="K748" t="str">
        <f>IF(L748&gt;0,L748*35.273962,IF(J748&gt;0,J748*16,))</f>
        <v>#REF!</v>
      </c>
      <c r="L748" t="str">
        <f>IF(J748&gt;0,J748*0.453592,IF(K748&gt;0,K748*0.02835,))</f>
        <v>#REF!</v>
      </c>
      <c r="O748">
        <f>I748+N748+M748</f>
        <v>0</v>
      </c>
      <c r="P748">
        <f>O748*C$3</f>
        <v>0</v>
      </c>
      <c r="Q748" t="str">
        <f>ROUNDUP(HLOOKUP(IF(CEILING(L748,0.5)&lt;1,1,CEILING(L748,0.5)),'배송비 조회'!A$32:AY$36,2,0),-2)</f>
        <v>#REF!</v>
      </c>
      <c r="R748">
        <v>0</v>
      </c>
      <c r="S748" t="str">
        <f>ROUND((P748+Q748)*0.6,-2)</f>
        <v>#REF!</v>
      </c>
      <c r="T748" t="str">
        <f>ROUND((P748+Q748)*0.7,-2)</f>
        <v>#REF!</v>
      </c>
      <c r="U748" t="str">
        <f>ROUND(SUM(P748+Q748+R748+S748), -2)</f>
        <v>#REF!</v>
      </c>
      <c r="V748" t="str">
        <f>ROUND(P748+Q748+R748+T748, -2)</f>
        <v>#REF!</v>
      </c>
      <c r="W748">
        <v>0</v>
      </c>
      <c r="X748" t="str">
        <f>U748*0.038</f>
        <v>#REF!</v>
      </c>
      <c r="Y748" t="str">
        <f>U748*0.02</f>
        <v>#REF!</v>
      </c>
      <c r="Z748" t="str">
        <f>V748*0.1</f>
        <v>#REF!</v>
      </c>
      <c r="AA748" t="str">
        <f>U748-X748-Y748</f>
        <v>#REF!</v>
      </c>
      <c r="AB748" t="str">
        <f>V748-Z748</f>
        <v>#REF!</v>
      </c>
      <c r="AC748" t="str">
        <f>AA748*0.01</f>
        <v>#REF!</v>
      </c>
      <c r="AD748" t="str">
        <f>AA748-P748-AC748-Q748</f>
        <v>#REF!</v>
      </c>
      <c r="AE748" t="str">
        <f>AB748-P748-Q748-AC748</f>
        <v>#REF!</v>
      </c>
      <c r="AF748" t="str">
        <f>AD748/U748</f>
        <v>#REF!</v>
      </c>
      <c r="AG748" t="str">
        <f>AE748/V748</f>
        <v>#REF!</v>
      </c>
    </row>
    <row r="749">
      <c r="G749" t="str">
        <v>A</v>
      </c>
      <c r="J749" t="str">
        <f>IF(K749&gt;0,K749*0.0625,IF(L749&gt;0,L749*2.204623,))</f>
        <v>#REF!</v>
      </c>
      <c r="K749" t="str">
        <f>IF(L749&gt;0,L749*35.273962,IF(J749&gt;0,J749*16,))</f>
        <v>#REF!</v>
      </c>
      <c r="L749" t="str">
        <f>IF(J749&gt;0,J749*0.453592,IF(K749&gt;0,K749*0.02835,))</f>
        <v>#REF!</v>
      </c>
      <c r="O749">
        <f>I749+N749+M749</f>
        <v>0</v>
      </c>
      <c r="P749">
        <f>O749*C$3</f>
        <v>0</v>
      </c>
      <c r="Q749" t="str">
        <f>ROUNDUP(HLOOKUP(IF(CEILING(L749,0.5)&lt;1,1,CEILING(L749,0.5)),'배송비 조회'!A$32:AY$36,2,0),-2)</f>
        <v>#REF!</v>
      </c>
      <c r="R749">
        <v>0</v>
      </c>
      <c r="S749" t="str">
        <f>ROUND((P749+Q749)*0.6,-2)</f>
        <v>#REF!</v>
      </c>
      <c r="T749" t="str">
        <f>ROUND((P749+Q749)*0.7,-2)</f>
        <v>#REF!</v>
      </c>
      <c r="U749" t="str">
        <f>ROUND(SUM(P749+Q749+R749+S749), -2)</f>
        <v>#REF!</v>
      </c>
      <c r="V749" t="str">
        <f>ROUND(P749+Q749+R749+T749, -2)</f>
        <v>#REF!</v>
      </c>
      <c r="W749">
        <v>0</v>
      </c>
      <c r="X749" t="str">
        <f>U749*0.038</f>
        <v>#REF!</v>
      </c>
      <c r="Y749" t="str">
        <f>U749*0.02</f>
        <v>#REF!</v>
      </c>
      <c r="Z749" t="str">
        <f>V749*0.1</f>
        <v>#REF!</v>
      </c>
      <c r="AA749" t="str">
        <f>U749-X749-Y749</f>
        <v>#REF!</v>
      </c>
      <c r="AB749" t="str">
        <f>V749-Z749</f>
        <v>#REF!</v>
      </c>
      <c r="AC749" t="str">
        <f>AA749*0.01</f>
        <v>#REF!</v>
      </c>
      <c r="AD749" t="str">
        <f>AA749-P749-AC749-Q749</f>
        <v>#REF!</v>
      </c>
      <c r="AE749" t="str">
        <f>AB749-P749-Q749-AC749</f>
        <v>#REF!</v>
      </c>
      <c r="AF749" t="str">
        <f>AD749/U749</f>
        <v>#REF!</v>
      </c>
      <c r="AG749" t="str">
        <f>AE749/V749</f>
        <v>#REF!</v>
      </c>
    </row>
    <row r="750">
      <c r="G750" t="str">
        <v>A</v>
      </c>
      <c r="J750" t="str">
        <f>IF(K750&gt;0,K750*0.0625,IF(L750&gt;0,L750*2.204623,))</f>
        <v>#REF!</v>
      </c>
      <c r="K750" t="str">
        <f>IF(L750&gt;0,L750*35.273962,IF(J750&gt;0,J750*16,))</f>
        <v>#REF!</v>
      </c>
      <c r="L750" t="str">
        <f>IF(J750&gt;0,J750*0.453592,IF(K750&gt;0,K750*0.02835,))</f>
        <v>#REF!</v>
      </c>
      <c r="O750">
        <f>I750+N750+M750</f>
        <v>0</v>
      </c>
      <c r="P750">
        <f>O750*C$3</f>
        <v>0</v>
      </c>
      <c r="Q750" t="str">
        <f>ROUNDUP(HLOOKUP(IF(CEILING(L750,0.5)&lt;1,1,CEILING(L750,0.5)),'배송비 조회'!A$32:AY$36,2,0),-2)</f>
        <v>#REF!</v>
      </c>
      <c r="R750">
        <v>0</v>
      </c>
      <c r="S750" t="str">
        <f>ROUND((P750+Q750)*0.6,-2)</f>
        <v>#REF!</v>
      </c>
      <c r="T750" t="str">
        <f>ROUND((P750+Q750)*0.7,-2)</f>
        <v>#REF!</v>
      </c>
      <c r="U750" t="str">
        <f>ROUND(SUM(P750+Q750+R750+S750), -2)</f>
        <v>#REF!</v>
      </c>
      <c r="V750" t="str">
        <f>ROUND(P750+Q750+R750+T750, -2)</f>
        <v>#REF!</v>
      </c>
      <c r="W750">
        <v>0</v>
      </c>
      <c r="X750" t="str">
        <f>U750*0.038</f>
        <v>#REF!</v>
      </c>
      <c r="Y750" t="str">
        <f>U750*0.02</f>
        <v>#REF!</v>
      </c>
      <c r="Z750" t="str">
        <f>V750*0.1</f>
        <v>#REF!</v>
      </c>
      <c r="AA750" t="str">
        <f>U750-X750-Y750</f>
        <v>#REF!</v>
      </c>
      <c r="AB750" t="str">
        <f>V750-Z750</f>
        <v>#REF!</v>
      </c>
      <c r="AC750" t="str">
        <f>AA750*0.01</f>
        <v>#REF!</v>
      </c>
      <c r="AD750" t="str">
        <f>AA750-P750-AC750-Q750</f>
        <v>#REF!</v>
      </c>
      <c r="AE750" t="str">
        <f>AB750-P750-Q750-AC750</f>
        <v>#REF!</v>
      </c>
      <c r="AF750" t="str">
        <f>AD750/U750</f>
        <v>#REF!</v>
      </c>
      <c r="AG750" t="str">
        <f>AE750/V750</f>
        <v>#REF!</v>
      </c>
    </row>
    <row r="751">
      <c r="G751" t="str">
        <v>A</v>
      </c>
      <c r="J751" t="str">
        <f>IF(K751&gt;0,K751*0.0625,IF(L751&gt;0,L751*2.204623,))</f>
        <v>#REF!</v>
      </c>
      <c r="K751" t="str">
        <f>IF(L751&gt;0,L751*35.273962,IF(J751&gt;0,J751*16,))</f>
        <v>#REF!</v>
      </c>
      <c r="L751" t="str">
        <f>IF(J751&gt;0,J751*0.453592,IF(K751&gt;0,K751*0.02835,))</f>
        <v>#REF!</v>
      </c>
      <c r="O751">
        <f>I751+N751+M751</f>
        <v>0</v>
      </c>
      <c r="P751">
        <f>O751*C$3</f>
        <v>0</v>
      </c>
      <c r="Q751" t="str">
        <f>ROUNDUP(HLOOKUP(IF(CEILING(L751,0.5)&lt;1,1,CEILING(L751,0.5)),'배송비 조회'!A$32:AY$36,2,0),-2)</f>
        <v>#REF!</v>
      </c>
      <c r="R751">
        <v>0</v>
      </c>
      <c r="S751" t="str">
        <f>ROUND((P751+Q751)*0.6,-2)</f>
        <v>#REF!</v>
      </c>
      <c r="T751" t="str">
        <f>ROUND((P751+Q751)*0.7,-2)</f>
        <v>#REF!</v>
      </c>
      <c r="U751" t="str">
        <f>ROUND(SUM(P751+Q751+R751+S751), -2)</f>
        <v>#REF!</v>
      </c>
      <c r="V751" t="str">
        <f>ROUND(P751+Q751+R751+T751, -2)</f>
        <v>#REF!</v>
      </c>
      <c r="W751">
        <v>0</v>
      </c>
      <c r="X751" t="str">
        <f>U751*0.038</f>
        <v>#REF!</v>
      </c>
      <c r="Y751" t="str">
        <f>U751*0.02</f>
        <v>#REF!</v>
      </c>
      <c r="Z751" t="str">
        <f>V751*0.1</f>
        <v>#REF!</v>
      </c>
      <c r="AA751" t="str">
        <f>U751-X751-Y751</f>
        <v>#REF!</v>
      </c>
      <c r="AB751" t="str">
        <f>V751-Z751</f>
        <v>#REF!</v>
      </c>
      <c r="AC751" t="str">
        <f>AA751*0.01</f>
        <v>#REF!</v>
      </c>
      <c r="AD751" t="str">
        <f>AA751-P751-AC751-Q751</f>
        <v>#REF!</v>
      </c>
      <c r="AE751" t="str">
        <f>AB751-P751-Q751-AC751</f>
        <v>#REF!</v>
      </c>
      <c r="AF751" t="str">
        <f>AD751/U751</f>
        <v>#REF!</v>
      </c>
      <c r="AG751" t="str">
        <f>AE751/V751</f>
        <v>#REF!</v>
      </c>
    </row>
    <row r="752">
      <c r="G752" t="str">
        <v>A</v>
      </c>
      <c r="J752" t="str">
        <f>IF(K752&gt;0,K752*0.0625,IF(L752&gt;0,L752*2.204623,))</f>
        <v>#REF!</v>
      </c>
      <c r="K752" t="str">
        <f>IF(L752&gt;0,L752*35.273962,IF(J752&gt;0,J752*16,))</f>
        <v>#REF!</v>
      </c>
      <c r="L752" t="str">
        <f>IF(J752&gt;0,J752*0.453592,IF(K752&gt;0,K752*0.02835,))</f>
        <v>#REF!</v>
      </c>
      <c r="O752">
        <f>I752+N752+M752</f>
        <v>0</v>
      </c>
      <c r="P752">
        <f>O752*C$3</f>
        <v>0</v>
      </c>
      <c r="Q752" t="str">
        <f>ROUNDUP(HLOOKUP(IF(CEILING(L752,0.5)&lt;1,1,CEILING(L752,0.5)),'배송비 조회'!A$32:AY$36,2,0),-2)</f>
        <v>#REF!</v>
      </c>
      <c r="R752">
        <v>0</v>
      </c>
      <c r="S752" t="str">
        <f>ROUND((P752+Q752)*0.6,-2)</f>
        <v>#REF!</v>
      </c>
      <c r="T752" t="str">
        <f>ROUND((P752+Q752)*0.7,-2)</f>
        <v>#REF!</v>
      </c>
      <c r="U752" t="str">
        <f>ROUND(SUM(P752+Q752+R752+S752), -2)</f>
        <v>#REF!</v>
      </c>
      <c r="V752" t="str">
        <f>ROUND(P752+Q752+R752+T752, -2)</f>
        <v>#REF!</v>
      </c>
      <c r="W752">
        <v>0</v>
      </c>
      <c r="X752" t="str">
        <f>U752*0.038</f>
        <v>#REF!</v>
      </c>
      <c r="Y752" t="str">
        <f>U752*0.02</f>
        <v>#REF!</v>
      </c>
      <c r="Z752" t="str">
        <f>V752*0.1</f>
        <v>#REF!</v>
      </c>
      <c r="AA752" t="str">
        <f>U752-X752-Y752</f>
        <v>#REF!</v>
      </c>
      <c r="AB752" t="str">
        <f>V752-Z752</f>
        <v>#REF!</v>
      </c>
      <c r="AC752" t="str">
        <f>AA752*0.01</f>
        <v>#REF!</v>
      </c>
      <c r="AD752" t="str">
        <f>AA752-P752-AC752-Q752</f>
        <v>#REF!</v>
      </c>
      <c r="AE752" t="str">
        <f>AB752-P752-Q752-AC752</f>
        <v>#REF!</v>
      </c>
      <c r="AF752" t="str">
        <f>AD752/U752</f>
        <v>#REF!</v>
      </c>
      <c r="AG752" t="str">
        <f>AE752/V752</f>
        <v>#REF!</v>
      </c>
    </row>
    <row r="753">
      <c r="G753" t="str">
        <v>A</v>
      </c>
      <c r="J753" t="str">
        <f>IF(K753&gt;0,K753*0.0625,IF(L753&gt;0,L753*2.204623,))</f>
        <v>#REF!</v>
      </c>
      <c r="K753" t="str">
        <f>IF(L753&gt;0,L753*35.273962,IF(J753&gt;0,J753*16,))</f>
        <v>#REF!</v>
      </c>
      <c r="L753" t="str">
        <f>IF(J753&gt;0,J753*0.453592,IF(K753&gt;0,K753*0.02835,))</f>
        <v>#REF!</v>
      </c>
      <c r="O753">
        <f>I753+N753+M753</f>
        <v>0</v>
      </c>
      <c r="P753">
        <f>O753*C$3</f>
        <v>0</v>
      </c>
      <c r="Q753" t="str">
        <f>ROUNDUP(HLOOKUP(IF(CEILING(L753,0.5)&lt;1,1,CEILING(L753,0.5)),'배송비 조회'!A$32:AY$36,2,0),-2)</f>
        <v>#REF!</v>
      </c>
      <c r="R753">
        <v>0</v>
      </c>
      <c r="S753" t="str">
        <f>ROUND((P753+Q753)*0.6,-2)</f>
        <v>#REF!</v>
      </c>
      <c r="T753" t="str">
        <f>ROUND((P753+Q753)*0.7,-2)</f>
        <v>#REF!</v>
      </c>
      <c r="U753" t="str">
        <f>ROUND(SUM(P753+Q753+R753+S753), -2)</f>
        <v>#REF!</v>
      </c>
      <c r="V753" t="str">
        <f>ROUND(P753+Q753+R753+T753, -2)</f>
        <v>#REF!</v>
      </c>
      <c r="W753">
        <v>0</v>
      </c>
      <c r="X753" t="str">
        <f>U753*0.038</f>
        <v>#REF!</v>
      </c>
      <c r="Y753" t="str">
        <f>U753*0.02</f>
        <v>#REF!</v>
      </c>
      <c r="Z753" t="str">
        <f>V753*0.1</f>
        <v>#REF!</v>
      </c>
      <c r="AA753" t="str">
        <f>U753-X753-Y753</f>
        <v>#REF!</v>
      </c>
      <c r="AB753" t="str">
        <f>V753-Z753</f>
        <v>#REF!</v>
      </c>
      <c r="AC753" t="str">
        <f>AA753*0.01</f>
        <v>#REF!</v>
      </c>
      <c r="AD753" t="str">
        <f>AA753-P753-AC753-Q753</f>
        <v>#REF!</v>
      </c>
      <c r="AE753" t="str">
        <f>AB753-P753-Q753-AC753</f>
        <v>#REF!</v>
      </c>
      <c r="AF753" t="str">
        <f>AD753/U753</f>
        <v>#REF!</v>
      </c>
      <c r="AG753" t="str">
        <f>AE753/V753</f>
        <v>#REF!</v>
      </c>
    </row>
    <row r="754">
      <c r="G754" t="str">
        <v>A</v>
      </c>
      <c r="J754" t="str">
        <f>IF(K754&gt;0,K754*0.0625,IF(L754&gt;0,L754*2.204623,))</f>
        <v>#REF!</v>
      </c>
      <c r="K754" t="str">
        <f>IF(L754&gt;0,L754*35.273962,IF(J754&gt;0,J754*16,))</f>
        <v>#REF!</v>
      </c>
      <c r="L754" t="str">
        <f>IF(J754&gt;0,J754*0.453592,IF(K754&gt;0,K754*0.02835,))</f>
        <v>#REF!</v>
      </c>
      <c r="O754">
        <f>I754+N754+M754</f>
        <v>0</v>
      </c>
      <c r="P754">
        <f>O754*C$3</f>
        <v>0</v>
      </c>
      <c r="Q754" t="str">
        <f>ROUNDUP(HLOOKUP(IF(CEILING(L754,0.5)&lt;1,1,CEILING(L754,0.5)),'배송비 조회'!A$32:AY$36,2,0),-2)</f>
        <v>#REF!</v>
      </c>
      <c r="R754">
        <v>0</v>
      </c>
      <c r="S754" t="str">
        <f>ROUND((P754+Q754)*0.6,-2)</f>
        <v>#REF!</v>
      </c>
      <c r="T754" t="str">
        <f>ROUND((P754+Q754)*0.7,-2)</f>
        <v>#REF!</v>
      </c>
      <c r="U754" t="str">
        <f>ROUND(SUM(P754+Q754+R754+S754), -2)</f>
        <v>#REF!</v>
      </c>
      <c r="V754" t="str">
        <f>ROUND(P754+Q754+R754+T754, -2)</f>
        <v>#REF!</v>
      </c>
      <c r="W754">
        <v>0</v>
      </c>
      <c r="X754" t="str">
        <f>U754*0.038</f>
        <v>#REF!</v>
      </c>
      <c r="Y754" t="str">
        <f>U754*0.02</f>
        <v>#REF!</v>
      </c>
      <c r="Z754" t="str">
        <f>V754*0.1</f>
        <v>#REF!</v>
      </c>
      <c r="AA754" t="str">
        <f>U754-X754-Y754</f>
        <v>#REF!</v>
      </c>
      <c r="AB754" t="str">
        <f>V754-Z754</f>
        <v>#REF!</v>
      </c>
      <c r="AC754" t="str">
        <f>AA754*0.01</f>
        <v>#REF!</v>
      </c>
      <c r="AD754" t="str">
        <f>AA754-P754-AC754-Q754</f>
        <v>#REF!</v>
      </c>
      <c r="AE754" t="str">
        <f>AB754-P754-Q754-AC754</f>
        <v>#REF!</v>
      </c>
      <c r="AF754" t="str">
        <f>AD754/U754</f>
        <v>#REF!</v>
      </c>
      <c r="AG754" t="str">
        <f>AE754/V754</f>
        <v>#REF!</v>
      </c>
    </row>
    <row r="755">
      <c r="G755" t="str">
        <v>A</v>
      </c>
      <c r="J755" t="str">
        <f>IF(K755&gt;0,K755*0.0625,IF(L755&gt;0,L755*2.204623,))</f>
        <v>#REF!</v>
      </c>
      <c r="K755" t="str">
        <f>IF(L755&gt;0,L755*35.273962,IF(J755&gt;0,J755*16,))</f>
        <v>#REF!</v>
      </c>
      <c r="L755" t="str">
        <f>IF(J755&gt;0,J755*0.453592,IF(K755&gt;0,K755*0.02835,))</f>
        <v>#REF!</v>
      </c>
      <c r="O755">
        <f>I755+N755+M755</f>
        <v>0</v>
      </c>
      <c r="P755">
        <f>O755*C$3</f>
        <v>0</v>
      </c>
      <c r="Q755" t="str">
        <f>ROUNDUP(HLOOKUP(IF(CEILING(L755,0.5)&lt;1,1,CEILING(L755,0.5)),'배송비 조회'!A$32:AY$36,2,0),-2)</f>
        <v>#REF!</v>
      </c>
      <c r="R755">
        <v>0</v>
      </c>
      <c r="S755" t="str">
        <f>ROUND((P755+Q755)*0.6,-2)</f>
        <v>#REF!</v>
      </c>
      <c r="T755" t="str">
        <f>ROUND((P755+Q755)*0.7,-2)</f>
        <v>#REF!</v>
      </c>
      <c r="U755" t="str">
        <f>ROUND(SUM(P755+Q755+R755+S755), -2)</f>
        <v>#REF!</v>
      </c>
      <c r="V755" t="str">
        <f>ROUND(P755+Q755+R755+T755, -2)</f>
        <v>#REF!</v>
      </c>
      <c r="W755">
        <v>0</v>
      </c>
      <c r="X755" t="str">
        <f>U755*0.038</f>
        <v>#REF!</v>
      </c>
      <c r="Y755" t="str">
        <f>U755*0.02</f>
        <v>#REF!</v>
      </c>
      <c r="Z755" t="str">
        <f>V755*0.1</f>
        <v>#REF!</v>
      </c>
      <c r="AA755" t="str">
        <f>U755-X755-Y755</f>
        <v>#REF!</v>
      </c>
      <c r="AB755" t="str">
        <f>V755-Z755</f>
        <v>#REF!</v>
      </c>
      <c r="AC755" t="str">
        <f>AA755*0.01</f>
        <v>#REF!</v>
      </c>
      <c r="AD755" t="str">
        <f>AA755-P755-AC755-Q755</f>
        <v>#REF!</v>
      </c>
      <c r="AE755" t="str">
        <f>AB755-P755-Q755-AC755</f>
        <v>#REF!</v>
      </c>
      <c r="AF755" t="str">
        <f>AD755/U755</f>
        <v>#REF!</v>
      </c>
      <c r="AG755" t="str">
        <f>AE755/V755</f>
        <v>#REF!</v>
      </c>
    </row>
    <row r="756">
      <c r="G756" t="str">
        <v>A</v>
      </c>
      <c r="J756" t="str">
        <f>IF(K756&gt;0,K756*0.0625,IF(L756&gt;0,L756*2.204623,))</f>
        <v>#REF!</v>
      </c>
      <c r="K756" t="str">
        <f>IF(L756&gt;0,L756*35.273962,IF(J756&gt;0,J756*16,))</f>
        <v>#REF!</v>
      </c>
      <c r="L756" t="str">
        <f>IF(J756&gt;0,J756*0.453592,IF(K756&gt;0,K756*0.02835,))</f>
        <v>#REF!</v>
      </c>
      <c r="O756">
        <f>I756+N756+M756</f>
        <v>0</v>
      </c>
      <c r="P756">
        <f>O756*C$3</f>
        <v>0</v>
      </c>
      <c r="Q756" t="str">
        <f>ROUNDUP(HLOOKUP(IF(CEILING(L756,0.5)&lt;1,1,CEILING(L756,0.5)),'배송비 조회'!A$32:AY$36,2,0),-2)</f>
        <v>#REF!</v>
      </c>
      <c r="R756">
        <v>0</v>
      </c>
      <c r="S756" t="str">
        <f>ROUND((P756+Q756)*0.6,-2)</f>
        <v>#REF!</v>
      </c>
      <c r="T756" t="str">
        <f>ROUND((P756+Q756)*0.7,-2)</f>
        <v>#REF!</v>
      </c>
      <c r="U756" t="str">
        <f>ROUND(SUM(P756+Q756+R756+S756), -2)</f>
        <v>#REF!</v>
      </c>
      <c r="V756" t="str">
        <f>ROUND(P756+Q756+R756+T756, -2)</f>
        <v>#REF!</v>
      </c>
      <c r="W756">
        <v>0</v>
      </c>
      <c r="X756" t="str">
        <f>U756*0.038</f>
        <v>#REF!</v>
      </c>
      <c r="Y756" t="str">
        <f>U756*0.02</f>
        <v>#REF!</v>
      </c>
      <c r="Z756" t="str">
        <f>V756*0.1</f>
        <v>#REF!</v>
      </c>
      <c r="AA756" t="str">
        <f>U756-X756-Y756</f>
        <v>#REF!</v>
      </c>
      <c r="AB756" t="str">
        <f>V756-Z756</f>
        <v>#REF!</v>
      </c>
      <c r="AC756" t="str">
        <f>AA756*0.01</f>
        <v>#REF!</v>
      </c>
      <c r="AD756" t="str">
        <f>AA756-P756-AC756-Q756</f>
        <v>#REF!</v>
      </c>
      <c r="AE756" t="str">
        <f>AB756-P756-Q756-AC756</f>
        <v>#REF!</v>
      </c>
      <c r="AF756" t="str">
        <f>AD756/U756</f>
        <v>#REF!</v>
      </c>
      <c r="AG756" t="str">
        <f>AE756/V756</f>
        <v>#REF!</v>
      </c>
    </row>
    <row r="757">
      <c r="G757" t="str">
        <v>A</v>
      </c>
      <c r="J757" t="str">
        <f>IF(K757&gt;0,K757*0.0625,IF(L757&gt;0,L757*2.204623,))</f>
        <v>#REF!</v>
      </c>
      <c r="K757" t="str">
        <f>IF(L757&gt;0,L757*35.273962,IF(J757&gt;0,J757*16,))</f>
        <v>#REF!</v>
      </c>
      <c r="L757" t="str">
        <f>IF(J757&gt;0,J757*0.453592,IF(K757&gt;0,K757*0.02835,))</f>
        <v>#REF!</v>
      </c>
      <c r="O757">
        <f>I757+N757+M757</f>
        <v>0</v>
      </c>
      <c r="P757">
        <f>O757*C$3</f>
        <v>0</v>
      </c>
      <c r="Q757" t="str">
        <f>ROUNDUP(HLOOKUP(IF(CEILING(L757,0.5)&lt;1,1,CEILING(L757,0.5)),'배송비 조회'!A$32:AY$36,2,0),-2)</f>
        <v>#REF!</v>
      </c>
      <c r="R757">
        <v>0</v>
      </c>
      <c r="S757" t="str">
        <f>ROUND((P757+Q757)*0.6,-2)</f>
        <v>#REF!</v>
      </c>
      <c r="T757" t="str">
        <f>ROUND((P757+Q757)*0.7,-2)</f>
        <v>#REF!</v>
      </c>
      <c r="U757" t="str">
        <f>ROUND(SUM(P757+Q757+R757+S757), -2)</f>
        <v>#REF!</v>
      </c>
      <c r="V757" t="str">
        <f>ROUND(P757+Q757+R757+T757, -2)</f>
        <v>#REF!</v>
      </c>
      <c r="W757">
        <v>0</v>
      </c>
      <c r="X757" t="str">
        <f>U757*0.038</f>
        <v>#REF!</v>
      </c>
      <c r="Y757" t="str">
        <f>U757*0.02</f>
        <v>#REF!</v>
      </c>
      <c r="Z757" t="str">
        <f>V757*0.1</f>
        <v>#REF!</v>
      </c>
      <c r="AA757" t="str">
        <f>U757-X757-Y757</f>
        <v>#REF!</v>
      </c>
      <c r="AB757" t="str">
        <f>V757-Z757</f>
        <v>#REF!</v>
      </c>
      <c r="AC757" t="str">
        <f>AA757*0.01</f>
        <v>#REF!</v>
      </c>
      <c r="AD757" t="str">
        <f>AA757-P757-AC757-Q757</f>
        <v>#REF!</v>
      </c>
      <c r="AE757" t="str">
        <f>AB757-P757-Q757-AC757</f>
        <v>#REF!</v>
      </c>
      <c r="AF757" t="str">
        <f>AD757/U757</f>
        <v>#REF!</v>
      </c>
      <c r="AG757" t="str">
        <f>AE757/V757</f>
        <v>#REF!</v>
      </c>
    </row>
    <row r="758">
      <c r="G758" t="str">
        <v>A</v>
      </c>
      <c r="J758" t="str">
        <f>IF(K758&gt;0,K758*0.0625,IF(L758&gt;0,L758*2.204623,))</f>
        <v>#REF!</v>
      </c>
      <c r="K758" t="str">
        <f>IF(L758&gt;0,L758*35.273962,IF(J758&gt;0,J758*16,))</f>
        <v>#REF!</v>
      </c>
      <c r="L758" t="str">
        <f>IF(J758&gt;0,J758*0.453592,IF(K758&gt;0,K758*0.02835,))</f>
        <v>#REF!</v>
      </c>
      <c r="O758">
        <f>I758+N758+M758</f>
        <v>0</v>
      </c>
      <c r="P758">
        <f>O758*C$3</f>
        <v>0</v>
      </c>
      <c r="Q758" t="str">
        <f>ROUNDUP(HLOOKUP(IF(CEILING(L758,0.5)&lt;1,1,CEILING(L758,0.5)),'배송비 조회'!A$32:AY$36,2,0),-2)</f>
        <v>#REF!</v>
      </c>
      <c r="R758">
        <v>0</v>
      </c>
      <c r="S758" t="str">
        <f>ROUND((P758+Q758)*0.6,-2)</f>
        <v>#REF!</v>
      </c>
      <c r="T758" t="str">
        <f>ROUND((P758+Q758)*0.7,-2)</f>
        <v>#REF!</v>
      </c>
      <c r="U758" t="str">
        <f>ROUND(SUM(P758+Q758+R758+S758), -2)</f>
        <v>#REF!</v>
      </c>
      <c r="V758" t="str">
        <f>ROUND(P758+Q758+R758+T758, -2)</f>
        <v>#REF!</v>
      </c>
      <c r="W758">
        <v>0</v>
      </c>
      <c r="X758" t="str">
        <f>U758*0.038</f>
        <v>#REF!</v>
      </c>
      <c r="Y758" t="str">
        <f>U758*0.02</f>
        <v>#REF!</v>
      </c>
      <c r="Z758" t="str">
        <f>V758*0.1</f>
        <v>#REF!</v>
      </c>
      <c r="AA758" t="str">
        <f>U758-X758-Y758</f>
        <v>#REF!</v>
      </c>
      <c r="AB758" t="str">
        <f>V758-Z758</f>
        <v>#REF!</v>
      </c>
      <c r="AC758" t="str">
        <f>AA758*0.01</f>
        <v>#REF!</v>
      </c>
      <c r="AD758" t="str">
        <f>AA758-P758-AC758-Q758</f>
        <v>#REF!</v>
      </c>
      <c r="AE758" t="str">
        <f>AB758-P758-Q758-AC758</f>
        <v>#REF!</v>
      </c>
      <c r="AF758" t="str">
        <f>AD758/U758</f>
        <v>#REF!</v>
      </c>
      <c r="AG758" t="str">
        <f>AE758/V758</f>
        <v>#REF!</v>
      </c>
    </row>
    <row r="759">
      <c r="G759" t="str">
        <v>A</v>
      </c>
      <c r="J759" t="str">
        <f>IF(K759&gt;0,K759*0.0625,IF(L759&gt;0,L759*2.204623,))</f>
        <v>#REF!</v>
      </c>
      <c r="K759" t="str">
        <f>IF(L759&gt;0,L759*35.273962,IF(J759&gt;0,J759*16,))</f>
        <v>#REF!</v>
      </c>
      <c r="L759" t="str">
        <f>IF(J759&gt;0,J759*0.453592,IF(K759&gt;0,K759*0.02835,))</f>
        <v>#REF!</v>
      </c>
      <c r="O759">
        <f>I759+N759+M759</f>
        <v>0</v>
      </c>
      <c r="P759">
        <f>O759*C$3</f>
        <v>0</v>
      </c>
      <c r="Q759" t="str">
        <f>ROUNDUP(HLOOKUP(IF(CEILING(L759,0.5)&lt;1,1,CEILING(L759,0.5)),'배송비 조회'!A$32:AY$36,2,0),-2)</f>
        <v>#REF!</v>
      </c>
      <c r="R759">
        <v>0</v>
      </c>
      <c r="S759" t="str">
        <f>ROUND((P759+Q759)*0.6,-2)</f>
        <v>#REF!</v>
      </c>
      <c r="T759" t="str">
        <f>ROUND((P759+Q759)*0.7,-2)</f>
        <v>#REF!</v>
      </c>
      <c r="U759" t="str">
        <f>ROUND(SUM(P759+Q759+R759+S759), -2)</f>
        <v>#REF!</v>
      </c>
      <c r="V759" t="str">
        <f>ROUND(P759+Q759+R759+T759, -2)</f>
        <v>#REF!</v>
      </c>
      <c r="W759">
        <v>0</v>
      </c>
      <c r="X759" t="str">
        <f>U759*0.038</f>
        <v>#REF!</v>
      </c>
      <c r="Y759" t="str">
        <f>U759*0.02</f>
        <v>#REF!</v>
      </c>
      <c r="Z759" t="str">
        <f>V759*0.1</f>
        <v>#REF!</v>
      </c>
      <c r="AA759" t="str">
        <f>U759-X759-Y759</f>
        <v>#REF!</v>
      </c>
      <c r="AB759" t="str">
        <f>V759-Z759</f>
        <v>#REF!</v>
      </c>
      <c r="AC759" t="str">
        <f>AA759*0.01</f>
        <v>#REF!</v>
      </c>
      <c r="AD759" t="str">
        <f>AA759-P759-AC759-Q759</f>
        <v>#REF!</v>
      </c>
      <c r="AE759" t="str">
        <f>AB759-P759-Q759-AC759</f>
        <v>#REF!</v>
      </c>
      <c r="AF759" t="str">
        <f>AD759/U759</f>
        <v>#REF!</v>
      </c>
      <c r="AG759" t="str">
        <f>AE759/V759</f>
        <v>#REF!</v>
      </c>
    </row>
    <row r="760">
      <c r="G760" t="str">
        <v>A</v>
      </c>
      <c r="J760" t="str">
        <f>IF(K760&gt;0,K760*0.0625,IF(L760&gt;0,L760*2.204623,))</f>
        <v>#REF!</v>
      </c>
      <c r="K760" t="str">
        <f>IF(L760&gt;0,L760*35.273962,IF(J760&gt;0,J760*16,))</f>
        <v>#REF!</v>
      </c>
      <c r="L760" t="str">
        <f>IF(J760&gt;0,J760*0.453592,IF(K760&gt;0,K760*0.02835,))</f>
        <v>#REF!</v>
      </c>
      <c r="O760">
        <f>I760+N760+M760</f>
        <v>0</v>
      </c>
      <c r="P760">
        <f>O760*C$3</f>
        <v>0</v>
      </c>
      <c r="Q760" t="str">
        <f>ROUNDUP(HLOOKUP(IF(CEILING(L760,0.5)&lt;1,1,CEILING(L760,0.5)),'배송비 조회'!A$32:AY$36,2,0),-2)</f>
        <v>#REF!</v>
      </c>
      <c r="R760">
        <v>0</v>
      </c>
      <c r="S760" t="str">
        <f>ROUND((P760+Q760)*0.6,-2)</f>
        <v>#REF!</v>
      </c>
      <c r="T760" t="str">
        <f>ROUND((P760+Q760)*0.7,-2)</f>
        <v>#REF!</v>
      </c>
      <c r="U760" t="str">
        <f>ROUND(SUM(P760+Q760+R760+S760), -2)</f>
        <v>#REF!</v>
      </c>
      <c r="V760" t="str">
        <f>ROUND(P760+Q760+R760+T760, -2)</f>
        <v>#REF!</v>
      </c>
      <c r="W760">
        <v>0</v>
      </c>
      <c r="X760" t="str">
        <f>U760*0.038</f>
        <v>#REF!</v>
      </c>
      <c r="Y760" t="str">
        <f>U760*0.02</f>
        <v>#REF!</v>
      </c>
      <c r="Z760" t="str">
        <f>V760*0.1</f>
        <v>#REF!</v>
      </c>
      <c r="AA760" t="str">
        <f>U760-X760-Y760</f>
        <v>#REF!</v>
      </c>
      <c r="AB760" t="str">
        <f>V760-Z760</f>
        <v>#REF!</v>
      </c>
      <c r="AC760" t="str">
        <f>AA760*0.01</f>
        <v>#REF!</v>
      </c>
      <c r="AD760" t="str">
        <f>AA760-P760-AC760-Q760</f>
        <v>#REF!</v>
      </c>
      <c r="AE760" t="str">
        <f>AB760-P760-Q760-AC760</f>
        <v>#REF!</v>
      </c>
      <c r="AF760" t="str">
        <f>AD760/U760</f>
        <v>#REF!</v>
      </c>
      <c r="AG760" t="str">
        <f>AE760/V760</f>
        <v>#REF!</v>
      </c>
    </row>
    <row r="761">
      <c r="G761" t="str">
        <v>A</v>
      </c>
      <c r="J761" t="str">
        <f>IF(K761&gt;0,K761*0.0625,IF(L761&gt;0,L761*2.204623,))</f>
        <v>#REF!</v>
      </c>
      <c r="K761" t="str">
        <f>IF(L761&gt;0,L761*35.273962,IF(J761&gt;0,J761*16,))</f>
        <v>#REF!</v>
      </c>
      <c r="L761" t="str">
        <f>IF(J761&gt;0,J761*0.453592,IF(K761&gt;0,K761*0.02835,))</f>
        <v>#REF!</v>
      </c>
      <c r="O761">
        <f>I761+N761+M761</f>
        <v>0</v>
      </c>
      <c r="P761">
        <f>O761*C$3</f>
        <v>0</v>
      </c>
      <c r="Q761" t="str">
        <f>ROUNDUP(HLOOKUP(IF(CEILING(L761,0.5)&lt;1,1,CEILING(L761,0.5)),'배송비 조회'!A$32:AY$36,2,0),-2)</f>
        <v>#REF!</v>
      </c>
      <c r="R761">
        <v>0</v>
      </c>
      <c r="S761" t="str">
        <f>ROUND((P761+Q761)*0.6,-2)</f>
        <v>#REF!</v>
      </c>
      <c r="T761" t="str">
        <f>ROUND((P761+Q761)*0.7,-2)</f>
        <v>#REF!</v>
      </c>
      <c r="U761" t="str">
        <f>ROUND(SUM(P761+Q761+R761+S761), -2)</f>
        <v>#REF!</v>
      </c>
      <c r="V761" t="str">
        <f>ROUND(P761+Q761+R761+T761, -2)</f>
        <v>#REF!</v>
      </c>
      <c r="W761">
        <v>0</v>
      </c>
      <c r="X761" t="str">
        <f>U761*0.038</f>
        <v>#REF!</v>
      </c>
      <c r="Y761" t="str">
        <f>U761*0.02</f>
        <v>#REF!</v>
      </c>
      <c r="Z761" t="str">
        <f>V761*0.1</f>
        <v>#REF!</v>
      </c>
      <c r="AA761" t="str">
        <f>U761-X761-Y761</f>
        <v>#REF!</v>
      </c>
      <c r="AB761" t="str">
        <f>V761-Z761</f>
        <v>#REF!</v>
      </c>
      <c r="AC761" t="str">
        <f>AA761*0.01</f>
        <v>#REF!</v>
      </c>
      <c r="AD761" t="str">
        <f>AA761-P761-AC761-Q761</f>
        <v>#REF!</v>
      </c>
      <c r="AE761" t="str">
        <f>AB761-P761-Q761-AC761</f>
        <v>#REF!</v>
      </c>
      <c r="AF761" t="str">
        <f>AD761/U761</f>
        <v>#REF!</v>
      </c>
      <c r="AG761" t="str">
        <f>AE761/V761</f>
        <v>#REF!</v>
      </c>
    </row>
    <row r="762">
      <c r="G762" t="str">
        <v>A</v>
      </c>
      <c r="J762" t="str">
        <f>IF(K762&gt;0,K762*0.0625,IF(L762&gt;0,L762*2.204623,))</f>
        <v>#REF!</v>
      </c>
      <c r="K762" t="str">
        <f>IF(L762&gt;0,L762*35.273962,IF(J762&gt;0,J762*16,))</f>
        <v>#REF!</v>
      </c>
      <c r="L762" t="str">
        <f>IF(J762&gt;0,J762*0.453592,IF(K762&gt;0,K762*0.02835,))</f>
        <v>#REF!</v>
      </c>
      <c r="O762">
        <f>I762+N762+M762</f>
        <v>0</v>
      </c>
      <c r="P762">
        <f>O762*C$3</f>
        <v>0</v>
      </c>
      <c r="Q762" t="str">
        <f>ROUNDUP(HLOOKUP(IF(CEILING(L762,0.5)&lt;1,1,CEILING(L762,0.5)),'배송비 조회'!A$32:AY$36,2,0),-2)</f>
        <v>#REF!</v>
      </c>
      <c r="R762">
        <v>0</v>
      </c>
      <c r="S762" t="str">
        <f>ROUND((P762+Q762)*0.6,-2)</f>
        <v>#REF!</v>
      </c>
      <c r="T762" t="str">
        <f>ROUND((P762+Q762)*0.7,-2)</f>
        <v>#REF!</v>
      </c>
      <c r="U762" t="str">
        <f>ROUND(SUM(P762+Q762+R762+S762), -2)</f>
        <v>#REF!</v>
      </c>
      <c r="V762" t="str">
        <f>ROUND(P762+Q762+R762+T762, -2)</f>
        <v>#REF!</v>
      </c>
      <c r="W762">
        <v>0</v>
      </c>
      <c r="X762" t="str">
        <f>U762*0.038</f>
        <v>#REF!</v>
      </c>
      <c r="Y762" t="str">
        <f>U762*0.02</f>
        <v>#REF!</v>
      </c>
      <c r="Z762" t="str">
        <f>V762*0.1</f>
        <v>#REF!</v>
      </c>
      <c r="AA762" t="str">
        <f>U762-X762-Y762</f>
        <v>#REF!</v>
      </c>
      <c r="AB762" t="str">
        <f>V762-Z762</f>
        <v>#REF!</v>
      </c>
      <c r="AC762" t="str">
        <f>AA762*0.01</f>
        <v>#REF!</v>
      </c>
      <c r="AD762" t="str">
        <f>AA762-P762-AC762-Q762</f>
        <v>#REF!</v>
      </c>
      <c r="AE762" t="str">
        <f>AB762-P762-Q762-AC762</f>
        <v>#REF!</v>
      </c>
      <c r="AF762" t="str">
        <f>AD762/U762</f>
        <v>#REF!</v>
      </c>
      <c r="AG762" t="str">
        <f>AE762/V762</f>
        <v>#REF!</v>
      </c>
    </row>
    <row r="763">
      <c r="G763" t="str">
        <v>A</v>
      </c>
      <c r="J763" t="str">
        <f>IF(K763&gt;0,K763*0.0625,IF(L763&gt;0,L763*2.204623,))</f>
        <v>#REF!</v>
      </c>
      <c r="K763" t="str">
        <f>IF(L763&gt;0,L763*35.273962,IF(J763&gt;0,J763*16,))</f>
        <v>#REF!</v>
      </c>
      <c r="L763" t="str">
        <f>IF(J763&gt;0,J763*0.453592,IF(K763&gt;0,K763*0.02835,))</f>
        <v>#REF!</v>
      </c>
      <c r="O763">
        <f>I763+N763+M763</f>
        <v>0</v>
      </c>
      <c r="P763">
        <f>O763*C$3</f>
        <v>0</v>
      </c>
      <c r="Q763" t="str">
        <f>ROUNDUP(HLOOKUP(IF(CEILING(L763,0.5)&lt;1,1,CEILING(L763,0.5)),'배송비 조회'!A$32:AY$36,2,0),-2)</f>
        <v>#REF!</v>
      </c>
      <c r="R763">
        <v>0</v>
      </c>
      <c r="S763" t="str">
        <f>ROUND((P763+Q763)*0.6,-2)</f>
        <v>#REF!</v>
      </c>
      <c r="T763" t="str">
        <f>ROUND((P763+Q763)*0.7,-2)</f>
        <v>#REF!</v>
      </c>
      <c r="U763" t="str">
        <f>ROUND(SUM(P763+Q763+R763+S763), -2)</f>
        <v>#REF!</v>
      </c>
      <c r="V763" t="str">
        <f>ROUND(P763+Q763+R763+T763, -2)</f>
        <v>#REF!</v>
      </c>
      <c r="W763">
        <v>0</v>
      </c>
      <c r="X763" t="str">
        <f>U763*0.038</f>
        <v>#REF!</v>
      </c>
      <c r="Y763" t="str">
        <f>U763*0.02</f>
        <v>#REF!</v>
      </c>
      <c r="Z763" t="str">
        <f>V763*0.1</f>
        <v>#REF!</v>
      </c>
      <c r="AA763" t="str">
        <f>U763-X763-Y763</f>
        <v>#REF!</v>
      </c>
      <c r="AB763" t="str">
        <f>V763-Z763</f>
        <v>#REF!</v>
      </c>
      <c r="AC763" t="str">
        <f>AA763*0.01</f>
        <v>#REF!</v>
      </c>
      <c r="AD763" t="str">
        <f>AA763-P763-AC763-Q763</f>
        <v>#REF!</v>
      </c>
      <c r="AE763" t="str">
        <f>AB763-P763-Q763-AC763</f>
        <v>#REF!</v>
      </c>
      <c r="AF763" t="str">
        <f>AD763/U763</f>
        <v>#REF!</v>
      </c>
      <c r="AG763" t="str">
        <f>AE763/V763</f>
        <v>#REF!</v>
      </c>
    </row>
    <row r="764">
      <c r="G764" t="str">
        <v>A</v>
      </c>
      <c r="J764" t="str">
        <f>IF(K764&gt;0,K764*0.0625,IF(L764&gt;0,L764*2.204623,))</f>
        <v>#REF!</v>
      </c>
      <c r="K764" t="str">
        <f>IF(L764&gt;0,L764*35.273962,IF(J764&gt;0,J764*16,))</f>
        <v>#REF!</v>
      </c>
      <c r="L764" t="str">
        <f>IF(J764&gt;0,J764*0.453592,IF(K764&gt;0,K764*0.02835,))</f>
        <v>#REF!</v>
      </c>
      <c r="O764">
        <f>I764+N764+M764</f>
        <v>0</v>
      </c>
      <c r="P764">
        <f>O764*C$3</f>
        <v>0</v>
      </c>
      <c r="Q764" t="str">
        <f>ROUNDUP(HLOOKUP(IF(CEILING(L764,0.5)&lt;1,1,CEILING(L764,0.5)),'배송비 조회'!A$32:AY$36,2,0),-2)</f>
        <v>#REF!</v>
      </c>
      <c r="R764">
        <v>0</v>
      </c>
      <c r="S764" t="str">
        <f>ROUND((P764+Q764)*0.6,-2)</f>
        <v>#REF!</v>
      </c>
      <c r="T764" t="str">
        <f>ROUND((P764+Q764)*0.7,-2)</f>
        <v>#REF!</v>
      </c>
      <c r="U764" t="str">
        <f>ROUND(SUM(P764+Q764+R764+S764), -2)</f>
        <v>#REF!</v>
      </c>
      <c r="V764" t="str">
        <f>ROUND(P764+Q764+R764+T764, -2)</f>
        <v>#REF!</v>
      </c>
      <c r="W764">
        <v>0</v>
      </c>
      <c r="X764" t="str">
        <f>U764*0.038</f>
        <v>#REF!</v>
      </c>
      <c r="Y764" t="str">
        <f>U764*0.02</f>
        <v>#REF!</v>
      </c>
      <c r="Z764" t="str">
        <f>V764*0.1</f>
        <v>#REF!</v>
      </c>
      <c r="AA764" t="str">
        <f>U764-X764-Y764</f>
        <v>#REF!</v>
      </c>
      <c r="AB764" t="str">
        <f>V764-Z764</f>
        <v>#REF!</v>
      </c>
      <c r="AC764" t="str">
        <f>AA764*0.01</f>
        <v>#REF!</v>
      </c>
      <c r="AD764" t="str">
        <f>AA764-P764-AC764-Q764</f>
        <v>#REF!</v>
      </c>
      <c r="AE764" t="str">
        <f>AB764-P764-Q764-AC764</f>
        <v>#REF!</v>
      </c>
      <c r="AF764" t="str">
        <f>AD764/U764</f>
        <v>#REF!</v>
      </c>
      <c r="AG764" t="str">
        <f>AE764/V764</f>
        <v>#REF!</v>
      </c>
    </row>
    <row r="765">
      <c r="G765" t="str">
        <v>A</v>
      </c>
      <c r="J765" t="str">
        <f>IF(K765&gt;0,K765*0.0625,IF(L765&gt;0,L765*2.204623,))</f>
        <v>#REF!</v>
      </c>
      <c r="K765" t="str">
        <f>IF(L765&gt;0,L765*35.273962,IF(J765&gt;0,J765*16,))</f>
        <v>#REF!</v>
      </c>
      <c r="L765" t="str">
        <f>IF(J765&gt;0,J765*0.453592,IF(K765&gt;0,K765*0.02835,))</f>
        <v>#REF!</v>
      </c>
      <c r="O765">
        <f>I765+N765+M765</f>
        <v>0</v>
      </c>
      <c r="P765">
        <f>O765*C$3</f>
        <v>0</v>
      </c>
      <c r="Q765" t="str">
        <f>ROUNDUP(HLOOKUP(IF(CEILING(L765,0.5)&lt;1,1,CEILING(L765,0.5)),'배송비 조회'!A$32:AY$36,2,0),-2)</f>
        <v>#REF!</v>
      </c>
      <c r="R765">
        <v>0</v>
      </c>
      <c r="S765" t="str">
        <f>ROUND((P765+Q765)*0.6,-2)</f>
        <v>#REF!</v>
      </c>
      <c r="T765" t="str">
        <f>ROUND((P765+Q765)*0.7,-2)</f>
        <v>#REF!</v>
      </c>
      <c r="U765" t="str">
        <f>ROUND(SUM(P765+Q765+R765+S765), -2)</f>
        <v>#REF!</v>
      </c>
      <c r="V765" t="str">
        <f>ROUND(P765+Q765+R765+T765, -2)</f>
        <v>#REF!</v>
      </c>
      <c r="W765">
        <v>0</v>
      </c>
      <c r="X765" t="str">
        <f>U765*0.038</f>
        <v>#REF!</v>
      </c>
      <c r="Y765" t="str">
        <f>U765*0.02</f>
        <v>#REF!</v>
      </c>
      <c r="Z765" t="str">
        <f>V765*0.1</f>
        <v>#REF!</v>
      </c>
      <c r="AA765" t="str">
        <f>U765-X765-Y765</f>
        <v>#REF!</v>
      </c>
      <c r="AB765" t="str">
        <f>V765-Z765</f>
        <v>#REF!</v>
      </c>
      <c r="AC765" t="str">
        <f>AA765*0.01</f>
        <v>#REF!</v>
      </c>
      <c r="AD765" t="str">
        <f>AA765-P765-AC765-Q765</f>
        <v>#REF!</v>
      </c>
      <c r="AE765" t="str">
        <f>AB765-P765-Q765-AC765</f>
        <v>#REF!</v>
      </c>
      <c r="AF765" t="str">
        <f>AD765/U765</f>
        <v>#REF!</v>
      </c>
      <c r="AG765" t="str">
        <f>AE765/V765</f>
        <v>#REF!</v>
      </c>
    </row>
    <row r="766">
      <c r="G766" t="str">
        <v>A</v>
      </c>
      <c r="J766" t="str">
        <f>IF(K766&gt;0,K766*0.0625,IF(L766&gt;0,L766*2.204623,))</f>
        <v>#REF!</v>
      </c>
      <c r="K766" t="str">
        <f>IF(L766&gt;0,L766*35.273962,IF(J766&gt;0,J766*16,))</f>
        <v>#REF!</v>
      </c>
      <c r="L766" t="str">
        <f>IF(J766&gt;0,J766*0.453592,IF(K766&gt;0,K766*0.02835,))</f>
        <v>#REF!</v>
      </c>
      <c r="O766">
        <f>I766+N766+M766</f>
        <v>0</v>
      </c>
      <c r="P766">
        <f>O766*C$3</f>
        <v>0</v>
      </c>
      <c r="Q766" t="str">
        <f>ROUNDUP(HLOOKUP(IF(CEILING(L766,0.5)&lt;1,1,CEILING(L766,0.5)),'배송비 조회'!A$32:AY$36,2,0),-2)</f>
        <v>#REF!</v>
      </c>
      <c r="R766">
        <v>0</v>
      </c>
      <c r="S766" t="str">
        <f>ROUND((P766+Q766)*0.6,-2)</f>
        <v>#REF!</v>
      </c>
      <c r="T766" t="str">
        <f>ROUND((P766+Q766)*0.7,-2)</f>
        <v>#REF!</v>
      </c>
      <c r="U766" t="str">
        <f>ROUND(SUM(P766+Q766+R766+S766), -2)</f>
        <v>#REF!</v>
      </c>
      <c r="V766" t="str">
        <f>ROUND(P766+Q766+R766+T766, -2)</f>
        <v>#REF!</v>
      </c>
      <c r="W766">
        <v>0</v>
      </c>
      <c r="X766" t="str">
        <f>U766*0.038</f>
        <v>#REF!</v>
      </c>
      <c r="Y766" t="str">
        <f>U766*0.02</f>
        <v>#REF!</v>
      </c>
      <c r="Z766" t="str">
        <f>V766*0.1</f>
        <v>#REF!</v>
      </c>
      <c r="AA766" t="str">
        <f>U766-X766-Y766</f>
        <v>#REF!</v>
      </c>
      <c r="AB766" t="str">
        <f>V766-Z766</f>
        <v>#REF!</v>
      </c>
      <c r="AC766" t="str">
        <f>AA766*0.01</f>
        <v>#REF!</v>
      </c>
      <c r="AD766" t="str">
        <f>AA766-P766-AC766-Q766</f>
        <v>#REF!</v>
      </c>
      <c r="AE766" t="str">
        <f>AB766-P766-Q766-AC766</f>
        <v>#REF!</v>
      </c>
      <c r="AF766" t="str">
        <f>AD766/U766</f>
        <v>#REF!</v>
      </c>
      <c r="AG766" t="str">
        <f>AE766/V766</f>
        <v>#REF!</v>
      </c>
    </row>
    <row r="767">
      <c r="G767" t="str">
        <v>A</v>
      </c>
      <c r="J767" t="str">
        <f>IF(K767&gt;0,K767*0.0625,IF(L767&gt;0,L767*2.204623,))</f>
        <v>#REF!</v>
      </c>
      <c r="K767" t="str">
        <f>IF(L767&gt;0,L767*35.273962,IF(J767&gt;0,J767*16,))</f>
        <v>#REF!</v>
      </c>
      <c r="L767" t="str">
        <f>IF(J767&gt;0,J767*0.453592,IF(K767&gt;0,K767*0.02835,))</f>
        <v>#REF!</v>
      </c>
      <c r="O767">
        <f>I767+N767+M767</f>
        <v>0</v>
      </c>
      <c r="P767">
        <f>O767*C$3</f>
        <v>0</v>
      </c>
      <c r="Q767" t="str">
        <f>ROUNDUP(HLOOKUP(IF(CEILING(L767,0.5)&lt;1,1,CEILING(L767,0.5)),'배송비 조회'!A$32:AY$36,2,0),-2)</f>
        <v>#REF!</v>
      </c>
      <c r="R767">
        <v>0</v>
      </c>
      <c r="S767" t="str">
        <f>ROUND((P767+Q767)*0.6,-2)</f>
        <v>#REF!</v>
      </c>
      <c r="T767" t="str">
        <f>ROUND((P767+Q767)*0.7,-2)</f>
        <v>#REF!</v>
      </c>
      <c r="U767" t="str">
        <f>ROUND(SUM(P767+Q767+R767+S767), -2)</f>
        <v>#REF!</v>
      </c>
      <c r="V767" t="str">
        <f>ROUND(P767+Q767+R767+T767, -2)</f>
        <v>#REF!</v>
      </c>
      <c r="W767">
        <v>0</v>
      </c>
      <c r="X767" t="str">
        <f>U767*0.038</f>
        <v>#REF!</v>
      </c>
      <c r="Y767" t="str">
        <f>U767*0.02</f>
        <v>#REF!</v>
      </c>
      <c r="Z767" t="str">
        <f>V767*0.1</f>
        <v>#REF!</v>
      </c>
      <c r="AA767" t="str">
        <f>U767-X767-Y767</f>
        <v>#REF!</v>
      </c>
      <c r="AB767" t="str">
        <f>V767-Z767</f>
        <v>#REF!</v>
      </c>
      <c r="AC767" t="str">
        <f>AA767*0.01</f>
        <v>#REF!</v>
      </c>
      <c r="AD767" t="str">
        <f>AA767-P767-AC767-Q767</f>
        <v>#REF!</v>
      </c>
      <c r="AE767" t="str">
        <f>AB767-P767-Q767-AC767</f>
        <v>#REF!</v>
      </c>
      <c r="AF767" t="str">
        <f>AD767/U767</f>
        <v>#REF!</v>
      </c>
      <c r="AG767" t="str">
        <f>AE767/V767</f>
        <v>#REF!</v>
      </c>
    </row>
    <row r="768">
      <c r="G768" t="str">
        <v>A</v>
      </c>
      <c r="J768" t="str">
        <f>IF(K768&gt;0,K768*0.0625,IF(L768&gt;0,L768*2.204623,))</f>
        <v>#REF!</v>
      </c>
      <c r="K768" t="str">
        <f>IF(L768&gt;0,L768*35.273962,IF(J768&gt;0,J768*16,))</f>
        <v>#REF!</v>
      </c>
      <c r="L768" t="str">
        <f>IF(J768&gt;0,J768*0.453592,IF(K768&gt;0,K768*0.02835,))</f>
        <v>#REF!</v>
      </c>
      <c r="O768">
        <f>I768+N768+M768</f>
        <v>0</v>
      </c>
      <c r="P768">
        <f>O768*C$3</f>
        <v>0</v>
      </c>
      <c r="Q768" t="str">
        <f>ROUNDUP(HLOOKUP(IF(CEILING(L768,0.5)&lt;1,1,CEILING(L768,0.5)),'배송비 조회'!A$32:AY$36,2,0),-2)</f>
        <v>#REF!</v>
      </c>
      <c r="R768">
        <v>0</v>
      </c>
      <c r="S768" t="str">
        <f>ROUND((P768+Q768)*0.6,-2)</f>
        <v>#REF!</v>
      </c>
      <c r="T768" t="str">
        <f>ROUND((P768+Q768)*0.7,-2)</f>
        <v>#REF!</v>
      </c>
      <c r="U768" t="str">
        <f>ROUND(SUM(P768+Q768+R768+S768), -2)</f>
        <v>#REF!</v>
      </c>
      <c r="V768" t="str">
        <f>ROUND(P768+Q768+R768+T768, -2)</f>
        <v>#REF!</v>
      </c>
      <c r="W768">
        <v>0</v>
      </c>
      <c r="X768" t="str">
        <f>U768*0.038</f>
        <v>#REF!</v>
      </c>
      <c r="Y768" t="str">
        <f>U768*0.02</f>
        <v>#REF!</v>
      </c>
      <c r="Z768" t="str">
        <f>V768*0.1</f>
        <v>#REF!</v>
      </c>
      <c r="AA768" t="str">
        <f>U768-X768-Y768</f>
        <v>#REF!</v>
      </c>
      <c r="AB768" t="str">
        <f>V768-Z768</f>
        <v>#REF!</v>
      </c>
      <c r="AC768" t="str">
        <f>AA768*0.01</f>
        <v>#REF!</v>
      </c>
      <c r="AD768" t="str">
        <f>AA768-P768-AC768-Q768</f>
        <v>#REF!</v>
      </c>
      <c r="AE768" t="str">
        <f>AB768-P768-Q768-AC768</f>
        <v>#REF!</v>
      </c>
      <c r="AF768" t="str">
        <f>AD768/U768</f>
        <v>#REF!</v>
      </c>
      <c r="AG768" t="str">
        <f>AE768/V768</f>
        <v>#REF!</v>
      </c>
    </row>
    <row r="769">
      <c r="G769" t="str">
        <v>A</v>
      </c>
      <c r="J769" t="str">
        <f>IF(K769&gt;0,K769*0.0625,IF(L769&gt;0,L769*2.204623,))</f>
        <v>#REF!</v>
      </c>
      <c r="K769" t="str">
        <f>IF(L769&gt;0,L769*35.273962,IF(J769&gt;0,J769*16,))</f>
        <v>#REF!</v>
      </c>
      <c r="L769" t="str">
        <f>IF(J769&gt;0,J769*0.453592,IF(K769&gt;0,K769*0.02835,))</f>
        <v>#REF!</v>
      </c>
      <c r="O769">
        <f>I769+N769+M769</f>
        <v>0</v>
      </c>
      <c r="P769">
        <f>O769*C$3</f>
        <v>0</v>
      </c>
      <c r="Q769" t="str">
        <f>ROUNDUP(HLOOKUP(IF(CEILING(L769,0.5)&lt;1,1,CEILING(L769,0.5)),'배송비 조회'!A$32:AY$36,2,0),-2)</f>
        <v>#REF!</v>
      </c>
      <c r="R769">
        <v>0</v>
      </c>
      <c r="S769" t="str">
        <f>ROUND((P769+Q769)*0.6,-2)</f>
        <v>#REF!</v>
      </c>
      <c r="T769" t="str">
        <f>ROUND((P769+Q769)*0.7,-2)</f>
        <v>#REF!</v>
      </c>
      <c r="U769" t="str">
        <f>ROUND(SUM(P769+Q769+R769+S769), -2)</f>
        <v>#REF!</v>
      </c>
      <c r="V769" t="str">
        <f>ROUND(P769+Q769+R769+T769, -2)</f>
        <v>#REF!</v>
      </c>
      <c r="W769">
        <v>0</v>
      </c>
      <c r="X769" t="str">
        <f>U769*0.038</f>
        <v>#REF!</v>
      </c>
      <c r="Y769" t="str">
        <f>U769*0.02</f>
        <v>#REF!</v>
      </c>
      <c r="Z769" t="str">
        <f>V769*0.1</f>
        <v>#REF!</v>
      </c>
      <c r="AA769" t="str">
        <f>U769-X769-Y769</f>
        <v>#REF!</v>
      </c>
      <c r="AB769" t="str">
        <f>V769-Z769</f>
        <v>#REF!</v>
      </c>
      <c r="AC769" t="str">
        <f>AA769*0.01</f>
        <v>#REF!</v>
      </c>
      <c r="AD769" t="str">
        <f>AA769-P769-AC769-Q769</f>
        <v>#REF!</v>
      </c>
      <c r="AE769" t="str">
        <f>AB769-P769-Q769-AC769</f>
        <v>#REF!</v>
      </c>
      <c r="AF769" t="str">
        <f>AD769/U769</f>
        <v>#REF!</v>
      </c>
      <c r="AG769" t="str">
        <f>AE769/V769</f>
        <v>#REF!</v>
      </c>
    </row>
    <row r="770">
      <c r="G770" t="str">
        <v>A</v>
      </c>
      <c r="J770" t="str">
        <f>IF(K770&gt;0,K770*0.0625,IF(L770&gt;0,L770*2.204623,))</f>
        <v>#REF!</v>
      </c>
      <c r="K770" t="str">
        <f>IF(L770&gt;0,L770*35.273962,IF(J770&gt;0,J770*16,))</f>
        <v>#REF!</v>
      </c>
      <c r="L770" t="str">
        <f>IF(J770&gt;0,J770*0.453592,IF(K770&gt;0,K770*0.02835,))</f>
        <v>#REF!</v>
      </c>
      <c r="O770">
        <f>I770+N770+M770</f>
        <v>0</v>
      </c>
      <c r="P770">
        <f>O770*C$3</f>
        <v>0</v>
      </c>
      <c r="Q770" t="str">
        <f>ROUNDUP(HLOOKUP(IF(CEILING(L770,0.5)&lt;1,1,CEILING(L770,0.5)),'배송비 조회'!A$32:AY$36,2,0),-2)</f>
        <v>#REF!</v>
      </c>
      <c r="R770">
        <v>0</v>
      </c>
      <c r="S770" t="str">
        <f>ROUND((P770+Q770)*0.6,-2)</f>
        <v>#REF!</v>
      </c>
      <c r="T770" t="str">
        <f>ROUND((P770+Q770)*0.7,-2)</f>
        <v>#REF!</v>
      </c>
      <c r="U770" t="str">
        <f>ROUND(SUM(P770+Q770+R770+S770), -2)</f>
        <v>#REF!</v>
      </c>
      <c r="V770" t="str">
        <f>ROUND(P770+Q770+R770+T770, -2)</f>
        <v>#REF!</v>
      </c>
      <c r="W770">
        <v>0</v>
      </c>
      <c r="X770" t="str">
        <f>U770*0.038</f>
        <v>#REF!</v>
      </c>
      <c r="Y770" t="str">
        <f>U770*0.02</f>
        <v>#REF!</v>
      </c>
      <c r="Z770" t="str">
        <f>V770*0.1</f>
        <v>#REF!</v>
      </c>
      <c r="AA770" t="str">
        <f>U770-X770-Y770</f>
        <v>#REF!</v>
      </c>
      <c r="AB770" t="str">
        <f>V770-Z770</f>
        <v>#REF!</v>
      </c>
      <c r="AC770" t="str">
        <f>AA770*0.01</f>
        <v>#REF!</v>
      </c>
      <c r="AD770" t="str">
        <f>AA770-P770-AC770-Q770</f>
        <v>#REF!</v>
      </c>
      <c r="AE770" t="str">
        <f>AB770-P770-Q770-AC770</f>
        <v>#REF!</v>
      </c>
      <c r="AF770" t="str">
        <f>AD770/U770</f>
        <v>#REF!</v>
      </c>
      <c r="AG770" t="str">
        <f>AE770/V770</f>
        <v>#REF!</v>
      </c>
    </row>
    <row r="771">
      <c r="G771" t="str">
        <v>A</v>
      </c>
      <c r="J771" t="str">
        <f>IF(K771&gt;0,K771*0.0625,IF(L771&gt;0,L771*2.204623,))</f>
        <v>#REF!</v>
      </c>
      <c r="K771" t="str">
        <f>IF(L771&gt;0,L771*35.273962,IF(J771&gt;0,J771*16,))</f>
        <v>#REF!</v>
      </c>
      <c r="L771" t="str">
        <f>IF(J771&gt;0,J771*0.453592,IF(K771&gt;0,K771*0.02835,))</f>
        <v>#REF!</v>
      </c>
      <c r="O771">
        <f>I771+N771+M771</f>
        <v>0</v>
      </c>
      <c r="P771">
        <f>O771*C$3</f>
        <v>0</v>
      </c>
      <c r="Q771" t="str">
        <f>ROUNDUP(HLOOKUP(IF(CEILING(L771,0.5)&lt;1,1,CEILING(L771,0.5)),'배송비 조회'!A$32:AY$36,2,0),-2)</f>
        <v>#REF!</v>
      </c>
      <c r="R771">
        <v>0</v>
      </c>
      <c r="S771" t="str">
        <f>ROUND((P771+Q771)*0.6,-2)</f>
        <v>#REF!</v>
      </c>
      <c r="T771" t="str">
        <f>ROUND((P771+Q771)*0.7,-2)</f>
        <v>#REF!</v>
      </c>
      <c r="U771" t="str">
        <f>ROUND(SUM(P771+Q771+R771+S771), -2)</f>
        <v>#REF!</v>
      </c>
      <c r="V771" t="str">
        <f>ROUND(P771+Q771+R771+T771, -2)</f>
        <v>#REF!</v>
      </c>
      <c r="W771">
        <v>0</v>
      </c>
      <c r="X771" t="str">
        <f>U771*0.038</f>
        <v>#REF!</v>
      </c>
      <c r="Y771" t="str">
        <f>U771*0.02</f>
        <v>#REF!</v>
      </c>
      <c r="Z771" t="str">
        <f>V771*0.1</f>
        <v>#REF!</v>
      </c>
      <c r="AA771" t="str">
        <f>U771-X771-Y771</f>
        <v>#REF!</v>
      </c>
      <c r="AB771" t="str">
        <f>V771-Z771</f>
        <v>#REF!</v>
      </c>
      <c r="AC771" t="str">
        <f>AA771*0.01</f>
        <v>#REF!</v>
      </c>
      <c r="AD771" t="str">
        <f>AA771-P771-AC771-Q771</f>
        <v>#REF!</v>
      </c>
      <c r="AE771" t="str">
        <f>AB771-P771-Q771-AC771</f>
        <v>#REF!</v>
      </c>
      <c r="AF771" t="str">
        <f>AD771/U771</f>
        <v>#REF!</v>
      </c>
      <c r="AG771" t="str">
        <f>AE771/V771</f>
        <v>#REF!</v>
      </c>
    </row>
    <row r="772">
      <c r="G772" t="str">
        <v>A</v>
      </c>
      <c r="J772" t="str">
        <f>IF(K772&gt;0,K772*0.0625,IF(L772&gt;0,L772*2.204623,))</f>
        <v>#REF!</v>
      </c>
      <c r="K772" t="str">
        <f>IF(L772&gt;0,L772*35.273962,IF(J772&gt;0,J772*16,))</f>
        <v>#REF!</v>
      </c>
      <c r="L772" t="str">
        <f>IF(J772&gt;0,J772*0.453592,IF(K772&gt;0,K772*0.02835,))</f>
        <v>#REF!</v>
      </c>
      <c r="O772">
        <f>I772+N772+M772</f>
        <v>0</v>
      </c>
      <c r="P772">
        <f>O772*C$3</f>
        <v>0</v>
      </c>
      <c r="Q772" t="str">
        <f>ROUNDUP(HLOOKUP(IF(CEILING(L772,0.5)&lt;1,1,CEILING(L772,0.5)),'배송비 조회'!A$32:AY$36,2,0),-2)</f>
        <v>#REF!</v>
      </c>
      <c r="R772">
        <v>0</v>
      </c>
      <c r="S772" t="str">
        <f>ROUND((P772+Q772)*0.6,-2)</f>
        <v>#REF!</v>
      </c>
      <c r="T772" t="str">
        <f>ROUND((P772+Q772)*0.7,-2)</f>
        <v>#REF!</v>
      </c>
      <c r="U772" t="str">
        <f>ROUND(SUM(P772+Q772+R772+S772), -2)</f>
        <v>#REF!</v>
      </c>
      <c r="V772" t="str">
        <f>ROUND(P772+Q772+R772+T772, -2)</f>
        <v>#REF!</v>
      </c>
      <c r="W772">
        <v>0</v>
      </c>
      <c r="X772" t="str">
        <f>U772*0.038</f>
        <v>#REF!</v>
      </c>
      <c r="Y772" t="str">
        <f>U772*0.02</f>
        <v>#REF!</v>
      </c>
      <c r="Z772" t="str">
        <f>V772*0.1</f>
        <v>#REF!</v>
      </c>
      <c r="AA772" t="str">
        <f>U772-X772-Y772</f>
        <v>#REF!</v>
      </c>
      <c r="AB772" t="str">
        <f>V772-Z772</f>
        <v>#REF!</v>
      </c>
      <c r="AC772" t="str">
        <f>AA772*0.01</f>
        <v>#REF!</v>
      </c>
      <c r="AD772" t="str">
        <f>AA772-P772-AC772-Q772</f>
        <v>#REF!</v>
      </c>
      <c r="AE772" t="str">
        <f>AB772-P772-Q772-AC772</f>
        <v>#REF!</v>
      </c>
      <c r="AF772" t="str">
        <f>AD772/U772</f>
        <v>#REF!</v>
      </c>
      <c r="AG772" t="str">
        <f>AE772/V772</f>
        <v>#REF!</v>
      </c>
    </row>
    <row r="773">
      <c r="G773" t="str">
        <v>A</v>
      </c>
      <c r="J773" t="str">
        <f>IF(K773&gt;0,K773*0.0625,IF(L773&gt;0,L773*2.204623,))</f>
        <v>#REF!</v>
      </c>
      <c r="K773" t="str">
        <f>IF(L773&gt;0,L773*35.273962,IF(J773&gt;0,J773*16,))</f>
        <v>#REF!</v>
      </c>
      <c r="L773" t="str">
        <f>IF(J773&gt;0,J773*0.453592,IF(K773&gt;0,K773*0.02835,))</f>
        <v>#REF!</v>
      </c>
      <c r="O773">
        <f>I773+N773+M773</f>
        <v>0</v>
      </c>
      <c r="P773">
        <f>O773*C$3</f>
        <v>0</v>
      </c>
      <c r="Q773" t="str">
        <f>ROUNDUP(HLOOKUP(IF(CEILING(L773,0.5)&lt;1,1,CEILING(L773,0.5)),'배송비 조회'!A$32:AY$36,2,0),-2)</f>
        <v>#REF!</v>
      </c>
      <c r="R773">
        <v>0</v>
      </c>
      <c r="S773" t="str">
        <f>ROUND((P773+Q773)*0.6,-2)</f>
        <v>#REF!</v>
      </c>
      <c r="T773" t="str">
        <f>ROUND((P773+Q773)*0.7,-2)</f>
        <v>#REF!</v>
      </c>
      <c r="U773" t="str">
        <f>ROUND(SUM(P773+Q773+R773+S773), -2)</f>
        <v>#REF!</v>
      </c>
      <c r="V773" t="str">
        <f>ROUND(P773+Q773+R773+T773, -2)</f>
        <v>#REF!</v>
      </c>
      <c r="W773">
        <v>0</v>
      </c>
      <c r="X773" t="str">
        <f>U773*0.038</f>
        <v>#REF!</v>
      </c>
      <c r="Y773" t="str">
        <f>U773*0.02</f>
        <v>#REF!</v>
      </c>
      <c r="Z773" t="str">
        <f>V773*0.1</f>
        <v>#REF!</v>
      </c>
      <c r="AA773" t="str">
        <f>U773-X773-Y773</f>
        <v>#REF!</v>
      </c>
      <c r="AB773" t="str">
        <f>V773-Z773</f>
        <v>#REF!</v>
      </c>
      <c r="AC773" t="str">
        <f>AA773*0.01</f>
        <v>#REF!</v>
      </c>
      <c r="AD773" t="str">
        <f>AA773-P773-AC773-Q773</f>
        <v>#REF!</v>
      </c>
      <c r="AE773" t="str">
        <f>AB773-P773-Q773-AC773</f>
        <v>#REF!</v>
      </c>
      <c r="AF773" t="str">
        <f>AD773/U773</f>
        <v>#REF!</v>
      </c>
      <c r="AG773" t="str">
        <f>AE773/V773</f>
        <v>#REF!</v>
      </c>
    </row>
    <row r="774">
      <c r="G774" t="str">
        <v>A</v>
      </c>
      <c r="J774" t="str">
        <f>IF(K774&gt;0,K774*0.0625,IF(L774&gt;0,L774*2.204623,))</f>
        <v>#REF!</v>
      </c>
      <c r="K774" t="str">
        <f>IF(L774&gt;0,L774*35.273962,IF(J774&gt;0,J774*16,))</f>
        <v>#REF!</v>
      </c>
      <c r="L774" t="str">
        <f>IF(J774&gt;0,J774*0.453592,IF(K774&gt;0,K774*0.02835,))</f>
        <v>#REF!</v>
      </c>
      <c r="O774">
        <f>I774+N774+M774</f>
        <v>0</v>
      </c>
      <c r="P774">
        <f>O774*C$3</f>
        <v>0</v>
      </c>
      <c r="Q774" t="str">
        <f>ROUNDUP(HLOOKUP(IF(CEILING(L774,0.5)&lt;1,1,CEILING(L774,0.5)),'배송비 조회'!A$32:AY$36,2,0),-2)</f>
        <v>#REF!</v>
      </c>
      <c r="R774">
        <v>0</v>
      </c>
      <c r="S774" t="str">
        <f>ROUND((P774+Q774)*0.6,-2)</f>
        <v>#REF!</v>
      </c>
      <c r="T774" t="str">
        <f>ROUND((P774+Q774)*0.7,-2)</f>
        <v>#REF!</v>
      </c>
      <c r="U774" t="str">
        <f>ROUND(SUM(P774+Q774+R774+S774), -2)</f>
        <v>#REF!</v>
      </c>
      <c r="V774" t="str">
        <f>ROUND(P774+Q774+R774+T774, -2)</f>
        <v>#REF!</v>
      </c>
      <c r="W774">
        <v>0</v>
      </c>
      <c r="X774" t="str">
        <f>U774*0.038</f>
        <v>#REF!</v>
      </c>
      <c r="Y774" t="str">
        <f>U774*0.02</f>
        <v>#REF!</v>
      </c>
      <c r="Z774" t="str">
        <f>V774*0.1</f>
        <v>#REF!</v>
      </c>
      <c r="AA774" t="str">
        <f>U774-X774-Y774</f>
        <v>#REF!</v>
      </c>
      <c r="AB774" t="str">
        <f>V774-Z774</f>
        <v>#REF!</v>
      </c>
      <c r="AC774" t="str">
        <f>AA774*0.01</f>
        <v>#REF!</v>
      </c>
      <c r="AD774" t="str">
        <f>AA774-P774-AC774-Q774</f>
        <v>#REF!</v>
      </c>
      <c r="AE774" t="str">
        <f>AB774-P774-Q774-AC774</f>
        <v>#REF!</v>
      </c>
      <c r="AF774" t="str">
        <f>AD774/U774</f>
        <v>#REF!</v>
      </c>
      <c r="AG774" t="str">
        <f>AE774/V774</f>
        <v>#REF!</v>
      </c>
    </row>
    <row r="775">
      <c r="G775" t="str">
        <v>A</v>
      </c>
      <c r="J775" t="str">
        <f>IF(K775&gt;0,K775*0.0625,IF(L775&gt;0,L775*2.204623,))</f>
        <v>#REF!</v>
      </c>
      <c r="K775" t="str">
        <f>IF(L775&gt;0,L775*35.273962,IF(J775&gt;0,J775*16,))</f>
        <v>#REF!</v>
      </c>
      <c r="L775" t="str">
        <f>IF(J775&gt;0,J775*0.453592,IF(K775&gt;0,K775*0.02835,))</f>
        <v>#REF!</v>
      </c>
      <c r="O775">
        <f>I775+N775+M775</f>
        <v>0</v>
      </c>
      <c r="P775">
        <f>O775*C$3</f>
        <v>0</v>
      </c>
      <c r="Q775" t="str">
        <f>ROUNDUP(HLOOKUP(IF(CEILING(L775,0.5)&lt;1,1,CEILING(L775,0.5)),'배송비 조회'!A$32:AY$36,2,0),-2)</f>
        <v>#REF!</v>
      </c>
      <c r="R775">
        <v>0</v>
      </c>
      <c r="S775" t="str">
        <f>ROUND((P775+Q775)*0.6,-2)</f>
        <v>#REF!</v>
      </c>
      <c r="T775" t="str">
        <f>ROUND((P775+Q775)*0.7,-2)</f>
        <v>#REF!</v>
      </c>
      <c r="U775" t="str">
        <f>ROUND(SUM(P775+Q775+R775+S775), -2)</f>
        <v>#REF!</v>
      </c>
      <c r="V775" t="str">
        <f>ROUND(P775+Q775+R775+T775, -2)</f>
        <v>#REF!</v>
      </c>
      <c r="W775">
        <v>0</v>
      </c>
      <c r="X775" t="str">
        <f>U775*0.038</f>
        <v>#REF!</v>
      </c>
      <c r="Y775" t="str">
        <f>U775*0.02</f>
        <v>#REF!</v>
      </c>
      <c r="Z775" t="str">
        <f>V775*0.1</f>
        <v>#REF!</v>
      </c>
      <c r="AA775" t="str">
        <f>U775-X775-Y775</f>
        <v>#REF!</v>
      </c>
      <c r="AB775" t="str">
        <f>V775-Z775</f>
        <v>#REF!</v>
      </c>
      <c r="AC775" t="str">
        <f>AA775*0.01</f>
        <v>#REF!</v>
      </c>
      <c r="AD775" t="str">
        <f>AA775-P775-AC775-Q775</f>
        <v>#REF!</v>
      </c>
      <c r="AE775" t="str">
        <f>AB775-P775-Q775-AC775</f>
        <v>#REF!</v>
      </c>
      <c r="AF775" t="str">
        <f>AD775/U775</f>
        <v>#REF!</v>
      </c>
      <c r="AG775" t="str">
        <f>AE775/V775</f>
        <v>#REF!</v>
      </c>
    </row>
    <row r="776">
      <c r="G776" t="str">
        <v>A</v>
      </c>
      <c r="J776" t="str">
        <f>IF(K776&gt;0,K776*0.0625,IF(L776&gt;0,L776*2.204623,))</f>
        <v>#REF!</v>
      </c>
      <c r="K776" t="str">
        <f>IF(L776&gt;0,L776*35.273962,IF(J776&gt;0,J776*16,))</f>
        <v>#REF!</v>
      </c>
      <c r="L776" t="str">
        <f>IF(J776&gt;0,J776*0.453592,IF(K776&gt;0,K776*0.02835,))</f>
        <v>#REF!</v>
      </c>
      <c r="O776">
        <f>I776+N776+M776</f>
        <v>0</v>
      </c>
      <c r="P776">
        <f>O776*C$3</f>
        <v>0</v>
      </c>
      <c r="Q776" t="str">
        <f>ROUNDUP(HLOOKUP(IF(CEILING(L776,0.5)&lt;1,1,CEILING(L776,0.5)),'배송비 조회'!A$32:AY$36,2,0),-2)</f>
        <v>#REF!</v>
      </c>
      <c r="R776">
        <v>0</v>
      </c>
      <c r="S776" t="str">
        <f>ROUND((P776+Q776)*0.6,-2)</f>
        <v>#REF!</v>
      </c>
      <c r="T776" t="str">
        <f>ROUND((P776+Q776)*0.7,-2)</f>
        <v>#REF!</v>
      </c>
      <c r="U776" t="str">
        <f>ROUND(SUM(P776+Q776+R776+S776), -2)</f>
        <v>#REF!</v>
      </c>
      <c r="V776" t="str">
        <f>ROUND(P776+Q776+R776+T776, -2)</f>
        <v>#REF!</v>
      </c>
      <c r="W776">
        <v>0</v>
      </c>
      <c r="X776" t="str">
        <f>U776*0.038</f>
        <v>#REF!</v>
      </c>
      <c r="Y776" t="str">
        <f>U776*0.02</f>
        <v>#REF!</v>
      </c>
      <c r="Z776" t="str">
        <f>V776*0.1</f>
        <v>#REF!</v>
      </c>
      <c r="AA776" t="str">
        <f>U776-X776-Y776</f>
        <v>#REF!</v>
      </c>
      <c r="AB776" t="str">
        <f>V776-Z776</f>
        <v>#REF!</v>
      </c>
      <c r="AC776" t="str">
        <f>AA776*0.01</f>
        <v>#REF!</v>
      </c>
      <c r="AD776" t="str">
        <f>AA776-P776-AC776-Q776</f>
        <v>#REF!</v>
      </c>
      <c r="AE776" t="str">
        <f>AB776-P776-Q776-AC776</f>
        <v>#REF!</v>
      </c>
      <c r="AF776" t="str">
        <f>AD776/U776</f>
        <v>#REF!</v>
      </c>
      <c r="AG776" t="str">
        <f>AE776/V776</f>
        <v>#REF!</v>
      </c>
    </row>
    <row r="777">
      <c r="G777" t="str">
        <v>A</v>
      </c>
      <c r="J777" t="str">
        <f>IF(K777&gt;0,K777*0.0625,IF(L777&gt;0,L777*2.204623,))</f>
        <v>#REF!</v>
      </c>
      <c r="K777" t="str">
        <f>IF(L777&gt;0,L777*35.273962,IF(J777&gt;0,J777*16,))</f>
        <v>#REF!</v>
      </c>
      <c r="L777" t="str">
        <f>IF(J777&gt;0,J777*0.453592,IF(K777&gt;0,K777*0.02835,))</f>
        <v>#REF!</v>
      </c>
      <c r="O777">
        <f>I777+N777+M777</f>
        <v>0</v>
      </c>
      <c r="P777">
        <f>O777*C$3</f>
        <v>0</v>
      </c>
      <c r="Q777" t="str">
        <f>ROUNDUP(HLOOKUP(IF(CEILING(L777,0.5)&lt;1,1,CEILING(L777,0.5)),'배송비 조회'!A$32:AY$36,2,0),-2)</f>
        <v>#REF!</v>
      </c>
      <c r="R777">
        <v>0</v>
      </c>
      <c r="S777" t="str">
        <f>ROUND((P777+Q777)*0.6,-2)</f>
        <v>#REF!</v>
      </c>
      <c r="T777" t="str">
        <f>ROUND((P777+Q777)*0.7,-2)</f>
        <v>#REF!</v>
      </c>
      <c r="U777" t="str">
        <f>ROUND(SUM(P777+Q777+R777+S777), -2)</f>
        <v>#REF!</v>
      </c>
      <c r="V777" t="str">
        <f>ROUND(P777+Q777+R777+T777, -2)</f>
        <v>#REF!</v>
      </c>
      <c r="W777">
        <v>0</v>
      </c>
      <c r="X777" t="str">
        <f>U777*0.038</f>
        <v>#REF!</v>
      </c>
      <c r="Y777" t="str">
        <f>U777*0.02</f>
        <v>#REF!</v>
      </c>
      <c r="Z777" t="str">
        <f>V777*0.1</f>
        <v>#REF!</v>
      </c>
      <c r="AA777" t="str">
        <f>U777-X777-Y777</f>
        <v>#REF!</v>
      </c>
      <c r="AB777" t="str">
        <f>V777-Z777</f>
        <v>#REF!</v>
      </c>
      <c r="AC777" t="str">
        <f>AA777*0.01</f>
        <v>#REF!</v>
      </c>
      <c r="AD777" t="str">
        <f>AA777-P777-AC777-Q777</f>
        <v>#REF!</v>
      </c>
      <c r="AE777" t="str">
        <f>AB777-P777-Q777-AC777</f>
        <v>#REF!</v>
      </c>
      <c r="AF777" t="str">
        <f>AD777/U777</f>
        <v>#REF!</v>
      </c>
      <c r="AG777" t="str">
        <f>AE777/V777</f>
        <v>#REF!</v>
      </c>
    </row>
    <row r="778">
      <c r="G778" t="str">
        <v>A</v>
      </c>
      <c r="J778" t="str">
        <f>IF(K778&gt;0,K778*0.0625,IF(L778&gt;0,L778*2.204623,))</f>
        <v>#REF!</v>
      </c>
      <c r="K778" t="str">
        <f>IF(L778&gt;0,L778*35.273962,IF(J778&gt;0,J778*16,))</f>
        <v>#REF!</v>
      </c>
      <c r="L778" t="str">
        <f>IF(J778&gt;0,J778*0.453592,IF(K778&gt;0,K778*0.02835,))</f>
        <v>#REF!</v>
      </c>
      <c r="O778">
        <f>I778+N778+M778</f>
        <v>0</v>
      </c>
      <c r="P778">
        <f>O778*C$3</f>
        <v>0</v>
      </c>
      <c r="Q778" t="str">
        <f>ROUNDUP(HLOOKUP(IF(CEILING(L778,0.5)&lt;1,1,CEILING(L778,0.5)),'배송비 조회'!A$32:AY$36,2,0),-2)</f>
        <v>#REF!</v>
      </c>
      <c r="R778">
        <v>0</v>
      </c>
      <c r="S778" t="str">
        <f>ROUND((P778+Q778)*0.6,-2)</f>
        <v>#REF!</v>
      </c>
      <c r="T778" t="str">
        <f>ROUND((P778+Q778)*0.7,-2)</f>
        <v>#REF!</v>
      </c>
      <c r="U778" t="str">
        <f>ROUND(SUM(P778+Q778+R778+S778), -2)</f>
        <v>#REF!</v>
      </c>
      <c r="V778" t="str">
        <f>ROUND(P778+Q778+R778+T778, -2)</f>
        <v>#REF!</v>
      </c>
      <c r="W778">
        <v>0</v>
      </c>
      <c r="X778" t="str">
        <f>U778*0.038</f>
        <v>#REF!</v>
      </c>
      <c r="Y778" t="str">
        <f>U778*0.02</f>
        <v>#REF!</v>
      </c>
      <c r="Z778" t="str">
        <f>V778*0.1</f>
        <v>#REF!</v>
      </c>
      <c r="AA778" t="str">
        <f>U778-X778-Y778</f>
        <v>#REF!</v>
      </c>
      <c r="AB778" t="str">
        <f>V778-Z778</f>
        <v>#REF!</v>
      </c>
      <c r="AC778" t="str">
        <f>AA778*0.01</f>
        <v>#REF!</v>
      </c>
      <c r="AD778" t="str">
        <f>AA778-P778-AC778-Q778</f>
        <v>#REF!</v>
      </c>
      <c r="AE778" t="str">
        <f>AB778-P778-Q778-AC778</f>
        <v>#REF!</v>
      </c>
      <c r="AF778" t="str">
        <f>AD778/U778</f>
        <v>#REF!</v>
      </c>
      <c r="AG778" t="str">
        <f>AE778/V778</f>
        <v>#REF!</v>
      </c>
    </row>
    <row r="779">
      <c r="G779" t="str">
        <v>A</v>
      </c>
      <c r="J779" t="str">
        <f>IF(K779&gt;0,K779*0.0625,IF(L779&gt;0,L779*2.204623,))</f>
        <v>#REF!</v>
      </c>
      <c r="K779" t="str">
        <f>IF(L779&gt;0,L779*35.273962,IF(J779&gt;0,J779*16,))</f>
        <v>#REF!</v>
      </c>
      <c r="L779" t="str">
        <f>IF(J779&gt;0,J779*0.453592,IF(K779&gt;0,K779*0.02835,))</f>
        <v>#REF!</v>
      </c>
      <c r="O779">
        <f>I779+N779+M779</f>
        <v>0</v>
      </c>
      <c r="P779">
        <f>O779*C$3</f>
        <v>0</v>
      </c>
      <c r="Q779" t="str">
        <f>ROUNDUP(HLOOKUP(IF(CEILING(L779,0.5)&lt;1,1,CEILING(L779,0.5)),'배송비 조회'!A$32:AY$36,2,0),-2)</f>
        <v>#REF!</v>
      </c>
      <c r="R779">
        <v>0</v>
      </c>
      <c r="S779" t="str">
        <f>ROUND((P779+Q779)*0.6,-2)</f>
        <v>#REF!</v>
      </c>
      <c r="T779" t="str">
        <f>ROUND((P779+Q779)*0.7,-2)</f>
        <v>#REF!</v>
      </c>
      <c r="U779" t="str">
        <f>ROUND(SUM(P779+Q779+R779+S779), -2)</f>
        <v>#REF!</v>
      </c>
      <c r="V779" t="str">
        <f>ROUND(P779+Q779+R779+T779, -2)</f>
        <v>#REF!</v>
      </c>
      <c r="W779">
        <v>0</v>
      </c>
      <c r="X779" t="str">
        <f>U779*0.038</f>
        <v>#REF!</v>
      </c>
      <c r="Y779" t="str">
        <f>U779*0.02</f>
        <v>#REF!</v>
      </c>
      <c r="Z779" t="str">
        <f>V779*0.1</f>
        <v>#REF!</v>
      </c>
      <c r="AA779" t="str">
        <f>U779-X779-Y779</f>
        <v>#REF!</v>
      </c>
      <c r="AB779" t="str">
        <f>V779-Z779</f>
        <v>#REF!</v>
      </c>
      <c r="AC779" t="str">
        <f>AA779*0.01</f>
        <v>#REF!</v>
      </c>
      <c r="AD779" t="str">
        <f>AA779-P779-AC779-Q779</f>
        <v>#REF!</v>
      </c>
      <c r="AE779" t="str">
        <f>AB779-P779-Q779-AC779</f>
        <v>#REF!</v>
      </c>
      <c r="AF779" t="str">
        <f>AD779/U779</f>
        <v>#REF!</v>
      </c>
      <c r="AG779" t="str">
        <f>AE779/V779</f>
        <v>#REF!</v>
      </c>
    </row>
    <row r="780">
      <c r="G780" t="str">
        <v>A</v>
      </c>
      <c r="J780" t="str">
        <f>IF(K780&gt;0,K780*0.0625,IF(L780&gt;0,L780*2.204623,))</f>
        <v>#REF!</v>
      </c>
      <c r="K780" t="str">
        <f>IF(L780&gt;0,L780*35.273962,IF(J780&gt;0,J780*16,))</f>
        <v>#REF!</v>
      </c>
      <c r="L780" t="str">
        <f>IF(J780&gt;0,J780*0.453592,IF(K780&gt;0,K780*0.02835,))</f>
        <v>#REF!</v>
      </c>
      <c r="O780">
        <f>I780+N780+M780</f>
        <v>0</v>
      </c>
      <c r="P780">
        <f>O780*C$3</f>
        <v>0</v>
      </c>
      <c r="Q780" t="str">
        <f>ROUNDUP(HLOOKUP(IF(CEILING(L780,0.5)&lt;1,1,CEILING(L780,0.5)),'배송비 조회'!A$32:AY$36,2,0),-2)</f>
        <v>#REF!</v>
      </c>
      <c r="R780">
        <v>0</v>
      </c>
      <c r="S780" t="str">
        <f>ROUND((P780+Q780)*0.6,-2)</f>
        <v>#REF!</v>
      </c>
      <c r="T780" t="str">
        <f>ROUND((P780+Q780)*0.7,-2)</f>
        <v>#REF!</v>
      </c>
      <c r="U780" t="str">
        <f>ROUND(SUM(P780+Q780+R780+S780), -2)</f>
        <v>#REF!</v>
      </c>
      <c r="V780" t="str">
        <f>ROUND(P780+Q780+R780+T780, -2)</f>
        <v>#REF!</v>
      </c>
      <c r="W780">
        <v>0</v>
      </c>
      <c r="X780" t="str">
        <f>U780*0.038</f>
        <v>#REF!</v>
      </c>
      <c r="Y780" t="str">
        <f>U780*0.02</f>
        <v>#REF!</v>
      </c>
      <c r="Z780" t="str">
        <f>V780*0.1</f>
        <v>#REF!</v>
      </c>
      <c r="AA780" t="str">
        <f>U780-X780-Y780</f>
        <v>#REF!</v>
      </c>
      <c r="AB780" t="str">
        <f>V780-Z780</f>
        <v>#REF!</v>
      </c>
      <c r="AC780" t="str">
        <f>AA780*0.01</f>
        <v>#REF!</v>
      </c>
      <c r="AD780" t="str">
        <f>AA780-P780-AC780-Q780</f>
        <v>#REF!</v>
      </c>
      <c r="AE780" t="str">
        <f>AB780-P780-Q780-AC780</f>
        <v>#REF!</v>
      </c>
      <c r="AF780" t="str">
        <f>AD780/U780</f>
        <v>#REF!</v>
      </c>
      <c r="AG780" t="str">
        <f>AE780/V780</f>
        <v>#REF!</v>
      </c>
    </row>
    <row r="781">
      <c r="G781" t="str">
        <v>A</v>
      </c>
      <c r="J781" t="str">
        <f>IF(K781&gt;0,K781*0.0625,IF(L781&gt;0,L781*2.204623,))</f>
        <v>#REF!</v>
      </c>
      <c r="K781" t="str">
        <f>IF(L781&gt;0,L781*35.273962,IF(J781&gt;0,J781*16,))</f>
        <v>#REF!</v>
      </c>
      <c r="L781" t="str">
        <f>IF(J781&gt;0,J781*0.453592,IF(K781&gt;0,K781*0.02835,))</f>
        <v>#REF!</v>
      </c>
      <c r="O781">
        <f>I781+N781+M781</f>
        <v>0</v>
      </c>
      <c r="P781">
        <f>O781*C$3</f>
        <v>0</v>
      </c>
      <c r="Q781" t="str">
        <f>ROUNDUP(HLOOKUP(IF(CEILING(L781,0.5)&lt;1,1,CEILING(L781,0.5)),'배송비 조회'!A$32:AY$36,2,0),-2)</f>
        <v>#REF!</v>
      </c>
      <c r="R781">
        <v>0</v>
      </c>
      <c r="S781" t="str">
        <f>ROUND((P781+Q781)*0.6,-2)</f>
        <v>#REF!</v>
      </c>
      <c r="T781" t="str">
        <f>ROUND((P781+Q781)*0.7,-2)</f>
        <v>#REF!</v>
      </c>
      <c r="U781" t="str">
        <f>ROUND(SUM(P781+Q781+R781+S781), -2)</f>
        <v>#REF!</v>
      </c>
      <c r="V781" t="str">
        <f>ROUND(P781+Q781+R781+T781, -2)</f>
        <v>#REF!</v>
      </c>
      <c r="W781">
        <v>0</v>
      </c>
      <c r="X781" t="str">
        <f>U781*0.038</f>
        <v>#REF!</v>
      </c>
      <c r="Y781" t="str">
        <f>U781*0.02</f>
        <v>#REF!</v>
      </c>
      <c r="Z781" t="str">
        <f>V781*0.1</f>
        <v>#REF!</v>
      </c>
      <c r="AA781" t="str">
        <f>U781-X781-Y781</f>
        <v>#REF!</v>
      </c>
      <c r="AB781" t="str">
        <f>V781-Z781</f>
        <v>#REF!</v>
      </c>
      <c r="AC781" t="str">
        <f>AA781*0.01</f>
        <v>#REF!</v>
      </c>
      <c r="AD781" t="str">
        <f>AA781-P781-AC781-Q781</f>
        <v>#REF!</v>
      </c>
      <c r="AE781" t="str">
        <f>AB781-P781-Q781-AC781</f>
        <v>#REF!</v>
      </c>
      <c r="AF781" t="str">
        <f>AD781/U781</f>
        <v>#REF!</v>
      </c>
      <c r="AG781" t="str">
        <f>AE781/V781</f>
        <v>#REF!</v>
      </c>
    </row>
    <row r="782">
      <c r="G782" t="str">
        <v>A</v>
      </c>
      <c r="J782" t="str">
        <f>IF(K782&gt;0,K782*0.0625,IF(L782&gt;0,L782*2.204623,))</f>
        <v>#REF!</v>
      </c>
      <c r="K782" t="str">
        <f>IF(L782&gt;0,L782*35.273962,IF(J782&gt;0,J782*16,))</f>
        <v>#REF!</v>
      </c>
      <c r="L782" t="str">
        <f>IF(J782&gt;0,J782*0.453592,IF(K782&gt;0,K782*0.02835,))</f>
        <v>#REF!</v>
      </c>
      <c r="O782">
        <f>I782+N782+M782</f>
        <v>0</v>
      </c>
      <c r="P782">
        <f>O782*C$3</f>
        <v>0</v>
      </c>
      <c r="Q782" t="str">
        <f>ROUNDUP(HLOOKUP(IF(CEILING(L782,0.5)&lt;1,1,CEILING(L782,0.5)),'배송비 조회'!A$32:AY$36,2,0),-2)</f>
        <v>#REF!</v>
      </c>
      <c r="R782">
        <v>0</v>
      </c>
      <c r="S782" t="str">
        <f>ROUND((P782+Q782)*0.6,-2)</f>
        <v>#REF!</v>
      </c>
      <c r="T782" t="str">
        <f>ROUND((P782+Q782)*0.7,-2)</f>
        <v>#REF!</v>
      </c>
      <c r="U782" t="str">
        <f>ROUND(SUM(P782+Q782+R782+S782), -2)</f>
        <v>#REF!</v>
      </c>
      <c r="V782" t="str">
        <f>ROUND(P782+Q782+R782+T782, -2)</f>
        <v>#REF!</v>
      </c>
      <c r="W782">
        <v>0</v>
      </c>
      <c r="X782" t="str">
        <f>U782*0.038</f>
        <v>#REF!</v>
      </c>
      <c r="Y782" t="str">
        <f>U782*0.02</f>
        <v>#REF!</v>
      </c>
      <c r="Z782" t="str">
        <f>V782*0.1</f>
        <v>#REF!</v>
      </c>
      <c r="AA782" t="str">
        <f>U782-X782-Y782</f>
        <v>#REF!</v>
      </c>
      <c r="AB782" t="str">
        <f>V782-Z782</f>
        <v>#REF!</v>
      </c>
      <c r="AC782" t="str">
        <f>AA782*0.01</f>
        <v>#REF!</v>
      </c>
      <c r="AD782" t="str">
        <f>AA782-P782-AC782-Q782</f>
        <v>#REF!</v>
      </c>
      <c r="AE782" t="str">
        <f>AB782-P782-Q782-AC782</f>
        <v>#REF!</v>
      </c>
      <c r="AF782" t="str">
        <f>AD782/U782</f>
        <v>#REF!</v>
      </c>
      <c r="AG782" t="str">
        <f>AE782/V782</f>
        <v>#REF!</v>
      </c>
    </row>
    <row r="783">
      <c r="G783" t="str">
        <v>A</v>
      </c>
      <c r="J783" t="str">
        <f>IF(K783&gt;0,K783*0.0625,IF(L783&gt;0,L783*2.204623,))</f>
        <v>#REF!</v>
      </c>
      <c r="K783" t="str">
        <f>IF(L783&gt;0,L783*35.273962,IF(J783&gt;0,J783*16,))</f>
        <v>#REF!</v>
      </c>
      <c r="L783" t="str">
        <f>IF(J783&gt;0,J783*0.453592,IF(K783&gt;0,K783*0.02835,))</f>
        <v>#REF!</v>
      </c>
      <c r="O783">
        <f>I783+N783+M783</f>
        <v>0</v>
      </c>
      <c r="P783">
        <f>O783*C$3</f>
        <v>0</v>
      </c>
      <c r="Q783" t="str">
        <f>ROUNDUP(HLOOKUP(IF(CEILING(L783,0.5)&lt;1,1,CEILING(L783,0.5)),'배송비 조회'!A$32:AY$36,2,0),-2)</f>
        <v>#REF!</v>
      </c>
      <c r="R783">
        <v>0</v>
      </c>
      <c r="S783" t="str">
        <f>ROUND((P783+Q783)*0.6,-2)</f>
        <v>#REF!</v>
      </c>
      <c r="T783" t="str">
        <f>ROUND((P783+Q783)*0.7,-2)</f>
        <v>#REF!</v>
      </c>
      <c r="U783" t="str">
        <f>ROUND(SUM(P783+Q783+R783+S783), -2)</f>
        <v>#REF!</v>
      </c>
      <c r="V783" t="str">
        <f>ROUND(P783+Q783+R783+T783, -2)</f>
        <v>#REF!</v>
      </c>
      <c r="W783">
        <v>0</v>
      </c>
      <c r="X783" t="str">
        <f>U783*0.038</f>
        <v>#REF!</v>
      </c>
      <c r="Y783" t="str">
        <f>U783*0.02</f>
        <v>#REF!</v>
      </c>
      <c r="Z783" t="str">
        <f>V783*0.1</f>
        <v>#REF!</v>
      </c>
      <c r="AA783" t="str">
        <f>U783-X783-Y783</f>
        <v>#REF!</v>
      </c>
      <c r="AB783" t="str">
        <f>V783-Z783</f>
        <v>#REF!</v>
      </c>
      <c r="AC783" t="str">
        <f>AA783*0.01</f>
        <v>#REF!</v>
      </c>
      <c r="AD783" t="str">
        <f>AA783-P783-AC783-Q783</f>
        <v>#REF!</v>
      </c>
      <c r="AE783" t="str">
        <f>AB783-P783-Q783-AC783</f>
        <v>#REF!</v>
      </c>
      <c r="AF783" t="str">
        <f>AD783/U783</f>
        <v>#REF!</v>
      </c>
      <c r="AG783" t="str">
        <f>AE783/V783</f>
        <v>#REF!</v>
      </c>
    </row>
    <row r="784">
      <c r="G784" t="str">
        <v>A</v>
      </c>
      <c r="J784" t="str">
        <f>IF(K784&gt;0,K784*0.0625,IF(L784&gt;0,L784*2.204623,))</f>
        <v>#REF!</v>
      </c>
      <c r="K784" t="str">
        <f>IF(L784&gt;0,L784*35.273962,IF(J784&gt;0,J784*16,))</f>
        <v>#REF!</v>
      </c>
      <c r="L784" t="str">
        <f>IF(J784&gt;0,J784*0.453592,IF(K784&gt;0,K784*0.02835,))</f>
        <v>#REF!</v>
      </c>
      <c r="O784">
        <f>I784+N784+M784</f>
        <v>0</v>
      </c>
      <c r="P784">
        <f>O784*C$3</f>
        <v>0</v>
      </c>
      <c r="Q784" t="str">
        <f>ROUNDUP(HLOOKUP(IF(CEILING(L784,0.5)&lt;1,1,CEILING(L784,0.5)),'배송비 조회'!A$32:AY$36,2,0),-2)</f>
        <v>#REF!</v>
      </c>
      <c r="R784">
        <v>0</v>
      </c>
      <c r="S784" t="str">
        <f>ROUND((P784+Q784)*0.6,-2)</f>
        <v>#REF!</v>
      </c>
      <c r="T784" t="str">
        <f>ROUND((P784+Q784)*0.7,-2)</f>
        <v>#REF!</v>
      </c>
      <c r="U784" t="str">
        <f>ROUND(SUM(P784+Q784+R784+S784), -2)</f>
        <v>#REF!</v>
      </c>
      <c r="V784" t="str">
        <f>ROUND(P784+Q784+R784+T784, -2)</f>
        <v>#REF!</v>
      </c>
      <c r="W784">
        <v>0</v>
      </c>
      <c r="X784" t="str">
        <f>U784*0.038</f>
        <v>#REF!</v>
      </c>
      <c r="Y784" t="str">
        <f>U784*0.02</f>
        <v>#REF!</v>
      </c>
      <c r="Z784" t="str">
        <f>V784*0.1</f>
        <v>#REF!</v>
      </c>
      <c r="AA784" t="str">
        <f>U784-X784-Y784</f>
        <v>#REF!</v>
      </c>
      <c r="AB784" t="str">
        <f>V784-Z784</f>
        <v>#REF!</v>
      </c>
      <c r="AC784" t="str">
        <f>AA784*0.01</f>
        <v>#REF!</v>
      </c>
      <c r="AD784" t="str">
        <f>AA784-P784-AC784-Q784</f>
        <v>#REF!</v>
      </c>
      <c r="AE784" t="str">
        <f>AB784-P784-Q784-AC784</f>
        <v>#REF!</v>
      </c>
      <c r="AF784" t="str">
        <f>AD784/U784</f>
        <v>#REF!</v>
      </c>
      <c r="AG784" t="str">
        <f>AE784/V784</f>
        <v>#REF!</v>
      </c>
    </row>
    <row r="785">
      <c r="G785" t="str">
        <v>A</v>
      </c>
      <c r="J785" t="str">
        <f>IF(K785&gt;0,K785*0.0625,IF(L785&gt;0,L785*2.204623,))</f>
        <v>#REF!</v>
      </c>
      <c r="K785" t="str">
        <f>IF(L785&gt;0,L785*35.273962,IF(J785&gt;0,J785*16,))</f>
        <v>#REF!</v>
      </c>
      <c r="L785" t="str">
        <f>IF(J785&gt;0,J785*0.453592,IF(K785&gt;0,K785*0.02835,))</f>
        <v>#REF!</v>
      </c>
      <c r="O785">
        <f>I785+N785+M785</f>
        <v>0</v>
      </c>
      <c r="P785">
        <f>O785*C$3</f>
        <v>0</v>
      </c>
      <c r="Q785" t="str">
        <f>ROUNDUP(HLOOKUP(IF(CEILING(L785,0.5)&lt;1,1,CEILING(L785,0.5)),'배송비 조회'!A$32:AY$36,2,0),-2)</f>
        <v>#REF!</v>
      </c>
      <c r="R785">
        <v>0</v>
      </c>
      <c r="S785" t="str">
        <f>ROUND((P785+Q785)*0.6,-2)</f>
        <v>#REF!</v>
      </c>
      <c r="T785" t="str">
        <f>ROUND((P785+Q785)*0.7,-2)</f>
        <v>#REF!</v>
      </c>
      <c r="U785" t="str">
        <f>ROUND(SUM(P785+Q785+R785+S785), -2)</f>
        <v>#REF!</v>
      </c>
      <c r="V785" t="str">
        <f>ROUND(P785+Q785+R785+T785, -2)</f>
        <v>#REF!</v>
      </c>
      <c r="W785">
        <v>0</v>
      </c>
      <c r="X785" t="str">
        <f>U785*0.038</f>
        <v>#REF!</v>
      </c>
      <c r="Y785" t="str">
        <f>U785*0.02</f>
        <v>#REF!</v>
      </c>
      <c r="Z785" t="str">
        <f>V785*0.1</f>
        <v>#REF!</v>
      </c>
      <c r="AA785" t="str">
        <f>U785-X785-Y785</f>
        <v>#REF!</v>
      </c>
      <c r="AB785" t="str">
        <f>V785-Z785</f>
        <v>#REF!</v>
      </c>
      <c r="AC785" t="str">
        <f>AA785*0.01</f>
        <v>#REF!</v>
      </c>
      <c r="AD785" t="str">
        <f>AA785-P785-AC785-Q785</f>
        <v>#REF!</v>
      </c>
      <c r="AE785" t="str">
        <f>AB785-P785-Q785-AC785</f>
        <v>#REF!</v>
      </c>
      <c r="AF785" t="str">
        <f>AD785/U785</f>
        <v>#REF!</v>
      </c>
      <c r="AG785" t="str">
        <f>AE785/V785</f>
        <v>#REF!</v>
      </c>
    </row>
    <row r="786">
      <c r="G786" t="str">
        <v>A</v>
      </c>
      <c r="J786" t="str">
        <f>IF(K786&gt;0,K786*0.0625,IF(L786&gt;0,L786*2.204623,))</f>
        <v>#REF!</v>
      </c>
      <c r="K786" t="str">
        <f>IF(L786&gt;0,L786*35.273962,IF(J786&gt;0,J786*16,))</f>
        <v>#REF!</v>
      </c>
      <c r="L786" t="str">
        <f>IF(J786&gt;0,J786*0.453592,IF(K786&gt;0,K786*0.02835,))</f>
        <v>#REF!</v>
      </c>
      <c r="O786">
        <f>I786+N786+M786</f>
        <v>0</v>
      </c>
      <c r="P786">
        <f>O786*C$3</f>
        <v>0</v>
      </c>
      <c r="Q786" t="str">
        <f>ROUNDUP(HLOOKUP(IF(CEILING(L786,0.5)&lt;1,1,CEILING(L786,0.5)),'배송비 조회'!A$32:AY$36,2,0),-2)</f>
        <v>#REF!</v>
      </c>
      <c r="R786">
        <v>0</v>
      </c>
      <c r="S786" t="str">
        <f>ROUND((P786+Q786)*0.6,-2)</f>
        <v>#REF!</v>
      </c>
      <c r="T786" t="str">
        <f>ROUND((P786+Q786)*0.7,-2)</f>
        <v>#REF!</v>
      </c>
      <c r="U786" t="str">
        <f>ROUND(SUM(P786+Q786+R786+S786), -2)</f>
        <v>#REF!</v>
      </c>
      <c r="V786" t="str">
        <f>ROUND(P786+Q786+R786+T786, -2)</f>
        <v>#REF!</v>
      </c>
      <c r="W786">
        <v>0</v>
      </c>
      <c r="X786" t="str">
        <f>U786*0.038</f>
        <v>#REF!</v>
      </c>
      <c r="Y786" t="str">
        <f>U786*0.02</f>
        <v>#REF!</v>
      </c>
      <c r="Z786" t="str">
        <f>V786*0.1</f>
        <v>#REF!</v>
      </c>
      <c r="AA786" t="str">
        <f>U786-X786-Y786</f>
        <v>#REF!</v>
      </c>
      <c r="AB786" t="str">
        <f>V786-Z786</f>
        <v>#REF!</v>
      </c>
      <c r="AC786" t="str">
        <f>AA786*0.01</f>
        <v>#REF!</v>
      </c>
      <c r="AD786" t="str">
        <f>AA786-P786-AC786-Q786</f>
        <v>#REF!</v>
      </c>
      <c r="AE786" t="str">
        <f>AB786-P786-Q786-AC786</f>
        <v>#REF!</v>
      </c>
      <c r="AF786" t="str">
        <f>AD786/U786</f>
        <v>#REF!</v>
      </c>
      <c r="AG786" t="str">
        <f>AE786/V786</f>
        <v>#REF!</v>
      </c>
    </row>
    <row r="787">
      <c r="G787" t="str">
        <v>A</v>
      </c>
      <c r="J787" t="str">
        <f>IF(K787&gt;0,K787*0.0625,IF(L787&gt;0,L787*2.204623,))</f>
        <v>#REF!</v>
      </c>
      <c r="K787" t="str">
        <f>IF(L787&gt;0,L787*35.273962,IF(J787&gt;0,J787*16,))</f>
        <v>#REF!</v>
      </c>
      <c r="L787" t="str">
        <f>IF(J787&gt;0,J787*0.453592,IF(K787&gt;0,K787*0.02835,))</f>
        <v>#REF!</v>
      </c>
      <c r="O787">
        <f>I787+N787+M787</f>
        <v>0</v>
      </c>
      <c r="P787">
        <f>O787*C$3</f>
        <v>0</v>
      </c>
      <c r="Q787" t="str">
        <f>ROUNDUP(HLOOKUP(IF(CEILING(L787,0.5)&lt;1,1,CEILING(L787,0.5)),'배송비 조회'!A$32:AY$36,2,0),-2)</f>
        <v>#REF!</v>
      </c>
      <c r="R787">
        <v>0</v>
      </c>
      <c r="S787" t="str">
        <f>ROUND((P787+Q787)*0.6,-2)</f>
        <v>#REF!</v>
      </c>
      <c r="T787" t="str">
        <f>ROUND((P787+Q787)*0.7,-2)</f>
        <v>#REF!</v>
      </c>
      <c r="U787" t="str">
        <f>ROUND(SUM(P787+Q787+R787+S787), -2)</f>
        <v>#REF!</v>
      </c>
      <c r="V787" t="str">
        <f>ROUND(P787+Q787+R787+T787, -2)</f>
        <v>#REF!</v>
      </c>
      <c r="W787">
        <v>0</v>
      </c>
      <c r="X787" t="str">
        <f>U787*0.038</f>
        <v>#REF!</v>
      </c>
      <c r="Y787" t="str">
        <f>U787*0.02</f>
        <v>#REF!</v>
      </c>
      <c r="Z787" t="str">
        <f>V787*0.1</f>
        <v>#REF!</v>
      </c>
      <c r="AA787" t="str">
        <f>U787-X787-Y787</f>
        <v>#REF!</v>
      </c>
      <c r="AB787" t="str">
        <f>V787-Z787</f>
        <v>#REF!</v>
      </c>
      <c r="AC787" t="str">
        <f>AA787*0.01</f>
        <v>#REF!</v>
      </c>
      <c r="AD787" t="str">
        <f>AA787-P787-AC787-Q787</f>
        <v>#REF!</v>
      </c>
      <c r="AE787" t="str">
        <f>AB787-P787-Q787-AC787</f>
        <v>#REF!</v>
      </c>
      <c r="AF787" t="str">
        <f>AD787/U787</f>
        <v>#REF!</v>
      </c>
      <c r="AG787" t="str">
        <f>AE787/V787</f>
        <v>#REF!</v>
      </c>
    </row>
    <row r="788">
      <c r="G788" t="str">
        <v>A</v>
      </c>
      <c r="J788" t="str">
        <f>IF(K788&gt;0,K788*0.0625,IF(L788&gt;0,L788*2.204623,))</f>
        <v>#REF!</v>
      </c>
      <c r="K788" t="str">
        <f>IF(L788&gt;0,L788*35.273962,IF(J788&gt;0,J788*16,))</f>
        <v>#REF!</v>
      </c>
      <c r="L788" t="str">
        <f>IF(J788&gt;0,J788*0.453592,IF(K788&gt;0,K788*0.02835,))</f>
        <v>#REF!</v>
      </c>
      <c r="O788">
        <f>I788+N788+M788</f>
        <v>0</v>
      </c>
      <c r="P788">
        <f>O788*C$3</f>
        <v>0</v>
      </c>
      <c r="Q788" t="str">
        <f>ROUNDUP(HLOOKUP(IF(CEILING(L788,0.5)&lt;1,1,CEILING(L788,0.5)),'배송비 조회'!A$32:AY$36,2,0),-2)</f>
        <v>#REF!</v>
      </c>
      <c r="R788">
        <v>0</v>
      </c>
      <c r="S788" t="str">
        <f>ROUND((P788+Q788)*0.6,-2)</f>
        <v>#REF!</v>
      </c>
      <c r="T788" t="str">
        <f>ROUND((P788+Q788)*0.7,-2)</f>
        <v>#REF!</v>
      </c>
      <c r="U788" t="str">
        <f>ROUND(SUM(P788+Q788+R788+S788), -2)</f>
        <v>#REF!</v>
      </c>
      <c r="V788" t="str">
        <f>ROUND(P788+Q788+R788+T788, -2)</f>
        <v>#REF!</v>
      </c>
      <c r="W788">
        <v>0</v>
      </c>
      <c r="X788" t="str">
        <f>U788*0.038</f>
        <v>#REF!</v>
      </c>
      <c r="Y788" t="str">
        <f>U788*0.02</f>
        <v>#REF!</v>
      </c>
      <c r="Z788" t="str">
        <f>V788*0.1</f>
        <v>#REF!</v>
      </c>
      <c r="AA788" t="str">
        <f>U788-X788-Y788</f>
        <v>#REF!</v>
      </c>
      <c r="AB788" t="str">
        <f>V788-Z788</f>
        <v>#REF!</v>
      </c>
      <c r="AC788" t="str">
        <f>AA788*0.01</f>
        <v>#REF!</v>
      </c>
      <c r="AD788" t="str">
        <f>AA788-P788-AC788-Q788</f>
        <v>#REF!</v>
      </c>
      <c r="AE788" t="str">
        <f>AB788-P788-Q788-AC788</f>
        <v>#REF!</v>
      </c>
      <c r="AF788" t="str">
        <f>AD788/U788</f>
        <v>#REF!</v>
      </c>
      <c r="AG788" t="str">
        <f>AE788/V788</f>
        <v>#REF!</v>
      </c>
    </row>
    <row r="789">
      <c r="G789" t="str">
        <v>A</v>
      </c>
      <c r="J789" t="str">
        <f>IF(K789&gt;0,K789*0.0625,IF(L789&gt;0,L789*2.204623,))</f>
        <v>#REF!</v>
      </c>
      <c r="K789" t="str">
        <f>IF(L789&gt;0,L789*35.273962,IF(J789&gt;0,J789*16,))</f>
        <v>#REF!</v>
      </c>
      <c r="L789" t="str">
        <f>IF(J789&gt;0,J789*0.453592,IF(K789&gt;0,K789*0.02835,))</f>
        <v>#REF!</v>
      </c>
      <c r="O789">
        <f>I789+N789+M789</f>
        <v>0</v>
      </c>
      <c r="P789">
        <f>O789*C$3</f>
        <v>0</v>
      </c>
      <c r="Q789" t="str">
        <f>ROUNDUP(HLOOKUP(IF(CEILING(L789,0.5)&lt;1,1,CEILING(L789,0.5)),'배송비 조회'!A$32:AY$36,2,0),-2)</f>
        <v>#REF!</v>
      </c>
      <c r="R789">
        <v>0</v>
      </c>
      <c r="S789" t="str">
        <f>ROUND((P789+Q789)*0.6,-2)</f>
        <v>#REF!</v>
      </c>
      <c r="T789" t="str">
        <f>ROUND((P789+Q789)*0.7,-2)</f>
        <v>#REF!</v>
      </c>
      <c r="U789" t="str">
        <f>ROUND(SUM(P789+Q789+R789+S789), -2)</f>
        <v>#REF!</v>
      </c>
      <c r="V789" t="str">
        <f>ROUND(P789+Q789+R789+T789, -2)</f>
        <v>#REF!</v>
      </c>
      <c r="W789">
        <v>0</v>
      </c>
      <c r="X789" t="str">
        <f>U789*0.038</f>
        <v>#REF!</v>
      </c>
      <c r="Y789" t="str">
        <f>U789*0.02</f>
        <v>#REF!</v>
      </c>
      <c r="Z789" t="str">
        <f>V789*0.1</f>
        <v>#REF!</v>
      </c>
      <c r="AA789" t="str">
        <f>U789-X789-Y789</f>
        <v>#REF!</v>
      </c>
      <c r="AB789" t="str">
        <f>V789-Z789</f>
        <v>#REF!</v>
      </c>
      <c r="AC789" t="str">
        <f>AA789*0.01</f>
        <v>#REF!</v>
      </c>
      <c r="AD789" t="str">
        <f>AA789-P789-AC789-Q789</f>
        <v>#REF!</v>
      </c>
      <c r="AE789" t="str">
        <f>AB789-P789-Q789-AC789</f>
        <v>#REF!</v>
      </c>
      <c r="AF789" t="str">
        <f>AD789/U789</f>
        <v>#REF!</v>
      </c>
      <c r="AG789" t="str">
        <f>AE789/V789</f>
        <v>#REF!</v>
      </c>
    </row>
    <row r="790">
      <c r="G790" t="str">
        <v>A</v>
      </c>
      <c r="J790" t="str">
        <f>IF(K790&gt;0,K790*0.0625,IF(L790&gt;0,L790*2.204623,))</f>
        <v>#REF!</v>
      </c>
      <c r="K790" t="str">
        <f>IF(L790&gt;0,L790*35.273962,IF(J790&gt;0,J790*16,))</f>
        <v>#REF!</v>
      </c>
      <c r="L790" t="str">
        <f>IF(J790&gt;0,J790*0.453592,IF(K790&gt;0,K790*0.02835,))</f>
        <v>#REF!</v>
      </c>
      <c r="O790">
        <f>I790+N790+M790</f>
        <v>0</v>
      </c>
      <c r="P790">
        <f>O790*C$3</f>
        <v>0</v>
      </c>
      <c r="Q790" t="str">
        <f>ROUNDUP(HLOOKUP(IF(CEILING(L790,0.5)&lt;1,1,CEILING(L790,0.5)),'배송비 조회'!A$32:AY$36,2,0),-2)</f>
        <v>#REF!</v>
      </c>
      <c r="R790">
        <v>0</v>
      </c>
      <c r="S790" t="str">
        <f>ROUND((P790+Q790)*0.6,-2)</f>
        <v>#REF!</v>
      </c>
      <c r="T790" t="str">
        <f>ROUND((P790+Q790)*0.7,-2)</f>
        <v>#REF!</v>
      </c>
      <c r="U790" t="str">
        <f>ROUND(SUM(P790+Q790+R790+S790), -2)</f>
        <v>#REF!</v>
      </c>
      <c r="V790" t="str">
        <f>ROUND(P790+Q790+R790+T790, -2)</f>
        <v>#REF!</v>
      </c>
      <c r="W790">
        <v>0</v>
      </c>
      <c r="X790" t="str">
        <f>U790*0.038</f>
        <v>#REF!</v>
      </c>
      <c r="Y790" t="str">
        <f>U790*0.02</f>
        <v>#REF!</v>
      </c>
      <c r="Z790" t="str">
        <f>V790*0.1</f>
        <v>#REF!</v>
      </c>
      <c r="AA790" t="str">
        <f>U790-X790-Y790</f>
        <v>#REF!</v>
      </c>
      <c r="AB790" t="str">
        <f>V790-Z790</f>
        <v>#REF!</v>
      </c>
      <c r="AC790" t="str">
        <f>AA790*0.01</f>
        <v>#REF!</v>
      </c>
      <c r="AD790" t="str">
        <f>AA790-P790-AC790-Q790</f>
        <v>#REF!</v>
      </c>
      <c r="AE790" t="str">
        <f>AB790-P790-Q790-AC790</f>
        <v>#REF!</v>
      </c>
      <c r="AF790" t="str">
        <f>AD790/U790</f>
        <v>#REF!</v>
      </c>
      <c r="AG790" t="str">
        <f>AE790/V790</f>
        <v>#REF!</v>
      </c>
    </row>
    <row r="791">
      <c r="G791" t="str">
        <v>A</v>
      </c>
      <c r="J791" t="str">
        <f>IF(K791&gt;0,K791*0.0625,IF(L791&gt;0,L791*2.204623,))</f>
        <v>#REF!</v>
      </c>
      <c r="K791" t="str">
        <f>IF(L791&gt;0,L791*35.273962,IF(J791&gt;0,J791*16,))</f>
        <v>#REF!</v>
      </c>
      <c r="L791" t="str">
        <f>IF(J791&gt;0,J791*0.453592,IF(K791&gt;0,K791*0.02835,))</f>
        <v>#REF!</v>
      </c>
      <c r="O791">
        <f>I791+N791+M791</f>
        <v>0</v>
      </c>
      <c r="P791">
        <f>O791*C$3</f>
        <v>0</v>
      </c>
      <c r="Q791" t="str">
        <f>ROUNDUP(HLOOKUP(IF(CEILING(L791,0.5)&lt;1,1,CEILING(L791,0.5)),'배송비 조회'!A$32:AY$36,2,0),-2)</f>
        <v>#REF!</v>
      </c>
      <c r="R791">
        <v>0</v>
      </c>
      <c r="S791" t="str">
        <f>ROUND((P791+Q791)*0.6,-2)</f>
        <v>#REF!</v>
      </c>
      <c r="T791" t="str">
        <f>ROUND((P791+Q791)*0.7,-2)</f>
        <v>#REF!</v>
      </c>
      <c r="U791" t="str">
        <f>ROUND(SUM(P791+Q791+R791+S791), -2)</f>
        <v>#REF!</v>
      </c>
      <c r="V791" t="str">
        <f>ROUND(P791+Q791+R791+T791, -2)</f>
        <v>#REF!</v>
      </c>
      <c r="W791">
        <v>0</v>
      </c>
      <c r="X791" t="str">
        <f>U791*0.038</f>
        <v>#REF!</v>
      </c>
      <c r="Y791" t="str">
        <f>U791*0.02</f>
        <v>#REF!</v>
      </c>
      <c r="Z791" t="str">
        <f>V791*0.1</f>
        <v>#REF!</v>
      </c>
      <c r="AA791" t="str">
        <f>U791-X791-Y791</f>
        <v>#REF!</v>
      </c>
      <c r="AB791" t="str">
        <f>V791-Z791</f>
        <v>#REF!</v>
      </c>
      <c r="AC791" t="str">
        <f>AA791*0.01</f>
        <v>#REF!</v>
      </c>
      <c r="AD791" t="str">
        <f>AA791-P791-AC791-Q791</f>
        <v>#REF!</v>
      </c>
      <c r="AE791" t="str">
        <f>AB791-P791-Q791-AC791</f>
        <v>#REF!</v>
      </c>
      <c r="AF791" t="str">
        <f>AD791/U791</f>
        <v>#REF!</v>
      </c>
      <c r="AG791" t="str">
        <f>AE791/V791</f>
        <v>#REF!</v>
      </c>
    </row>
    <row r="792">
      <c r="G792" t="str">
        <v>A</v>
      </c>
      <c r="J792" t="str">
        <f>IF(K792&gt;0,K792*0.0625,IF(L792&gt;0,L792*2.204623,))</f>
        <v>#REF!</v>
      </c>
      <c r="K792" t="str">
        <f>IF(L792&gt;0,L792*35.273962,IF(J792&gt;0,J792*16,))</f>
        <v>#REF!</v>
      </c>
      <c r="L792" t="str">
        <f>IF(J792&gt;0,J792*0.453592,IF(K792&gt;0,K792*0.02835,))</f>
        <v>#REF!</v>
      </c>
      <c r="O792">
        <f>I792+N792+M792</f>
        <v>0</v>
      </c>
      <c r="P792">
        <f>O792*C$3</f>
        <v>0</v>
      </c>
      <c r="Q792" t="str">
        <f>ROUNDUP(HLOOKUP(IF(CEILING(L792,0.5)&lt;1,1,CEILING(L792,0.5)),'배송비 조회'!A$32:AY$36,2,0),-2)</f>
        <v>#REF!</v>
      </c>
      <c r="R792">
        <v>0</v>
      </c>
      <c r="S792" t="str">
        <f>ROUND((P792+Q792)*0.6,-2)</f>
        <v>#REF!</v>
      </c>
      <c r="T792" t="str">
        <f>ROUND((P792+Q792)*0.7,-2)</f>
        <v>#REF!</v>
      </c>
      <c r="U792" t="str">
        <f>ROUND(SUM(P792+Q792+R792+S792), -2)</f>
        <v>#REF!</v>
      </c>
      <c r="V792" t="str">
        <f>ROUND(P792+Q792+R792+T792, -2)</f>
        <v>#REF!</v>
      </c>
      <c r="W792">
        <v>0</v>
      </c>
      <c r="X792" t="str">
        <f>U792*0.038</f>
        <v>#REF!</v>
      </c>
      <c r="Y792" t="str">
        <f>U792*0.02</f>
        <v>#REF!</v>
      </c>
      <c r="Z792" t="str">
        <f>V792*0.1</f>
        <v>#REF!</v>
      </c>
      <c r="AA792" t="str">
        <f>U792-X792-Y792</f>
        <v>#REF!</v>
      </c>
      <c r="AB792" t="str">
        <f>V792-Z792</f>
        <v>#REF!</v>
      </c>
      <c r="AC792" t="str">
        <f>AA792*0.01</f>
        <v>#REF!</v>
      </c>
      <c r="AD792" t="str">
        <f>AA792-P792-AC792-Q792</f>
        <v>#REF!</v>
      </c>
      <c r="AE792" t="str">
        <f>AB792-P792-Q792-AC792</f>
        <v>#REF!</v>
      </c>
      <c r="AF792" t="str">
        <f>AD792/U792</f>
        <v>#REF!</v>
      </c>
      <c r="AG792" t="str">
        <f>AE792/V792</f>
        <v>#REF!</v>
      </c>
    </row>
    <row r="793">
      <c r="G793" t="str">
        <v>A</v>
      </c>
      <c r="J793" t="str">
        <f>IF(K793&gt;0,K793*0.0625,IF(L793&gt;0,L793*2.204623,))</f>
        <v>#REF!</v>
      </c>
      <c r="K793" t="str">
        <f>IF(L793&gt;0,L793*35.273962,IF(J793&gt;0,J793*16,))</f>
        <v>#REF!</v>
      </c>
      <c r="L793" t="str">
        <f>IF(J793&gt;0,J793*0.453592,IF(K793&gt;0,K793*0.02835,))</f>
        <v>#REF!</v>
      </c>
      <c r="O793">
        <f>I793+N793+M793</f>
        <v>0</v>
      </c>
      <c r="P793">
        <f>O793*C$3</f>
        <v>0</v>
      </c>
      <c r="Q793" t="str">
        <f>ROUNDUP(HLOOKUP(IF(CEILING(L793,0.5)&lt;1,1,CEILING(L793,0.5)),'배송비 조회'!A$32:AY$36,2,0),-2)</f>
        <v>#REF!</v>
      </c>
      <c r="R793">
        <v>0</v>
      </c>
      <c r="S793" t="str">
        <f>ROUND((P793+Q793)*0.6,-2)</f>
        <v>#REF!</v>
      </c>
      <c r="T793" t="str">
        <f>ROUND((P793+Q793)*0.7,-2)</f>
        <v>#REF!</v>
      </c>
      <c r="U793" t="str">
        <f>ROUND(SUM(P793+Q793+R793+S793), -2)</f>
        <v>#REF!</v>
      </c>
      <c r="V793" t="str">
        <f>ROUND(P793+Q793+R793+T793, -2)</f>
        <v>#REF!</v>
      </c>
      <c r="W793">
        <v>0</v>
      </c>
      <c r="X793" t="str">
        <f>U793*0.038</f>
        <v>#REF!</v>
      </c>
      <c r="Y793" t="str">
        <f>U793*0.02</f>
        <v>#REF!</v>
      </c>
      <c r="Z793" t="str">
        <f>V793*0.1</f>
        <v>#REF!</v>
      </c>
      <c r="AA793" t="str">
        <f>U793-X793-Y793</f>
        <v>#REF!</v>
      </c>
      <c r="AB793" t="str">
        <f>V793-Z793</f>
        <v>#REF!</v>
      </c>
      <c r="AC793" t="str">
        <f>AA793*0.01</f>
        <v>#REF!</v>
      </c>
      <c r="AD793" t="str">
        <f>AA793-P793-AC793-Q793</f>
        <v>#REF!</v>
      </c>
      <c r="AE793" t="str">
        <f>AB793-P793-Q793-AC793</f>
        <v>#REF!</v>
      </c>
      <c r="AF793" t="str">
        <f>AD793/U793</f>
        <v>#REF!</v>
      </c>
      <c r="AG793" t="str">
        <f>AE793/V793</f>
        <v>#REF!</v>
      </c>
    </row>
    <row r="794">
      <c r="G794" t="str">
        <v>A</v>
      </c>
      <c r="J794" t="str">
        <f>IF(K794&gt;0,K794*0.0625,IF(L794&gt;0,L794*2.204623,))</f>
        <v>#REF!</v>
      </c>
      <c r="K794" t="str">
        <f>IF(L794&gt;0,L794*35.273962,IF(J794&gt;0,J794*16,))</f>
        <v>#REF!</v>
      </c>
      <c r="L794" t="str">
        <f>IF(J794&gt;0,J794*0.453592,IF(K794&gt;0,K794*0.02835,))</f>
        <v>#REF!</v>
      </c>
      <c r="O794">
        <f>I794+N794+M794</f>
        <v>0</v>
      </c>
      <c r="P794">
        <f>O794*C$3</f>
        <v>0</v>
      </c>
      <c r="Q794" t="str">
        <f>ROUNDUP(HLOOKUP(IF(CEILING(L794,0.5)&lt;1,1,CEILING(L794,0.5)),'배송비 조회'!A$32:AY$36,2,0),-2)</f>
        <v>#REF!</v>
      </c>
      <c r="R794">
        <v>0</v>
      </c>
      <c r="S794" t="str">
        <f>ROUND((P794+Q794)*0.6,-2)</f>
        <v>#REF!</v>
      </c>
      <c r="T794" t="str">
        <f>ROUND((P794+Q794)*0.7,-2)</f>
        <v>#REF!</v>
      </c>
      <c r="U794" t="str">
        <f>ROUND(SUM(P794+Q794+R794+S794), -2)</f>
        <v>#REF!</v>
      </c>
      <c r="V794" t="str">
        <f>ROUND(P794+Q794+R794+T794, -2)</f>
        <v>#REF!</v>
      </c>
      <c r="W794">
        <v>0</v>
      </c>
      <c r="X794" t="str">
        <f>U794*0.038</f>
        <v>#REF!</v>
      </c>
      <c r="Y794" t="str">
        <f>U794*0.02</f>
        <v>#REF!</v>
      </c>
      <c r="Z794" t="str">
        <f>V794*0.1</f>
        <v>#REF!</v>
      </c>
      <c r="AA794" t="str">
        <f>U794-X794-Y794</f>
        <v>#REF!</v>
      </c>
      <c r="AB794" t="str">
        <f>V794-Z794</f>
        <v>#REF!</v>
      </c>
      <c r="AC794" t="str">
        <f>AA794*0.01</f>
        <v>#REF!</v>
      </c>
      <c r="AD794" t="str">
        <f>AA794-P794-AC794-Q794</f>
        <v>#REF!</v>
      </c>
      <c r="AE794" t="str">
        <f>AB794-P794-Q794-AC794</f>
        <v>#REF!</v>
      </c>
      <c r="AF794" t="str">
        <f>AD794/U794</f>
        <v>#REF!</v>
      </c>
      <c r="AG794" t="str">
        <f>AE794/V794</f>
        <v>#REF!</v>
      </c>
    </row>
    <row r="795">
      <c r="G795" t="str">
        <v>A</v>
      </c>
      <c r="J795" t="str">
        <f>IF(K795&gt;0,K795*0.0625,IF(L795&gt;0,L795*2.204623,))</f>
        <v>#REF!</v>
      </c>
      <c r="K795" t="str">
        <f>IF(L795&gt;0,L795*35.273962,IF(J795&gt;0,J795*16,))</f>
        <v>#REF!</v>
      </c>
      <c r="L795" t="str">
        <f>IF(J795&gt;0,J795*0.453592,IF(K795&gt;0,K795*0.02835,))</f>
        <v>#REF!</v>
      </c>
      <c r="O795">
        <f>I795+N795+M795</f>
        <v>0</v>
      </c>
      <c r="P795">
        <f>O795*C$3</f>
        <v>0</v>
      </c>
      <c r="Q795" t="str">
        <f>ROUNDUP(HLOOKUP(IF(CEILING(L795,0.5)&lt;1,1,CEILING(L795,0.5)),'배송비 조회'!A$32:AY$36,2,0),-2)</f>
        <v>#REF!</v>
      </c>
      <c r="R795">
        <v>0</v>
      </c>
      <c r="S795" t="str">
        <f>ROUND((P795+Q795)*0.6,-2)</f>
        <v>#REF!</v>
      </c>
      <c r="T795" t="str">
        <f>ROUND((P795+Q795)*0.7,-2)</f>
        <v>#REF!</v>
      </c>
      <c r="U795" t="str">
        <f>ROUND(SUM(P795+Q795+R795+S795), -2)</f>
        <v>#REF!</v>
      </c>
      <c r="V795" t="str">
        <f>ROUND(P795+Q795+R795+T795, -2)</f>
        <v>#REF!</v>
      </c>
      <c r="W795">
        <v>0</v>
      </c>
      <c r="X795" t="str">
        <f>U795*0.038</f>
        <v>#REF!</v>
      </c>
      <c r="Y795" t="str">
        <f>U795*0.02</f>
        <v>#REF!</v>
      </c>
      <c r="Z795" t="str">
        <f>V795*0.1</f>
        <v>#REF!</v>
      </c>
      <c r="AA795" t="str">
        <f>U795-X795-Y795</f>
        <v>#REF!</v>
      </c>
      <c r="AB795" t="str">
        <f>V795-Z795</f>
        <v>#REF!</v>
      </c>
      <c r="AC795" t="str">
        <f>AA795*0.01</f>
        <v>#REF!</v>
      </c>
      <c r="AD795" t="str">
        <f>AA795-P795-AC795-Q795</f>
        <v>#REF!</v>
      </c>
      <c r="AE795" t="str">
        <f>AB795-P795-Q795-AC795</f>
        <v>#REF!</v>
      </c>
      <c r="AF795" t="str">
        <f>AD795/U795</f>
        <v>#REF!</v>
      </c>
      <c r="AG795" t="str">
        <f>AE795/V795</f>
        <v>#REF!</v>
      </c>
    </row>
    <row r="796">
      <c r="G796" t="str">
        <v>A</v>
      </c>
      <c r="J796" t="str">
        <f>IF(K796&gt;0,K796*0.0625,IF(L796&gt;0,L796*2.204623,))</f>
        <v>#REF!</v>
      </c>
      <c r="K796" t="str">
        <f>IF(L796&gt;0,L796*35.273962,IF(J796&gt;0,J796*16,))</f>
        <v>#REF!</v>
      </c>
      <c r="L796" t="str">
        <f>IF(J796&gt;0,J796*0.453592,IF(K796&gt;0,K796*0.02835,))</f>
        <v>#REF!</v>
      </c>
      <c r="O796">
        <f>I796+N796+M796</f>
        <v>0</v>
      </c>
      <c r="P796">
        <f>O796*C$3</f>
        <v>0</v>
      </c>
      <c r="Q796" t="str">
        <f>ROUNDUP(HLOOKUP(IF(CEILING(L796,0.5)&lt;1,1,CEILING(L796,0.5)),'배송비 조회'!A$32:AY$36,2,0),-2)</f>
        <v>#REF!</v>
      </c>
      <c r="R796">
        <v>0</v>
      </c>
      <c r="S796" t="str">
        <f>ROUND((P796+Q796)*0.6,-2)</f>
        <v>#REF!</v>
      </c>
      <c r="T796" t="str">
        <f>ROUND((P796+Q796)*0.7,-2)</f>
        <v>#REF!</v>
      </c>
      <c r="U796" t="str">
        <f>ROUND(SUM(P796+Q796+R796+S796), -2)</f>
        <v>#REF!</v>
      </c>
      <c r="V796" t="str">
        <f>ROUND(P796+Q796+R796+T796, -2)</f>
        <v>#REF!</v>
      </c>
      <c r="W796">
        <v>0</v>
      </c>
      <c r="X796" t="str">
        <f>U796*0.038</f>
        <v>#REF!</v>
      </c>
      <c r="Y796" t="str">
        <f>U796*0.02</f>
        <v>#REF!</v>
      </c>
      <c r="Z796" t="str">
        <f>V796*0.1</f>
        <v>#REF!</v>
      </c>
      <c r="AA796" t="str">
        <f>U796-X796-Y796</f>
        <v>#REF!</v>
      </c>
      <c r="AB796" t="str">
        <f>V796-Z796</f>
        <v>#REF!</v>
      </c>
      <c r="AC796" t="str">
        <f>AA796*0.01</f>
        <v>#REF!</v>
      </c>
      <c r="AD796" t="str">
        <f>AA796-P796-AC796-Q796</f>
        <v>#REF!</v>
      </c>
      <c r="AE796" t="str">
        <f>AB796-P796-Q796-AC796</f>
        <v>#REF!</v>
      </c>
      <c r="AF796" t="str">
        <f>AD796/U796</f>
        <v>#REF!</v>
      </c>
      <c r="AG796" t="str">
        <f>AE796/V796</f>
        <v>#REF!</v>
      </c>
    </row>
    <row r="797">
      <c r="G797" t="str">
        <v>A</v>
      </c>
      <c r="J797" t="str">
        <f>IF(K797&gt;0,K797*0.0625,IF(L797&gt;0,L797*2.204623,))</f>
        <v>#REF!</v>
      </c>
      <c r="K797" t="str">
        <f>IF(L797&gt;0,L797*35.273962,IF(J797&gt;0,J797*16,))</f>
        <v>#REF!</v>
      </c>
      <c r="L797" t="str">
        <f>IF(J797&gt;0,J797*0.453592,IF(K797&gt;0,K797*0.02835,))</f>
        <v>#REF!</v>
      </c>
      <c r="O797">
        <f>I797+N797+M797</f>
        <v>0</v>
      </c>
      <c r="P797">
        <f>O797*C$3</f>
        <v>0</v>
      </c>
      <c r="Q797" t="str">
        <f>ROUNDUP(HLOOKUP(IF(CEILING(L797,0.5)&lt;1,1,CEILING(L797,0.5)),'배송비 조회'!A$32:AY$36,2,0),-2)</f>
        <v>#REF!</v>
      </c>
      <c r="R797">
        <v>0</v>
      </c>
      <c r="S797" t="str">
        <f>ROUND((P797+Q797)*0.6,-2)</f>
        <v>#REF!</v>
      </c>
      <c r="T797" t="str">
        <f>ROUND((P797+Q797)*0.7,-2)</f>
        <v>#REF!</v>
      </c>
      <c r="U797" t="str">
        <f>ROUND(SUM(P797+Q797+R797+S797), -2)</f>
        <v>#REF!</v>
      </c>
      <c r="V797" t="str">
        <f>ROUND(P797+Q797+R797+T797, -2)</f>
        <v>#REF!</v>
      </c>
      <c r="W797">
        <v>0</v>
      </c>
      <c r="X797" t="str">
        <f>U797*0.038</f>
        <v>#REF!</v>
      </c>
      <c r="Y797" t="str">
        <f>U797*0.02</f>
        <v>#REF!</v>
      </c>
      <c r="Z797" t="str">
        <f>V797*0.1</f>
        <v>#REF!</v>
      </c>
      <c r="AA797" t="str">
        <f>U797-X797-Y797</f>
        <v>#REF!</v>
      </c>
      <c r="AB797" t="str">
        <f>V797-Z797</f>
        <v>#REF!</v>
      </c>
      <c r="AC797" t="str">
        <f>AA797*0.01</f>
        <v>#REF!</v>
      </c>
      <c r="AD797" t="str">
        <f>AA797-P797-AC797-Q797</f>
        <v>#REF!</v>
      </c>
      <c r="AE797" t="str">
        <f>AB797-P797-Q797-AC797</f>
        <v>#REF!</v>
      </c>
      <c r="AF797" t="str">
        <f>AD797/U797</f>
        <v>#REF!</v>
      </c>
      <c r="AG797" t="str">
        <f>AE797/V797</f>
        <v>#REF!</v>
      </c>
    </row>
    <row r="798">
      <c r="G798" t="str">
        <v>A</v>
      </c>
      <c r="J798" t="str">
        <f>IF(K798&gt;0,K798*0.0625,IF(L798&gt;0,L798*2.204623,))</f>
        <v>#REF!</v>
      </c>
      <c r="K798" t="str">
        <f>IF(L798&gt;0,L798*35.273962,IF(J798&gt;0,J798*16,))</f>
        <v>#REF!</v>
      </c>
      <c r="L798" t="str">
        <f>IF(J798&gt;0,J798*0.453592,IF(K798&gt;0,K798*0.02835,))</f>
        <v>#REF!</v>
      </c>
      <c r="O798">
        <f>I798+N798+M798</f>
        <v>0</v>
      </c>
      <c r="P798">
        <f>O798*C$3</f>
        <v>0</v>
      </c>
      <c r="Q798" t="str">
        <f>ROUNDUP(HLOOKUP(IF(CEILING(L798,0.5)&lt;1,1,CEILING(L798,0.5)),'배송비 조회'!A$32:AY$36,2,0),-2)</f>
        <v>#REF!</v>
      </c>
      <c r="R798">
        <v>0</v>
      </c>
      <c r="S798" t="str">
        <f>ROUND((P798+Q798)*0.6,-2)</f>
        <v>#REF!</v>
      </c>
      <c r="T798" t="str">
        <f>ROUND((P798+Q798)*0.7,-2)</f>
        <v>#REF!</v>
      </c>
      <c r="U798" t="str">
        <f>ROUND(SUM(P798+Q798+R798+S798), -2)</f>
        <v>#REF!</v>
      </c>
      <c r="V798" t="str">
        <f>ROUND(P798+Q798+R798+T798, -2)</f>
        <v>#REF!</v>
      </c>
      <c r="W798">
        <v>0</v>
      </c>
      <c r="X798" t="str">
        <f>U798*0.038</f>
        <v>#REF!</v>
      </c>
      <c r="Y798" t="str">
        <f>U798*0.02</f>
        <v>#REF!</v>
      </c>
      <c r="Z798" t="str">
        <f>V798*0.1</f>
        <v>#REF!</v>
      </c>
      <c r="AA798" t="str">
        <f>U798-X798-Y798</f>
        <v>#REF!</v>
      </c>
      <c r="AB798" t="str">
        <f>V798-Z798</f>
        <v>#REF!</v>
      </c>
      <c r="AC798" t="str">
        <f>AA798*0.01</f>
        <v>#REF!</v>
      </c>
      <c r="AD798" t="str">
        <f>AA798-P798-AC798-Q798</f>
        <v>#REF!</v>
      </c>
      <c r="AE798" t="str">
        <f>AB798-P798-Q798-AC798</f>
        <v>#REF!</v>
      </c>
      <c r="AF798" t="str">
        <f>AD798/U798</f>
        <v>#REF!</v>
      </c>
      <c r="AG798" t="str">
        <f>AE798/V798</f>
        <v>#REF!</v>
      </c>
    </row>
    <row r="799">
      <c r="G799" t="str">
        <v>A</v>
      </c>
      <c r="J799" t="str">
        <f>IF(K799&gt;0,K799*0.0625,IF(L799&gt;0,L799*2.204623,))</f>
        <v>#REF!</v>
      </c>
      <c r="K799" t="str">
        <f>IF(L799&gt;0,L799*35.273962,IF(J799&gt;0,J799*16,))</f>
        <v>#REF!</v>
      </c>
      <c r="L799" t="str">
        <f>IF(J799&gt;0,J799*0.453592,IF(K799&gt;0,K799*0.02835,))</f>
        <v>#REF!</v>
      </c>
      <c r="O799">
        <f>I799+N799+M799</f>
        <v>0</v>
      </c>
      <c r="P799">
        <f>O799*C$3</f>
        <v>0</v>
      </c>
      <c r="Q799" t="str">
        <f>ROUNDUP(HLOOKUP(IF(CEILING(L799,0.5)&lt;1,1,CEILING(L799,0.5)),'배송비 조회'!A$32:AY$36,2,0),-2)</f>
        <v>#REF!</v>
      </c>
      <c r="R799">
        <v>0</v>
      </c>
      <c r="S799" t="str">
        <f>ROUND((P799+Q799)*0.6,-2)</f>
        <v>#REF!</v>
      </c>
      <c r="T799" t="str">
        <f>ROUND((P799+Q799)*0.7,-2)</f>
        <v>#REF!</v>
      </c>
      <c r="U799" t="str">
        <f>ROUND(SUM(P799+Q799+R799+S799), -2)</f>
        <v>#REF!</v>
      </c>
      <c r="V799" t="str">
        <f>ROUND(P799+Q799+R799+T799, -2)</f>
        <v>#REF!</v>
      </c>
      <c r="W799">
        <v>0</v>
      </c>
      <c r="X799" t="str">
        <f>U799*0.038</f>
        <v>#REF!</v>
      </c>
      <c r="Y799" t="str">
        <f>U799*0.02</f>
        <v>#REF!</v>
      </c>
      <c r="Z799" t="str">
        <f>V799*0.1</f>
        <v>#REF!</v>
      </c>
      <c r="AA799" t="str">
        <f>U799-X799-Y799</f>
        <v>#REF!</v>
      </c>
      <c r="AB799" t="str">
        <f>V799-Z799</f>
        <v>#REF!</v>
      </c>
      <c r="AC799" t="str">
        <f>AA799*0.01</f>
        <v>#REF!</v>
      </c>
      <c r="AD799" t="str">
        <f>AA799-P799-AC799-Q799</f>
        <v>#REF!</v>
      </c>
      <c r="AE799" t="str">
        <f>AB799-P799-Q799-AC799</f>
        <v>#REF!</v>
      </c>
      <c r="AF799" t="str">
        <f>AD799/U799</f>
        <v>#REF!</v>
      </c>
      <c r="AG799" t="str">
        <f>AE799/V799</f>
        <v>#REF!</v>
      </c>
    </row>
    <row r="800">
      <c r="G800" t="str">
        <v>A</v>
      </c>
      <c r="J800" t="str">
        <f>IF(K800&gt;0,K800*0.0625,IF(L800&gt;0,L800*2.204623,))</f>
        <v>#REF!</v>
      </c>
      <c r="K800" t="str">
        <f>IF(L800&gt;0,L800*35.273962,IF(J800&gt;0,J800*16,))</f>
        <v>#REF!</v>
      </c>
      <c r="L800" t="str">
        <f>IF(J800&gt;0,J800*0.453592,IF(K800&gt;0,K800*0.02835,))</f>
        <v>#REF!</v>
      </c>
      <c r="O800">
        <f>I800+N800+M800</f>
        <v>0</v>
      </c>
      <c r="P800">
        <f>O800*C$3</f>
        <v>0</v>
      </c>
      <c r="Q800" t="str">
        <f>ROUNDUP(HLOOKUP(IF(CEILING(L800,0.5)&lt;1,1,CEILING(L800,0.5)),'배송비 조회'!A$32:AY$36,2,0),-2)</f>
        <v>#REF!</v>
      </c>
      <c r="R800">
        <v>0</v>
      </c>
      <c r="S800" t="str">
        <f>ROUND((P800+Q800)*0.6,-2)</f>
        <v>#REF!</v>
      </c>
      <c r="T800" t="str">
        <f>ROUND((P800+Q800)*0.7,-2)</f>
        <v>#REF!</v>
      </c>
      <c r="U800" t="str">
        <f>ROUND(SUM(P800+Q800+R800+S800), -2)</f>
        <v>#REF!</v>
      </c>
      <c r="V800" t="str">
        <f>ROUND(P800+Q800+R800+T800, -2)</f>
        <v>#REF!</v>
      </c>
      <c r="W800">
        <v>0</v>
      </c>
      <c r="X800" t="str">
        <f>U800*0.038</f>
        <v>#REF!</v>
      </c>
      <c r="Y800" t="str">
        <f>U800*0.02</f>
        <v>#REF!</v>
      </c>
      <c r="Z800" t="str">
        <f>V800*0.1</f>
        <v>#REF!</v>
      </c>
      <c r="AA800" t="str">
        <f>U800-X800-Y800</f>
        <v>#REF!</v>
      </c>
      <c r="AB800" t="str">
        <f>V800-Z800</f>
        <v>#REF!</v>
      </c>
      <c r="AC800" t="str">
        <f>AA800*0.01</f>
        <v>#REF!</v>
      </c>
      <c r="AD800" t="str">
        <f>AA800-P800-AC800-Q800</f>
        <v>#REF!</v>
      </c>
      <c r="AE800" t="str">
        <f>AB800-P800-Q800-AC800</f>
        <v>#REF!</v>
      </c>
      <c r="AF800" t="str">
        <f>AD800/U800</f>
        <v>#REF!</v>
      </c>
      <c r="AG800" t="str">
        <f>AE800/V800</f>
        <v>#REF!</v>
      </c>
    </row>
    <row r="801">
      <c r="G801" t="str">
        <v>A</v>
      </c>
      <c r="J801" t="str">
        <f>IF(K801&gt;0,K801*0.0625,IF(L801&gt;0,L801*2.204623,))</f>
        <v>#REF!</v>
      </c>
      <c r="K801" t="str">
        <f>IF(L801&gt;0,L801*35.273962,IF(J801&gt;0,J801*16,))</f>
        <v>#REF!</v>
      </c>
      <c r="L801" t="str">
        <f>IF(J801&gt;0,J801*0.453592,IF(K801&gt;0,K801*0.02835,))</f>
        <v>#REF!</v>
      </c>
      <c r="O801">
        <f>I801+N801+M801</f>
        <v>0</v>
      </c>
      <c r="P801">
        <f>O801*C$3</f>
        <v>0</v>
      </c>
      <c r="Q801" t="str">
        <f>ROUNDUP(HLOOKUP(IF(CEILING(L801,0.5)&lt;1,1,CEILING(L801,0.5)),'배송비 조회'!A$32:AY$36,2,0),-2)</f>
        <v>#REF!</v>
      </c>
      <c r="R801">
        <v>0</v>
      </c>
      <c r="S801" t="str">
        <f>ROUND((P801+Q801)*0.6,-2)</f>
        <v>#REF!</v>
      </c>
      <c r="T801" t="str">
        <f>ROUND((P801+Q801)*0.7,-2)</f>
        <v>#REF!</v>
      </c>
      <c r="U801" t="str">
        <f>ROUND(SUM(P801+Q801+R801+S801), -2)</f>
        <v>#REF!</v>
      </c>
      <c r="V801" t="str">
        <f>ROUND(P801+Q801+R801+T801, -2)</f>
        <v>#REF!</v>
      </c>
      <c r="W801">
        <v>0</v>
      </c>
      <c r="X801" t="str">
        <f>U801*0.038</f>
        <v>#REF!</v>
      </c>
      <c r="Y801" t="str">
        <f>U801*0.02</f>
        <v>#REF!</v>
      </c>
      <c r="Z801" t="str">
        <f>V801*0.1</f>
        <v>#REF!</v>
      </c>
      <c r="AA801" t="str">
        <f>U801-X801-Y801</f>
        <v>#REF!</v>
      </c>
      <c r="AB801" t="str">
        <f>V801-Z801</f>
        <v>#REF!</v>
      </c>
      <c r="AC801" t="str">
        <f>AA801*0.01</f>
        <v>#REF!</v>
      </c>
      <c r="AD801" t="str">
        <f>AA801-P801-AC801-Q801</f>
        <v>#REF!</v>
      </c>
      <c r="AE801" t="str">
        <f>AB801-P801-Q801-AC801</f>
        <v>#REF!</v>
      </c>
      <c r="AF801" t="str">
        <f>AD801/U801</f>
        <v>#REF!</v>
      </c>
      <c r="AG801" t="str">
        <f>AE801/V801</f>
        <v>#REF!</v>
      </c>
    </row>
    <row r="802">
      <c r="G802" t="str">
        <v>A</v>
      </c>
      <c r="J802" t="str">
        <f>IF(K802&gt;0,K802*0.0625,IF(L802&gt;0,L802*2.204623,))</f>
        <v>#REF!</v>
      </c>
      <c r="K802" t="str">
        <f>IF(L802&gt;0,L802*35.273962,IF(J802&gt;0,J802*16,))</f>
        <v>#REF!</v>
      </c>
      <c r="L802" t="str">
        <f>IF(J802&gt;0,J802*0.453592,IF(K802&gt;0,K802*0.02835,))</f>
        <v>#REF!</v>
      </c>
      <c r="O802">
        <f>I802+N802+M802</f>
        <v>0</v>
      </c>
      <c r="P802">
        <f>O802*C$3</f>
        <v>0</v>
      </c>
      <c r="Q802" t="str">
        <f>ROUNDUP(HLOOKUP(IF(CEILING(L802,0.5)&lt;1,1,CEILING(L802,0.5)),'배송비 조회'!A$32:AY$36,2,0),-2)</f>
        <v>#REF!</v>
      </c>
      <c r="R802">
        <v>0</v>
      </c>
      <c r="S802" t="str">
        <f>ROUND((P802+Q802)*0.6,-2)</f>
        <v>#REF!</v>
      </c>
      <c r="T802" t="str">
        <f>ROUND((P802+Q802)*0.7,-2)</f>
        <v>#REF!</v>
      </c>
      <c r="U802" t="str">
        <f>ROUND(SUM(P802+Q802+R802+S802), -2)</f>
        <v>#REF!</v>
      </c>
      <c r="V802" t="str">
        <f>ROUND(P802+Q802+R802+T802, -2)</f>
        <v>#REF!</v>
      </c>
      <c r="W802">
        <v>0</v>
      </c>
      <c r="X802" t="str">
        <f>U802*0.038</f>
        <v>#REF!</v>
      </c>
      <c r="Y802" t="str">
        <f>U802*0.02</f>
        <v>#REF!</v>
      </c>
      <c r="Z802" t="str">
        <f>V802*0.1</f>
        <v>#REF!</v>
      </c>
      <c r="AA802" t="str">
        <f>U802-X802-Y802</f>
        <v>#REF!</v>
      </c>
      <c r="AB802" t="str">
        <f>V802-Z802</f>
        <v>#REF!</v>
      </c>
      <c r="AC802" t="str">
        <f>AA802*0.01</f>
        <v>#REF!</v>
      </c>
      <c r="AD802" t="str">
        <f>AA802-P802-AC802-Q802</f>
        <v>#REF!</v>
      </c>
      <c r="AE802" t="str">
        <f>AB802-P802-Q802-AC802</f>
        <v>#REF!</v>
      </c>
      <c r="AF802" t="str">
        <f>AD802/U802</f>
        <v>#REF!</v>
      </c>
      <c r="AG802" t="str">
        <f>AE802/V802</f>
        <v>#REF!</v>
      </c>
    </row>
    <row r="803">
      <c r="G803" t="str">
        <v>A</v>
      </c>
      <c r="J803" t="str">
        <f>IF(K803&gt;0,K803*0.0625,IF(L803&gt;0,L803*2.204623,))</f>
        <v>#REF!</v>
      </c>
      <c r="K803" t="str">
        <f>IF(L803&gt;0,L803*35.273962,IF(J803&gt;0,J803*16,))</f>
        <v>#REF!</v>
      </c>
      <c r="L803" t="str">
        <f>IF(J803&gt;0,J803*0.453592,IF(K803&gt;0,K803*0.02835,))</f>
        <v>#REF!</v>
      </c>
      <c r="O803">
        <f>I803+N803+M803</f>
        <v>0</v>
      </c>
      <c r="P803">
        <f>O803*C$3</f>
        <v>0</v>
      </c>
      <c r="Q803" t="str">
        <f>ROUNDUP(HLOOKUP(IF(CEILING(L803,0.5)&lt;1,1,CEILING(L803,0.5)),'배송비 조회'!A$32:AY$36,2,0),-2)</f>
        <v>#REF!</v>
      </c>
      <c r="R803">
        <v>0</v>
      </c>
      <c r="S803" t="str">
        <f>ROUND((P803+Q803)*0.6,-2)</f>
        <v>#REF!</v>
      </c>
      <c r="T803" t="str">
        <f>ROUND((P803+Q803)*0.7,-2)</f>
        <v>#REF!</v>
      </c>
      <c r="U803" t="str">
        <f>ROUND(SUM(P803+Q803+R803+S803), -2)</f>
        <v>#REF!</v>
      </c>
      <c r="V803" t="str">
        <f>ROUND(P803+Q803+R803+T803, -2)</f>
        <v>#REF!</v>
      </c>
      <c r="W803">
        <v>0</v>
      </c>
      <c r="X803" t="str">
        <f>U803*0.038</f>
        <v>#REF!</v>
      </c>
      <c r="Y803" t="str">
        <f>U803*0.02</f>
        <v>#REF!</v>
      </c>
      <c r="Z803" t="str">
        <f>V803*0.1</f>
        <v>#REF!</v>
      </c>
      <c r="AA803" t="str">
        <f>U803-X803-Y803</f>
        <v>#REF!</v>
      </c>
      <c r="AB803" t="str">
        <f>V803-Z803</f>
        <v>#REF!</v>
      </c>
      <c r="AC803" t="str">
        <f>AA803*0.01</f>
        <v>#REF!</v>
      </c>
      <c r="AD803" t="str">
        <f>AA803-P803-AC803-Q803</f>
        <v>#REF!</v>
      </c>
      <c r="AE803" t="str">
        <f>AB803-P803-Q803-AC803</f>
        <v>#REF!</v>
      </c>
      <c r="AF803" t="str">
        <f>AD803/U803</f>
        <v>#REF!</v>
      </c>
      <c r="AG803" t="str">
        <f>AE803/V803</f>
        <v>#REF!</v>
      </c>
    </row>
    <row r="804">
      <c r="G804" t="str">
        <v>A</v>
      </c>
      <c r="J804" t="str">
        <f>IF(K804&gt;0,K804*0.0625,IF(L804&gt;0,L804*2.204623,))</f>
        <v>#REF!</v>
      </c>
      <c r="K804" t="str">
        <f>IF(L804&gt;0,L804*35.273962,IF(J804&gt;0,J804*16,))</f>
        <v>#REF!</v>
      </c>
      <c r="L804" t="str">
        <f>IF(J804&gt;0,J804*0.453592,IF(K804&gt;0,K804*0.02835,))</f>
        <v>#REF!</v>
      </c>
      <c r="O804">
        <f>I804+N804+M804</f>
        <v>0</v>
      </c>
      <c r="P804">
        <f>O804*C$3</f>
        <v>0</v>
      </c>
      <c r="Q804" t="str">
        <f>ROUNDUP(HLOOKUP(IF(CEILING(L804,0.5)&lt;1,1,CEILING(L804,0.5)),'배송비 조회'!A$32:AY$36,2,0),-2)</f>
        <v>#REF!</v>
      </c>
      <c r="R804">
        <v>0</v>
      </c>
      <c r="S804" t="str">
        <f>ROUND((P804+Q804)*0.6,-2)</f>
        <v>#REF!</v>
      </c>
      <c r="T804" t="str">
        <f>ROUND((P804+Q804)*0.7,-2)</f>
        <v>#REF!</v>
      </c>
      <c r="U804" t="str">
        <f>ROUND(SUM(P804+Q804+R804+S804), -2)</f>
        <v>#REF!</v>
      </c>
      <c r="V804" t="str">
        <f>ROUND(P804+Q804+R804+T804, -2)</f>
        <v>#REF!</v>
      </c>
      <c r="W804">
        <v>0</v>
      </c>
      <c r="X804" t="str">
        <f>U804*0.038</f>
        <v>#REF!</v>
      </c>
      <c r="Y804" t="str">
        <f>U804*0.02</f>
        <v>#REF!</v>
      </c>
      <c r="Z804" t="str">
        <f>V804*0.1</f>
        <v>#REF!</v>
      </c>
      <c r="AA804" t="str">
        <f>U804-X804-Y804</f>
        <v>#REF!</v>
      </c>
      <c r="AB804" t="str">
        <f>V804-Z804</f>
        <v>#REF!</v>
      </c>
      <c r="AC804" t="str">
        <f>AA804*0.01</f>
        <v>#REF!</v>
      </c>
      <c r="AD804" t="str">
        <f>AA804-P804-AC804-Q804</f>
        <v>#REF!</v>
      </c>
      <c r="AE804" t="str">
        <f>AB804-P804-Q804-AC804</f>
        <v>#REF!</v>
      </c>
      <c r="AF804" t="str">
        <f>AD804/U804</f>
        <v>#REF!</v>
      </c>
      <c r="AG804" t="str">
        <f>AE804/V804</f>
        <v>#REF!</v>
      </c>
    </row>
    <row r="805">
      <c r="G805" t="str">
        <v>A</v>
      </c>
      <c r="J805" t="str">
        <f>IF(K805&gt;0,K805*0.0625,IF(L805&gt;0,L805*2.204623,))</f>
        <v>#REF!</v>
      </c>
      <c r="K805" t="str">
        <f>IF(L805&gt;0,L805*35.273962,IF(J805&gt;0,J805*16,))</f>
        <v>#REF!</v>
      </c>
      <c r="L805" t="str">
        <f>IF(J805&gt;0,J805*0.453592,IF(K805&gt;0,K805*0.02835,))</f>
        <v>#REF!</v>
      </c>
      <c r="O805">
        <f>I805+N805+M805</f>
        <v>0</v>
      </c>
      <c r="P805">
        <f>O805*C$3</f>
        <v>0</v>
      </c>
      <c r="Q805" t="str">
        <f>ROUNDUP(HLOOKUP(IF(CEILING(L805,0.5)&lt;1,1,CEILING(L805,0.5)),'배송비 조회'!A$32:AY$36,2,0),-2)</f>
        <v>#REF!</v>
      </c>
      <c r="R805">
        <v>0</v>
      </c>
      <c r="S805" t="str">
        <f>ROUND((P805+Q805)*0.6,-2)</f>
        <v>#REF!</v>
      </c>
      <c r="T805" t="str">
        <f>ROUND((P805+Q805)*0.7,-2)</f>
        <v>#REF!</v>
      </c>
      <c r="U805" t="str">
        <f>ROUND(SUM(P805+Q805+R805+S805), -2)</f>
        <v>#REF!</v>
      </c>
      <c r="V805" t="str">
        <f>ROUND(P805+Q805+R805+T805, -2)</f>
        <v>#REF!</v>
      </c>
      <c r="W805">
        <v>0</v>
      </c>
      <c r="X805" t="str">
        <f>U805*0.038</f>
        <v>#REF!</v>
      </c>
      <c r="Y805" t="str">
        <f>U805*0.02</f>
        <v>#REF!</v>
      </c>
      <c r="Z805" t="str">
        <f>V805*0.1</f>
        <v>#REF!</v>
      </c>
      <c r="AA805" t="str">
        <f>U805-X805-Y805</f>
        <v>#REF!</v>
      </c>
      <c r="AB805" t="str">
        <f>V805-Z805</f>
        <v>#REF!</v>
      </c>
      <c r="AC805" t="str">
        <f>AA805*0.01</f>
        <v>#REF!</v>
      </c>
      <c r="AD805" t="str">
        <f>AA805-P805-AC805-Q805</f>
        <v>#REF!</v>
      </c>
      <c r="AE805" t="str">
        <f>AB805-P805-Q805-AC805</f>
        <v>#REF!</v>
      </c>
      <c r="AF805" t="str">
        <f>AD805/U805</f>
        <v>#REF!</v>
      </c>
      <c r="AG805" t="str">
        <f>AE805/V805</f>
        <v>#REF!</v>
      </c>
    </row>
    <row r="806">
      <c r="G806" t="str">
        <v>A</v>
      </c>
      <c r="J806" t="str">
        <f>IF(K806&gt;0,K806*0.0625,IF(L806&gt;0,L806*2.204623,))</f>
        <v>#REF!</v>
      </c>
      <c r="K806" t="str">
        <f>IF(L806&gt;0,L806*35.273962,IF(J806&gt;0,J806*16,))</f>
        <v>#REF!</v>
      </c>
      <c r="L806" t="str">
        <f>IF(J806&gt;0,J806*0.453592,IF(K806&gt;0,K806*0.02835,))</f>
        <v>#REF!</v>
      </c>
      <c r="O806">
        <f>I806+N806+M806</f>
        <v>0</v>
      </c>
      <c r="P806">
        <f>O806*C$3</f>
        <v>0</v>
      </c>
      <c r="Q806" t="str">
        <f>ROUNDUP(HLOOKUP(IF(CEILING(L806,0.5)&lt;1,1,CEILING(L806,0.5)),'배송비 조회'!A$32:AY$36,2,0),-2)</f>
        <v>#REF!</v>
      </c>
      <c r="R806">
        <v>0</v>
      </c>
      <c r="S806" t="str">
        <f>ROUND((P806+Q806)*0.6,-2)</f>
        <v>#REF!</v>
      </c>
      <c r="T806" t="str">
        <f>ROUND((P806+Q806)*0.7,-2)</f>
        <v>#REF!</v>
      </c>
      <c r="U806" t="str">
        <f>ROUND(SUM(P806+Q806+R806+S806), -2)</f>
        <v>#REF!</v>
      </c>
      <c r="V806" t="str">
        <f>ROUND(P806+Q806+R806+T806, -2)</f>
        <v>#REF!</v>
      </c>
      <c r="W806">
        <v>0</v>
      </c>
      <c r="X806" t="str">
        <f>U806*0.038</f>
        <v>#REF!</v>
      </c>
      <c r="Y806" t="str">
        <f>U806*0.02</f>
        <v>#REF!</v>
      </c>
      <c r="Z806" t="str">
        <f>V806*0.1</f>
        <v>#REF!</v>
      </c>
      <c r="AA806" t="str">
        <f>U806-X806-Y806</f>
        <v>#REF!</v>
      </c>
      <c r="AB806" t="str">
        <f>V806-Z806</f>
        <v>#REF!</v>
      </c>
      <c r="AC806" t="str">
        <f>AA806*0.01</f>
        <v>#REF!</v>
      </c>
      <c r="AD806" t="str">
        <f>AA806-P806-AC806-Q806</f>
        <v>#REF!</v>
      </c>
      <c r="AE806" t="str">
        <f>AB806-P806-Q806-AC806</f>
        <v>#REF!</v>
      </c>
      <c r="AF806" t="str">
        <f>AD806/U806</f>
        <v>#REF!</v>
      </c>
      <c r="AG806" t="str">
        <f>AE806/V806</f>
        <v>#REF!</v>
      </c>
    </row>
    <row r="807">
      <c r="G807" t="str">
        <v>A</v>
      </c>
      <c r="J807" t="str">
        <f>IF(K807&gt;0,K807*0.0625,IF(L807&gt;0,L807*2.204623,))</f>
        <v>#REF!</v>
      </c>
      <c r="K807" t="str">
        <f>IF(L807&gt;0,L807*35.273962,IF(J807&gt;0,J807*16,))</f>
        <v>#REF!</v>
      </c>
      <c r="L807" t="str">
        <f>IF(J807&gt;0,J807*0.453592,IF(K807&gt;0,K807*0.02835,))</f>
        <v>#REF!</v>
      </c>
      <c r="O807">
        <f>I807+N807+M807</f>
        <v>0</v>
      </c>
      <c r="P807">
        <f>O807*C$3</f>
        <v>0</v>
      </c>
      <c r="Q807" t="str">
        <f>ROUNDUP(HLOOKUP(IF(CEILING(L807,0.5)&lt;1,1,CEILING(L807,0.5)),'배송비 조회'!A$32:AY$36,2,0),-2)</f>
        <v>#REF!</v>
      </c>
      <c r="R807">
        <v>0</v>
      </c>
      <c r="S807" t="str">
        <f>ROUND((P807+Q807)*0.6,-2)</f>
        <v>#REF!</v>
      </c>
      <c r="T807" t="str">
        <f>ROUND((P807+Q807)*0.7,-2)</f>
        <v>#REF!</v>
      </c>
      <c r="U807" t="str">
        <f>ROUND(SUM(P807+Q807+R807+S807), -2)</f>
        <v>#REF!</v>
      </c>
      <c r="V807" t="str">
        <f>ROUND(P807+Q807+R807+T807, -2)</f>
        <v>#REF!</v>
      </c>
      <c r="W807">
        <v>0</v>
      </c>
      <c r="X807" t="str">
        <f>U807*0.038</f>
        <v>#REF!</v>
      </c>
      <c r="Y807" t="str">
        <f>U807*0.02</f>
        <v>#REF!</v>
      </c>
      <c r="Z807" t="str">
        <f>V807*0.1</f>
        <v>#REF!</v>
      </c>
      <c r="AA807" t="str">
        <f>U807-X807-Y807</f>
        <v>#REF!</v>
      </c>
      <c r="AB807" t="str">
        <f>V807-Z807</f>
        <v>#REF!</v>
      </c>
      <c r="AC807" t="str">
        <f>AA807*0.01</f>
        <v>#REF!</v>
      </c>
      <c r="AD807" t="str">
        <f>AA807-P807-AC807-Q807</f>
        <v>#REF!</v>
      </c>
      <c r="AE807" t="str">
        <f>AB807-P807-Q807-AC807</f>
        <v>#REF!</v>
      </c>
      <c r="AF807" t="str">
        <f>AD807/U807</f>
        <v>#REF!</v>
      </c>
      <c r="AG807" t="str">
        <f>AE807/V807</f>
        <v>#REF!</v>
      </c>
    </row>
    <row r="808">
      <c r="G808" t="str">
        <v>A</v>
      </c>
      <c r="J808" t="str">
        <f>IF(K808&gt;0,K808*0.0625,IF(L808&gt;0,L808*2.204623,))</f>
        <v>#REF!</v>
      </c>
      <c r="K808" t="str">
        <f>IF(L808&gt;0,L808*35.273962,IF(J808&gt;0,J808*16,))</f>
        <v>#REF!</v>
      </c>
      <c r="L808" t="str">
        <f>IF(J808&gt;0,J808*0.453592,IF(K808&gt;0,K808*0.02835,))</f>
        <v>#REF!</v>
      </c>
      <c r="O808">
        <f>I808+N808+M808</f>
        <v>0</v>
      </c>
      <c r="P808">
        <f>O808*C$3</f>
        <v>0</v>
      </c>
      <c r="Q808" t="str">
        <f>ROUNDUP(HLOOKUP(IF(CEILING(L808,0.5)&lt;1,1,CEILING(L808,0.5)),'배송비 조회'!A$32:AY$36,2,0),-2)</f>
        <v>#REF!</v>
      </c>
      <c r="R808">
        <v>0</v>
      </c>
      <c r="S808" t="str">
        <f>ROUND((P808+Q808)*0.6,-2)</f>
        <v>#REF!</v>
      </c>
      <c r="T808" t="str">
        <f>ROUND((P808+Q808)*0.7,-2)</f>
        <v>#REF!</v>
      </c>
      <c r="U808" t="str">
        <f>ROUND(SUM(P808+Q808+R808+S808), -2)</f>
        <v>#REF!</v>
      </c>
      <c r="V808" t="str">
        <f>ROUND(P808+Q808+R808+T808, -2)</f>
        <v>#REF!</v>
      </c>
      <c r="W808">
        <v>0</v>
      </c>
      <c r="X808" t="str">
        <f>U808*0.038</f>
        <v>#REF!</v>
      </c>
      <c r="Y808" t="str">
        <f>U808*0.02</f>
        <v>#REF!</v>
      </c>
      <c r="Z808" t="str">
        <f>V808*0.1</f>
        <v>#REF!</v>
      </c>
      <c r="AA808" t="str">
        <f>U808-X808-Y808</f>
        <v>#REF!</v>
      </c>
      <c r="AB808" t="str">
        <f>V808-Z808</f>
        <v>#REF!</v>
      </c>
      <c r="AC808" t="str">
        <f>AA808*0.01</f>
        <v>#REF!</v>
      </c>
      <c r="AD808" t="str">
        <f>AA808-P808-AC808-Q808</f>
        <v>#REF!</v>
      </c>
      <c r="AE808" t="str">
        <f>AB808-P808-Q808-AC808</f>
        <v>#REF!</v>
      </c>
      <c r="AF808" t="str">
        <f>AD808/U808</f>
        <v>#REF!</v>
      </c>
      <c r="AG808" t="str">
        <f>AE808/V808</f>
        <v>#REF!</v>
      </c>
    </row>
    <row r="809">
      <c r="G809" t="str">
        <v>A</v>
      </c>
      <c r="J809" t="str">
        <f>IF(K809&gt;0,K809*0.0625,IF(L809&gt;0,L809*2.204623,))</f>
        <v>#REF!</v>
      </c>
      <c r="K809" t="str">
        <f>IF(L809&gt;0,L809*35.273962,IF(J809&gt;0,J809*16,))</f>
        <v>#REF!</v>
      </c>
      <c r="L809" t="str">
        <f>IF(J809&gt;0,J809*0.453592,IF(K809&gt;0,K809*0.02835,))</f>
        <v>#REF!</v>
      </c>
      <c r="O809">
        <f>I809+N809+M809</f>
        <v>0</v>
      </c>
      <c r="P809">
        <f>O809*C$3</f>
        <v>0</v>
      </c>
      <c r="Q809" t="str">
        <f>ROUNDUP(HLOOKUP(IF(CEILING(L809,0.5)&lt;1,1,CEILING(L809,0.5)),'배송비 조회'!A$32:AY$36,2,0),-2)</f>
        <v>#REF!</v>
      </c>
      <c r="R809">
        <v>0</v>
      </c>
      <c r="S809" t="str">
        <f>ROUND((P809+Q809)*0.6,-2)</f>
        <v>#REF!</v>
      </c>
      <c r="T809" t="str">
        <f>ROUND((P809+Q809)*0.7,-2)</f>
        <v>#REF!</v>
      </c>
      <c r="U809" t="str">
        <f>ROUND(SUM(P809+Q809+R809+S809), -2)</f>
        <v>#REF!</v>
      </c>
      <c r="V809" t="str">
        <f>ROUND(P809+Q809+R809+T809, -2)</f>
        <v>#REF!</v>
      </c>
      <c r="W809">
        <v>0</v>
      </c>
      <c r="X809" t="str">
        <f>U809*0.038</f>
        <v>#REF!</v>
      </c>
      <c r="Y809" t="str">
        <f>U809*0.02</f>
        <v>#REF!</v>
      </c>
      <c r="Z809" t="str">
        <f>V809*0.1</f>
        <v>#REF!</v>
      </c>
      <c r="AA809" t="str">
        <f>U809-X809-Y809</f>
        <v>#REF!</v>
      </c>
      <c r="AB809" t="str">
        <f>V809-Z809</f>
        <v>#REF!</v>
      </c>
      <c r="AC809" t="str">
        <f>AA809*0.01</f>
        <v>#REF!</v>
      </c>
      <c r="AD809" t="str">
        <f>AA809-P809-AC809-Q809</f>
        <v>#REF!</v>
      </c>
      <c r="AE809" t="str">
        <f>AB809-P809-Q809-AC809</f>
        <v>#REF!</v>
      </c>
      <c r="AF809" t="str">
        <f>AD809/U809</f>
        <v>#REF!</v>
      </c>
      <c r="AG809" t="str">
        <f>AE809/V809</f>
        <v>#REF!</v>
      </c>
    </row>
    <row r="810">
      <c r="G810" t="str">
        <v>A</v>
      </c>
      <c r="J810" t="str">
        <f>IF(K810&gt;0,K810*0.0625,IF(L810&gt;0,L810*2.204623,))</f>
        <v>#REF!</v>
      </c>
      <c r="K810" t="str">
        <f>IF(L810&gt;0,L810*35.273962,IF(J810&gt;0,J810*16,))</f>
        <v>#REF!</v>
      </c>
      <c r="L810" t="str">
        <f>IF(J810&gt;0,J810*0.453592,IF(K810&gt;0,K810*0.02835,))</f>
        <v>#REF!</v>
      </c>
      <c r="O810">
        <f>I810+N810+M810</f>
        <v>0</v>
      </c>
      <c r="P810">
        <f>O810*C$3</f>
        <v>0</v>
      </c>
      <c r="Q810" t="str">
        <f>ROUNDUP(HLOOKUP(IF(CEILING(L810,0.5)&lt;1,1,CEILING(L810,0.5)),'배송비 조회'!A$32:AY$36,2,0),-2)</f>
        <v>#REF!</v>
      </c>
      <c r="R810">
        <v>0</v>
      </c>
      <c r="S810" t="str">
        <f>ROUND((P810+Q810)*0.6,-2)</f>
        <v>#REF!</v>
      </c>
      <c r="T810" t="str">
        <f>ROUND((P810+Q810)*0.7,-2)</f>
        <v>#REF!</v>
      </c>
      <c r="U810" t="str">
        <f>ROUND(SUM(P810+Q810+R810+S810), -2)</f>
        <v>#REF!</v>
      </c>
      <c r="V810" t="str">
        <f>ROUND(P810+Q810+R810+T810, -2)</f>
        <v>#REF!</v>
      </c>
      <c r="W810">
        <v>0</v>
      </c>
      <c r="X810" t="str">
        <f>U810*0.038</f>
        <v>#REF!</v>
      </c>
      <c r="Y810" t="str">
        <f>U810*0.02</f>
        <v>#REF!</v>
      </c>
      <c r="Z810" t="str">
        <f>V810*0.1</f>
        <v>#REF!</v>
      </c>
      <c r="AA810" t="str">
        <f>U810-X810-Y810</f>
        <v>#REF!</v>
      </c>
      <c r="AB810" t="str">
        <f>V810-Z810</f>
        <v>#REF!</v>
      </c>
      <c r="AC810" t="str">
        <f>AA810*0.01</f>
        <v>#REF!</v>
      </c>
      <c r="AD810" t="str">
        <f>AA810-P810-AC810-Q810</f>
        <v>#REF!</v>
      </c>
      <c r="AE810" t="str">
        <f>AB810-P810-Q810-AC810</f>
        <v>#REF!</v>
      </c>
      <c r="AF810" t="str">
        <f>AD810/U810</f>
        <v>#REF!</v>
      </c>
      <c r="AG810" t="str">
        <f>AE810/V810</f>
        <v>#REF!</v>
      </c>
    </row>
    <row r="811">
      <c r="G811" t="str">
        <v>A</v>
      </c>
      <c r="J811" t="str">
        <f>IF(K811&gt;0,K811*0.0625,IF(L811&gt;0,L811*2.204623,))</f>
        <v>#REF!</v>
      </c>
      <c r="K811" t="str">
        <f>IF(L811&gt;0,L811*35.273962,IF(J811&gt;0,J811*16,))</f>
        <v>#REF!</v>
      </c>
      <c r="L811" t="str">
        <f>IF(J811&gt;0,J811*0.453592,IF(K811&gt;0,K811*0.02835,))</f>
        <v>#REF!</v>
      </c>
      <c r="O811">
        <f>I811+N811+M811</f>
        <v>0</v>
      </c>
      <c r="P811">
        <f>O811*C$3</f>
        <v>0</v>
      </c>
      <c r="Q811" t="str">
        <f>ROUNDUP(HLOOKUP(IF(CEILING(L811,0.5)&lt;1,1,CEILING(L811,0.5)),'배송비 조회'!A$32:AY$36,2,0),-2)</f>
        <v>#REF!</v>
      </c>
      <c r="R811">
        <v>0</v>
      </c>
      <c r="S811" t="str">
        <f>ROUND((P811+Q811)*0.6,-2)</f>
        <v>#REF!</v>
      </c>
      <c r="T811" t="str">
        <f>ROUND((P811+Q811)*0.7,-2)</f>
        <v>#REF!</v>
      </c>
      <c r="U811" t="str">
        <f>ROUND(SUM(P811+Q811+R811+S811), -2)</f>
        <v>#REF!</v>
      </c>
      <c r="V811" t="str">
        <f>ROUND(P811+Q811+R811+T811, -2)</f>
        <v>#REF!</v>
      </c>
      <c r="W811">
        <v>0</v>
      </c>
      <c r="X811" t="str">
        <f>U811*0.038</f>
        <v>#REF!</v>
      </c>
      <c r="Y811" t="str">
        <f>U811*0.02</f>
        <v>#REF!</v>
      </c>
      <c r="Z811" t="str">
        <f>V811*0.1</f>
        <v>#REF!</v>
      </c>
      <c r="AA811" t="str">
        <f>U811-X811-Y811</f>
        <v>#REF!</v>
      </c>
      <c r="AB811" t="str">
        <f>V811-Z811</f>
        <v>#REF!</v>
      </c>
      <c r="AC811" t="str">
        <f>AA811*0.01</f>
        <v>#REF!</v>
      </c>
      <c r="AD811" t="str">
        <f>AA811-P811-AC811-Q811</f>
        <v>#REF!</v>
      </c>
      <c r="AE811" t="str">
        <f>AB811-P811-Q811-AC811</f>
        <v>#REF!</v>
      </c>
      <c r="AF811" t="str">
        <f>AD811/U811</f>
        <v>#REF!</v>
      </c>
      <c r="AG811" t="str">
        <f>AE811/V811</f>
        <v>#REF!</v>
      </c>
    </row>
    <row r="812">
      <c r="G812" t="str">
        <v>A</v>
      </c>
      <c r="J812" t="str">
        <f>IF(K812&gt;0,K812*0.0625,IF(L812&gt;0,L812*2.204623,))</f>
        <v>#REF!</v>
      </c>
      <c r="K812" t="str">
        <f>IF(L812&gt;0,L812*35.273962,IF(J812&gt;0,J812*16,))</f>
        <v>#REF!</v>
      </c>
      <c r="L812" t="str">
        <f>IF(J812&gt;0,J812*0.453592,IF(K812&gt;0,K812*0.02835,))</f>
        <v>#REF!</v>
      </c>
      <c r="O812">
        <f>I812+N812+M812</f>
        <v>0</v>
      </c>
      <c r="P812">
        <f>O812*C$3</f>
        <v>0</v>
      </c>
      <c r="Q812" t="str">
        <f>ROUNDUP(HLOOKUP(IF(CEILING(L812,0.5)&lt;1,1,CEILING(L812,0.5)),'배송비 조회'!A$32:AY$36,2,0),-2)</f>
        <v>#REF!</v>
      </c>
      <c r="R812">
        <v>0</v>
      </c>
      <c r="S812" t="str">
        <f>ROUND((P812+Q812)*0.6,-2)</f>
        <v>#REF!</v>
      </c>
      <c r="T812" t="str">
        <f>ROUND((P812+Q812)*0.7,-2)</f>
        <v>#REF!</v>
      </c>
      <c r="U812" t="str">
        <f>ROUND(SUM(P812+Q812+R812+S812), -2)</f>
        <v>#REF!</v>
      </c>
      <c r="V812" t="str">
        <f>ROUND(P812+Q812+R812+T812, -2)</f>
        <v>#REF!</v>
      </c>
      <c r="W812">
        <v>0</v>
      </c>
      <c r="X812" t="str">
        <f>U812*0.038</f>
        <v>#REF!</v>
      </c>
      <c r="Y812" t="str">
        <f>U812*0.02</f>
        <v>#REF!</v>
      </c>
      <c r="Z812" t="str">
        <f>V812*0.1</f>
        <v>#REF!</v>
      </c>
      <c r="AA812" t="str">
        <f>U812-X812-Y812</f>
        <v>#REF!</v>
      </c>
      <c r="AB812" t="str">
        <f>V812-Z812</f>
        <v>#REF!</v>
      </c>
      <c r="AC812" t="str">
        <f>AA812*0.01</f>
        <v>#REF!</v>
      </c>
      <c r="AD812" t="str">
        <f>AA812-P812-AC812-Q812</f>
        <v>#REF!</v>
      </c>
      <c r="AE812" t="str">
        <f>AB812-P812-Q812-AC812</f>
        <v>#REF!</v>
      </c>
      <c r="AF812" t="str">
        <f>AD812/U812</f>
        <v>#REF!</v>
      </c>
      <c r="AG812" t="str">
        <f>AE812/V812</f>
        <v>#REF!</v>
      </c>
    </row>
    <row r="813">
      <c r="G813" t="str">
        <v>A</v>
      </c>
      <c r="J813" t="str">
        <f>IF(K813&gt;0,K813*0.0625,IF(L813&gt;0,L813*2.204623,))</f>
        <v>#REF!</v>
      </c>
      <c r="K813" t="str">
        <f>IF(L813&gt;0,L813*35.273962,IF(J813&gt;0,J813*16,))</f>
        <v>#REF!</v>
      </c>
      <c r="L813" t="str">
        <f>IF(J813&gt;0,J813*0.453592,IF(K813&gt;0,K813*0.02835,))</f>
        <v>#REF!</v>
      </c>
      <c r="O813">
        <f>I813+N813+M813</f>
        <v>0</v>
      </c>
      <c r="P813">
        <f>O813*C$3</f>
        <v>0</v>
      </c>
      <c r="Q813" t="str">
        <f>ROUNDUP(HLOOKUP(IF(CEILING(L813,0.5)&lt;1,1,CEILING(L813,0.5)),'배송비 조회'!A$32:AY$36,2,0),-2)</f>
        <v>#REF!</v>
      </c>
      <c r="R813">
        <v>0</v>
      </c>
      <c r="S813" t="str">
        <f>ROUND((P813+Q813)*0.6,-2)</f>
        <v>#REF!</v>
      </c>
      <c r="T813" t="str">
        <f>ROUND((P813+Q813)*0.7,-2)</f>
        <v>#REF!</v>
      </c>
      <c r="U813" t="str">
        <f>ROUND(SUM(P813+Q813+R813+S813), -2)</f>
        <v>#REF!</v>
      </c>
      <c r="V813" t="str">
        <f>ROUND(P813+Q813+R813+T813, -2)</f>
        <v>#REF!</v>
      </c>
      <c r="W813">
        <v>0</v>
      </c>
      <c r="X813" t="str">
        <f>U813*0.038</f>
        <v>#REF!</v>
      </c>
      <c r="Y813" t="str">
        <f>U813*0.02</f>
        <v>#REF!</v>
      </c>
      <c r="Z813" t="str">
        <f>V813*0.1</f>
        <v>#REF!</v>
      </c>
      <c r="AA813" t="str">
        <f>U813-X813-Y813</f>
        <v>#REF!</v>
      </c>
      <c r="AB813" t="str">
        <f>V813-Z813</f>
        <v>#REF!</v>
      </c>
      <c r="AC813" t="str">
        <f>AA813*0.01</f>
        <v>#REF!</v>
      </c>
      <c r="AD813" t="str">
        <f>AA813-P813-AC813-Q813</f>
        <v>#REF!</v>
      </c>
      <c r="AE813" t="str">
        <f>AB813-P813-Q813-AC813</f>
        <v>#REF!</v>
      </c>
      <c r="AF813" t="str">
        <f>AD813/U813</f>
        <v>#REF!</v>
      </c>
      <c r="AG813" t="str">
        <f>AE813/V813</f>
        <v>#REF!</v>
      </c>
    </row>
    <row r="814">
      <c r="G814" t="str">
        <v>A</v>
      </c>
      <c r="J814" t="str">
        <f>IF(K814&gt;0,K814*0.0625,IF(L814&gt;0,L814*2.204623,))</f>
        <v>#REF!</v>
      </c>
      <c r="K814" t="str">
        <f>IF(L814&gt;0,L814*35.273962,IF(J814&gt;0,J814*16,))</f>
        <v>#REF!</v>
      </c>
      <c r="L814" t="str">
        <f>IF(J814&gt;0,J814*0.453592,IF(K814&gt;0,K814*0.02835,))</f>
        <v>#REF!</v>
      </c>
      <c r="O814">
        <f>I814+N814+M814</f>
        <v>0</v>
      </c>
      <c r="P814">
        <f>O814*C$3</f>
        <v>0</v>
      </c>
      <c r="Q814" t="str">
        <f>ROUNDUP(HLOOKUP(IF(CEILING(L814,0.5)&lt;1,1,CEILING(L814,0.5)),'배송비 조회'!A$32:AY$36,2,0),-2)</f>
        <v>#REF!</v>
      </c>
      <c r="R814">
        <v>0</v>
      </c>
      <c r="S814" t="str">
        <f>ROUND((P814+Q814)*0.6,-2)</f>
        <v>#REF!</v>
      </c>
      <c r="T814" t="str">
        <f>ROUND((P814+Q814)*0.7,-2)</f>
        <v>#REF!</v>
      </c>
      <c r="U814" t="str">
        <f>ROUND(SUM(P814+Q814+R814+S814), -2)</f>
        <v>#REF!</v>
      </c>
      <c r="V814" t="str">
        <f>ROUND(P814+Q814+R814+T814, -2)</f>
        <v>#REF!</v>
      </c>
      <c r="W814">
        <v>0</v>
      </c>
      <c r="X814" t="str">
        <f>U814*0.038</f>
        <v>#REF!</v>
      </c>
      <c r="Y814" t="str">
        <f>U814*0.02</f>
        <v>#REF!</v>
      </c>
      <c r="Z814" t="str">
        <f>V814*0.1</f>
        <v>#REF!</v>
      </c>
      <c r="AA814" t="str">
        <f>U814-X814-Y814</f>
        <v>#REF!</v>
      </c>
      <c r="AB814" t="str">
        <f>V814-Z814</f>
        <v>#REF!</v>
      </c>
      <c r="AC814" t="str">
        <f>AA814*0.01</f>
        <v>#REF!</v>
      </c>
      <c r="AD814" t="str">
        <f>AA814-P814-AC814-Q814</f>
        <v>#REF!</v>
      </c>
      <c r="AE814" t="str">
        <f>AB814-P814-Q814-AC814</f>
        <v>#REF!</v>
      </c>
      <c r="AF814" t="str">
        <f>AD814/U814</f>
        <v>#REF!</v>
      </c>
      <c r="AG814" t="str">
        <f>AE814/V814</f>
        <v>#REF!</v>
      </c>
    </row>
    <row r="815">
      <c r="G815" t="str">
        <v>A</v>
      </c>
      <c r="J815" t="str">
        <f>IF(K815&gt;0,K815*0.0625,IF(L815&gt;0,L815*2.204623,))</f>
        <v>#REF!</v>
      </c>
      <c r="K815" t="str">
        <f>IF(L815&gt;0,L815*35.273962,IF(J815&gt;0,J815*16,))</f>
        <v>#REF!</v>
      </c>
      <c r="L815" t="str">
        <f>IF(J815&gt;0,J815*0.453592,IF(K815&gt;0,K815*0.02835,))</f>
        <v>#REF!</v>
      </c>
      <c r="O815">
        <f>I815+N815+M815</f>
        <v>0</v>
      </c>
      <c r="P815">
        <f>O815*C$3</f>
        <v>0</v>
      </c>
      <c r="Q815" t="str">
        <f>ROUNDUP(HLOOKUP(IF(CEILING(L815,0.5)&lt;1,1,CEILING(L815,0.5)),'배송비 조회'!A$32:AY$36,2,0),-2)</f>
        <v>#REF!</v>
      </c>
      <c r="R815">
        <v>0</v>
      </c>
      <c r="S815" t="str">
        <f>ROUND((P815+Q815)*0.6,-2)</f>
        <v>#REF!</v>
      </c>
      <c r="T815" t="str">
        <f>ROUND((P815+Q815)*0.7,-2)</f>
        <v>#REF!</v>
      </c>
      <c r="U815" t="str">
        <f>ROUND(SUM(P815+Q815+R815+S815), -2)</f>
        <v>#REF!</v>
      </c>
      <c r="V815" t="str">
        <f>ROUND(P815+Q815+R815+T815, -2)</f>
        <v>#REF!</v>
      </c>
      <c r="W815">
        <v>0</v>
      </c>
      <c r="X815" t="str">
        <f>U815*0.038</f>
        <v>#REF!</v>
      </c>
      <c r="Y815" t="str">
        <f>U815*0.02</f>
        <v>#REF!</v>
      </c>
      <c r="Z815" t="str">
        <f>V815*0.1</f>
        <v>#REF!</v>
      </c>
      <c r="AA815" t="str">
        <f>U815-X815-Y815</f>
        <v>#REF!</v>
      </c>
      <c r="AB815" t="str">
        <f>V815-Z815</f>
        <v>#REF!</v>
      </c>
      <c r="AC815" t="str">
        <f>AA815*0.01</f>
        <v>#REF!</v>
      </c>
      <c r="AD815" t="str">
        <f>AA815-P815-AC815-Q815</f>
        <v>#REF!</v>
      </c>
      <c r="AE815" t="str">
        <f>AB815-P815-Q815-AC815</f>
        <v>#REF!</v>
      </c>
      <c r="AF815" t="str">
        <f>AD815/U815</f>
        <v>#REF!</v>
      </c>
      <c r="AG815" t="str">
        <f>AE815/V815</f>
        <v>#REF!</v>
      </c>
    </row>
    <row r="816">
      <c r="G816" t="str">
        <v>A</v>
      </c>
      <c r="J816" t="str">
        <f>IF(K816&gt;0,K816*0.0625,IF(L816&gt;0,L816*2.204623,))</f>
        <v>#REF!</v>
      </c>
      <c r="K816" t="str">
        <f>IF(L816&gt;0,L816*35.273962,IF(J816&gt;0,J816*16,))</f>
        <v>#REF!</v>
      </c>
      <c r="L816" t="str">
        <f>IF(J816&gt;0,J816*0.453592,IF(K816&gt;0,K816*0.02835,))</f>
        <v>#REF!</v>
      </c>
      <c r="O816">
        <f>I816+N816+M816</f>
        <v>0</v>
      </c>
      <c r="P816">
        <f>O816*C$3</f>
        <v>0</v>
      </c>
      <c r="Q816" t="str">
        <f>ROUNDUP(HLOOKUP(IF(CEILING(L816,0.5)&lt;1,1,CEILING(L816,0.5)),'배송비 조회'!A$32:AY$36,2,0),-2)</f>
        <v>#REF!</v>
      </c>
      <c r="R816">
        <v>0</v>
      </c>
      <c r="S816" t="str">
        <f>ROUND((P816+Q816)*0.6,-2)</f>
        <v>#REF!</v>
      </c>
      <c r="T816" t="str">
        <f>ROUND((P816+Q816)*0.7,-2)</f>
        <v>#REF!</v>
      </c>
      <c r="U816" t="str">
        <f>ROUND(SUM(P816+Q816+R816+S816), -2)</f>
        <v>#REF!</v>
      </c>
      <c r="V816" t="str">
        <f>ROUND(P816+Q816+R816+T816, -2)</f>
        <v>#REF!</v>
      </c>
      <c r="W816">
        <v>0</v>
      </c>
      <c r="X816" t="str">
        <f>U816*0.038</f>
        <v>#REF!</v>
      </c>
      <c r="Y816" t="str">
        <f>U816*0.02</f>
        <v>#REF!</v>
      </c>
      <c r="Z816" t="str">
        <f>V816*0.1</f>
        <v>#REF!</v>
      </c>
      <c r="AA816" t="str">
        <f>U816-X816-Y816</f>
        <v>#REF!</v>
      </c>
      <c r="AB816" t="str">
        <f>V816-Z816</f>
        <v>#REF!</v>
      </c>
      <c r="AC816" t="str">
        <f>AA816*0.01</f>
        <v>#REF!</v>
      </c>
      <c r="AD816" t="str">
        <f>AA816-P816-AC816-Q816</f>
        <v>#REF!</v>
      </c>
      <c r="AE816" t="str">
        <f>AB816-P816-Q816-AC816</f>
        <v>#REF!</v>
      </c>
      <c r="AF816" t="str">
        <f>AD816/U816</f>
        <v>#REF!</v>
      </c>
      <c r="AG816" t="str">
        <f>AE816/V816</f>
        <v>#REF!</v>
      </c>
    </row>
    <row r="817">
      <c r="G817" t="str">
        <v>A</v>
      </c>
      <c r="J817" t="str">
        <f>IF(K817&gt;0,K817*0.0625,IF(L817&gt;0,L817*2.204623,))</f>
        <v>#REF!</v>
      </c>
      <c r="K817" t="str">
        <f>IF(L817&gt;0,L817*35.273962,IF(J817&gt;0,J817*16,))</f>
        <v>#REF!</v>
      </c>
      <c r="L817" t="str">
        <f>IF(J817&gt;0,J817*0.453592,IF(K817&gt;0,K817*0.02835,))</f>
        <v>#REF!</v>
      </c>
      <c r="O817">
        <f>I817+N817+M817</f>
        <v>0</v>
      </c>
      <c r="P817">
        <f>O817*C$3</f>
        <v>0</v>
      </c>
      <c r="Q817" t="str">
        <f>ROUNDUP(HLOOKUP(IF(CEILING(L817,0.5)&lt;1,1,CEILING(L817,0.5)),'배송비 조회'!A$32:AY$36,2,0),-2)</f>
        <v>#REF!</v>
      </c>
      <c r="R817">
        <v>0</v>
      </c>
      <c r="S817" t="str">
        <f>ROUND((P817+Q817)*0.6,-2)</f>
        <v>#REF!</v>
      </c>
      <c r="T817" t="str">
        <f>ROUND((P817+Q817)*0.7,-2)</f>
        <v>#REF!</v>
      </c>
      <c r="U817" t="str">
        <f>ROUND(SUM(P817+Q817+R817+S817), -2)</f>
        <v>#REF!</v>
      </c>
      <c r="V817" t="str">
        <f>ROUND(P817+Q817+R817+T817, -2)</f>
        <v>#REF!</v>
      </c>
      <c r="W817">
        <v>0</v>
      </c>
      <c r="X817" t="str">
        <f>U817*0.038</f>
        <v>#REF!</v>
      </c>
      <c r="Y817" t="str">
        <f>U817*0.02</f>
        <v>#REF!</v>
      </c>
      <c r="Z817" t="str">
        <f>V817*0.1</f>
        <v>#REF!</v>
      </c>
      <c r="AA817" t="str">
        <f>U817-X817-Y817</f>
        <v>#REF!</v>
      </c>
      <c r="AB817" t="str">
        <f>V817-Z817</f>
        <v>#REF!</v>
      </c>
      <c r="AC817" t="str">
        <f>AA817*0.01</f>
        <v>#REF!</v>
      </c>
      <c r="AD817" t="str">
        <f>AA817-P817-AC817-Q817</f>
        <v>#REF!</v>
      </c>
      <c r="AE817" t="str">
        <f>AB817-P817-Q817-AC817</f>
        <v>#REF!</v>
      </c>
      <c r="AF817" t="str">
        <f>AD817/U817</f>
        <v>#REF!</v>
      </c>
      <c r="AG817" t="str">
        <f>AE817/V817</f>
        <v>#REF!</v>
      </c>
    </row>
    <row r="818">
      <c r="G818" t="str">
        <v>A</v>
      </c>
      <c r="J818" t="str">
        <f>IF(K818&gt;0,K818*0.0625,IF(L818&gt;0,L818*2.204623,))</f>
        <v>#REF!</v>
      </c>
      <c r="K818" t="str">
        <f>IF(L818&gt;0,L818*35.273962,IF(J818&gt;0,J818*16,))</f>
        <v>#REF!</v>
      </c>
      <c r="L818" t="str">
        <f>IF(J818&gt;0,J818*0.453592,IF(K818&gt;0,K818*0.02835,))</f>
        <v>#REF!</v>
      </c>
      <c r="O818">
        <f>I818+N818+M818</f>
        <v>0</v>
      </c>
      <c r="P818">
        <f>O818*C$3</f>
        <v>0</v>
      </c>
      <c r="Q818" t="str">
        <f>ROUNDUP(HLOOKUP(IF(CEILING(L818,0.5)&lt;1,1,CEILING(L818,0.5)),'배송비 조회'!A$32:AY$36,2,0),-2)</f>
        <v>#REF!</v>
      </c>
      <c r="R818">
        <v>0</v>
      </c>
      <c r="S818" t="str">
        <f>ROUND((P818+Q818)*0.6,-2)</f>
        <v>#REF!</v>
      </c>
      <c r="T818" t="str">
        <f>ROUND((P818+Q818)*0.7,-2)</f>
        <v>#REF!</v>
      </c>
      <c r="U818" t="str">
        <f>ROUND(SUM(P818+Q818+R818+S818), -2)</f>
        <v>#REF!</v>
      </c>
      <c r="V818" t="str">
        <f>ROUND(P818+Q818+R818+T818, -2)</f>
        <v>#REF!</v>
      </c>
      <c r="W818">
        <v>0</v>
      </c>
      <c r="X818" t="str">
        <f>U818*0.038</f>
        <v>#REF!</v>
      </c>
      <c r="Y818" t="str">
        <f>U818*0.02</f>
        <v>#REF!</v>
      </c>
      <c r="Z818" t="str">
        <f>V818*0.1</f>
        <v>#REF!</v>
      </c>
      <c r="AA818" t="str">
        <f>U818-X818-Y818</f>
        <v>#REF!</v>
      </c>
      <c r="AB818" t="str">
        <f>V818-Z818</f>
        <v>#REF!</v>
      </c>
      <c r="AC818" t="str">
        <f>AA818*0.01</f>
        <v>#REF!</v>
      </c>
      <c r="AD818" t="str">
        <f>AA818-P818-AC818-Q818</f>
        <v>#REF!</v>
      </c>
      <c r="AE818" t="str">
        <f>AB818-P818-Q818-AC818</f>
        <v>#REF!</v>
      </c>
      <c r="AF818" t="str">
        <f>AD818/U818</f>
        <v>#REF!</v>
      </c>
      <c r="AG818" t="str">
        <f>AE818/V818</f>
        <v>#REF!</v>
      </c>
    </row>
    <row r="819">
      <c r="G819" t="str">
        <v>A</v>
      </c>
      <c r="J819" t="str">
        <f>IF(K819&gt;0,K819*0.0625,IF(L819&gt;0,L819*2.204623,))</f>
        <v>#REF!</v>
      </c>
      <c r="K819" t="str">
        <f>IF(L819&gt;0,L819*35.273962,IF(J819&gt;0,J819*16,))</f>
        <v>#REF!</v>
      </c>
      <c r="L819" t="str">
        <f>IF(J819&gt;0,J819*0.453592,IF(K819&gt;0,K819*0.02835,))</f>
        <v>#REF!</v>
      </c>
      <c r="O819">
        <f>I819+N819+M819</f>
        <v>0</v>
      </c>
      <c r="P819">
        <f>O819*C$3</f>
        <v>0</v>
      </c>
      <c r="Q819" t="str">
        <f>ROUNDUP(HLOOKUP(IF(CEILING(L819,0.5)&lt;1,1,CEILING(L819,0.5)),'배송비 조회'!A$32:AY$36,2,0),-2)</f>
        <v>#REF!</v>
      </c>
      <c r="R819">
        <v>0</v>
      </c>
      <c r="S819" t="str">
        <f>ROUND((P819+Q819)*0.6,-2)</f>
        <v>#REF!</v>
      </c>
      <c r="T819" t="str">
        <f>ROUND((P819+Q819)*0.7,-2)</f>
        <v>#REF!</v>
      </c>
      <c r="U819" t="str">
        <f>ROUND(SUM(P819+Q819+R819+S819), -2)</f>
        <v>#REF!</v>
      </c>
      <c r="V819" t="str">
        <f>ROUND(P819+Q819+R819+T819, -2)</f>
        <v>#REF!</v>
      </c>
      <c r="W819">
        <v>0</v>
      </c>
      <c r="X819" t="str">
        <f>U819*0.038</f>
        <v>#REF!</v>
      </c>
      <c r="Y819" t="str">
        <f>U819*0.02</f>
        <v>#REF!</v>
      </c>
      <c r="Z819" t="str">
        <f>V819*0.1</f>
        <v>#REF!</v>
      </c>
      <c r="AA819" t="str">
        <f>U819-X819-Y819</f>
        <v>#REF!</v>
      </c>
      <c r="AB819" t="str">
        <f>V819-Z819</f>
        <v>#REF!</v>
      </c>
      <c r="AC819" t="str">
        <f>AA819*0.01</f>
        <v>#REF!</v>
      </c>
      <c r="AD819" t="str">
        <f>AA819-P819-AC819-Q819</f>
        <v>#REF!</v>
      </c>
      <c r="AE819" t="str">
        <f>AB819-P819-Q819-AC819</f>
        <v>#REF!</v>
      </c>
      <c r="AF819" t="str">
        <f>AD819/U819</f>
        <v>#REF!</v>
      </c>
      <c r="AG819" t="str">
        <f>AE819/V819</f>
        <v>#REF!</v>
      </c>
    </row>
    <row r="820">
      <c r="G820" t="str">
        <v>A</v>
      </c>
      <c r="J820" t="str">
        <f>IF(K820&gt;0,K820*0.0625,IF(L820&gt;0,L820*2.204623,))</f>
        <v>#REF!</v>
      </c>
      <c r="K820" t="str">
        <f>IF(L820&gt;0,L820*35.273962,IF(J820&gt;0,J820*16,))</f>
        <v>#REF!</v>
      </c>
      <c r="L820" t="str">
        <f>IF(J820&gt;0,J820*0.453592,IF(K820&gt;0,K820*0.02835,))</f>
        <v>#REF!</v>
      </c>
      <c r="O820">
        <f>I820+N820+M820</f>
        <v>0</v>
      </c>
      <c r="P820">
        <f>O820*C$3</f>
        <v>0</v>
      </c>
      <c r="Q820" t="str">
        <f>ROUNDUP(HLOOKUP(IF(CEILING(L820,0.5)&lt;1,1,CEILING(L820,0.5)),'배송비 조회'!A$32:AY$36,2,0),-2)</f>
        <v>#REF!</v>
      </c>
      <c r="R820">
        <v>0</v>
      </c>
      <c r="S820" t="str">
        <f>ROUND((P820+Q820)*0.6,-2)</f>
        <v>#REF!</v>
      </c>
      <c r="T820" t="str">
        <f>ROUND((P820+Q820)*0.7,-2)</f>
        <v>#REF!</v>
      </c>
      <c r="U820" t="str">
        <f>ROUND(SUM(P820+Q820+R820+S820), -2)</f>
        <v>#REF!</v>
      </c>
      <c r="V820" t="str">
        <f>ROUND(P820+Q820+R820+T820, -2)</f>
        <v>#REF!</v>
      </c>
      <c r="W820">
        <v>0</v>
      </c>
      <c r="X820" t="str">
        <f>U820*0.038</f>
        <v>#REF!</v>
      </c>
      <c r="Y820" t="str">
        <f>U820*0.02</f>
        <v>#REF!</v>
      </c>
      <c r="Z820" t="str">
        <f>V820*0.1</f>
        <v>#REF!</v>
      </c>
      <c r="AA820" t="str">
        <f>U820-X820-Y820</f>
        <v>#REF!</v>
      </c>
      <c r="AB820" t="str">
        <f>V820-Z820</f>
        <v>#REF!</v>
      </c>
      <c r="AC820" t="str">
        <f>AA820*0.01</f>
        <v>#REF!</v>
      </c>
      <c r="AD820" t="str">
        <f>AA820-P820-AC820-Q820</f>
        <v>#REF!</v>
      </c>
      <c r="AE820" t="str">
        <f>AB820-P820-Q820-AC820</f>
        <v>#REF!</v>
      </c>
      <c r="AF820" t="str">
        <f>AD820/U820</f>
        <v>#REF!</v>
      </c>
      <c r="AG820" t="str">
        <f>AE820/V820</f>
        <v>#REF!</v>
      </c>
    </row>
    <row r="821">
      <c r="G821" t="str">
        <v>A</v>
      </c>
      <c r="J821" t="str">
        <f>IF(K821&gt;0,K821*0.0625,IF(L821&gt;0,L821*2.204623,))</f>
        <v>#REF!</v>
      </c>
      <c r="K821" t="str">
        <f>IF(L821&gt;0,L821*35.273962,IF(J821&gt;0,J821*16,))</f>
        <v>#REF!</v>
      </c>
      <c r="L821" t="str">
        <f>IF(J821&gt;0,J821*0.453592,IF(K821&gt;0,K821*0.02835,))</f>
        <v>#REF!</v>
      </c>
      <c r="O821">
        <f>I821+N821+M821</f>
        <v>0</v>
      </c>
      <c r="P821">
        <f>O821*C$3</f>
        <v>0</v>
      </c>
      <c r="Q821" t="str">
        <f>ROUNDUP(HLOOKUP(IF(CEILING(L821,0.5)&lt;1,1,CEILING(L821,0.5)),'배송비 조회'!A$32:AY$36,2,0),-2)</f>
        <v>#REF!</v>
      </c>
      <c r="R821">
        <v>0</v>
      </c>
      <c r="S821" t="str">
        <f>ROUND((P821+Q821)*0.6,-2)</f>
        <v>#REF!</v>
      </c>
      <c r="T821" t="str">
        <f>ROUND((P821+Q821)*0.7,-2)</f>
        <v>#REF!</v>
      </c>
      <c r="U821" t="str">
        <f>ROUND(SUM(P821+Q821+R821+S821), -2)</f>
        <v>#REF!</v>
      </c>
      <c r="V821" t="str">
        <f>ROUND(P821+Q821+R821+T821, -2)</f>
        <v>#REF!</v>
      </c>
      <c r="W821">
        <v>0</v>
      </c>
      <c r="X821" t="str">
        <f>U821*0.038</f>
        <v>#REF!</v>
      </c>
      <c r="Y821" t="str">
        <f>U821*0.02</f>
        <v>#REF!</v>
      </c>
      <c r="Z821" t="str">
        <f>V821*0.1</f>
        <v>#REF!</v>
      </c>
      <c r="AA821" t="str">
        <f>U821-X821-Y821</f>
        <v>#REF!</v>
      </c>
      <c r="AB821" t="str">
        <f>V821-Z821</f>
        <v>#REF!</v>
      </c>
      <c r="AC821" t="str">
        <f>AA821*0.01</f>
        <v>#REF!</v>
      </c>
      <c r="AD821" t="str">
        <f>AA821-P821-AC821-Q821</f>
        <v>#REF!</v>
      </c>
      <c r="AE821" t="str">
        <f>AB821-P821-Q821-AC821</f>
        <v>#REF!</v>
      </c>
      <c r="AF821" t="str">
        <f>AD821/U821</f>
        <v>#REF!</v>
      </c>
      <c r="AG821" t="str">
        <f>AE821/V821</f>
        <v>#REF!</v>
      </c>
    </row>
    <row r="822">
      <c r="G822" t="str">
        <v>A</v>
      </c>
      <c r="J822" t="str">
        <f>IF(K822&gt;0,K822*0.0625,IF(L822&gt;0,L822*2.204623,))</f>
        <v>#REF!</v>
      </c>
      <c r="K822" t="str">
        <f>IF(L822&gt;0,L822*35.273962,IF(J822&gt;0,J822*16,))</f>
        <v>#REF!</v>
      </c>
      <c r="L822" t="str">
        <f>IF(J822&gt;0,J822*0.453592,IF(K822&gt;0,K822*0.02835,))</f>
        <v>#REF!</v>
      </c>
      <c r="O822">
        <f>I822+N822+M822</f>
        <v>0</v>
      </c>
      <c r="P822">
        <f>O822*C$3</f>
        <v>0</v>
      </c>
      <c r="Q822" t="str">
        <f>ROUNDUP(HLOOKUP(IF(CEILING(L822,0.5)&lt;1,1,CEILING(L822,0.5)),'배송비 조회'!A$32:AY$36,2,0),-2)</f>
        <v>#REF!</v>
      </c>
      <c r="R822">
        <v>0</v>
      </c>
      <c r="S822" t="str">
        <f>ROUND((P822+Q822)*0.6,-2)</f>
        <v>#REF!</v>
      </c>
      <c r="T822" t="str">
        <f>ROUND((P822+Q822)*0.7,-2)</f>
        <v>#REF!</v>
      </c>
      <c r="U822" t="str">
        <f>ROUND(SUM(P822+Q822+R822+S822), -2)</f>
        <v>#REF!</v>
      </c>
      <c r="V822" t="str">
        <f>ROUND(P822+Q822+R822+T822, -2)</f>
        <v>#REF!</v>
      </c>
      <c r="W822">
        <v>0</v>
      </c>
      <c r="X822" t="str">
        <f>U822*0.038</f>
        <v>#REF!</v>
      </c>
      <c r="Y822" t="str">
        <f>U822*0.02</f>
        <v>#REF!</v>
      </c>
      <c r="Z822" t="str">
        <f>V822*0.1</f>
        <v>#REF!</v>
      </c>
      <c r="AA822" t="str">
        <f>U822-X822-Y822</f>
        <v>#REF!</v>
      </c>
      <c r="AB822" t="str">
        <f>V822-Z822</f>
        <v>#REF!</v>
      </c>
      <c r="AC822" t="str">
        <f>AA822*0.01</f>
        <v>#REF!</v>
      </c>
      <c r="AD822" t="str">
        <f>AA822-P822-AC822-Q822</f>
        <v>#REF!</v>
      </c>
      <c r="AE822" t="str">
        <f>AB822-P822-Q822-AC822</f>
        <v>#REF!</v>
      </c>
      <c r="AF822" t="str">
        <f>AD822/U822</f>
        <v>#REF!</v>
      </c>
      <c r="AG822" t="str">
        <f>AE822/V822</f>
        <v>#REF!</v>
      </c>
    </row>
    <row r="823">
      <c r="G823" t="str">
        <v>A</v>
      </c>
      <c r="J823" t="str">
        <f>IF(K823&gt;0,K823*0.0625,IF(L823&gt;0,L823*2.204623,))</f>
        <v>#REF!</v>
      </c>
      <c r="K823" t="str">
        <f>IF(L823&gt;0,L823*35.273962,IF(J823&gt;0,J823*16,))</f>
        <v>#REF!</v>
      </c>
      <c r="L823" t="str">
        <f>IF(J823&gt;0,J823*0.453592,IF(K823&gt;0,K823*0.02835,))</f>
        <v>#REF!</v>
      </c>
      <c r="O823">
        <f>I823+N823+M823</f>
        <v>0</v>
      </c>
      <c r="P823">
        <f>O823*C$3</f>
        <v>0</v>
      </c>
      <c r="Q823" t="str">
        <f>ROUNDUP(HLOOKUP(IF(CEILING(L823,0.5)&lt;1,1,CEILING(L823,0.5)),'배송비 조회'!A$32:AY$36,2,0),-2)</f>
        <v>#REF!</v>
      </c>
      <c r="R823">
        <v>0</v>
      </c>
      <c r="S823" t="str">
        <f>ROUND((P823+Q823)*0.6,-2)</f>
        <v>#REF!</v>
      </c>
      <c r="T823" t="str">
        <f>ROUND((P823+Q823)*0.7,-2)</f>
        <v>#REF!</v>
      </c>
      <c r="U823" t="str">
        <f>ROUND(SUM(P823+Q823+R823+S823), -2)</f>
        <v>#REF!</v>
      </c>
      <c r="V823" t="str">
        <f>ROUND(P823+Q823+R823+T823, -2)</f>
        <v>#REF!</v>
      </c>
      <c r="W823">
        <v>0</v>
      </c>
      <c r="X823" t="str">
        <f>U823*0.038</f>
        <v>#REF!</v>
      </c>
      <c r="Y823" t="str">
        <f>U823*0.02</f>
        <v>#REF!</v>
      </c>
      <c r="Z823" t="str">
        <f>V823*0.1</f>
        <v>#REF!</v>
      </c>
      <c r="AA823" t="str">
        <f>U823-X823-Y823</f>
        <v>#REF!</v>
      </c>
      <c r="AB823" t="str">
        <f>V823-Z823</f>
        <v>#REF!</v>
      </c>
      <c r="AC823" t="str">
        <f>AA823*0.01</f>
        <v>#REF!</v>
      </c>
      <c r="AD823" t="str">
        <f>AA823-P823-AC823-Q823</f>
        <v>#REF!</v>
      </c>
      <c r="AE823" t="str">
        <f>AB823-P823-Q823-AC823</f>
        <v>#REF!</v>
      </c>
      <c r="AF823" t="str">
        <f>AD823/U823</f>
        <v>#REF!</v>
      </c>
      <c r="AG823" t="str">
        <f>AE823/V823</f>
        <v>#REF!</v>
      </c>
    </row>
    <row r="824">
      <c r="G824" t="str">
        <v>A</v>
      </c>
      <c r="J824" t="str">
        <f>IF(K824&gt;0,K824*0.0625,IF(L824&gt;0,L824*2.204623,))</f>
        <v>#REF!</v>
      </c>
      <c r="K824" t="str">
        <f>IF(L824&gt;0,L824*35.273962,IF(J824&gt;0,J824*16,))</f>
        <v>#REF!</v>
      </c>
      <c r="L824" t="str">
        <f>IF(J824&gt;0,J824*0.453592,IF(K824&gt;0,K824*0.02835,))</f>
        <v>#REF!</v>
      </c>
      <c r="O824">
        <f>I824+N824+M824</f>
        <v>0</v>
      </c>
      <c r="P824">
        <f>O824*C$3</f>
        <v>0</v>
      </c>
      <c r="Q824" t="str">
        <f>ROUNDUP(HLOOKUP(IF(CEILING(L824,0.5)&lt;1,1,CEILING(L824,0.5)),'배송비 조회'!A$32:AY$36,2,0),-2)</f>
        <v>#REF!</v>
      </c>
      <c r="R824">
        <v>0</v>
      </c>
      <c r="S824" t="str">
        <f>ROUND((P824+Q824)*0.6,-2)</f>
        <v>#REF!</v>
      </c>
      <c r="T824" t="str">
        <f>ROUND((P824+Q824)*0.7,-2)</f>
        <v>#REF!</v>
      </c>
      <c r="U824" t="str">
        <f>ROUND(SUM(P824+Q824+R824+S824), -2)</f>
        <v>#REF!</v>
      </c>
      <c r="V824" t="str">
        <f>ROUND(P824+Q824+R824+T824, -2)</f>
        <v>#REF!</v>
      </c>
      <c r="W824">
        <v>0</v>
      </c>
      <c r="X824" t="str">
        <f>U824*0.038</f>
        <v>#REF!</v>
      </c>
      <c r="Y824" t="str">
        <f>U824*0.02</f>
        <v>#REF!</v>
      </c>
      <c r="Z824" t="str">
        <f>V824*0.1</f>
        <v>#REF!</v>
      </c>
      <c r="AA824" t="str">
        <f>U824-X824-Y824</f>
        <v>#REF!</v>
      </c>
      <c r="AB824" t="str">
        <f>V824-Z824</f>
        <v>#REF!</v>
      </c>
      <c r="AC824" t="str">
        <f>AA824*0.01</f>
        <v>#REF!</v>
      </c>
      <c r="AD824" t="str">
        <f>AA824-P824-AC824-Q824</f>
        <v>#REF!</v>
      </c>
      <c r="AE824" t="str">
        <f>AB824-P824-Q824-AC824</f>
        <v>#REF!</v>
      </c>
      <c r="AF824" t="str">
        <f>AD824/U824</f>
        <v>#REF!</v>
      </c>
      <c r="AG824" t="str">
        <f>AE824/V824</f>
        <v>#REF!</v>
      </c>
    </row>
    <row r="825">
      <c r="G825" t="str">
        <v>A</v>
      </c>
      <c r="J825" t="str">
        <f>IF(K825&gt;0,K825*0.0625,IF(L825&gt;0,L825*2.204623,))</f>
        <v>#REF!</v>
      </c>
      <c r="K825" t="str">
        <f>IF(L825&gt;0,L825*35.273962,IF(J825&gt;0,J825*16,))</f>
        <v>#REF!</v>
      </c>
      <c r="L825" t="str">
        <f>IF(J825&gt;0,J825*0.453592,IF(K825&gt;0,K825*0.02835,))</f>
        <v>#REF!</v>
      </c>
      <c r="O825">
        <f>I825+N825+M825</f>
        <v>0</v>
      </c>
      <c r="P825">
        <f>O825*C$3</f>
        <v>0</v>
      </c>
      <c r="Q825" t="str">
        <f>ROUNDUP(HLOOKUP(IF(CEILING(L825,0.5)&lt;1,1,CEILING(L825,0.5)),'배송비 조회'!A$32:AY$36,2,0),-2)</f>
        <v>#REF!</v>
      </c>
      <c r="R825">
        <v>0</v>
      </c>
      <c r="S825" t="str">
        <f>ROUND((P825+Q825)*0.6,-2)</f>
        <v>#REF!</v>
      </c>
      <c r="T825" t="str">
        <f>ROUND((P825+Q825)*0.7,-2)</f>
        <v>#REF!</v>
      </c>
      <c r="U825" t="str">
        <f>ROUND(SUM(P825+Q825+R825+S825), -2)</f>
        <v>#REF!</v>
      </c>
      <c r="V825" t="str">
        <f>ROUND(P825+Q825+R825+T825, -2)</f>
        <v>#REF!</v>
      </c>
      <c r="W825">
        <v>0</v>
      </c>
      <c r="X825" t="str">
        <f>U825*0.038</f>
        <v>#REF!</v>
      </c>
      <c r="Y825" t="str">
        <f>U825*0.02</f>
        <v>#REF!</v>
      </c>
      <c r="Z825" t="str">
        <f>V825*0.1</f>
        <v>#REF!</v>
      </c>
      <c r="AA825" t="str">
        <f>U825-X825-Y825</f>
        <v>#REF!</v>
      </c>
      <c r="AB825" t="str">
        <f>V825-Z825</f>
        <v>#REF!</v>
      </c>
      <c r="AC825" t="str">
        <f>AA825*0.01</f>
        <v>#REF!</v>
      </c>
      <c r="AD825" t="str">
        <f>AA825-P825-AC825-Q825</f>
        <v>#REF!</v>
      </c>
      <c r="AE825" t="str">
        <f>AB825-P825-Q825-AC825</f>
        <v>#REF!</v>
      </c>
      <c r="AF825" t="str">
        <f>AD825/U825</f>
        <v>#REF!</v>
      </c>
      <c r="AG825" t="str">
        <f>AE825/V825</f>
        <v>#REF!</v>
      </c>
    </row>
    <row r="826">
      <c r="G826" t="str">
        <v>A</v>
      </c>
      <c r="J826" t="str">
        <f>IF(K826&gt;0,K826*0.0625,IF(L826&gt;0,L826*2.204623,))</f>
        <v>#REF!</v>
      </c>
      <c r="K826" t="str">
        <f>IF(L826&gt;0,L826*35.273962,IF(J826&gt;0,J826*16,))</f>
        <v>#REF!</v>
      </c>
      <c r="L826" t="str">
        <f>IF(J826&gt;0,J826*0.453592,IF(K826&gt;0,K826*0.02835,))</f>
        <v>#REF!</v>
      </c>
      <c r="O826">
        <f>I826+N826+M826</f>
        <v>0</v>
      </c>
      <c r="P826">
        <f>O826*C$3</f>
        <v>0</v>
      </c>
      <c r="Q826" t="str">
        <f>ROUNDUP(HLOOKUP(IF(CEILING(L826,0.5)&lt;1,1,CEILING(L826,0.5)),'배송비 조회'!A$32:AY$36,2,0),-2)</f>
        <v>#REF!</v>
      </c>
      <c r="R826">
        <v>0</v>
      </c>
      <c r="S826" t="str">
        <f>ROUND((P826+Q826)*0.6,-2)</f>
        <v>#REF!</v>
      </c>
      <c r="T826" t="str">
        <f>ROUND((P826+Q826)*0.7,-2)</f>
        <v>#REF!</v>
      </c>
      <c r="U826" t="str">
        <f>ROUND(SUM(P826+Q826+R826+S826), -2)</f>
        <v>#REF!</v>
      </c>
      <c r="V826" t="str">
        <f>ROUND(P826+Q826+R826+T826, -2)</f>
        <v>#REF!</v>
      </c>
      <c r="W826">
        <v>0</v>
      </c>
      <c r="X826" t="str">
        <f>U826*0.038</f>
        <v>#REF!</v>
      </c>
      <c r="Y826" t="str">
        <f>U826*0.02</f>
        <v>#REF!</v>
      </c>
      <c r="Z826" t="str">
        <f>V826*0.1</f>
        <v>#REF!</v>
      </c>
      <c r="AA826" t="str">
        <f>U826-X826-Y826</f>
        <v>#REF!</v>
      </c>
      <c r="AB826" t="str">
        <f>V826-Z826</f>
        <v>#REF!</v>
      </c>
      <c r="AC826" t="str">
        <f>AA826*0.01</f>
        <v>#REF!</v>
      </c>
      <c r="AD826" t="str">
        <f>AA826-P826-AC826-Q826</f>
        <v>#REF!</v>
      </c>
      <c r="AE826" t="str">
        <f>AB826-P826-Q826-AC826</f>
        <v>#REF!</v>
      </c>
      <c r="AF826" t="str">
        <f>AD826/U826</f>
        <v>#REF!</v>
      </c>
      <c r="AG826" t="str">
        <f>AE826/V826</f>
        <v>#REF!</v>
      </c>
    </row>
    <row r="827">
      <c r="G827" t="str">
        <v>A</v>
      </c>
      <c r="J827" t="str">
        <f>IF(K827&gt;0,K827*0.0625,IF(L827&gt;0,L827*2.204623,))</f>
        <v>#REF!</v>
      </c>
      <c r="K827" t="str">
        <f>IF(L827&gt;0,L827*35.273962,IF(J827&gt;0,J827*16,))</f>
        <v>#REF!</v>
      </c>
      <c r="L827" t="str">
        <f>IF(J827&gt;0,J827*0.453592,IF(K827&gt;0,K827*0.02835,))</f>
        <v>#REF!</v>
      </c>
      <c r="O827">
        <f>I827+N827+M827</f>
        <v>0</v>
      </c>
      <c r="P827">
        <f>O827*C$3</f>
        <v>0</v>
      </c>
      <c r="Q827" t="str">
        <f>ROUNDUP(HLOOKUP(IF(CEILING(L827,0.5)&lt;1,1,CEILING(L827,0.5)),'배송비 조회'!A$32:AY$36,2,0),-2)</f>
        <v>#REF!</v>
      </c>
      <c r="R827">
        <v>0</v>
      </c>
      <c r="S827" t="str">
        <f>ROUND((P827+Q827)*0.6,-2)</f>
        <v>#REF!</v>
      </c>
      <c r="T827" t="str">
        <f>ROUND((P827+Q827)*0.7,-2)</f>
        <v>#REF!</v>
      </c>
      <c r="U827" t="str">
        <f>ROUND(SUM(P827+Q827+R827+S827), -2)</f>
        <v>#REF!</v>
      </c>
      <c r="V827" t="str">
        <f>ROUND(P827+Q827+R827+T827, -2)</f>
        <v>#REF!</v>
      </c>
      <c r="W827">
        <v>0</v>
      </c>
      <c r="X827" t="str">
        <f>U827*0.038</f>
        <v>#REF!</v>
      </c>
      <c r="Y827" t="str">
        <f>U827*0.02</f>
        <v>#REF!</v>
      </c>
      <c r="Z827" t="str">
        <f>V827*0.1</f>
        <v>#REF!</v>
      </c>
      <c r="AA827" t="str">
        <f>U827-X827-Y827</f>
        <v>#REF!</v>
      </c>
      <c r="AB827" t="str">
        <f>V827-Z827</f>
        <v>#REF!</v>
      </c>
      <c r="AC827" t="str">
        <f>AA827*0.01</f>
        <v>#REF!</v>
      </c>
      <c r="AD827" t="str">
        <f>AA827-P827-AC827-Q827</f>
        <v>#REF!</v>
      </c>
      <c r="AE827" t="str">
        <f>AB827-P827-Q827-AC827</f>
        <v>#REF!</v>
      </c>
      <c r="AF827" t="str">
        <f>AD827/U827</f>
        <v>#REF!</v>
      </c>
      <c r="AG827" t="str">
        <f>AE827/V827</f>
        <v>#REF!</v>
      </c>
    </row>
    <row r="828">
      <c r="G828" t="str">
        <v>A</v>
      </c>
      <c r="J828" t="str">
        <f>IF(K828&gt;0,K828*0.0625,IF(L828&gt;0,L828*2.204623,))</f>
        <v>#REF!</v>
      </c>
      <c r="K828" t="str">
        <f>IF(L828&gt;0,L828*35.273962,IF(J828&gt;0,J828*16,))</f>
        <v>#REF!</v>
      </c>
      <c r="L828" t="str">
        <f>IF(J828&gt;0,J828*0.453592,IF(K828&gt;0,K828*0.02835,))</f>
        <v>#REF!</v>
      </c>
      <c r="O828">
        <f>I828+N828+M828</f>
        <v>0</v>
      </c>
      <c r="P828">
        <f>O828*C$3</f>
        <v>0</v>
      </c>
      <c r="Q828" t="str">
        <f>ROUNDUP(HLOOKUP(IF(CEILING(L828,0.5)&lt;1,1,CEILING(L828,0.5)),'배송비 조회'!A$32:AY$36,2,0),-2)</f>
        <v>#REF!</v>
      </c>
      <c r="R828">
        <v>0</v>
      </c>
      <c r="S828" t="str">
        <f>ROUND((P828+Q828)*0.6,-2)</f>
        <v>#REF!</v>
      </c>
      <c r="T828" t="str">
        <f>ROUND((P828+Q828)*0.7,-2)</f>
        <v>#REF!</v>
      </c>
      <c r="U828" t="str">
        <f>ROUND(SUM(P828+Q828+R828+S828), -2)</f>
        <v>#REF!</v>
      </c>
      <c r="V828" t="str">
        <f>ROUND(P828+Q828+R828+T828, -2)</f>
        <v>#REF!</v>
      </c>
      <c r="W828">
        <v>0</v>
      </c>
      <c r="X828" t="str">
        <f>U828*0.038</f>
        <v>#REF!</v>
      </c>
      <c r="Y828" t="str">
        <f>U828*0.02</f>
        <v>#REF!</v>
      </c>
      <c r="Z828" t="str">
        <f>V828*0.1</f>
        <v>#REF!</v>
      </c>
      <c r="AA828" t="str">
        <f>U828-X828-Y828</f>
        <v>#REF!</v>
      </c>
      <c r="AB828" t="str">
        <f>V828-Z828</f>
        <v>#REF!</v>
      </c>
      <c r="AC828" t="str">
        <f>AA828*0.01</f>
        <v>#REF!</v>
      </c>
      <c r="AD828" t="str">
        <f>AA828-P828-AC828-Q828</f>
        <v>#REF!</v>
      </c>
      <c r="AE828" t="str">
        <f>AB828-P828-Q828-AC828</f>
        <v>#REF!</v>
      </c>
      <c r="AF828" t="str">
        <f>AD828/U828</f>
        <v>#REF!</v>
      </c>
      <c r="AG828" t="str">
        <f>AE828/V828</f>
        <v>#REF!</v>
      </c>
    </row>
    <row r="829">
      <c r="G829" t="str">
        <v>A</v>
      </c>
      <c r="J829" t="str">
        <f>IF(K829&gt;0,K829*0.0625,IF(L829&gt;0,L829*2.204623,))</f>
        <v>#REF!</v>
      </c>
      <c r="K829" t="str">
        <f>IF(L829&gt;0,L829*35.273962,IF(J829&gt;0,J829*16,))</f>
        <v>#REF!</v>
      </c>
      <c r="L829" t="str">
        <f>IF(J829&gt;0,J829*0.453592,IF(K829&gt;0,K829*0.02835,))</f>
        <v>#REF!</v>
      </c>
      <c r="O829">
        <f>I829+N829+M829</f>
        <v>0</v>
      </c>
      <c r="P829">
        <f>O829*C$3</f>
        <v>0</v>
      </c>
      <c r="Q829" t="str">
        <f>ROUNDUP(HLOOKUP(IF(CEILING(L829,0.5)&lt;1,1,CEILING(L829,0.5)),'배송비 조회'!A$32:AY$36,2,0),-2)</f>
        <v>#REF!</v>
      </c>
      <c r="R829">
        <v>0</v>
      </c>
      <c r="S829" t="str">
        <f>ROUND((P829+Q829)*0.6,-2)</f>
        <v>#REF!</v>
      </c>
      <c r="T829" t="str">
        <f>ROUND((P829+Q829)*0.7,-2)</f>
        <v>#REF!</v>
      </c>
      <c r="U829" t="str">
        <f>ROUND(SUM(P829+Q829+R829+S829), -2)</f>
        <v>#REF!</v>
      </c>
      <c r="V829" t="str">
        <f>ROUND(P829+Q829+R829+T829, -2)</f>
        <v>#REF!</v>
      </c>
      <c r="W829">
        <v>0</v>
      </c>
      <c r="X829" t="str">
        <f>U829*0.038</f>
        <v>#REF!</v>
      </c>
      <c r="Y829" t="str">
        <f>U829*0.02</f>
        <v>#REF!</v>
      </c>
      <c r="Z829" t="str">
        <f>V829*0.1</f>
        <v>#REF!</v>
      </c>
      <c r="AA829" t="str">
        <f>U829-X829-Y829</f>
        <v>#REF!</v>
      </c>
      <c r="AB829" t="str">
        <f>V829-Z829</f>
        <v>#REF!</v>
      </c>
      <c r="AC829" t="str">
        <f>AA829*0.01</f>
        <v>#REF!</v>
      </c>
      <c r="AD829" t="str">
        <f>AA829-P829-AC829-Q829</f>
        <v>#REF!</v>
      </c>
      <c r="AE829" t="str">
        <f>AB829-P829-Q829-AC829</f>
        <v>#REF!</v>
      </c>
      <c r="AF829" t="str">
        <f>AD829/U829</f>
        <v>#REF!</v>
      </c>
      <c r="AG829" t="str">
        <f>AE829/V829</f>
        <v>#REF!</v>
      </c>
    </row>
    <row r="830">
      <c r="G830" t="str">
        <v>A</v>
      </c>
      <c r="J830" t="str">
        <f>IF(K830&gt;0,K830*0.0625,IF(L830&gt;0,L830*2.204623,))</f>
        <v>#REF!</v>
      </c>
      <c r="K830" t="str">
        <f>IF(L830&gt;0,L830*35.273962,IF(J830&gt;0,J830*16,))</f>
        <v>#REF!</v>
      </c>
      <c r="L830" t="str">
        <f>IF(J830&gt;0,J830*0.453592,IF(K830&gt;0,K830*0.02835,))</f>
        <v>#REF!</v>
      </c>
      <c r="O830">
        <f>I830+N830+M830</f>
        <v>0</v>
      </c>
      <c r="P830">
        <f>O830*C$3</f>
        <v>0</v>
      </c>
      <c r="Q830" t="str">
        <f>ROUNDUP(HLOOKUP(IF(CEILING(L830,0.5)&lt;1,1,CEILING(L830,0.5)),'배송비 조회'!A$32:AY$36,2,0),-2)</f>
        <v>#REF!</v>
      </c>
      <c r="R830">
        <v>0</v>
      </c>
      <c r="S830" t="str">
        <f>ROUND((P830+Q830)*0.6,-2)</f>
        <v>#REF!</v>
      </c>
      <c r="T830" t="str">
        <f>ROUND((P830+Q830)*0.7,-2)</f>
        <v>#REF!</v>
      </c>
      <c r="U830" t="str">
        <f>ROUND(SUM(P830+Q830+R830+S830), -2)</f>
        <v>#REF!</v>
      </c>
      <c r="V830" t="str">
        <f>ROUND(P830+Q830+R830+T830, -2)</f>
        <v>#REF!</v>
      </c>
      <c r="W830">
        <v>0</v>
      </c>
      <c r="X830" t="str">
        <f>U830*0.038</f>
        <v>#REF!</v>
      </c>
      <c r="Y830" t="str">
        <f>U830*0.02</f>
        <v>#REF!</v>
      </c>
      <c r="Z830" t="str">
        <f>V830*0.1</f>
        <v>#REF!</v>
      </c>
      <c r="AA830" t="str">
        <f>U830-X830-Y830</f>
        <v>#REF!</v>
      </c>
      <c r="AB830" t="str">
        <f>V830-Z830</f>
        <v>#REF!</v>
      </c>
      <c r="AC830" t="str">
        <f>AA830*0.01</f>
        <v>#REF!</v>
      </c>
      <c r="AD830" t="str">
        <f>AA830-P830-AC830-Q830</f>
        <v>#REF!</v>
      </c>
      <c r="AE830" t="str">
        <f>AB830-P830-Q830-AC830</f>
        <v>#REF!</v>
      </c>
      <c r="AF830" t="str">
        <f>AD830/U830</f>
        <v>#REF!</v>
      </c>
      <c r="AG830" t="str">
        <f>AE830/V830</f>
        <v>#REF!</v>
      </c>
    </row>
    <row r="831">
      <c r="G831" t="str">
        <v>A</v>
      </c>
      <c r="J831" t="str">
        <f>IF(K831&gt;0,K831*0.0625,IF(L831&gt;0,L831*2.204623,))</f>
        <v>#REF!</v>
      </c>
      <c r="K831" t="str">
        <f>IF(L831&gt;0,L831*35.273962,IF(J831&gt;0,J831*16,))</f>
        <v>#REF!</v>
      </c>
      <c r="L831" t="str">
        <f>IF(J831&gt;0,J831*0.453592,IF(K831&gt;0,K831*0.02835,))</f>
        <v>#REF!</v>
      </c>
      <c r="O831">
        <f>I831+N831+M831</f>
        <v>0</v>
      </c>
      <c r="P831">
        <f>O831*C$3</f>
        <v>0</v>
      </c>
      <c r="Q831" t="str">
        <f>ROUNDUP(HLOOKUP(IF(CEILING(L831,0.5)&lt;1,1,CEILING(L831,0.5)),'배송비 조회'!A$32:AY$36,2,0),-2)</f>
        <v>#REF!</v>
      </c>
      <c r="R831">
        <v>0</v>
      </c>
      <c r="S831" t="str">
        <f>ROUND((P831+Q831)*0.6,-2)</f>
        <v>#REF!</v>
      </c>
      <c r="T831" t="str">
        <f>ROUND((P831+Q831)*0.7,-2)</f>
        <v>#REF!</v>
      </c>
      <c r="U831" t="str">
        <f>ROUND(SUM(P831+Q831+R831+S831), -2)</f>
        <v>#REF!</v>
      </c>
      <c r="V831" t="str">
        <f>ROUND(P831+Q831+R831+T831, -2)</f>
        <v>#REF!</v>
      </c>
      <c r="W831">
        <v>0</v>
      </c>
      <c r="X831" t="str">
        <f>U831*0.038</f>
        <v>#REF!</v>
      </c>
      <c r="Y831" t="str">
        <f>U831*0.02</f>
        <v>#REF!</v>
      </c>
      <c r="Z831" t="str">
        <f>V831*0.1</f>
        <v>#REF!</v>
      </c>
      <c r="AA831" t="str">
        <f>U831-X831-Y831</f>
        <v>#REF!</v>
      </c>
      <c r="AB831" t="str">
        <f>V831-Z831</f>
        <v>#REF!</v>
      </c>
      <c r="AC831" t="str">
        <f>AA831*0.01</f>
        <v>#REF!</v>
      </c>
      <c r="AD831" t="str">
        <f>AA831-P831-AC831-Q831</f>
        <v>#REF!</v>
      </c>
      <c r="AE831" t="str">
        <f>AB831-P831-Q831-AC831</f>
        <v>#REF!</v>
      </c>
      <c r="AF831" t="str">
        <f>AD831/U831</f>
        <v>#REF!</v>
      </c>
      <c r="AG831" t="str">
        <f>AE831/V831</f>
        <v>#REF!</v>
      </c>
    </row>
    <row r="832">
      <c r="G832" t="str">
        <v>A</v>
      </c>
      <c r="J832" t="str">
        <f>IF(K832&gt;0,K832*0.0625,IF(L832&gt;0,L832*2.204623,))</f>
        <v>#REF!</v>
      </c>
      <c r="K832" t="str">
        <f>IF(L832&gt;0,L832*35.273962,IF(J832&gt;0,J832*16,))</f>
        <v>#REF!</v>
      </c>
      <c r="L832" t="str">
        <f>IF(J832&gt;0,J832*0.453592,IF(K832&gt;0,K832*0.02835,))</f>
        <v>#REF!</v>
      </c>
      <c r="O832">
        <f>I832+N832+M832</f>
        <v>0</v>
      </c>
      <c r="P832">
        <f>O832*C$3</f>
        <v>0</v>
      </c>
      <c r="Q832" t="str">
        <f>ROUNDUP(HLOOKUP(IF(CEILING(L832,0.5)&lt;1,1,CEILING(L832,0.5)),'배송비 조회'!A$32:AY$36,2,0),-2)</f>
        <v>#REF!</v>
      </c>
      <c r="R832">
        <v>0</v>
      </c>
      <c r="S832" t="str">
        <f>ROUND((P832+Q832)*0.6,-2)</f>
        <v>#REF!</v>
      </c>
      <c r="T832" t="str">
        <f>ROUND((P832+Q832)*0.7,-2)</f>
        <v>#REF!</v>
      </c>
      <c r="U832" t="str">
        <f>ROUND(SUM(P832+Q832+R832+S832), -2)</f>
        <v>#REF!</v>
      </c>
      <c r="V832" t="str">
        <f>ROUND(P832+Q832+R832+T832, -2)</f>
        <v>#REF!</v>
      </c>
      <c r="W832">
        <v>0</v>
      </c>
      <c r="X832" t="str">
        <f>U832*0.038</f>
        <v>#REF!</v>
      </c>
      <c r="Y832" t="str">
        <f>U832*0.02</f>
        <v>#REF!</v>
      </c>
      <c r="Z832" t="str">
        <f>V832*0.1</f>
        <v>#REF!</v>
      </c>
      <c r="AA832" t="str">
        <f>U832-X832-Y832</f>
        <v>#REF!</v>
      </c>
      <c r="AB832" t="str">
        <f>V832-Z832</f>
        <v>#REF!</v>
      </c>
      <c r="AC832" t="str">
        <f>AA832*0.01</f>
        <v>#REF!</v>
      </c>
      <c r="AD832" t="str">
        <f>AA832-P832-AC832-Q832</f>
        <v>#REF!</v>
      </c>
      <c r="AE832" t="str">
        <f>AB832-P832-Q832-AC832</f>
        <v>#REF!</v>
      </c>
      <c r="AF832" t="str">
        <f>AD832/U832</f>
        <v>#REF!</v>
      </c>
      <c r="AG832" t="str">
        <f>AE832/V832</f>
        <v>#REF!</v>
      </c>
    </row>
    <row r="833">
      <c r="G833" t="str">
        <v>A</v>
      </c>
      <c r="J833" t="str">
        <f>IF(K833&gt;0,K833*0.0625,IF(L833&gt;0,L833*2.204623,))</f>
        <v>#REF!</v>
      </c>
      <c r="K833" t="str">
        <f>IF(L833&gt;0,L833*35.273962,IF(J833&gt;0,J833*16,))</f>
        <v>#REF!</v>
      </c>
      <c r="L833" t="str">
        <f>IF(J833&gt;0,J833*0.453592,IF(K833&gt;0,K833*0.02835,))</f>
        <v>#REF!</v>
      </c>
      <c r="O833">
        <f>I833+N833+M833</f>
        <v>0</v>
      </c>
      <c r="P833">
        <f>O833*C$3</f>
        <v>0</v>
      </c>
      <c r="Q833" t="str">
        <f>ROUNDUP(HLOOKUP(IF(CEILING(L833,0.5)&lt;1,1,CEILING(L833,0.5)),'배송비 조회'!A$32:AY$36,2,0),-2)</f>
        <v>#REF!</v>
      </c>
      <c r="R833">
        <v>0</v>
      </c>
      <c r="S833" t="str">
        <f>ROUND((P833+Q833)*0.6,-2)</f>
        <v>#REF!</v>
      </c>
      <c r="T833" t="str">
        <f>ROUND((P833+Q833)*0.7,-2)</f>
        <v>#REF!</v>
      </c>
      <c r="U833" t="str">
        <f>ROUND(SUM(P833+Q833+R833+S833), -2)</f>
        <v>#REF!</v>
      </c>
      <c r="V833" t="str">
        <f>ROUND(P833+Q833+R833+T833, -2)</f>
        <v>#REF!</v>
      </c>
      <c r="W833">
        <v>0</v>
      </c>
      <c r="X833" t="str">
        <f>U833*0.038</f>
        <v>#REF!</v>
      </c>
      <c r="Y833" t="str">
        <f>U833*0.02</f>
        <v>#REF!</v>
      </c>
      <c r="Z833" t="str">
        <f>V833*0.1</f>
        <v>#REF!</v>
      </c>
      <c r="AA833" t="str">
        <f>U833-X833-Y833</f>
        <v>#REF!</v>
      </c>
      <c r="AB833" t="str">
        <f>V833-Z833</f>
        <v>#REF!</v>
      </c>
      <c r="AC833" t="str">
        <f>AA833*0.01</f>
        <v>#REF!</v>
      </c>
      <c r="AD833" t="str">
        <f>AA833-P833-AC833-Q833</f>
        <v>#REF!</v>
      </c>
      <c r="AE833" t="str">
        <f>AB833-P833-Q833-AC833</f>
        <v>#REF!</v>
      </c>
      <c r="AF833" t="str">
        <f>AD833/U833</f>
        <v>#REF!</v>
      </c>
      <c r="AG833" t="str">
        <f>AE833/V833</f>
        <v>#REF!</v>
      </c>
    </row>
    <row r="834">
      <c r="G834" t="str">
        <v>A</v>
      </c>
      <c r="J834" t="str">
        <f>IF(K834&gt;0,K834*0.0625,IF(L834&gt;0,L834*2.204623,))</f>
        <v>#REF!</v>
      </c>
      <c r="K834" t="str">
        <f>IF(L834&gt;0,L834*35.273962,IF(J834&gt;0,J834*16,))</f>
        <v>#REF!</v>
      </c>
      <c r="L834" t="str">
        <f>IF(J834&gt;0,J834*0.453592,IF(K834&gt;0,K834*0.02835,))</f>
        <v>#REF!</v>
      </c>
      <c r="O834">
        <f>I834+N834+M834</f>
        <v>0</v>
      </c>
      <c r="P834">
        <f>O834*C$3</f>
        <v>0</v>
      </c>
      <c r="Q834" t="str">
        <f>ROUNDUP(HLOOKUP(IF(CEILING(L834,0.5)&lt;1,1,CEILING(L834,0.5)),'배송비 조회'!A$32:AY$36,2,0),-2)</f>
        <v>#REF!</v>
      </c>
      <c r="R834">
        <v>0</v>
      </c>
      <c r="S834" t="str">
        <f>ROUND((P834+Q834)*0.6,-2)</f>
        <v>#REF!</v>
      </c>
      <c r="T834" t="str">
        <f>ROUND((P834+Q834)*0.7,-2)</f>
        <v>#REF!</v>
      </c>
      <c r="U834" t="str">
        <f>ROUND(SUM(P834+Q834+R834+S834), -2)</f>
        <v>#REF!</v>
      </c>
      <c r="V834" t="str">
        <f>ROUND(P834+Q834+R834+T834, -2)</f>
        <v>#REF!</v>
      </c>
      <c r="W834">
        <v>0</v>
      </c>
      <c r="X834" t="str">
        <f>U834*0.038</f>
        <v>#REF!</v>
      </c>
      <c r="Y834" t="str">
        <f>U834*0.02</f>
        <v>#REF!</v>
      </c>
      <c r="Z834" t="str">
        <f>V834*0.1</f>
        <v>#REF!</v>
      </c>
      <c r="AA834" t="str">
        <f>U834-X834-Y834</f>
        <v>#REF!</v>
      </c>
      <c r="AB834" t="str">
        <f>V834-Z834</f>
        <v>#REF!</v>
      </c>
      <c r="AC834" t="str">
        <f>AA834*0.01</f>
        <v>#REF!</v>
      </c>
      <c r="AD834" t="str">
        <f>AA834-P834-AC834-Q834</f>
        <v>#REF!</v>
      </c>
      <c r="AE834" t="str">
        <f>AB834-P834-Q834-AC834</f>
        <v>#REF!</v>
      </c>
      <c r="AF834" t="str">
        <f>AD834/U834</f>
        <v>#REF!</v>
      </c>
      <c r="AG834" t="str">
        <f>AE834/V834</f>
        <v>#REF!</v>
      </c>
    </row>
    <row r="835">
      <c r="G835" t="str">
        <v>A</v>
      </c>
      <c r="J835" t="str">
        <f>IF(K835&gt;0,K835*0.0625,IF(L835&gt;0,L835*2.204623,))</f>
        <v>#REF!</v>
      </c>
      <c r="K835" t="str">
        <f>IF(L835&gt;0,L835*35.273962,IF(J835&gt;0,J835*16,))</f>
        <v>#REF!</v>
      </c>
      <c r="L835" t="str">
        <f>IF(J835&gt;0,J835*0.453592,IF(K835&gt;0,K835*0.02835,))</f>
        <v>#REF!</v>
      </c>
      <c r="O835">
        <f>I835+N835+M835</f>
        <v>0</v>
      </c>
      <c r="P835">
        <f>O835*C$3</f>
        <v>0</v>
      </c>
      <c r="Q835" t="str">
        <f>ROUNDUP(HLOOKUP(IF(CEILING(L835,0.5)&lt;1,1,CEILING(L835,0.5)),'배송비 조회'!A$32:AY$36,2,0),-2)</f>
        <v>#REF!</v>
      </c>
      <c r="R835">
        <v>0</v>
      </c>
      <c r="S835" t="str">
        <f>ROUND((P835+Q835)*0.6,-2)</f>
        <v>#REF!</v>
      </c>
      <c r="T835" t="str">
        <f>ROUND((P835+Q835)*0.7,-2)</f>
        <v>#REF!</v>
      </c>
      <c r="U835" t="str">
        <f>ROUND(SUM(P835+Q835+R835+S835), -2)</f>
        <v>#REF!</v>
      </c>
      <c r="V835" t="str">
        <f>ROUND(P835+Q835+R835+T835, -2)</f>
        <v>#REF!</v>
      </c>
      <c r="W835">
        <v>0</v>
      </c>
      <c r="X835" t="str">
        <f>U835*0.038</f>
        <v>#REF!</v>
      </c>
      <c r="Y835" t="str">
        <f>U835*0.02</f>
        <v>#REF!</v>
      </c>
      <c r="Z835" t="str">
        <f>V835*0.1</f>
        <v>#REF!</v>
      </c>
      <c r="AA835" t="str">
        <f>U835-X835-Y835</f>
        <v>#REF!</v>
      </c>
      <c r="AB835" t="str">
        <f>V835-Z835</f>
        <v>#REF!</v>
      </c>
      <c r="AC835" t="str">
        <f>AA835*0.01</f>
        <v>#REF!</v>
      </c>
      <c r="AD835" t="str">
        <f>AA835-P835-AC835-Q835</f>
        <v>#REF!</v>
      </c>
      <c r="AE835" t="str">
        <f>AB835-P835-Q835-AC835</f>
        <v>#REF!</v>
      </c>
      <c r="AF835" t="str">
        <f>AD835/U835</f>
        <v>#REF!</v>
      </c>
      <c r="AG835" t="str">
        <f>AE835/V835</f>
        <v>#REF!</v>
      </c>
    </row>
    <row r="836">
      <c r="G836" t="str">
        <v>A</v>
      </c>
      <c r="J836" t="str">
        <f>IF(K836&gt;0,K836*0.0625,IF(L836&gt;0,L836*2.204623,))</f>
        <v>#REF!</v>
      </c>
      <c r="K836" t="str">
        <f>IF(L836&gt;0,L836*35.273962,IF(J836&gt;0,J836*16,))</f>
        <v>#REF!</v>
      </c>
      <c r="L836" t="str">
        <f>IF(J836&gt;0,J836*0.453592,IF(K836&gt;0,K836*0.02835,))</f>
        <v>#REF!</v>
      </c>
      <c r="O836">
        <f>I836+N836+M836</f>
        <v>0</v>
      </c>
      <c r="P836">
        <f>O836*C$3</f>
        <v>0</v>
      </c>
      <c r="Q836" t="str">
        <f>ROUNDUP(HLOOKUP(IF(CEILING(L836,0.5)&lt;1,1,CEILING(L836,0.5)),'배송비 조회'!A$32:AY$36,2,0),-2)</f>
        <v>#REF!</v>
      </c>
      <c r="R836">
        <v>0</v>
      </c>
      <c r="S836" t="str">
        <f>ROUND((P836+Q836)*0.6,-2)</f>
        <v>#REF!</v>
      </c>
      <c r="T836" t="str">
        <f>ROUND((P836+Q836)*0.7,-2)</f>
        <v>#REF!</v>
      </c>
      <c r="U836" t="str">
        <f>ROUND(SUM(P836+Q836+R836+S836), -2)</f>
        <v>#REF!</v>
      </c>
      <c r="V836" t="str">
        <f>ROUND(P836+Q836+R836+T836, -2)</f>
        <v>#REF!</v>
      </c>
      <c r="W836">
        <v>0</v>
      </c>
      <c r="X836" t="str">
        <f>U836*0.038</f>
        <v>#REF!</v>
      </c>
      <c r="Y836" t="str">
        <f>U836*0.02</f>
        <v>#REF!</v>
      </c>
      <c r="Z836" t="str">
        <f>V836*0.1</f>
        <v>#REF!</v>
      </c>
      <c r="AA836" t="str">
        <f>U836-X836-Y836</f>
        <v>#REF!</v>
      </c>
      <c r="AB836" t="str">
        <f>V836-Z836</f>
        <v>#REF!</v>
      </c>
      <c r="AC836" t="str">
        <f>AA836*0.01</f>
        <v>#REF!</v>
      </c>
      <c r="AD836" t="str">
        <f>AA836-P836-AC836-Q836</f>
        <v>#REF!</v>
      </c>
      <c r="AE836" t="str">
        <f>AB836-P836-Q836-AC836</f>
        <v>#REF!</v>
      </c>
      <c r="AF836" t="str">
        <f>AD836/U836</f>
        <v>#REF!</v>
      </c>
      <c r="AG836" t="str">
        <f>AE836/V836</f>
        <v>#REF!</v>
      </c>
    </row>
    <row r="837">
      <c r="G837" t="str">
        <v>A</v>
      </c>
      <c r="J837" t="str">
        <f>IF(K837&gt;0,K837*0.0625,IF(L837&gt;0,L837*2.204623,))</f>
        <v>#REF!</v>
      </c>
      <c r="K837" t="str">
        <f>IF(L837&gt;0,L837*35.273962,IF(J837&gt;0,J837*16,))</f>
        <v>#REF!</v>
      </c>
      <c r="L837" t="str">
        <f>IF(J837&gt;0,J837*0.453592,IF(K837&gt;0,K837*0.02835,))</f>
        <v>#REF!</v>
      </c>
      <c r="O837">
        <f>I837+N837+M837</f>
        <v>0</v>
      </c>
      <c r="P837">
        <f>O837*C$3</f>
        <v>0</v>
      </c>
      <c r="Q837" t="str">
        <f>ROUNDUP(HLOOKUP(IF(CEILING(L837,0.5)&lt;1,1,CEILING(L837,0.5)),'배송비 조회'!A$32:AY$36,2,0),-2)</f>
        <v>#REF!</v>
      </c>
      <c r="R837">
        <v>0</v>
      </c>
      <c r="S837" t="str">
        <f>ROUND((P837+Q837)*0.6,-2)</f>
        <v>#REF!</v>
      </c>
      <c r="T837" t="str">
        <f>ROUND((P837+Q837)*0.7,-2)</f>
        <v>#REF!</v>
      </c>
      <c r="U837" t="str">
        <f>ROUND(SUM(P837+Q837+R837+S837), -2)</f>
        <v>#REF!</v>
      </c>
      <c r="V837" t="str">
        <f>ROUND(P837+Q837+R837+T837, -2)</f>
        <v>#REF!</v>
      </c>
      <c r="W837">
        <v>0</v>
      </c>
      <c r="X837" t="str">
        <f>U837*0.038</f>
        <v>#REF!</v>
      </c>
      <c r="Y837" t="str">
        <f>U837*0.02</f>
        <v>#REF!</v>
      </c>
      <c r="Z837" t="str">
        <f>V837*0.1</f>
        <v>#REF!</v>
      </c>
      <c r="AA837" t="str">
        <f>U837-X837-Y837</f>
        <v>#REF!</v>
      </c>
      <c r="AB837" t="str">
        <f>V837-Z837</f>
        <v>#REF!</v>
      </c>
      <c r="AC837" t="str">
        <f>AA837*0.01</f>
        <v>#REF!</v>
      </c>
      <c r="AD837" t="str">
        <f>AA837-P837-AC837-Q837</f>
        <v>#REF!</v>
      </c>
      <c r="AE837" t="str">
        <f>AB837-P837-Q837-AC837</f>
        <v>#REF!</v>
      </c>
      <c r="AF837" t="str">
        <f>AD837/U837</f>
        <v>#REF!</v>
      </c>
      <c r="AG837" t="str">
        <f>AE837/V837</f>
        <v>#REF!</v>
      </c>
    </row>
    <row r="838">
      <c r="G838" t="str">
        <v>A</v>
      </c>
      <c r="J838" t="str">
        <f>IF(K838&gt;0,K838*0.0625,IF(L838&gt;0,L838*2.204623,))</f>
        <v>#REF!</v>
      </c>
      <c r="K838" t="str">
        <f>IF(L838&gt;0,L838*35.273962,IF(J838&gt;0,J838*16,))</f>
        <v>#REF!</v>
      </c>
      <c r="L838" t="str">
        <f>IF(J838&gt;0,J838*0.453592,IF(K838&gt;0,K838*0.02835,))</f>
        <v>#REF!</v>
      </c>
      <c r="O838">
        <f>I838+N838+M838</f>
        <v>0</v>
      </c>
      <c r="P838">
        <f>O838*C$3</f>
        <v>0</v>
      </c>
      <c r="Q838" t="str">
        <f>ROUNDUP(HLOOKUP(IF(CEILING(L838,0.5)&lt;1,1,CEILING(L838,0.5)),'배송비 조회'!A$32:AY$36,2,0),-2)</f>
        <v>#REF!</v>
      </c>
      <c r="R838">
        <v>0</v>
      </c>
      <c r="S838" t="str">
        <f>ROUND((P838+Q838)*0.6,-2)</f>
        <v>#REF!</v>
      </c>
      <c r="T838" t="str">
        <f>ROUND((P838+Q838)*0.7,-2)</f>
        <v>#REF!</v>
      </c>
      <c r="U838" t="str">
        <f>ROUND(SUM(P838+Q838+R838+S838), -2)</f>
        <v>#REF!</v>
      </c>
      <c r="V838" t="str">
        <f>ROUND(P838+Q838+R838+T838, -2)</f>
        <v>#REF!</v>
      </c>
      <c r="W838">
        <v>0</v>
      </c>
      <c r="X838" t="str">
        <f>U838*0.038</f>
        <v>#REF!</v>
      </c>
      <c r="Y838" t="str">
        <f>U838*0.02</f>
        <v>#REF!</v>
      </c>
      <c r="Z838" t="str">
        <f>V838*0.1</f>
        <v>#REF!</v>
      </c>
      <c r="AA838" t="str">
        <f>U838-X838-Y838</f>
        <v>#REF!</v>
      </c>
      <c r="AB838" t="str">
        <f>V838-Z838</f>
        <v>#REF!</v>
      </c>
      <c r="AC838" t="str">
        <f>AA838*0.01</f>
        <v>#REF!</v>
      </c>
      <c r="AD838" t="str">
        <f>AA838-P838-AC838-Q838</f>
        <v>#REF!</v>
      </c>
      <c r="AE838" t="str">
        <f>AB838-P838-Q838-AC838</f>
        <v>#REF!</v>
      </c>
      <c r="AF838" t="str">
        <f>AD838/U838</f>
        <v>#REF!</v>
      </c>
      <c r="AG838" t="str">
        <f>AE838/V838</f>
        <v>#REF!</v>
      </c>
    </row>
    <row r="839">
      <c r="G839" t="str">
        <v>A</v>
      </c>
      <c r="J839" t="str">
        <f>IF(K839&gt;0,K839*0.0625,IF(L839&gt;0,L839*2.204623,))</f>
        <v>#REF!</v>
      </c>
      <c r="K839" t="str">
        <f>IF(L839&gt;0,L839*35.273962,IF(J839&gt;0,J839*16,))</f>
        <v>#REF!</v>
      </c>
      <c r="L839" t="str">
        <f>IF(J839&gt;0,J839*0.453592,IF(K839&gt;0,K839*0.02835,))</f>
        <v>#REF!</v>
      </c>
      <c r="O839">
        <f>I839+N839+M839</f>
        <v>0</v>
      </c>
      <c r="P839">
        <f>O839*C$3</f>
        <v>0</v>
      </c>
      <c r="Q839" t="str">
        <f>ROUNDUP(HLOOKUP(IF(CEILING(L839,0.5)&lt;1,1,CEILING(L839,0.5)),'배송비 조회'!A$32:AY$36,2,0),-2)</f>
        <v>#REF!</v>
      </c>
      <c r="R839">
        <v>0</v>
      </c>
      <c r="S839" t="str">
        <f>ROUND((P839+Q839)*0.6,-2)</f>
        <v>#REF!</v>
      </c>
      <c r="T839" t="str">
        <f>ROUND((P839+Q839)*0.7,-2)</f>
        <v>#REF!</v>
      </c>
      <c r="U839" t="str">
        <f>ROUND(SUM(P839+Q839+R839+S839), -2)</f>
        <v>#REF!</v>
      </c>
      <c r="V839" t="str">
        <f>ROUND(P839+Q839+R839+T839, -2)</f>
        <v>#REF!</v>
      </c>
      <c r="W839">
        <v>0</v>
      </c>
      <c r="X839" t="str">
        <f>U839*0.038</f>
        <v>#REF!</v>
      </c>
      <c r="Y839" t="str">
        <f>U839*0.02</f>
        <v>#REF!</v>
      </c>
      <c r="Z839" t="str">
        <f>V839*0.1</f>
        <v>#REF!</v>
      </c>
      <c r="AA839" t="str">
        <f>U839-X839-Y839</f>
        <v>#REF!</v>
      </c>
      <c r="AB839" t="str">
        <f>V839-Z839</f>
        <v>#REF!</v>
      </c>
      <c r="AC839" t="str">
        <f>AA839*0.01</f>
        <v>#REF!</v>
      </c>
      <c r="AD839" t="str">
        <f>AA839-P839-AC839-Q839</f>
        <v>#REF!</v>
      </c>
      <c r="AE839" t="str">
        <f>AB839-P839-Q839-AC839</f>
        <v>#REF!</v>
      </c>
      <c r="AF839" t="str">
        <f>AD839/U839</f>
        <v>#REF!</v>
      </c>
      <c r="AG839" t="str">
        <f>AE839/V839</f>
        <v>#REF!</v>
      </c>
    </row>
    <row r="840">
      <c r="G840" t="str">
        <v>A</v>
      </c>
      <c r="J840" t="str">
        <f>IF(K840&gt;0,K840*0.0625,IF(L840&gt;0,L840*2.204623,))</f>
        <v>#REF!</v>
      </c>
      <c r="K840" t="str">
        <f>IF(L840&gt;0,L840*35.273962,IF(J840&gt;0,J840*16,))</f>
        <v>#REF!</v>
      </c>
      <c r="L840" t="str">
        <f>IF(J840&gt;0,J840*0.453592,IF(K840&gt;0,K840*0.02835,))</f>
        <v>#REF!</v>
      </c>
      <c r="O840">
        <f>I840+N840+M840</f>
        <v>0</v>
      </c>
      <c r="P840">
        <f>O840*C$3</f>
        <v>0</v>
      </c>
      <c r="Q840" t="str">
        <f>ROUNDUP(HLOOKUP(IF(CEILING(L840,0.5)&lt;1,1,CEILING(L840,0.5)),'배송비 조회'!A$32:AY$36,2,0),-2)</f>
        <v>#REF!</v>
      </c>
      <c r="R840">
        <v>0</v>
      </c>
      <c r="S840" t="str">
        <f>ROUND((P840+Q840)*0.6,-2)</f>
        <v>#REF!</v>
      </c>
      <c r="T840" t="str">
        <f>ROUND((P840+Q840)*0.7,-2)</f>
        <v>#REF!</v>
      </c>
      <c r="U840" t="str">
        <f>ROUND(SUM(P840+Q840+R840+S840), -2)</f>
        <v>#REF!</v>
      </c>
      <c r="V840" t="str">
        <f>ROUND(P840+Q840+R840+T840, -2)</f>
        <v>#REF!</v>
      </c>
      <c r="W840">
        <v>0</v>
      </c>
      <c r="X840" t="str">
        <f>U840*0.038</f>
        <v>#REF!</v>
      </c>
      <c r="Y840" t="str">
        <f>U840*0.02</f>
        <v>#REF!</v>
      </c>
      <c r="Z840" t="str">
        <f>V840*0.1</f>
        <v>#REF!</v>
      </c>
      <c r="AA840" t="str">
        <f>U840-X840-Y840</f>
        <v>#REF!</v>
      </c>
      <c r="AB840" t="str">
        <f>V840-Z840</f>
        <v>#REF!</v>
      </c>
      <c r="AC840" t="str">
        <f>AA840*0.01</f>
        <v>#REF!</v>
      </c>
      <c r="AD840" t="str">
        <f>AA840-P840-AC840-Q840</f>
        <v>#REF!</v>
      </c>
      <c r="AE840" t="str">
        <f>AB840-P840-Q840-AC840</f>
        <v>#REF!</v>
      </c>
      <c r="AF840" t="str">
        <f>AD840/U840</f>
        <v>#REF!</v>
      </c>
      <c r="AG840" t="str">
        <f>AE840/V840</f>
        <v>#REF!</v>
      </c>
    </row>
    <row r="841">
      <c r="G841" t="str">
        <v>A</v>
      </c>
      <c r="J841" t="str">
        <f>IF(K841&gt;0,K841*0.0625,IF(L841&gt;0,L841*2.204623,))</f>
        <v>#REF!</v>
      </c>
      <c r="K841" t="str">
        <f>IF(L841&gt;0,L841*35.273962,IF(J841&gt;0,J841*16,))</f>
        <v>#REF!</v>
      </c>
      <c r="L841" t="str">
        <f>IF(J841&gt;0,J841*0.453592,IF(K841&gt;0,K841*0.02835,))</f>
        <v>#REF!</v>
      </c>
      <c r="O841">
        <f>I841+N841+M841</f>
        <v>0</v>
      </c>
      <c r="P841">
        <f>O841*C$3</f>
        <v>0</v>
      </c>
      <c r="Q841" t="str">
        <f>ROUNDUP(HLOOKUP(IF(CEILING(L841,0.5)&lt;1,1,CEILING(L841,0.5)),'배송비 조회'!A$32:AY$36,2,0),-2)</f>
        <v>#REF!</v>
      </c>
      <c r="R841">
        <v>0</v>
      </c>
      <c r="S841" t="str">
        <f>ROUND((P841+Q841)*0.6,-2)</f>
        <v>#REF!</v>
      </c>
      <c r="T841" t="str">
        <f>ROUND((P841+Q841)*0.7,-2)</f>
        <v>#REF!</v>
      </c>
      <c r="U841" t="str">
        <f>ROUND(SUM(P841+Q841+R841+S841), -2)</f>
        <v>#REF!</v>
      </c>
      <c r="V841" t="str">
        <f>ROUND(P841+Q841+R841+T841, -2)</f>
        <v>#REF!</v>
      </c>
      <c r="W841">
        <v>0</v>
      </c>
      <c r="X841" t="str">
        <f>U841*0.038</f>
        <v>#REF!</v>
      </c>
      <c r="Y841" t="str">
        <f>U841*0.02</f>
        <v>#REF!</v>
      </c>
      <c r="Z841" t="str">
        <f>V841*0.1</f>
        <v>#REF!</v>
      </c>
      <c r="AA841" t="str">
        <f>U841-X841-Y841</f>
        <v>#REF!</v>
      </c>
      <c r="AB841" t="str">
        <f>V841-Z841</f>
        <v>#REF!</v>
      </c>
      <c r="AC841" t="str">
        <f>AA841*0.01</f>
        <v>#REF!</v>
      </c>
      <c r="AD841" t="str">
        <f>AA841-P841-AC841-Q841</f>
        <v>#REF!</v>
      </c>
      <c r="AE841" t="str">
        <f>AB841-P841-Q841-AC841</f>
        <v>#REF!</v>
      </c>
      <c r="AF841" t="str">
        <f>AD841/U841</f>
        <v>#REF!</v>
      </c>
      <c r="AG841" t="str">
        <f>AE841/V841</f>
        <v>#REF!</v>
      </c>
    </row>
    <row r="842">
      <c r="G842" t="str">
        <v>A</v>
      </c>
      <c r="J842" t="str">
        <f>IF(K842&gt;0,K842*0.0625,IF(L842&gt;0,L842*2.204623,))</f>
        <v>#REF!</v>
      </c>
      <c r="K842" t="str">
        <f>IF(L842&gt;0,L842*35.273962,IF(J842&gt;0,J842*16,))</f>
        <v>#REF!</v>
      </c>
      <c r="L842" t="str">
        <f>IF(J842&gt;0,J842*0.453592,IF(K842&gt;0,K842*0.02835,))</f>
        <v>#REF!</v>
      </c>
      <c r="O842">
        <f>I842+N842+M842</f>
        <v>0</v>
      </c>
      <c r="P842">
        <f>O842*C$3</f>
        <v>0</v>
      </c>
      <c r="Q842" t="str">
        <f>ROUNDUP(HLOOKUP(IF(CEILING(L842,0.5)&lt;1,1,CEILING(L842,0.5)),'배송비 조회'!A$32:AY$36,2,0),-2)</f>
        <v>#REF!</v>
      </c>
      <c r="R842">
        <v>0</v>
      </c>
      <c r="S842" t="str">
        <f>ROUND((P842+Q842)*0.6,-2)</f>
        <v>#REF!</v>
      </c>
      <c r="T842" t="str">
        <f>ROUND((P842+Q842)*0.7,-2)</f>
        <v>#REF!</v>
      </c>
      <c r="U842" t="str">
        <f>ROUND(SUM(P842+Q842+R842+S842), -2)</f>
        <v>#REF!</v>
      </c>
      <c r="V842" t="str">
        <f>ROUND(P842+Q842+R842+T842, -2)</f>
        <v>#REF!</v>
      </c>
      <c r="W842">
        <v>0</v>
      </c>
      <c r="X842" t="str">
        <f>U842*0.038</f>
        <v>#REF!</v>
      </c>
      <c r="Y842" t="str">
        <f>U842*0.02</f>
        <v>#REF!</v>
      </c>
      <c r="Z842" t="str">
        <f>V842*0.1</f>
        <v>#REF!</v>
      </c>
      <c r="AA842" t="str">
        <f>U842-X842-Y842</f>
        <v>#REF!</v>
      </c>
      <c r="AB842" t="str">
        <f>V842-Z842</f>
        <v>#REF!</v>
      </c>
      <c r="AC842" t="str">
        <f>AA842*0.01</f>
        <v>#REF!</v>
      </c>
      <c r="AD842" t="str">
        <f>AA842-P842-AC842-Q842</f>
        <v>#REF!</v>
      </c>
      <c r="AE842" t="str">
        <f>AB842-P842-Q842-AC842</f>
        <v>#REF!</v>
      </c>
      <c r="AF842" t="str">
        <f>AD842/U842</f>
        <v>#REF!</v>
      </c>
      <c r="AG842" t="str">
        <f>AE842/V842</f>
        <v>#REF!</v>
      </c>
    </row>
    <row r="843">
      <c r="G843" t="str">
        <v>A</v>
      </c>
      <c r="J843" t="str">
        <f>IF(K843&gt;0,K843*0.0625,IF(L843&gt;0,L843*2.204623,))</f>
        <v>#REF!</v>
      </c>
      <c r="K843" t="str">
        <f>IF(L843&gt;0,L843*35.273962,IF(J843&gt;0,J843*16,))</f>
        <v>#REF!</v>
      </c>
      <c r="L843" t="str">
        <f>IF(J843&gt;0,J843*0.453592,IF(K843&gt;0,K843*0.02835,))</f>
        <v>#REF!</v>
      </c>
      <c r="O843">
        <f>I843+N843+M843</f>
        <v>0</v>
      </c>
      <c r="P843">
        <f>O843*C$3</f>
        <v>0</v>
      </c>
      <c r="Q843" t="str">
        <f>ROUNDUP(HLOOKUP(IF(CEILING(L843,0.5)&lt;1,1,CEILING(L843,0.5)),'배송비 조회'!A$32:AY$36,2,0),-2)</f>
        <v>#REF!</v>
      </c>
      <c r="R843">
        <v>0</v>
      </c>
      <c r="S843" t="str">
        <f>ROUND((P843+Q843)*0.6,-2)</f>
        <v>#REF!</v>
      </c>
      <c r="T843" t="str">
        <f>ROUND((P843+Q843)*0.7,-2)</f>
        <v>#REF!</v>
      </c>
      <c r="U843" t="str">
        <f>ROUND(SUM(P843+Q843+R843+S843), -2)</f>
        <v>#REF!</v>
      </c>
      <c r="V843" t="str">
        <f>ROUND(P843+Q843+R843+T843, -2)</f>
        <v>#REF!</v>
      </c>
      <c r="W843">
        <v>0</v>
      </c>
      <c r="X843" t="str">
        <f>U843*0.038</f>
        <v>#REF!</v>
      </c>
      <c r="Y843" t="str">
        <f>U843*0.02</f>
        <v>#REF!</v>
      </c>
      <c r="Z843" t="str">
        <f>V843*0.1</f>
        <v>#REF!</v>
      </c>
      <c r="AA843" t="str">
        <f>U843-X843-Y843</f>
        <v>#REF!</v>
      </c>
      <c r="AB843" t="str">
        <f>V843-Z843</f>
        <v>#REF!</v>
      </c>
      <c r="AC843" t="str">
        <f>AA843*0.01</f>
        <v>#REF!</v>
      </c>
      <c r="AD843" t="str">
        <f>AA843-P843-AC843-Q843</f>
        <v>#REF!</v>
      </c>
      <c r="AE843" t="str">
        <f>AB843-P843-Q843-AC843</f>
        <v>#REF!</v>
      </c>
      <c r="AF843" t="str">
        <f>AD843/U843</f>
        <v>#REF!</v>
      </c>
      <c r="AG843" t="str">
        <f>AE843/V843</f>
        <v>#REF!</v>
      </c>
    </row>
    <row r="844">
      <c r="G844" t="str">
        <v>A</v>
      </c>
      <c r="J844" t="str">
        <f>IF(K844&gt;0,K844*0.0625,IF(L844&gt;0,L844*2.204623,))</f>
        <v>#REF!</v>
      </c>
      <c r="K844" t="str">
        <f>IF(L844&gt;0,L844*35.273962,IF(J844&gt;0,J844*16,))</f>
        <v>#REF!</v>
      </c>
      <c r="L844" t="str">
        <f>IF(J844&gt;0,J844*0.453592,IF(K844&gt;0,K844*0.02835,))</f>
        <v>#REF!</v>
      </c>
      <c r="O844">
        <f>I844+N844+M844</f>
        <v>0</v>
      </c>
      <c r="P844">
        <f>O844*C$3</f>
        <v>0</v>
      </c>
      <c r="Q844" t="str">
        <f>ROUNDUP(HLOOKUP(IF(CEILING(L844,0.5)&lt;1,1,CEILING(L844,0.5)),'배송비 조회'!A$32:AY$36,2,0),-2)</f>
        <v>#REF!</v>
      </c>
      <c r="R844">
        <v>0</v>
      </c>
      <c r="S844" t="str">
        <f>ROUND((P844+Q844)*0.6,-2)</f>
        <v>#REF!</v>
      </c>
      <c r="T844" t="str">
        <f>ROUND((P844+Q844)*0.7,-2)</f>
        <v>#REF!</v>
      </c>
      <c r="U844" t="str">
        <f>ROUND(SUM(P844+Q844+R844+S844), -2)</f>
        <v>#REF!</v>
      </c>
      <c r="V844" t="str">
        <f>ROUND(P844+Q844+R844+T844, -2)</f>
        <v>#REF!</v>
      </c>
      <c r="W844">
        <v>0</v>
      </c>
      <c r="X844" t="str">
        <f>U844*0.038</f>
        <v>#REF!</v>
      </c>
      <c r="Y844" t="str">
        <f>U844*0.02</f>
        <v>#REF!</v>
      </c>
      <c r="Z844" t="str">
        <f>V844*0.1</f>
        <v>#REF!</v>
      </c>
      <c r="AA844" t="str">
        <f>U844-X844-Y844</f>
        <v>#REF!</v>
      </c>
      <c r="AB844" t="str">
        <f>V844-Z844</f>
        <v>#REF!</v>
      </c>
      <c r="AC844" t="str">
        <f>AA844*0.01</f>
        <v>#REF!</v>
      </c>
      <c r="AD844" t="str">
        <f>AA844-P844-AC844-Q844</f>
        <v>#REF!</v>
      </c>
      <c r="AE844" t="str">
        <f>AB844-P844-Q844-AC844</f>
        <v>#REF!</v>
      </c>
      <c r="AF844" t="str">
        <f>AD844/U844</f>
        <v>#REF!</v>
      </c>
      <c r="AG844" t="str">
        <f>AE844/V844</f>
        <v>#REF!</v>
      </c>
    </row>
    <row r="845">
      <c r="G845" t="str">
        <v>A</v>
      </c>
      <c r="J845" t="str">
        <f>IF(K845&gt;0,K845*0.0625,IF(L845&gt;0,L845*2.204623,))</f>
        <v>#REF!</v>
      </c>
      <c r="K845" t="str">
        <f>IF(L845&gt;0,L845*35.273962,IF(J845&gt;0,J845*16,))</f>
        <v>#REF!</v>
      </c>
      <c r="L845" t="str">
        <f>IF(J845&gt;0,J845*0.453592,IF(K845&gt;0,K845*0.02835,))</f>
        <v>#REF!</v>
      </c>
      <c r="O845">
        <f>I845+N845+M845</f>
        <v>0</v>
      </c>
      <c r="P845">
        <f>O845*C$3</f>
        <v>0</v>
      </c>
      <c r="Q845" t="str">
        <f>ROUNDUP(HLOOKUP(IF(CEILING(L845,0.5)&lt;1,1,CEILING(L845,0.5)),'배송비 조회'!A$32:AY$36,2,0),-2)</f>
        <v>#REF!</v>
      </c>
      <c r="R845">
        <v>0</v>
      </c>
      <c r="S845" t="str">
        <f>ROUND((P845+Q845)*0.6,-2)</f>
        <v>#REF!</v>
      </c>
      <c r="T845" t="str">
        <f>ROUND((P845+Q845)*0.7,-2)</f>
        <v>#REF!</v>
      </c>
      <c r="U845" t="str">
        <f>ROUND(SUM(P845+Q845+R845+S845), -2)</f>
        <v>#REF!</v>
      </c>
      <c r="V845" t="str">
        <f>ROUND(P845+Q845+R845+T845, -2)</f>
        <v>#REF!</v>
      </c>
      <c r="W845">
        <v>0</v>
      </c>
      <c r="X845" t="str">
        <f>U845*0.038</f>
        <v>#REF!</v>
      </c>
      <c r="Y845" t="str">
        <f>U845*0.02</f>
        <v>#REF!</v>
      </c>
      <c r="Z845" t="str">
        <f>V845*0.1</f>
        <v>#REF!</v>
      </c>
      <c r="AA845" t="str">
        <f>U845-X845-Y845</f>
        <v>#REF!</v>
      </c>
      <c r="AB845" t="str">
        <f>V845-Z845</f>
        <v>#REF!</v>
      </c>
      <c r="AC845" t="str">
        <f>AA845*0.01</f>
        <v>#REF!</v>
      </c>
      <c r="AD845" t="str">
        <f>AA845-P845-AC845-Q845</f>
        <v>#REF!</v>
      </c>
      <c r="AE845" t="str">
        <f>AB845-P845-Q845-AC845</f>
        <v>#REF!</v>
      </c>
      <c r="AF845" t="str">
        <f>AD845/U845</f>
        <v>#REF!</v>
      </c>
      <c r="AG845" t="str">
        <f>AE845/V845</f>
        <v>#REF!</v>
      </c>
    </row>
    <row r="846">
      <c r="G846" t="str">
        <v>A</v>
      </c>
      <c r="J846" t="str">
        <f>IF(K846&gt;0,K846*0.0625,IF(L846&gt;0,L846*2.204623,))</f>
        <v>#REF!</v>
      </c>
      <c r="K846" t="str">
        <f>IF(L846&gt;0,L846*35.273962,IF(J846&gt;0,J846*16,))</f>
        <v>#REF!</v>
      </c>
      <c r="L846" t="str">
        <f>IF(J846&gt;0,J846*0.453592,IF(K846&gt;0,K846*0.02835,))</f>
        <v>#REF!</v>
      </c>
      <c r="O846">
        <f>I846+N846+M846</f>
        <v>0</v>
      </c>
      <c r="P846">
        <f>O846*C$3</f>
        <v>0</v>
      </c>
      <c r="Q846" t="str">
        <f>ROUNDUP(HLOOKUP(IF(CEILING(L846,0.5)&lt;1,1,CEILING(L846,0.5)),'배송비 조회'!A$32:AY$36,2,0),-2)</f>
        <v>#REF!</v>
      </c>
      <c r="R846">
        <v>0</v>
      </c>
      <c r="S846" t="str">
        <f>ROUND((P846+Q846)*0.6,-2)</f>
        <v>#REF!</v>
      </c>
      <c r="T846" t="str">
        <f>ROUND((P846+Q846)*0.7,-2)</f>
        <v>#REF!</v>
      </c>
      <c r="U846" t="str">
        <f>ROUND(SUM(P846+Q846+R846+S846), -2)</f>
        <v>#REF!</v>
      </c>
      <c r="V846" t="str">
        <f>ROUND(P846+Q846+R846+T846, -2)</f>
        <v>#REF!</v>
      </c>
      <c r="W846">
        <v>0</v>
      </c>
      <c r="X846" t="str">
        <f>U846*0.038</f>
        <v>#REF!</v>
      </c>
      <c r="Y846" t="str">
        <f>U846*0.02</f>
        <v>#REF!</v>
      </c>
      <c r="Z846" t="str">
        <f>V846*0.1</f>
        <v>#REF!</v>
      </c>
      <c r="AA846" t="str">
        <f>U846-X846-Y846</f>
        <v>#REF!</v>
      </c>
      <c r="AB846" t="str">
        <f>V846-Z846</f>
        <v>#REF!</v>
      </c>
      <c r="AC846" t="str">
        <f>AA846*0.01</f>
        <v>#REF!</v>
      </c>
      <c r="AD846" t="str">
        <f>AA846-P846-AC846-Q846</f>
        <v>#REF!</v>
      </c>
      <c r="AE846" t="str">
        <f>AB846-P846-Q846-AC846</f>
        <v>#REF!</v>
      </c>
      <c r="AF846" t="str">
        <f>AD846/U846</f>
        <v>#REF!</v>
      </c>
      <c r="AG846" t="str">
        <f>AE846/V846</f>
        <v>#REF!</v>
      </c>
    </row>
    <row r="847">
      <c r="G847" t="str">
        <v>A</v>
      </c>
      <c r="J847" t="str">
        <f>IF(K847&gt;0,K847*0.0625,IF(L847&gt;0,L847*2.204623,))</f>
        <v>#REF!</v>
      </c>
      <c r="K847" t="str">
        <f>IF(L847&gt;0,L847*35.273962,IF(J847&gt;0,J847*16,))</f>
        <v>#REF!</v>
      </c>
      <c r="L847" t="str">
        <f>IF(J847&gt;0,J847*0.453592,IF(K847&gt;0,K847*0.02835,))</f>
        <v>#REF!</v>
      </c>
      <c r="O847">
        <f>I847+N847+M847</f>
        <v>0</v>
      </c>
      <c r="P847">
        <f>O847*C$3</f>
        <v>0</v>
      </c>
      <c r="Q847" t="str">
        <f>ROUNDUP(HLOOKUP(IF(CEILING(L847,0.5)&lt;1,1,CEILING(L847,0.5)),'배송비 조회'!A$32:AY$36,2,0),-2)</f>
        <v>#REF!</v>
      </c>
      <c r="R847">
        <v>0</v>
      </c>
      <c r="S847" t="str">
        <f>ROUND((P847+Q847)*0.6,-2)</f>
        <v>#REF!</v>
      </c>
      <c r="T847" t="str">
        <f>ROUND((P847+Q847)*0.7,-2)</f>
        <v>#REF!</v>
      </c>
      <c r="U847" t="str">
        <f>ROUND(SUM(P847+Q847+R847+S847), -2)</f>
        <v>#REF!</v>
      </c>
      <c r="V847" t="str">
        <f>ROUND(P847+Q847+R847+T847, -2)</f>
        <v>#REF!</v>
      </c>
      <c r="W847">
        <v>0</v>
      </c>
      <c r="X847" t="str">
        <f>U847*0.038</f>
        <v>#REF!</v>
      </c>
      <c r="Y847" t="str">
        <f>U847*0.02</f>
        <v>#REF!</v>
      </c>
      <c r="Z847" t="str">
        <f>V847*0.1</f>
        <v>#REF!</v>
      </c>
      <c r="AA847" t="str">
        <f>U847-X847-Y847</f>
        <v>#REF!</v>
      </c>
      <c r="AB847" t="str">
        <f>V847-Z847</f>
        <v>#REF!</v>
      </c>
      <c r="AC847" t="str">
        <f>AA847*0.01</f>
        <v>#REF!</v>
      </c>
      <c r="AD847" t="str">
        <f>AA847-P847-AC847-Q847</f>
        <v>#REF!</v>
      </c>
      <c r="AE847" t="str">
        <f>AB847-P847-Q847-AC847</f>
        <v>#REF!</v>
      </c>
      <c r="AF847" t="str">
        <f>AD847/U847</f>
        <v>#REF!</v>
      </c>
      <c r="AG847" t="str">
        <f>AE847/V847</f>
        <v>#REF!</v>
      </c>
    </row>
    <row r="848">
      <c r="G848" t="str">
        <v>A</v>
      </c>
      <c r="J848" t="str">
        <f>IF(K848&gt;0,K848*0.0625,IF(L848&gt;0,L848*2.204623,))</f>
        <v>#REF!</v>
      </c>
      <c r="K848" t="str">
        <f>IF(L848&gt;0,L848*35.273962,IF(J848&gt;0,J848*16,))</f>
        <v>#REF!</v>
      </c>
      <c r="L848" t="str">
        <f>IF(J848&gt;0,J848*0.453592,IF(K848&gt;0,K848*0.02835,))</f>
        <v>#REF!</v>
      </c>
      <c r="O848">
        <f>I848+N848+M848</f>
        <v>0</v>
      </c>
      <c r="P848">
        <f>O848*C$3</f>
        <v>0</v>
      </c>
      <c r="Q848" t="str">
        <f>ROUNDUP(HLOOKUP(IF(CEILING(L848,0.5)&lt;1,1,CEILING(L848,0.5)),'배송비 조회'!A$32:AY$36,2,0),-2)</f>
        <v>#REF!</v>
      </c>
      <c r="R848">
        <v>0</v>
      </c>
      <c r="S848" t="str">
        <f>ROUND((P848+Q848)*0.6,-2)</f>
        <v>#REF!</v>
      </c>
      <c r="T848" t="str">
        <f>ROUND((P848+Q848)*0.7,-2)</f>
        <v>#REF!</v>
      </c>
      <c r="U848" t="str">
        <f>ROUND(SUM(P848+Q848+R848+S848), -2)</f>
        <v>#REF!</v>
      </c>
      <c r="V848" t="str">
        <f>ROUND(P848+Q848+R848+T848, -2)</f>
        <v>#REF!</v>
      </c>
      <c r="W848">
        <v>0</v>
      </c>
      <c r="X848" t="str">
        <f>U848*0.038</f>
        <v>#REF!</v>
      </c>
      <c r="Y848" t="str">
        <f>U848*0.02</f>
        <v>#REF!</v>
      </c>
      <c r="Z848" t="str">
        <f>V848*0.1</f>
        <v>#REF!</v>
      </c>
      <c r="AA848" t="str">
        <f>U848-X848-Y848</f>
        <v>#REF!</v>
      </c>
      <c r="AB848" t="str">
        <f>V848-Z848</f>
        <v>#REF!</v>
      </c>
      <c r="AC848" t="str">
        <f>AA848*0.01</f>
        <v>#REF!</v>
      </c>
      <c r="AD848" t="str">
        <f>AA848-P848-AC848-Q848</f>
        <v>#REF!</v>
      </c>
      <c r="AE848" t="str">
        <f>AB848-P848-Q848-AC848</f>
        <v>#REF!</v>
      </c>
      <c r="AF848" t="str">
        <f>AD848/U848</f>
        <v>#REF!</v>
      </c>
      <c r="AG848" t="str">
        <f>AE848/V848</f>
        <v>#REF!</v>
      </c>
    </row>
    <row r="849">
      <c r="G849" t="str">
        <v>A</v>
      </c>
      <c r="J849" t="str">
        <f>IF(K849&gt;0,K849*0.0625,IF(L849&gt;0,L849*2.204623,))</f>
        <v>#REF!</v>
      </c>
      <c r="K849" t="str">
        <f>IF(L849&gt;0,L849*35.273962,IF(J849&gt;0,J849*16,))</f>
        <v>#REF!</v>
      </c>
      <c r="L849" t="str">
        <f>IF(J849&gt;0,J849*0.453592,IF(K849&gt;0,K849*0.02835,))</f>
        <v>#REF!</v>
      </c>
      <c r="O849">
        <f>I849+N849+M849</f>
        <v>0</v>
      </c>
      <c r="P849">
        <f>O849*C$3</f>
        <v>0</v>
      </c>
      <c r="Q849" t="str">
        <f>ROUNDUP(HLOOKUP(IF(CEILING(L849,0.5)&lt;1,1,CEILING(L849,0.5)),'배송비 조회'!A$32:AY$36,2,0),-2)</f>
        <v>#REF!</v>
      </c>
      <c r="R849">
        <v>0</v>
      </c>
      <c r="S849" t="str">
        <f>ROUND((P849+Q849)*0.6,-2)</f>
        <v>#REF!</v>
      </c>
      <c r="T849" t="str">
        <f>ROUND((P849+Q849)*0.7,-2)</f>
        <v>#REF!</v>
      </c>
      <c r="U849" t="str">
        <f>ROUND(SUM(P849+Q849+R849+S849), -2)</f>
        <v>#REF!</v>
      </c>
      <c r="V849" t="str">
        <f>ROUND(P849+Q849+R849+T849, -2)</f>
        <v>#REF!</v>
      </c>
      <c r="W849">
        <v>0</v>
      </c>
      <c r="X849" t="str">
        <f>U849*0.038</f>
        <v>#REF!</v>
      </c>
      <c r="Y849" t="str">
        <f>U849*0.02</f>
        <v>#REF!</v>
      </c>
      <c r="Z849" t="str">
        <f>V849*0.1</f>
        <v>#REF!</v>
      </c>
      <c r="AA849" t="str">
        <f>U849-X849-Y849</f>
        <v>#REF!</v>
      </c>
      <c r="AB849" t="str">
        <f>V849-Z849</f>
        <v>#REF!</v>
      </c>
      <c r="AC849" t="str">
        <f>AA849*0.01</f>
        <v>#REF!</v>
      </c>
      <c r="AD849" t="str">
        <f>AA849-P849-AC849-Q849</f>
        <v>#REF!</v>
      </c>
      <c r="AE849" t="str">
        <f>AB849-P849-Q849-AC849</f>
        <v>#REF!</v>
      </c>
      <c r="AF849" t="str">
        <f>AD849/U849</f>
        <v>#REF!</v>
      </c>
      <c r="AG849" t="str">
        <f>AE849/V849</f>
        <v>#REF!</v>
      </c>
    </row>
    <row r="850">
      <c r="G850" t="str">
        <v>A</v>
      </c>
      <c r="J850" t="str">
        <f>IF(K850&gt;0,K850*0.0625,IF(L850&gt;0,L850*2.204623,))</f>
        <v>#REF!</v>
      </c>
      <c r="K850" t="str">
        <f>IF(L850&gt;0,L850*35.273962,IF(J850&gt;0,J850*16,))</f>
        <v>#REF!</v>
      </c>
      <c r="L850" t="str">
        <f>IF(J850&gt;0,J850*0.453592,IF(K850&gt;0,K850*0.02835,))</f>
        <v>#REF!</v>
      </c>
      <c r="O850">
        <f>I850+N850+M850</f>
        <v>0</v>
      </c>
      <c r="P850">
        <f>O850*C$3</f>
        <v>0</v>
      </c>
      <c r="Q850" t="str">
        <f>ROUNDUP(HLOOKUP(IF(CEILING(L850,0.5)&lt;1,1,CEILING(L850,0.5)),'배송비 조회'!A$32:AY$36,2,0),-2)</f>
        <v>#REF!</v>
      </c>
      <c r="R850">
        <v>0</v>
      </c>
      <c r="S850" t="str">
        <f>ROUND((P850+Q850)*0.6,-2)</f>
        <v>#REF!</v>
      </c>
      <c r="T850" t="str">
        <f>ROUND((P850+Q850)*0.7,-2)</f>
        <v>#REF!</v>
      </c>
      <c r="U850" t="str">
        <f>ROUND(SUM(P850+Q850+R850+S850), -2)</f>
        <v>#REF!</v>
      </c>
      <c r="V850" t="str">
        <f>ROUND(P850+Q850+R850+T850, -2)</f>
        <v>#REF!</v>
      </c>
      <c r="W850">
        <v>0</v>
      </c>
      <c r="X850" t="str">
        <f>U850*0.038</f>
        <v>#REF!</v>
      </c>
      <c r="Y850" t="str">
        <f>U850*0.02</f>
        <v>#REF!</v>
      </c>
      <c r="Z850" t="str">
        <f>V850*0.1</f>
        <v>#REF!</v>
      </c>
      <c r="AA850" t="str">
        <f>U850-X850-Y850</f>
        <v>#REF!</v>
      </c>
      <c r="AB850" t="str">
        <f>V850-Z850</f>
        <v>#REF!</v>
      </c>
      <c r="AC850" t="str">
        <f>AA850*0.01</f>
        <v>#REF!</v>
      </c>
      <c r="AD850" t="str">
        <f>AA850-P850-AC850-Q850</f>
        <v>#REF!</v>
      </c>
      <c r="AE850" t="str">
        <f>AB850-P850-Q850-AC850</f>
        <v>#REF!</v>
      </c>
      <c r="AF850" t="str">
        <f>AD850/U850</f>
        <v>#REF!</v>
      </c>
      <c r="AG850" t="str">
        <f>AE850/V850</f>
        <v>#REF!</v>
      </c>
    </row>
    <row r="851">
      <c r="G851" t="str">
        <v>A</v>
      </c>
      <c r="J851" t="str">
        <f>IF(K851&gt;0,K851*0.0625,IF(L851&gt;0,L851*2.204623,))</f>
        <v>#REF!</v>
      </c>
      <c r="K851" t="str">
        <f>IF(L851&gt;0,L851*35.273962,IF(J851&gt;0,J851*16,))</f>
        <v>#REF!</v>
      </c>
      <c r="L851" t="str">
        <f>IF(J851&gt;0,J851*0.453592,IF(K851&gt;0,K851*0.02835,))</f>
        <v>#REF!</v>
      </c>
      <c r="O851">
        <f>I851+N851+M851</f>
        <v>0</v>
      </c>
      <c r="P851">
        <f>O851*C$3</f>
        <v>0</v>
      </c>
      <c r="Q851" t="str">
        <f>ROUNDUP(HLOOKUP(IF(CEILING(L851,0.5)&lt;1,1,CEILING(L851,0.5)),'배송비 조회'!A$32:AY$36,2,0),-2)</f>
        <v>#REF!</v>
      </c>
      <c r="R851">
        <v>0</v>
      </c>
      <c r="S851" t="str">
        <f>ROUND((P851+Q851)*0.6,-2)</f>
        <v>#REF!</v>
      </c>
      <c r="T851" t="str">
        <f>ROUND((P851+Q851)*0.7,-2)</f>
        <v>#REF!</v>
      </c>
      <c r="U851" t="str">
        <f>ROUND(SUM(P851+Q851+R851+S851), -2)</f>
        <v>#REF!</v>
      </c>
      <c r="V851" t="str">
        <f>ROUND(P851+Q851+R851+T851, -2)</f>
        <v>#REF!</v>
      </c>
      <c r="W851">
        <v>0</v>
      </c>
      <c r="X851" t="str">
        <f>U851*0.038</f>
        <v>#REF!</v>
      </c>
      <c r="Y851" t="str">
        <f>U851*0.02</f>
        <v>#REF!</v>
      </c>
      <c r="Z851" t="str">
        <f>V851*0.1</f>
        <v>#REF!</v>
      </c>
      <c r="AA851" t="str">
        <f>U851-X851-Y851</f>
        <v>#REF!</v>
      </c>
      <c r="AB851" t="str">
        <f>V851-Z851</f>
        <v>#REF!</v>
      </c>
      <c r="AC851" t="str">
        <f>AA851*0.01</f>
        <v>#REF!</v>
      </c>
      <c r="AD851" t="str">
        <f>AA851-P851-AC851-Q851</f>
        <v>#REF!</v>
      </c>
      <c r="AE851" t="str">
        <f>AB851-P851-Q851-AC851</f>
        <v>#REF!</v>
      </c>
      <c r="AF851" t="str">
        <f>AD851/U851</f>
        <v>#REF!</v>
      </c>
      <c r="AG851" t="str">
        <f>AE851/V851</f>
        <v>#REF!</v>
      </c>
    </row>
    <row r="852">
      <c r="G852" t="str">
        <v>A</v>
      </c>
      <c r="J852" t="str">
        <f>IF(K852&gt;0,K852*0.0625,IF(L852&gt;0,L852*2.204623,))</f>
        <v>#REF!</v>
      </c>
      <c r="K852" t="str">
        <f>IF(L852&gt;0,L852*35.273962,IF(J852&gt;0,J852*16,))</f>
        <v>#REF!</v>
      </c>
      <c r="L852" t="str">
        <f>IF(J852&gt;0,J852*0.453592,IF(K852&gt;0,K852*0.02835,))</f>
        <v>#REF!</v>
      </c>
      <c r="O852">
        <f>I852+N852+M852</f>
        <v>0</v>
      </c>
      <c r="P852">
        <f>O852*C$3</f>
        <v>0</v>
      </c>
      <c r="Q852" t="str">
        <f>ROUNDUP(HLOOKUP(IF(CEILING(L852,0.5)&lt;1,1,CEILING(L852,0.5)),'배송비 조회'!A$32:AY$36,2,0),-2)</f>
        <v>#REF!</v>
      </c>
      <c r="R852">
        <v>0</v>
      </c>
      <c r="S852" t="str">
        <f>ROUND((P852+Q852)*0.6,-2)</f>
        <v>#REF!</v>
      </c>
      <c r="T852" t="str">
        <f>ROUND((P852+Q852)*0.7,-2)</f>
        <v>#REF!</v>
      </c>
      <c r="U852" t="str">
        <f>ROUND(SUM(P852+Q852+R852+S852), -2)</f>
        <v>#REF!</v>
      </c>
      <c r="V852" t="str">
        <f>ROUND(P852+Q852+R852+T852, -2)</f>
        <v>#REF!</v>
      </c>
      <c r="W852">
        <v>0</v>
      </c>
      <c r="X852" t="str">
        <f>U852*0.038</f>
        <v>#REF!</v>
      </c>
      <c r="Y852" t="str">
        <f>U852*0.02</f>
        <v>#REF!</v>
      </c>
      <c r="Z852" t="str">
        <f>V852*0.1</f>
        <v>#REF!</v>
      </c>
      <c r="AA852" t="str">
        <f>U852-X852-Y852</f>
        <v>#REF!</v>
      </c>
      <c r="AB852" t="str">
        <f>V852-Z852</f>
        <v>#REF!</v>
      </c>
      <c r="AC852" t="str">
        <f>AA852*0.01</f>
        <v>#REF!</v>
      </c>
      <c r="AD852" t="str">
        <f>AA852-P852-AC852-Q852</f>
        <v>#REF!</v>
      </c>
      <c r="AE852" t="str">
        <f>AB852-P852-Q852-AC852</f>
        <v>#REF!</v>
      </c>
      <c r="AF852" t="str">
        <f>AD852/U852</f>
        <v>#REF!</v>
      </c>
      <c r="AG852" t="str">
        <f>AE852/V852</f>
        <v>#REF!</v>
      </c>
    </row>
    <row r="853">
      <c r="G853" t="str">
        <v>A</v>
      </c>
      <c r="J853" t="str">
        <f>IF(K853&gt;0,K853*0.0625,IF(L853&gt;0,L853*2.204623,))</f>
        <v>#REF!</v>
      </c>
      <c r="K853" t="str">
        <f>IF(L853&gt;0,L853*35.273962,IF(J853&gt;0,J853*16,))</f>
        <v>#REF!</v>
      </c>
      <c r="L853" t="str">
        <f>IF(J853&gt;0,J853*0.453592,IF(K853&gt;0,K853*0.02835,))</f>
        <v>#REF!</v>
      </c>
      <c r="O853">
        <f>I853+N853+M853</f>
        <v>0</v>
      </c>
      <c r="P853">
        <f>O853*C$3</f>
        <v>0</v>
      </c>
      <c r="Q853" t="str">
        <f>ROUNDUP(HLOOKUP(IF(CEILING(L853,0.5)&lt;1,1,CEILING(L853,0.5)),'배송비 조회'!A$32:AY$36,2,0),-2)</f>
        <v>#REF!</v>
      </c>
      <c r="R853">
        <v>0</v>
      </c>
      <c r="S853" t="str">
        <f>ROUND((P853+Q853)*0.6,-2)</f>
        <v>#REF!</v>
      </c>
      <c r="T853" t="str">
        <f>ROUND((P853+Q853)*0.7,-2)</f>
        <v>#REF!</v>
      </c>
      <c r="U853" t="str">
        <f>ROUND(SUM(P853+Q853+R853+S853), -2)</f>
        <v>#REF!</v>
      </c>
      <c r="V853" t="str">
        <f>ROUND(P853+Q853+R853+T853, -2)</f>
        <v>#REF!</v>
      </c>
      <c r="W853">
        <v>0</v>
      </c>
      <c r="X853" t="str">
        <f>U853*0.038</f>
        <v>#REF!</v>
      </c>
      <c r="Y853" t="str">
        <f>U853*0.02</f>
        <v>#REF!</v>
      </c>
      <c r="Z853" t="str">
        <f>V853*0.1</f>
        <v>#REF!</v>
      </c>
      <c r="AA853" t="str">
        <f>U853-X853-Y853</f>
        <v>#REF!</v>
      </c>
      <c r="AB853" t="str">
        <f>V853-Z853</f>
        <v>#REF!</v>
      </c>
      <c r="AC853" t="str">
        <f>AA853*0.01</f>
        <v>#REF!</v>
      </c>
      <c r="AD853" t="str">
        <f>AA853-P853-AC853-Q853</f>
        <v>#REF!</v>
      </c>
      <c r="AE853" t="str">
        <f>AB853-P853-Q853-AC853</f>
        <v>#REF!</v>
      </c>
      <c r="AF853" t="str">
        <f>AD853/U853</f>
        <v>#REF!</v>
      </c>
      <c r="AG853" t="str">
        <f>AE853/V853</f>
        <v>#REF!</v>
      </c>
    </row>
    <row r="854">
      <c r="G854" t="str">
        <v>A</v>
      </c>
      <c r="J854" t="str">
        <f>IF(K854&gt;0,K854*0.0625,IF(L854&gt;0,L854*2.204623,))</f>
        <v>#REF!</v>
      </c>
      <c r="K854" t="str">
        <f>IF(L854&gt;0,L854*35.273962,IF(J854&gt;0,J854*16,))</f>
        <v>#REF!</v>
      </c>
      <c r="L854" t="str">
        <f>IF(J854&gt;0,J854*0.453592,IF(K854&gt;0,K854*0.02835,))</f>
        <v>#REF!</v>
      </c>
      <c r="O854">
        <f>I854+N854+M854</f>
        <v>0</v>
      </c>
      <c r="P854">
        <f>O854*C$3</f>
        <v>0</v>
      </c>
      <c r="Q854" t="str">
        <f>ROUNDUP(HLOOKUP(IF(CEILING(L854,0.5)&lt;1,1,CEILING(L854,0.5)),'배송비 조회'!A$32:AY$36,2,0),-2)</f>
        <v>#REF!</v>
      </c>
      <c r="R854">
        <v>0</v>
      </c>
      <c r="S854" t="str">
        <f>ROUND((P854+Q854)*0.6,-2)</f>
        <v>#REF!</v>
      </c>
      <c r="T854" t="str">
        <f>ROUND((P854+Q854)*0.7,-2)</f>
        <v>#REF!</v>
      </c>
      <c r="U854" t="str">
        <f>ROUND(SUM(P854+Q854+R854+S854), -2)</f>
        <v>#REF!</v>
      </c>
      <c r="V854" t="str">
        <f>ROUND(P854+Q854+R854+T854, -2)</f>
        <v>#REF!</v>
      </c>
      <c r="W854">
        <v>0</v>
      </c>
      <c r="X854" t="str">
        <f>U854*0.038</f>
        <v>#REF!</v>
      </c>
      <c r="Y854" t="str">
        <f>U854*0.02</f>
        <v>#REF!</v>
      </c>
      <c r="Z854" t="str">
        <f>V854*0.1</f>
        <v>#REF!</v>
      </c>
      <c r="AA854" t="str">
        <f>U854-X854-Y854</f>
        <v>#REF!</v>
      </c>
      <c r="AB854" t="str">
        <f>V854-Z854</f>
        <v>#REF!</v>
      </c>
      <c r="AC854" t="str">
        <f>AA854*0.01</f>
        <v>#REF!</v>
      </c>
      <c r="AD854" t="str">
        <f>AA854-P854-AC854-Q854</f>
        <v>#REF!</v>
      </c>
      <c r="AE854" t="str">
        <f>AB854-P854-Q854-AC854</f>
        <v>#REF!</v>
      </c>
      <c r="AF854" t="str">
        <f>AD854/U854</f>
        <v>#REF!</v>
      </c>
      <c r="AG854" t="str">
        <f>AE854/V854</f>
        <v>#REF!</v>
      </c>
    </row>
    <row r="855">
      <c r="G855" t="str">
        <v>A</v>
      </c>
      <c r="J855" t="str">
        <f>IF(K855&gt;0,K855*0.0625,IF(L855&gt;0,L855*2.204623,))</f>
        <v>#REF!</v>
      </c>
      <c r="K855" t="str">
        <f>IF(L855&gt;0,L855*35.273962,IF(J855&gt;0,J855*16,))</f>
        <v>#REF!</v>
      </c>
      <c r="L855" t="str">
        <f>IF(J855&gt;0,J855*0.453592,IF(K855&gt;0,K855*0.02835,))</f>
        <v>#REF!</v>
      </c>
      <c r="O855">
        <f>I855+N855+M855</f>
        <v>0</v>
      </c>
      <c r="P855">
        <f>O855*C$3</f>
        <v>0</v>
      </c>
      <c r="Q855" t="str">
        <f>ROUNDUP(HLOOKUP(IF(CEILING(L855,0.5)&lt;1,1,CEILING(L855,0.5)),'배송비 조회'!A$32:AY$36,2,0),-2)</f>
        <v>#REF!</v>
      </c>
      <c r="R855">
        <v>0</v>
      </c>
      <c r="S855" t="str">
        <f>ROUND((P855+Q855)*0.6,-2)</f>
        <v>#REF!</v>
      </c>
      <c r="T855" t="str">
        <f>ROUND((P855+Q855)*0.7,-2)</f>
        <v>#REF!</v>
      </c>
      <c r="U855" t="str">
        <f>ROUND(SUM(P855+Q855+R855+S855), -2)</f>
        <v>#REF!</v>
      </c>
      <c r="V855" t="str">
        <f>ROUND(P855+Q855+R855+T855, -2)</f>
        <v>#REF!</v>
      </c>
      <c r="W855">
        <v>0</v>
      </c>
      <c r="X855" t="str">
        <f>U855*0.038</f>
        <v>#REF!</v>
      </c>
      <c r="Y855" t="str">
        <f>U855*0.02</f>
        <v>#REF!</v>
      </c>
      <c r="Z855" t="str">
        <f>V855*0.1</f>
        <v>#REF!</v>
      </c>
      <c r="AA855" t="str">
        <f>U855-X855-Y855</f>
        <v>#REF!</v>
      </c>
      <c r="AB855" t="str">
        <f>V855-Z855</f>
        <v>#REF!</v>
      </c>
      <c r="AC855" t="str">
        <f>AA855*0.01</f>
        <v>#REF!</v>
      </c>
      <c r="AD855" t="str">
        <f>AA855-P855-AC855-Q855</f>
        <v>#REF!</v>
      </c>
      <c r="AE855" t="str">
        <f>AB855-P855-Q855-AC855</f>
        <v>#REF!</v>
      </c>
      <c r="AF855" t="str">
        <f>AD855/U855</f>
        <v>#REF!</v>
      </c>
      <c r="AG855" t="str">
        <f>AE855/V855</f>
        <v>#REF!</v>
      </c>
    </row>
    <row r="856">
      <c r="G856" t="str">
        <v>A</v>
      </c>
      <c r="J856" t="str">
        <f>IF(K856&gt;0,K856*0.0625,IF(L856&gt;0,L856*2.204623,))</f>
        <v>#REF!</v>
      </c>
      <c r="K856" t="str">
        <f>IF(L856&gt;0,L856*35.273962,IF(J856&gt;0,J856*16,))</f>
        <v>#REF!</v>
      </c>
      <c r="L856" t="str">
        <f>IF(J856&gt;0,J856*0.453592,IF(K856&gt;0,K856*0.02835,))</f>
        <v>#REF!</v>
      </c>
      <c r="O856">
        <f>I856+N856+M856</f>
        <v>0</v>
      </c>
      <c r="P856">
        <f>O856*C$3</f>
        <v>0</v>
      </c>
      <c r="Q856" t="str">
        <f>ROUNDUP(HLOOKUP(IF(CEILING(L856,0.5)&lt;1,1,CEILING(L856,0.5)),'배송비 조회'!A$32:AY$36,2,0),-2)</f>
        <v>#REF!</v>
      </c>
      <c r="R856">
        <v>0</v>
      </c>
      <c r="S856" t="str">
        <f>ROUND((P856+Q856)*0.6,-2)</f>
        <v>#REF!</v>
      </c>
      <c r="T856" t="str">
        <f>ROUND((P856+Q856)*0.7,-2)</f>
        <v>#REF!</v>
      </c>
      <c r="U856" t="str">
        <f>ROUND(SUM(P856+Q856+R856+S856), -2)</f>
        <v>#REF!</v>
      </c>
      <c r="V856" t="str">
        <f>ROUND(P856+Q856+R856+T856, -2)</f>
        <v>#REF!</v>
      </c>
      <c r="W856">
        <v>0</v>
      </c>
      <c r="X856" t="str">
        <f>U856*0.038</f>
        <v>#REF!</v>
      </c>
      <c r="Y856" t="str">
        <f>U856*0.02</f>
        <v>#REF!</v>
      </c>
      <c r="Z856" t="str">
        <f>V856*0.1</f>
        <v>#REF!</v>
      </c>
      <c r="AA856" t="str">
        <f>U856-X856-Y856</f>
        <v>#REF!</v>
      </c>
      <c r="AB856" t="str">
        <f>V856-Z856</f>
        <v>#REF!</v>
      </c>
      <c r="AC856" t="str">
        <f>AA856*0.01</f>
        <v>#REF!</v>
      </c>
      <c r="AD856" t="str">
        <f>AA856-P856-AC856-Q856</f>
        <v>#REF!</v>
      </c>
      <c r="AE856" t="str">
        <f>AB856-P856-Q856-AC856</f>
        <v>#REF!</v>
      </c>
      <c r="AF856" t="str">
        <f>AD856/U856</f>
        <v>#REF!</v>
      </c>
      <c r="AG856" t="str">
        <f>AE856/V856</f>
        <v>#REF!</v>
      </c>
    </row>
    <row r="857">
      <c r="G857" t="str">
        <v>A</v>
      </c>
      <c r="J857" t="str">
        <f>IF(K857&gt;0,K857*0.0625,IF(L857&gt;0,L857*2.204623,))</f>
        <v>#REF!</v>
      </c>
      <c r="K857" t="str">
        <f>IF(L857&gt;0,L857*35.273962,IF(J857&gt;0,J857*16,))</f>
        <v>#REF!</v>
      </c>
      <c r="L857" t="str">
        <f>IF(J857&gt;0,J857*0.453592,IF(K857&gt;0,K857*0.02835,))</f>
        <v>#REF!</v>
      </c>
      <c r="O857">
        <f>I857+N857+M857</f>
        <v>0</v>
      </c>
      <c r="P857">
        <f>O857*C$3</f>
        <v>0</v>
      </c>
      <c r="Q857" t="str">
        <f>ROUNDUP(HLOOKUP(IF(CEILING(L857,0.5)&lt;1,1,CEILING(L857,0.5)),'배송비 조회'!A$32:AY$36,2,0),-2)</f>
        <v>#REF!</v>
      </c>
      <c r="R857">
        <v>0</v>
      </c>
      <c r="S857" t="str">
        <f>ROUND((P857+Q857)*0.6,-2)</f>
        <v>#REF!</v>
      </c>
      <c r="T857" t="str">
        <f>ROUND((P857+Q857)*0.7,-2)</f>
        <v>#REF!</v>
      </c>
      <c r="U857" t="str">
        <f>ROUND(SUM(P857+Q857+R857+S857), -2)</f>
        <v>#REF!</v>
      </c>
      <c r="V857" t="str">
        <f>ROUND(P857+Q857+R857+T857, -2)</f>
        <v>#REF!</v>
      </c>
      <c r="W857">
        <v>0</v>
      </c>
      <c r="X857" t="str">
        <f>U857*0.038</f>
        <v>#REF!</v>
      </c>
      <c r="Y857" t="str">
        <f>U857*0.02</f>
        <v>#REF!</v>
      </c>
      <c r="Z857" t="str">
        <f>V857*0.1</f>
        <v>#REF!</v>
      </c>
      <c r="AA857" t="str">
        <f>U857-X857-Y857</f>
        <v>#REF!</v>
      </c>
      <c r="AB857" t="str">
        <f>V857-Z857</f>
        <v>#REF!</v>
      </c>
      <c r="AC857" t="str">
        <f>AA857*0.01</f>
        <v>#REF!</v>
      </c>
      <c r="AD857" t="str">
        <f>AA857-P857-AC857-Q857</f>
        <v>#REF!</v>
      </c>
      <c r="AE857" t="str">
        <f>AB857-P857-Q857-AC857</f>
        <v>#REF!</v>
      </c>
      <c r="AF857" t="str">
        <f>AD857/U857</f>
        <v>#REF!</v>
      </c>
      <c r="AG857" t="str">
        <f>AE857/V857</f>
        <v>#REF!</v>
      </c>
    </row>
    <row r="858">
      <c r="G858" t="str">
        <v>A</v>
      </c>
      <c r="J858" t="str">
        <f>IF(K858&gt;0,K858*0.0625,IF(L858&gt;0,L858*2.204623,))</f>
        <v>#REF!</v>
      </c>
      <c r="K858" t="str">
        <f>IF(L858&gt;0,L858*35.273962,IF(J858&gt;0,J858*16,))</f>
        <v>#REF!</v>
      </c>
      <c r="L858" t="str">
        <f>IF(J858&gt;0,J858*0.453592,IF(K858&gt;0,K858*0.02835,))</f>
        <v>#REF!</v>
      </c>
      <c r="O858">
        <f>I858+N858+M858</f>
        <v>0</v>
      </c>
      <c r="P858">
        <f>O858*C$3</f>
        <v>0</v>
      </c>
      <c r="Q858" t="str">
        <f>ROUNDUP(HLOOKUP(IF(CEILING(L858,0.5)&lt;1,1,CEILING(L858,0.5)),'배송비 조회'!A$32:AY$36,2,0),-2)</f>
        <v>#REF!</v>
      </c>
      <c r="R858">
        <v>0</v>
      </c>
      <c r="S858" t="str">
        <f>ROUND((P858+Q858)*0.6,-2)</f>
        <v>#REF!</v>
      </c>
      <c r="T858" t="str">
        <f>ROUND((P858+Q858)*0.7,-2)</f>
        <v>#REF!</v>
      </c>
      <c r="U858" t="str">
        <f>ROUND(SUM(P858+Q858+R858+S858), -2)</f>
        <v>#REF!</v>
      </c>
      <c r="V858" t="str">
        <f>ROUND(P858+Q858+R858+T858, -2)</f>
        <v>#REF!</v>
      </c>
      <c r="W858">
        <v>0</v>
      </c>
      <c r="X858" t="str">
        <f>U858*0.038</f>
        <v>#REF!</v>
      </c>
      <c r="Y858" t="str">
        <f>U858*0.02</f>
        <v>#REF!</v>
      </c>
      <c r="Z858" t="str">
        <f>V858*0.1</f>
        <v>#REF!</v>
      </c>
      <c r="AA858" t="str">
        <f>U858-X858-Y858</f>
        <v>#REF!</v>
      </c>
      <c r="AB858" t="str">
        <f>V858-Z858</f>
        <v>#REF!</v>
      </c>
      <c r="AC858" t="str">
        <f>AA858*0.01</f>
        <v>#REF!</v>
      </c>
      <c r="AD858" t="str">
        <f>AA858-P858-AC858-Q858</f>
        <v>#REF!</v>
      </c>
      <c r="AE858" t="str">
        <f>AB858-P858-Q858-AC858</f>
        <v>#REF!</v>
      </c>
      <c r="AF858" t="str">
        <f>AD858/U858</f>
        <v>#REF!</v>
      </c>
      <c r="AG858" t="str">
        <f>AE858/V858</f>
        <v>#REF!</v>
      </c>
    </row>
    <row r="859">
      <c r="G859" t="str">
        <v>A</v>
      </c>
      <c r="J859" t="str">
        <f>IF(K859&gt;0,K859*0.0625,IF(L859&gt;0,L859*2.204623,))</f>
        <v>#REF!</v>
      </c>
      <c r="K859" t="str">
        <f>IF(L859&gt;0,L859*35.273962,IF(J859&gt;0,J859*16,))</f>
        <v>#REF!</v>
      </c>
      <c r="L859" t="str">
        <f>IF(J859&gt;0,J859*0.453592,IF(K859&gt;0,K859*0.02835,))</f>
        <v>#REF!</v>
      </c>
      <c r="O859">
        <f>I859+N859+M859</f>
        <v>0</v>
      </c>
      <c r="P859">
        <f>O859*C$3</f>
        <v>0</v>
      </c>
      <c r="Q859" t="str">
        <f>ROUNDUP(HLOOKUP(IF(CEILING(L859,0.5)&lt;1,1,CEILING(L859,0.5)),'배송비 조회'!A$32:AY$36,2,0),-2)</f>
        <v>#REF!</v>
      </c>
      <c r="R859">
        <v>0</v>
      </c>
      <c r="S859" t="str">
        <f>ROUND((P859+Q859)*0.6,-2)</f>
        <v>#REF!</v>
      </c>
      <c r="T859" t="str">
        <f>ROUND((P859+Q859)*0.7,-2)</f>
        <v>#REF!</v>
      </c>
      <c r="U859" t="str">
        <f>ROUND(SUM(P859+Q859+R859+S859), -2)</f>
        <v>#REF!</v>
      </c>
      <c r="V859" t="str">
        <f>ROUND(P859+Q859+R859+T859, -2)</f>
        <v>#REF!</v>
      </c>
      <c r="W859">
        <v>0</v>
      </c>
      <c r="X859" t="str">
        <f>U859*0.038</f>
        <v>#REF!</v>
      </c>
      <c r="Y859" t="str">
        <f>U859*0.02</f>
        <v>#REF!</v>
      </c>
      <c r="Z859" t="str">
        <f>V859*0.1</f>
        <v>#REF!</v>
      </c>
      <c r="AA859" t="str">
        <f>U859-X859-Y859</f>
        <v>#REF!</v>
      </c>
      <c r="AB859" t="str">
        <f>V859-Z859</f>
        <v>#REF!</v>
      </c>
      <c r="AC859" t="str">
        <f>AA859*0.01</f>
        <v>#REF!</v>
      </c>
      <c r="AD859" t="str">
        <f>AA859-P859-AC859-Q859</f>
        <v>#REF!</v>
      </c>
      <c r="AE859" t="str">
        <f>AB859-P859-Q859-AC859</f>
        <v>#REF!</v>
      </c>
      <c r="AF859" t="str">
        <f>AD859/U859</f>
        <v>#REF!</v>
      </c>
      <c r="AG859" t="str">
        <f>AE859/V859</f>
        <v>#REF!</v>
      </c>
    </row>
    <row r="860">
      <c r="G860" t="str">
        <v>A</v>
      </c>
      <c r="J860" t="str">
        <f>IF(K860&gt;0,K860*0.0625,IF(L860&gt;0,L860*2.204623,))</f>
        <v>#REF!</v>
      </c>
      <c r="K860" t="str">
        <f>IF(L860&gt;0,L860*35.273962,IF(J860&gt;0,J860*16,))</f>
        <v>#REF!</v>
      </c>
      <c r="L860" t="str">
        <f>IF(J860&gt;0,J860*0.453592,IF(K860&gt;0,K860*0.02835,))</f>
        <v>#REF!</v>
      </c>
      <c r="O860">
        <f>I860+N860+M860</f>
        <v>0</v>
      </c>
      <c r="P860">
        <f>O860*C$3</f>
        <v>0</v>
      </c>
      <c r="Q860" t="str">
        <f>ROUNDUP(HLOOKUP(IF(CEILING(L860,0.5)&lt;1,1,CEILING(L860,0.5)),'배송비 조회'!A$32:AY$36,2,0),-2)</f>
        <v>#REF!</v>
      </c>
      <c r="R860">
        <v>0</v>
      </c>
      <c r="S860" t="str">
        <f>ROUND((P860+Q860)*0.6,-2)</f>
        <v>#REF!</v>
      </c>
      <c r="T860" t="str">
        <f>ROUND((P860+Q860)*0.7,-2)</f>
        <v>#REF!</v>
      </c>
      <c r="U860" t="str">
        <f>ROUND(SUM(P860+Q860+R860+S860), -2)</f>
        <v>#REF!</v>
      </c>
      <c r="V860" t="str">
        <f>ROUND(P860+Q860+R860+T860, -2)</f>
        <v>#REF!</v>
      </c>
      <c r="W860">
        <v>0</v>
      </c>
      <c r="X860" t="str">
        <f>U860*0.038</f>
        <v>#REF!</v>
      </c>
      <c r="Y860" t="str">
        <f>U860*0.02</f>
        <v>#REF!</v>
      </c>
      <c r="Z860" t="str">
        <f>V860*0.1</f>
        <v>#REF!</v>
      </c>
      <c r="AA860" t="str">
        <f>U860-X860-Y860</f>
        <v>#REF!</v>
      </c>
      <c r="AB860" t="str">
        <f>V860-Z860</f>
        <v>#REF!</v>
      </c>
      <c r="AC860" t="str">
        <f>AA860*0.01</f>
        <v>#REF!</v>
      </c>
      <c r="AD860" t="str">
        <f>AA860-P860-AC860-Q860</f>
        <v>#REF!</v>
      </c>
      <c r="AE860" t="str">
        <f>AB860-P860-Q860-AC860</f>
        <v>#REF!</v>
      </c>
      <c r="AF860" t="str">
        <f>AD860/U860</f>
        <v>#REF!</v>
      </c>
      <c r="AG860" t="str">
        <f>AE860/V860</f>
        <v>#REF!</v>
      </c>
    </row>
    <row r="861">
      <c r="G861" t="str">
        <v>A</v>
      </c>
      <c r="J861" t="str">
        <f>IF(K861&gt;0,K861*0.0625,IF(L861&gt;0,L861*2.204623,))</f>
        <v>#REF!</v>
      </c>
      <c r="K861" t="str">
        <f>IF(L861&gt;0,L861*35.273962,IF(J861&gt;0,J861*16,))</f>
        <v>#REF!</v>
      </c>
      <c r="L861" t="str">
        <f>IF(J861&gt;0,J861*0.453592,IF(K861&gt;0,K861*0.02835,))</f>
        <v>#REF!</v>
      </c>
      <c r="O861">
        <f>I861+N861+M861</f>
        <v>0</v>
      </c>
      <c r="P861">
        <f>O861*C$3</f>
        <v>0</v>
      </c>
      <c r="Q861" t="str">
        <f>ROUNDUP(HLOOKUP(IF(CEILING(L861,0.5)&lt;1,1,CEILING(L861,0.5)),'배송비 조회'!A$32:AY$36,2,0),-2)</f>
        <v>#REF!</v>
      </c>
      <c r="R861">
        <v>0</v>
      </c>
      <c r="S861" t="str">
        <f>ROUND((P861+Q861)*0.6,-2)</f>
        <v>#REF!</v>
      </c>
      <c r="T861" t="str">
        <f>ROUND((P861+Q861)*0.7,-2)</f>
        <v>#REF!</v>
      </c>
      <c r="U861" t="str">
        <f>ROUND(SUM(P861+Q861+R861+S861), -2)</f>
        <v>#REF!</v>
      </c>
      <c r="V861" t="str">
        <f>ROUND(P861+Q861+R861+T861, -2)</f>
        <v>#REF!</v>
      </c>
      <c r="W861">
        <v>0</v>
      </c>
      <c r="X861" t="str">
        <f>U861*0.038</f>
        <v>#REF!</v>
      </c>
      <c r="Y861" t="str">
        <f>U861*0.02</f>
        <v>#REF!</v>
      </c>
      <c r="Z861" t="str">
        <f>V861*0.1</f>
        <v>#REF!</v>
      </c>
      <c r="AA861" t="str">
        <f>U861-X861-Y861</f>
        <v>#REF!</v>
      </c>
      <c r="AB861" t="str">
        <f>V861-Z861</f>
        <v>#REF!</v>
      </c>
      <c r="AC861" t="str">
        <f>AA861*0.01</f>
        <v>#REF!</v>
      </c>
      <c r="AD861" t="str">
        <f>AA861-P861-AC861-Q861</f>
        <v>#REF!</v>
      </c>
      <c r="AE861" t="str">
        <f>AB861-P861-Q861-AC861</f>
        <v>#REF!</v>
      </c>
      <c r="AF861" t="str">
        <f>AD861/U861</f>
        <v>#REF!</v>
      </c>
      <c r="AG861" t="str">
        <f>AE861/V861</f>
        <v>#REF!</v>
      </c>
    </row>
    <row r="862">
      <c r="G862" t="str">
        <v>A</v>
      </c>
      <c r="J862" t="str">
        <f>IF(K862&gt;0,K862*0.0625,IF(L862&gt;0,L862*2.204623,))</f>
        <v>#REF!</v>
      </c>
      <c r="K862" t="str">
        <f>IF(L862&gt;0,L862*35.273962,IF(J862&gt;0,J862*16,))</f>
        <v>#REF!</v>
      </c>
      <c r="L862" t="str">
        <f>IF(J862&gt;0,J862*0.453592,IF(K862&gt;0,K862*0.02835,))</f>
        <v>#REF!</v>
      </c>
      <c r="O862">
        <f>I862+N862+M862</f>
        <v>0</v>
      </c>
      <c r="P862">
        <f>O862*C$3</f>
        <v>0</v>
      </c>
      <c r="Q862" t="str">
        <f>ROUNDUP(HLOOKUP(IF(CEILING(L862,0.5)&lt;1,1,CEILING(L862,0.5)),'배송비 조회'!A$32:AY$36,2,0),-2)</f>
        <v>#REF!</v>
      </c>
      <c r="R862">
        <v>0</v>
      </c>
      <c r="S862" t="str">
        <f>ROUND((P862+Q862)*0.6,-2)</f>
        <v>#REF!</v>
      </c>
      <c r="T862" t="str">
        <f>ROUND((P862+Q862)*0.7,-2)</f>
        <v>#REF!</v>
      </c>
      <c r="U862" t="str">
        <f>ROUND(SUM(P862+Q862+R862+S862), -2)</f>
        <v>#REF!</v>
      </c>
      <c r="V862" t="str">
        <f>ROUND(P862+Q862+R862+T862, -2)</f>
        <v>#REF!</v>
      </c>
      <c r="W862">
        <v>0</v>
      </c>
      <c r="X862" t="str">
        <f>U862*0.038</f>
        <v>#REF!</v>
      </c>
      <c r="Y862" t="str">
        <f>U862*0.02</f>
        <v>#REF!</v>
      </c>
      <c r="Z862" t="str">
        <f>V862*0.1</f>
        <v>#REF!</v>
      </c>
      <c r="AA862" t="str">
        <f>U862-X862-Y862</f>
        <v>#REF!</v>
      </c>
      <c r="AB862" t="str">
        <f>V862-Z862</f>
        <v>#REF!</v>
      </c>
      <c r="AC862" t="str">
        <f>AA862*0.01</f>
        <v>#REF!</v>
      </c>
      <c r="AD862" t="str">
        <f>AA862-P862-AC862-Q862</f>
        <v>#REF!</v>
      </c>
      <c r="AE862" t="str">
        <f>AB862-P862-Q862-AC862</f>
        <v>#REF!</v>
      </c>
      <c r="AF862" t="str">
        <f>AD862/U862</f>
        <v>#REF!</v>
      </c>
      <c r="AG862" t="str">
        <f>AE862/V862</f>
        <v>#REF!</v>
      </c>
    </row>
    <row r="863">
      <c r="G863" t="str">
        <v>A</v>
      </c>
      <c r="J863" t="str">
        <f>IF(K863&gt;0,K863*0.0625,IF(L863&gt;0,L863*2.204623,))</f>
        <v>#REF!</v>
      </c>
      <c r="K863" t="str">
        <f>IF(L863&gt;0,L863*35.273962,IF(J863&gt;0,J863*16,))</f>
        <v>#REF!</v>
      </c>
      <c r="L863" t="str">
        <f>IF(J863&gt;0,J863*0.453592,IF(K863&gt;0,K863*0.02835,))</f>
        <v>#REF!</v>
      </c>
      <c r="O863">
        <f>I863+N863+M863</f>
        <v>0</v>
      </c>
      <c r="P863">
        <f>O863*C$3</f>
        <v>0</v>
      </c>
      <c r="Q863" t="str">
        <f>ROUNDUP(HLOOKUP(IF(CEILING(L863,0.5)&lt;1,1,CEILING(L863,0.5)),'배송비 조회'!A$32:AY$36,2,0),-2)</f>
        <v>#REF!</v>
      </c>
      <c r="R863">
        <v>0</v>
      </c>
      <c r="S863" t="str">
        <f>ROUND((P863+Q863)*0.6,-2)</f>
        <v>#REF!</v>
      </c>
      <c r="T863" t="str">
        <f>ROUND((P863+Q863)*0.7,-2)</f>
        <v>#REF!</v>
      </c>
      <c r="U863" t="str">
        <f>ROUND(SUM(P863+Q863+R863+S863), -2)</f>
        <v>#REF!</v>
      </c>
      <c r="V863" t="str">
        <f>ROUND(P863+Q863+R863+T863, -2)</f>
        <v>#REF!</v>
      </c>
      <c r="W863">
        <v>0</v>
      </c>
      <c r="X863" t="str">
        <f>U863*0.038</f>
        <v>#REF!</v>
      </c>
      <c r="Y863" t="str">
        <f>U863*0.02</f>
        <v>#REF!</v>
      </c>
      <c r="Z863" t="str">
        <f>V863*0.1</f>
        <v>#REF!</v>
      </c>
      <c r="AA863" t="str">
        <f>U863-X863-Y863</f>
        <v>#REF!</v>
      </c>
      <c r="AB863" t="str">
        <f>V863-Z863</f>
        <v>#REF!</v>
      </c>
      <c r="AC863" t="str">
        <f>AA863*0.01</f>
        <v>#REF!</v>
      </c>
      <c r="AD863" t="str">
        <f>AA863-P863-AC863-Q863</f>
        <v>#REF!</v>
      </c>
      <c r="AE863" t="str">
        <f>AB863-P863-Q863-AC863</f>
        <v>#REF!</v>
      </c>
      <c r="AF863" t="str">
        <f>AD863/U863</f>
        <v>#REF!</v>
      </c>
      <c r="AG863" t="str">
        <f>AE863/V863</f>
        <v>#REF!</v>
      </c>
    </row>
    <row r="864">
      <c r="G864" t="str">
        <v>A</v>
      </c>
      <c r="J864" t="str">
        <f>IF(K864&gt;0,K864*0.0625,IF(L864&gt;0,L864*2.204623,))</f>
        <v>#REF!</v>
      </c>
      <c r="K864" t="str">
        <f>IF(L864&gt;0,L864*35.273962,IF(J864&gt;0,J864*16,))</f>
        <v>#REF!</v>
      </c>
      <c r="L864" t="str">
        <f>IF(J864&gt;0,J864*0.453592,IF(K864&gt;0,K864*0.02835,))</f>
        <v>#REF!</v>
      </c>
      <c r="O864">
        <f>I864+N864+M864</f>
        <v>0</v>
      </c>
      <c r="P864">
        <f>O864*C$3</f>
        <v>0</v>
      </c>
      <c r="Q864" t="str">
        <f>ROUNDUP(HLOOKUP(IF(CEILING(L864,0.5)&lt;1,1,CEILING(L864,0.5)),'배송비 조회'!A$32:AY$36,2,0),-2)</f>
        <v>#REF!</v>
      </c>
      <c r="R864">
        <v>0</v>
      </c>
      <c r="S864" t="str">
        <f>ROUND((P864+Q864)*0.6,-2)</f>
        <v>#REF!</v>
      </c>
      <c r="T864" t="str">
        <f>ROUND((P864+Q864)*0.7,-2)</f>
        <v>#REF!</v>
      </c>
      <c r="U864" t="str">
        <f>ROUND(SUM(P864+Q864+R864+S864), -2)</f>
        <v>#REF!</v>
      </c>
      <c r="V864" t="str">
        <f>ROUND(P864+Q864+R864+T864, -2)</f>
        <v>#REF!</v>
      </c>
      <c r="W864">
        <v>0</v>
      </c>
      <c r="X864" t="str">
        <f>U864*0.038</f>
        <v>#REF!</v>
      </c>
      <c r="Y864" t="str">
        <f>U864*0.02</f>
        <v>#REF!</v>
      </c>
      <c r="Z864" t="str">
        <f>V864*0.1</f>
        <v>#REF!</v>
      </c>
      <c r="AA864" t="str">
        <f>U864-X864-Y864</f>
        <v>#REF!</v>
      </c>
      <c r="AB864" t="str">
        <f>V864-Z864</f>
        <v>#REF!</v>
      </c>
      <c r="AC864" t="str">
        <f>AA864*0.01</f>
        <v>#REF!</v>
      </c>
      <c r="AD864" t="str">
        <f>AA864-P864-AC864-Q864</f>
        <v>#REF!</v>
      </c>
      <c r="AE864" t="str">
        <f>AB864-P864-Q864-AC864</f>
        <v>#REF!</v>
      </c>
      <c r="AF864" t="str">
        <f>AD864/U864</f>
        <v>#REF!</v>
      </c>
      <c r="AG864" t="str">
        <f>AE864/V864</f>
        <v>#REF!</v>
      </c>
    </row>
    <row r="865">
      <c r="G865" t="str">
        <v>A</v>
      </c>
      <c r="J865" t="str">
        <f>IF(K865&gt;0,K865*0.0625,IF(L865&gt;0,L865*2.204623,))</f>
        <v>#REF!</v>
      </c>
      <c r="K865" t="str">
        <f>IF(L865&gt;0,L865*35.273962,IF(J865&gt;0,J865*16,))</f>
        <v>#REF!</v>
      </c>
      <c r="L865" t="str">
        <f>IF(J865&gt;0,J865*0.453592,IF(K865&gt;0,K865*0.02835,))</f>
        <v>#REF!</v>
      </c>
      <c r="O865">
        <f>I865+N865+M865</f>
        <v>0</v>
      </c>
      <c r="P865">
        <f>O865*C$3</f>
        <v>0</v>
      </c>
      <c r="Q865" t="str">
        <f>ROUNDUP(HLOOKUP(IF(CEILING(L865,0.5)&lt;1,1,CEILING(L865,0.5)),'배송비 조회'!A$32:AY$36,2,0),-2)</f>
        <v>#REF!</v>
      </c>
      <c r="R865">
        <v>0</v>
      </c>
      <c r="S865" t="str">
        <f>ROUND((P865+Q865)*0.6,-2)</f>
        <v>#REF!</v>
      </c>
      <c r="T865" t="str">
        <f>ROUND((P865+Q865)*0.7,-2)</f>
        <v>#REF!</v>
      </c>
      <c r="U865" t="str">
        <f>ROUND(SUM(P865+Q865+R865+S865), -2)</f>
        <v>#REF!</v>
      </c>
      <c r="V865" t="str">
        <f>ROUND(P865+Q865+R865+T865, -2)</f>
        <v>#REF!</v>
      </c>
      <c r="W865">
        <v>0</v>
      </c>
      <c r="X865" t="str">
        <f>U865*0.038</f>
        <v>#REF!</v>
      </c>
      <c r="Y865" t="str">
        <f>U865*0.02</f>
        <v>#REF!</v>
      </c>
      <c r="Z865" t="str">
        <f>V865*0.1</f>
        <v>#REF!</v>
      </c>
      <c r="AA865" t="str">
        <f>U865-X865-Y865</f>
        <v>#REF!</v>
      </c>
      <c r="AB865" t="str">
        <f>V865-Z865</f>
        <v>#REF!</v>
      </c>
      <c r="AC865" t="str">
        <f>AA865*0.01</f>
        <v>#REF!</v>
      </c>
      <c r="AD865" t="str">
        <f>AA865-P865-AC865-Q865</f>
        <v>#REF!</v>
      </c>
      <c r="AE865" t="str">
        <f>AB865-P865-Q865-AC865</f>
        <v>#REF!</v>
      </c>
      <c r="AF865" t="str">
        <f>AD865/U865</f>
        <v>#REF!</v>
      </c>
      <c r="AG865" t="str">
        <f>AE865/V865</f>
        <v>#REF!</v>
      </c>
    </row>
    <row r="866">
      <c r="G866" t="str">
        <v>A</v>
      </c>
      <c r="J866" t="str">
        <f>IF(K866&gt;0,K866*0.0625,IF(L866&gt;0,L866*2.204623,))</f>
        <v>#REF!</v>
      </c>
      <c r="K866" t="str">
        <f>IF(L866&gt;0,L866*35.273962,IF(J866&gt;0,J866*16,))</f>
        <v>#REF!</v>
      </c>
      <c r="L866" t="str">
        <f>IF(J866&gt;0,J866*0.453592,IF(K866&gt;0,K866*0.02835,))</f>
        <v>#REF!</v>
      </c>
      <c r="O866">
        <f>I866+N866+M866</f>
        <v>0</v>
      </c>
      <c r="P866">
        <f>O866*C$3</f>
        <v>0</v>
      </c>
      <c r="Q866" t="str">
        <f>ROUNDUP(HLOOKUP(IF(CEILING(L866,0.5)&lt;1,1,CEILING(L866,0.5)),'배송비 조회'!A$32:AY$36,2,0),-2)</f>
        <v>#REF!</v>
      </c>
      <c r="R866">
        <v>0</v>
      </c>
      <c r="S866" t="str">
        <f>ROUND((P866+Q866)*0.6,-2)</f>
        <v>#REF!</v>
      </c>
      <c r="T866" t="str">
        <f>ROUND((P866+Q866)*0.7,-2)</f>
        <v>#REF!</v>
      </c>
      <c r="U866" t="str">
        <f>ROUND(SUM(P866+Q866+R866+S866), -2)</f>
        <v>#REF!</v>
      </c>
      <c r="V866" t="str">
        <f>ROUND(P866+Q866+R866+T866, -2)</f>
        <v>#REF!</v>
      </c>
      <c r="W866">
        <v>0</v>
      </c>
      <c r="X866" t="str">
        <f>U866*0.038</f>
        <v>#REF!</v>
      </c>
      <c r="Y866" t="str">
        <f>U866*0.02</f>
        <v>#REF!</v>
      </c>
      <c r="Z866" t="str">
        <f>V866*0.1</f>
        <v>#REF!</v>
      </c>
      <c r="AA866" t="str">
        <f>U866-X866-Y866</f>
        <v>#REF!</v>
      </c>
      <c r="AB866" t="str">
        <f>V866-Z866</f>
        <v>#REF!</v>
      </c>
      <c r="AC866" t="str">
        <f>AA866*0.01</f>
        <v>#REF!</v>
      </c>
      <c r="AD866" t="str">
        <f>AA866-P866-AC866-Q866</f>
        <v>#REF!</v>
      </c>
      <c r="AE866" t="str">
        <f>AB866-P866-Q866-AC866</f>
        <v>#REF!</v>
      </c>
      <c r="AF866" t="str">
        <f>AD866/U866</f>
        <v>#REF!</v>
      </c>
      <c r="AG866" t="str">
        <f>AE866/V866</f>
        <v>#REF!</v>
      </c>
    </row>
    <row r="867">
      <c r="G867" t="str">
        <v>A</v>
      </c>
      <c r="J867" t="str">
        <f>IF(K867&gt;0,K867*0.0625,IF(L867&gt;0,L867*2.204623,))</f>
        <v>#REF!</v>
      </c>
      <c r="K867" t="str">
        <f>IF(L867&gt;0,L867*35.273962,IF(J867&gt;0,J867*16,))</f>
        <v>#REF!</v>
      </c>
      <c r="L867" t="str">
        <f>IF(J867&gt;0,J867*0.453592,IF(K867&gt;0,K867*0.02835,))</f>
        <v>#REF!</v>
      </c>
      <c r="O867">
        <f>I867+N867+M867</f>
        <v>0</v>
      </c>
      <c r="P867">
        <f>O867*C$3</f>
        <v>0</v>
      </c>
      <c r="Q867" t="str">
        <f>ROUNDUP(HLOOKUP(IF(CEILING(L867,0.5)&lt;1,1,CEILING(L867,0.5)),'배송비 조회'!A$32:AY$36,2,0),-2)</f>
        <v>#REF!</v>
      </c>
      <c r="R867">
        <v>0</v>
      </c>
      <c r="S867" t="str">
        <f>ROUND((P867+Q867)*0.6,-2)</f>
        <v>#REF!</v>
      </c>
      <c r="T867" t="str">
        <f>ROUND((P867+Q867)*0.7,-2)</f>
        <v>#REF!</v>
      </c>
      <c r="U867" t="str">
        <f>ROUND(SUM(P867+Q867+R867+S867), -2)</f>
        <v>#REF!</v>
      </c>
      <c r="V867" t="str">
        <f>ROUND(P867+Q867+R867+T867, -2)</f>
        <v>#REF!</v>
      </c>
      <c r="W867">
        <v>0</v>
      </c>
      <c r="X867" t="str">
        <f>U867*0.038</f>
        <v>#REF!</v>
      </c>
      <c r="Y867" t="str">
        <f>U867*0.02</f>
        <v>#REF!</v>
      </c>
      <c r="Z867" t="str">
        <f>V867*0.1</f>
        <v>#REF!</v>
      </c>
      <c r="AA867" t="str">
        <f>U867-X867-Y867</f>
        <v>#REF!</v>
      </c>
      <c r="AB867" t="str">
        <f>V867-Z867</f>
        <v>#REF!</v>
      </c>
      <c r="AC867" t="str">
        <f>AA867*0.01</f>
        <v>#REF!</v>
      </c>
      <c r="AD867" t="str">
        <f>AA867-P867-AC867-Q867</f>
        <v>#REF!</v>
      </c>
      <c r="AE867" t="str">
        <f>AB867-P867-Q867-AC867</f>
        <v>#REF!</v>
      </c>
      <c r="AF867" t="str">
        <f>AD867/U867</f>
        <v>#REF!</v>
      </c>
      <c r="AG867" t="str">
        <f>AE867/V867</f>
        <v>#REF!</v>
      </c>
    </row>
    <row r="868">
      <c r="G868" t="str">
        <v>A</v>
      </c>
      <c r="J868" t="str">
        <f>IF(K868&gt;0,K868*0.0625,IF(L868&gt;0,L868*2.204623,))</f>
        <v>#REF!</v>
      </c>
      <c r="K868" t="str">
        <f>IF(L868&gt;0,L868*35.273962,IF(J868&gt;0,J868*16,))</f>
        <v>#REF!</v>
      </c>
      <c r="L868" t="str">
        <f>IF(J868&gt;0,J868*0.453592,IF(K868&gt;0,K868*0.02835,))</f>
        <v>#REF!</v>
      </c>
      <c r="O868">
        <f>I868+N868+M868</f>
        <v>0</v>
      </c>
      <c r="P868">
        <f>O868*C$3</f>
        <v>0</v>
      </c>
      <c r="Q868" t="str">
        <f>ROUNDUP(HLOOKUP(IF(CEILING(L868,0.5)&lt;1,1,CEILING(L868,0.5)),'배송비 조회'!A$32:AY$36,2,0),-2)</f>
        <v>#REF!</v>
      </c>
      <c r="R868">
        <v>0</v>
      </c>
      <c r="S868" t="str">
        <f>ROUND((P868+Q868)*0.6,-2)</f>
        <v>#REF!</v>
      </c>
      <c r="T868" t="str">
        <f>ROUND((P868+Q868)*0.7,-2)</f>
        <v>#REF!</v>
      </c>
      <c r="U868" t="str">
        <f>ROUND(SUM(P868+Q868+R868+S868), -2)</f>
        <v>#REF!</v>
      </c>
      <c r="V868" t="str">
        <f>ROUND(P868+Q868+R868+T868, -2)</f>
        <v>#REF!</v>
      </c>
      <c r="W868">
        <v>0</v>
      </c>
      <c r="X868" t="str">
        <f>U868*0.038</f>
        <v>#REF!</v>
      </c>
      <c r="Y868" t="str">
        <f>U868*0.02</f>
        <v>#REF!</v>
      </c>
      <c r="Z868" t="str">
        <f>V868*0.1</f>
        <v>#REF!</v>
      </c>
      <c r="AA868" t="str">
        <f>U868-X868-Y868</f>
        <v>#REF!</v>
      </c>
      <c r="AB868" t="str">
        <f>V868-Z868</f>
        <v>#REF!</v>
      </c>
      <c r="AC868" t="str">
        <f>AA868*0.01</f>
        <v>#REF!</v>
      </c>
      <c r="AD868" t="str">
        <f>AA868-P868-AC868-Q868</f>
        <v>#REF!</v>
      </c>
      <c r="AE868" t="str">
        <f>AB868-P868-Q868-AC868</f>
        <v>#REF!</v>
      </c>
      <c r="AF868" t="str">
        <f>AD868/U868</f>
        <v>#REF!</v>
      </c>
      <c r="AG868" t="str">
        <f>AE868/V868</f>
        <v>#REF!</v>
      </c>
    </row>
    <row r="869">
      <c r="G869" t="str">
        <v>A</v>
      </c>
      <c r="J869" t="str">
        <f>IF(K869&gt;0,K869*0.0625,IF(L869&gt;0,L869*2.204623,))</f>
        <v>#REF!</v>
      </c>
      <c r="K869" t="str">
        <f>IF(L869&gt;0,L869*35.273962,IF(J869&gt;0,J869*16,))</f>
        <v>#REF!</v>
      </c>
      <c r="L869" t="str">
        <f>IF(J869&gt;0,J869*0.453592,IF(K869&gt;0,K869*0.02835,))</f>
        <v>#REF!</v>
      </c>
      <c r="O869">
        <f>I869+N869+M869</f>
        <v>0</v>
      </c>
      <c r="P869">
        <f>O869*C$3</f>
        <v>0</v>
      </c>
      <c r="Q869" t="str">
        <f>ROUNDUP(HLOOKUP(IF(CEILING(L869,0.5)&lt;1,1,CEILING(L869,0.5)),'배송비 조회'!A$32:AY$36,2,0),-2)</f>
        <v>#REF!</v>
      </c>
      <c r="R869">
        <v>0</v>
      </c>
      <c r="S869" t="str">
        <f>ROUND((P869+Q869)*0.6,-2)</f>
        <v>#REF!</v>
      </c>
      <c r="T869" t="str">
        <f>ROUND((P869+Q869)*0.7,-2)</f>
        <v>#REF!</v>
      </c>
      <c r="U869" t="str">
        <f>ROUND(SUM(P869+Q869+R869+S869), -2)</f>
        <v>#REF!</v>
      </c>
      <c r="V869" t="str">
        <f>ROUND(P869+Q869+R869+T869, -2)</f>
        <v>#REF!</v>
      </c>
      <c r="W869">
        <v>0</v>
      </c>
      <c r="X869" t="str">
        <f>U869*0.038</f>
        <v>#REF!</v>
      </c>
      <c r="Y869" t="str">
        <f>U869*0.02</f>
        <v>#REF!</v>
      </c>
      <c r="Z869" t="str">
        <f>V869*0.1</f>
        <v>#REF!</v>
      </c>
      <c r="AA869" t="str">
        <f>U869-X869-Y869</f>
        <v>#REF!</v>
      </c>
      <c r="AB869" t="str">
        <f>V869-Z869</f>
        <v>#REF!</v>
      </c>
      <c r="AC869" t="str">
        <f>AA869*0.01</f>
        <v>#REF!</v>
      </c>
      <c r="AD869" t="str">
        <f>AA869-P869-AC869-Q869</f>
        <v>#REF!</v>
      </c>
      <c r="AE869" t="str">
        <f>AB869-P869-Q869-AC869</f>
        <v>#REF!</v>
      </c>
      <c r="AF869" t="str">
        <f>AD869/U869</f>
        <v>#REF!</v>
      </c>
      <c r="AG869" t="str">
        <f>AE869/V869</f>
        <v>#REF!</v>
      </c>
    </row>
    <row r="870">
      <c r="G870" t="str">
        <v>A</v>
      </c>
      <c r="J870" t="str">
        <f>IF(K870&gt;0,K870*0.0625,IF(L870&gt;0,L870*2.204623,))</f>
        <v>#REF!</v>
      </c>
      <c r="K870" t="str">
        <f>IF(L870&gt;0,L870*35.273962,IF(J870&gt;0,J870*16,))</f>
        <v>#REF!</v>
      </c>
      <c r="L870" t="str">
        <f>IF(J870&gt;0,J870*0.453592,IF(K870&gt;0,K870*0.02835,))</f>
        <v>#REF!</v>
      </c>
      <c r="O870">
        <f>I870+N870+M870</f>
        <v>0</v>
      </c>
      <c r="P870">
        <f>O870*C$3</f>
        <v>0</v>
      </c>
      <c r="Q870" t="str">
        <f>ROUNDUP(HLOOKUP(IF(CEILING(L870,0.5)&lt;1,1,CEILING(L870,0.5)),'배송비 조회'!A$32:AY$36,2,0),-2)</f>
        <v>#REF!</v>
      </c>
      <c r="R870">
        <v>0</v>
      </c>
      <c r="S870" t="str">
        <f>ROUND((P870+Q870)*0.6,-2)</f>
        <v>#REF!</v>
      </c>
      <c r="T870" t="str">
        <f>ROUND((P870+Q870)*0.7,-2)</f>
        <v>#REF!</v>
      </c>
      <c r="U870" t="str">
        <f>ROUND(SUM(P870+Q870+R870+S870), -2)</f>
        <v>#REF!</v>
      </c>
      <c r="V870" t="str">
        <f>ROUND(P870+Q870+R870+T870, -2)</f>
        <v>#REF!</v>
      </c>
      <c r="W870">
        <v>0</v>
      </c>
      <c r="X870" t="str">
        <f>U870*0.038</f>
        <v>#REF!</v>
      </c>
      <c r="Y870" t="str">
        <f>U870*0.02</f>
        <v>#REF!</v>
      </c>
      <c r="Z870" t="str">
        <f>V870*0.1</f>
        <v>#REF!</v>
      </c>
      <c r="AA870" t="str">
        <f>U870-X870-Y870</f>
        <v>#REF!</v>
      </c>
      <c r="AB870" t="str">
        <f>V870-Z870</f>
        <v>#REF!</v>
      </c>
      <c r="AC870" t="str">
        <f>AA870*0.01</f>
        <v>#REF!</v>
      </c>
      <c r="AD870" t="str">
        <f>AA870-P870-AC870-Q870</f>
        <v>#REF!</v>
      </c>
      <c r="AE870" t="str">
        <f>AB870-P870-Q870-AC870</f>
        <v>#REF!</v>
      </c>
      <c r="AF870" t="str">
        <f>AD870/U870</f>
        <v>#REF!</v>
      </c>
      <c r="AG870" t="str">
        <f>AE870/V870</f>
        <v>#REF!</v>
      </c>
    </row>
    <row r="871">
      <c r="G871" t="str">
        <v>A</v>
      </c>
      <c r="J871" t="str">
        <f>IF(K871&gt;0,K871*0.0625,IF(L871&gt;0,L871*2.204623,))</f>
        <v>#REF!</v>
      </c>
      <c r="K871" t="str">
        <f>IF(L871&gt;0,L871*35.273962,IF(J871&gt;0,J871*16,))</f>
        <v>#REF!</v>
      </c>
      <c r="L871" t="str">
        <f>IF(J871&gt;0,J871*0.453592,IF(K871&gt;0,K871*0.02835,))</f>
        <v>#REF!</v>
      </c>
      <c r="O871">
        <f>I871+N871+M871</f>
        <v>0</v>
      </c>
      <c r="P871">
        <f>O871*C$3</f>
        <v>0</v>
      </c>
      <c r="Q871" t="str">
        <f>ROUNDUP(HLOOKUP(IF(CEILING(L871,0.5)&lt;1,1,CEILING(L871,0.5)),'배송비 조회'!A$32:AY$36,2,0),-2)</f>
        <v>#REF!</v>
      </c>
      <c r="R871">
        <v>0</v>
      </c>
      <c r="S871" t="str">
        <f>ROUND((P871+Q871)*0.6,-2)</f>
        <v>#REF!</v>
      </c>
      <c r="T871" t="str">
        <f>ROUND((P871+Q871)*0.7,-2)</f>
        <v>#REF!</v>
      </c>
      <c r="U871" t="str">
        <f>ROUND(SUM(P871+Q871+R871+S871), -2)</f>
        <v>#REF!</v>
      </c>
      <c r="V871" t="str">
        <f>ROUND(P871+Q871+R871+T871, -2)</f>
        <v>#REF!</v>
      </c>
      <c r="W871">
        <v>0</v>
      </c>
      <c r="X871" t="str">
        <f>U871*0.038</f>
        <v>#REF!</v>
      </c>
      <c r="Y871" t="str">
        <f>U871*0.02</f>
        <v>#REF!</v>
      </c>
      <c r="Z871" t="str">
        <f>V871*0.1</f>
        <v>#REF!</v>
      </c>
      <c r="AA871" t="str">
        <f>U871-X871-Y871</f>
        <v>#REF!</v>
      </c>
      <c r="AB871" t="str">
        <f>V871-Z871</f>
        <v>#REF!</v>
      </c>
      <c r="AC871" t="str">
        <f>AA871*0.01</f>
        <v>#REF!</v>
      </c>
      <c r="AD871" t="str">
        <f>AA871-P871-AC871-Q871</f>
        <v>#REF!</v>
      </c>
      <c r="AE871" t="str">
        <f>AB871-P871-Q871-AC871</f>
        <v>#REF!</v>
      </c>
      <c r="AF871" t="str">
        <f>AD871/U871</f>
        <v>#REF!</v>
      </c>
      <c r="AG871" t="str">
        <f>AE871/V871</f>
        <v>#REF!</v>
      </c>
    </row>
    <row r="872">
      <c r="G872" t="str">
        <v>A</v>
      </c>
      <c r="J872" t="str">
        <f>IF(K872&gt;0,K872*0.0625,IF(L872&gt;0,L872*2.204623,))</f>
        <v>#REF!</v>
      </c>
      <c r="K872" t="str">
        <f>IF(L872&gt;0,L872*35.273962,IF(J872&gt;0,J872*16,))</f>
        <v>#REF!</v>
      </c>
      <c r="L872" t="str">
        <f>IF(J872&gt;0,J872*0.453592,IF(K872&gt;0,K872*0.02835,))</f>
        <v>#REF!</v>
      </c>
      <c r="O872">
        <f>I872+N872+M872</f>
        <v>0</v>
      </c>
      <c r="P872">
        <f>O872*C$3</f>
        <v>0</v>
      </c>
      <c r="Q872" t="str">
        <f>ROUNDUP(HLOOKUP(IF(CEILING(L872,0.5)&lt;1,1,CEILING(L872,0.5)),'배송비 조회'!A$32:AY$36,2,0),-2)</f>
        <v>#REF!</v>
      </c>
      <c r="R872">
        <v>0</v>
      </c>
      <c r="S872" t="str">
        <f>ROUND((P872+Q872)*0.6,-2)</f>
        <v>#REF!</v>
      </c>
      <c r="T872" t="str">
        <f>ROUND((P872+Q872)*0.7,-2)</f>
        <v>#REF!</v>
      </c>
      <c r="U872" t="str">
        <f>ROUND(SUM(P872+Q872+R872+S872), -2)</f>
        <v>#REF!</v>
      </c>
      <c r="V872" t="str">
        <f>ROUND(P872+Q872+R872+T872, -2)</f>
        <v>#REF!</v>
      </c>
      <c r="W872">
        <v>0</v>
      </c>
      <c r="X872" t="str">
        <f>U872*0.038</f>
        <v>#REF!</v>
      </c>
      <c r="Y872" t="str">
        <f>U872*0.02</f>
        <v>#REF!</v>
      </c>
      <c r="Z872" t="str">
        <f>V872*0.1</f>
        <v>#REF!</v>
      </c>
      <c r="AA872" t="str">
        <f>U872-X872-Y872</f>
        <v>#REF!</v>
      </c>
      <c r="AB872" t="str">
        <f>V872-Z872</f>
        <v>#REF!</v>
      </c>
      <c r="AC872" t="str">
        <f>AA872*0.01</f>
        <v>#REF!</v>
      </c>
      <c r="AD872" t="str">
        <f>AA872-P872-AC872-Q872</f>
        <v>#REF!</v>
      </c>
      <c r="AE872" t="str">
        <f>AB872-P872-Q872-AC872</f>
        <v>#REF!</v>
      </c>
      <c r="AF872" t="str">
        <f>AD872/U872</f>
        <v>#REF!</v>
      </c>
      <c r="AG872" t="str">
        <f>AE872/V872</f>
        <v>#REF!</v>
      </c>
    </row>
    <row r="873">
      <c r="G873" t="str">
        <v>A</v>
      </c>
      <c r="J873" t="str">
        <f>IF(K873&gt;0,K873*0.0625,IF(L873&gt;0,L873*2.204623,))</f>
        <v>#REF!</v>
      </c>
      <c r="K873" t="str">
        <f>IF(L873&gt;0,L873*35.273962,IF(J873&gt;0,J873*16,))</f>
        <v>#REF!</v>
      </c>
      <c r="L873" t="str">
        <f>IF(J873&gt;0,J873*0.453592,IF(K873&gt;0,K873*0.02835,))</f>
        <v>#REF!</v>
      </c>
      <c r="O873">
        <f>I873+N873+M873</f>
        <v>0</v>
      </c>
      <c r="P873">
        <f>O873*C$3</f>
        <v>0</v>
      </c>
      <c r="Q873" t="str">
        <f>ROUNDUP(HLOOKUP(IF(CEILING(L873,0.5)&lt;1,1,CEILING(L873,0.5)),'배송비 조회'!A$32:AY$36,2,0),-2)</f>
        <v>#REF!</v>
      </c>
      <c r="R873">
        <v>0</v>
      </c>
      <c r="S873" t="str">
        <f>ROUND((P873+Q873)*0.6,-2)</f>
        <v>#REF!</v>
      </c>
      <c r="T873" t="str">
        <f>ROUND((P873+Q873)*0.7,-2)</f>
        <v>#REF!</v>
      </c>
      <c r="U873" t="str">
        <f>ROUND(SUM(P873+Q873+R873+S873), -2)</f>
        <v>#REF!</v>
      </c>
      <c r="V873" t="str">
        <f>ROUND(P873+Q873+R873+T873, -2)</f>
        <v>#REF!</v>
      </c>
      <c r="W873">
        <v>0</v>
      </c>
      <c r="X873" t="str">
        <f>U873*0.038</f>
        <v>#REF!</v>
      </c>
      <c r="Y873" t="str">
        <f>U873*0.02</f>
        <v>#REF!</v>
      </c>
      <c r="Z873" t="str">
        <f>V873*0.1</f>
        <v>#REF!</v>
      </c>
      <c r="AA873" t="str">
        <f>U873-X873-Y873</f>
        <v>#REF!</v>
      </c>
      <c r="AB873" t="str">
        <f>V873-Z873</f>
        <v>#REF!</v>
      </c>
      <c r="AC873" t="str">
        <f>AA873*0.01</f>
        <v>#REF!</v>
      </c>
      <c r="AD873" t="str">
        <f>AA873-P873-AC873-Q873</f>
        <v>#REF!</v>
      </c>
      <c r="AE873" t="str">
        <f>AB873-P873-Q873-AC873</f>
        <v>#REF!</v>
      </c>
      <c r="AF873" t="str">
        <f>AD873/U873</f>
        <v>#REF!</v>
      </c>
      <c r="AG873" t="str">
        <f>AE873/V873</f>
        <v>#REF!</v>
      </c>
    </row>
    <row r="874">
      <c r="G874" t="str">
        <v>A</v>
      </c>
      <c r="J874" t="str">
        <f>IF(K874&gt;0,K874*0.0625,IF(L874&gt;0,L874*2.204623,))</f>
        <v>#REF!</v>
      </c>
      <c r="K874" t="str">
        <f>IF(L874&gt;0,L874*35.273962,IF(J874&gt;0,J874*16,))</f>
        <v>#REF!</v>
      </c>
      <c r="L874" t="str">
        <f>IF(J874&gt;0,J874*0.453592,IF(K874&gt;0,K874*0.02835,))</f>
        <v>#REF!</v>
      </c>
      <c r="O874">
        <f>I874+N874+M874</f>
        <v>0</v>
      </c>
      <c r="P874">
        <f>O874*C$3</f>
        <v>0</v>
      </c>
      <c r="Q874" t="str">
        <f>ROUNDUP(HLOOKUP(IF(CEILING(L874,0.5)&lt;1,1,CEILING(L874,0.5)),'배송비 조회'!A$32:AY$36,2,0),-2)</f>
        <v>#REF!</v>
      </c>
      <c r="R874">
        <v>0</v>
      </c>
      <c r="S874" t="str">
        <f>ROUND((P874+Q874)*0.6,-2)</f>
        <v>#REF!</v>
      </c>
      <c r="T874" t="str">
        <f>ROUND((P874+Q874)*0.7,-2)</f>
        <v>#REF!</v>
      </c>
      <c r="U874" t="str">
        <f>ROUND(SUM(P874+Q874+R874+S874), -2)</f>
        <v>#REF!</v>
      </c>
      <c r="V874" t="str">
        <f>ROUND(P874+Q874+R874+T874, -2)</f>
        <v>#REF!</v>
      </c>
      <c r="W874">
        <v>0</v>
      </c>
      <c r="X874" t="str">
        <f>U874*0.038</f>
        <v>#REF!</v>
      </c>
      <c r="Y874" t="str">
        <f>U874*0.02</f>
        <v>#REF!</v>
      </c>
      <c r="Z874" t="str">
        <f>V874*0.1</f>
        <v>#REF!</v>
      </c>
      <c r="AA874" t="str">
        <f>U874-X874-Y874</f>
        <v>#REF!</v>
      </c>
      <c r="AB874" t="str">
        <f>V874-Z874</f>
        <v>#REF!</v>
      </c>
      <c r="AC874" t="str">
        <f>AA874*0.01</f>
        <v>#REF!</v>
      </c>
      <c r="AD874" t="str">
        <f>AA874-P874-AC874-Q874</f>
        <v>#REF!</v>
      </c>
      <c r="AE874" t="str">
        <f>AB874-P874-Q874-AC874</f>
        <v>#REF!</v>
      </c>
      <c r="AF874" t="str">
        <f>AD874/U874</f>
        <v>#REF!</v>
      </c>
      <c r="AG874" t="str">
        <f>AE874/V874</f>
        <v>#REF!</v>
      </c>
    </row>
    <row r="875">
      <c r="G875" t="str">
        <v>A</v>
      </c>
      <c r="J875" t="str">
        <f>IF(K875&gt;0,K875*0.0625,IF(L875&gt;0,L875*2.204623,))</f>
        <v>#REF!</v>
      </c>
      <c r="K875" t="str">
        <f>IF(L875&gt;0,L875*35.273962,IF(J875&gt;0,J875*16,))</f>
        <v>#REF!</v>
      </c>
      <c r="L875" t="str">
        <f>IF(J875&gt;0,J875*0.453592,IF(K875&gt;0,K875*0.02835,))</f>
        <v>#REF!</v>
      </c>
      <c r="O875">
        <f>I875+N875+M875</f>
        <v>0</v>
      </c>
      <c r="P875">
        <f>O875*C$3</f>
        <v>0</v>
      </c>
      <c r="Q875" t="str">
        <f>ROUNDUP(HLOOKUP(IF(CEILING(L875,0.5)&lt;1,1,CEILING(L875,0.5)),'배송비 조회'!A$32:AY$36,2,0),-2)</f>
        <v>#REF!</v>
      </c>
      <c r="R875">
        <v>0</v>
      </c>
      <c r="S875" t="str">
        <f>ROUND((P875+Q875)*0.6,-2)</f>
        <v>#REF!</v>
      </c>
      <c r="T875" t="str">
        <f>ROUND((P875+Q875)*0.7,-2)</f>
        <v>#REF!</v>
      </c>
      <c r="U875" t="str">
        <f>ROUND(SUM(P875+Q875+R875+S875), -2)</f>
        <v>#REF!</v>
      </c>
      <c r="V875" t="str">
        <f>ROUND(P875+Q875+R875+T875, -2)</f>
        <v>#REF!</v>
      </c>
      <c r="W875">
        <v>0</v>
      </c>
      <c r="X875" t="str">
        <f>U875*0.038</f>
        <v>#REF!</v>
      </c>
      <c r="Y875" t="str">
        <f>U875*0.02</f>
        <v>#REF!</v>
      </c>
      <c r="Z875" t="str">
        <f>V875*0.1</f>
        <v>#REF!</v>
      </c>
      <c r="AA875" t="str">
        <f>U875-X875-Y875</f>
        <v>#REF!</v>
      </c>
      <c r="AB875" t="str">
        <f>V875-Z875</f>
        <v>#REF!</v>
      </c>
      <c r="AC875" t="str">
        <f>AA875*0.01</f>
        <v>#REF!</v>
      </c>
      <c r="AD875" t="str">
        <f>AA875-P875-AC875-Q875</f>
        <v>#REF!</v>
      </c>
      <c r="AE875" t="str">
        <f>AB875-P875-Q875-AC875</f>
        <v>#REF!</v>
      </c>
      <c r="AF875" t="str">
        <f>AD875/U875</f>
        <v>#REF!</v>
      </c>
      <c r="AG875" t="str">
        <f>AE875/V875</f>
        <v>#REF!</v>
      </c>
    </row>
    <row r="876">
      <c r="G876" t="str">
        <v>A</v>
      </c>
      <c r="J876" t="str">
        <f>IF(K876&gt;0,K876*0.0625,IF(L876&gt;0,L876*2.204623,))</f>
        <v>#REF!</v>
      </c>
      <c r="K876" t="str">
        <f>IF(L876&gt;0,L876*35.273962,IF(J876&gt;0,J876*16,))</f>
        <v>#REF!</v>
      </c>
      <c r="L876" t="str">
        <f>IF(J876&gt;0,J876*0.453592,IF(K876&gt;0,K876*0.02835,))</f>
        <v>#REF!</v>
      </c>
      <c r="O876">
        <f>I876+N876+M876</f>
        <v>0</v>
      </c>
      <c r="P876">
        <f>O876*C$3</f>
        <v>0</v>
      </c>
      <c r="Q876" t="str">
        <f>ROUNDUP(HLOOKUP(IF(CEILING(L876,0.5)&lt;1,1,CEILING(L876,0.5)),'배송비 조회'!A$32:AY$36,2,0),-2)</f>
        <v>#REF!</v>
      </c>
      <c r="R876">
        <v>0</v>
      </c>
      <c r="S876" t="str">
        <f>ROUND((P876+Q876)*0.6,-2)</f>
        <v>#REF!</v>
      </c>
      <c r="T876" t="str">
        <f>ROUND((P876+Q876)*0.7,-2)</f>
        <v>#REF!</v>
      </c>
      <c r="U876" t="str">
        <f>ROUND(SUM(P876+Q876+R876+S876), -2)</f>
        <v>#REF!</v>
      </c>
      <c r="V876" t="str">
        <f>ROUND(P876+Q876+R876+T876, -2)</f>
        <v>#REF!</v>
      </c>
      <c r="W876">
        <v>0</v>
      </c>
      <c r="X876" t="str">
        <f>U876*0.038</f>
        <v>#REF!</v>
      </c>
      <c r="Y876" t="str">
        <f>U876*0.02</f>
        <v>#REF!</v>
      </c>
      <c r="Z876" t="str">
        <f>V876*0.1</f>
        <v>#REF!</v>
      </c>
      <c r="AA876" t="str">
        <f>U876-X876-Y876</f>
        <v>#REF!</v>
      </c>
      <c r="AB876" t="str">
        <f>V876-Z876</f>
        <v>#REF!</v>
      </c>
      <c r="AC876" t="str">
        <f>AA876*0.01</f>
        <v>#REF!</v>
      </c>
      <c r="AD876" t="str">
        <f>AA876-P876-AC876-Q876</f>
        <v>#REF!</v>
      </c>
      <c r="AE876" t="str">
        <f>AB876-P876-Q876-AC876</f>
        <v>#REF!</v>
      </c>
      <c r="AF876" t="str">
        <f>AD876/U876</f>
        <v>#REF!</v>
      </c>
      <c r="AG876" t="str">
        <f>AE876/V876</f>
        <v>#REF!</v>
      </c>
    </row>
    <row r="877">
      <c r="G877" t="str">
        <v>A</v>
      </c>
      <c r="J877" t="str">
        <f>IF(K877&gt;0,K877*0.0625,IF(L877&gt;0,L877*2.204623,))</f>
        <v>#REF!</v>
      </c>
      <c r="K877" t="str">
        <f>IF(L877&gt;0,L877*35.273962,IF(J877&gt;0,J877*16,))</f>
        <v>#REF!</v>
      </c>
      <c r="L877" t="str">
        <f>IF(J877&gt;0,J877*0.453592,IF(K877&gt;0,K877*0.02835,))</f>
        <v>#REF!</v>
      </c>
      <c r="O877">
        <f>I877+N877+M877</f>
        <v>0</v>
      </c>
      <c r="P877">
        <f>O877*C$3</f>
        <v>0</v>
      </c>
      <c r="Q877" t="str">
        <f>ROUNDUP(HLOOKUP(IF(CEILING(L877,0.5)&lt;1,1,CEILING(L877,0.5)),'배송비 조회'!A$32:AY$36,2,0),-2)</f>
        <v>#REF!</v>
      </c>
      <c r="R877">
        <v>0</v>
      </c>
      <c r="S877" t="str">
        <f>ROUND((P877+Q877)*0.6,-2)</f>
        <v>#REF!</v>
      </c>
      <c r="T877" t="str">
        <f>ROUND((P877+Q877)*0.7,-2)</f>
        <v>#REF!</v>
      </c>
      <c r="U877" t="str">
        <f>ROUND(SUM(P877+Q877+R877+S877), -2)</f>
        <v>#REF!</v>
      </c>
      <c r="V877" t="str">
        <f>ROUND(P877+Q877+R877+T877, -2)</f>
        <v>#REF!</v>
      </c>
      <c r="W877">
        <v>0</v>
      </c>
      <c r="X877" t="str">
        <f>U877*0.038</f>
        <v>#REF!</v>
      </c>
      <c r="Y877" t="str">
        <f>U877*0.02</f>
        <v>#REF!</v>
      </c>
      <c r="Z877" t="str">
        <f>V877*0.1</f>
        <v>#REF!</v>
      </c>
      <c r="AA877" t="str">
        <f>U877-X877-Y877</f>
        <v>#REF!</v>
      </c>
      <c r="AB877" t="str">
        <f>V877-Z877</f>
        <v>#REF!</v>
      </c>
      <c r="AC877" t="str">
        <f>AA877*0.01</f>
        <v>#REF!</v>
      </c>
      <c r="AD877" t="str">
        <f>AA877-P877-AC877-Q877</f>
        <v>#REF!</v>
      </c>
      <c r="AE877" t="str">
        <f>AB877-P877-Q877-AC877</f>
        <v>#REF!</v>
      </c>
      <c r="AF877" t="str">
        <f>AD877/U877</f>
        <v>#REF!</v>
      </c>
      <c r="AG877" t="str">
        <f>AE877/V877</f>
        <v>#REF!</v>
      </c>
    </row>
    <row r="878">
      <c r="G878" t="str">
        <v>A</v>
      </c>
      <c r="J878" t="str">
        <f>IF(K878&gt;0,K878*0.0625,IF(L878&gt;0,L878*2.204623,))</f>
        <v>#REF!</v>
      </c>
      <c r="K878" t="str">
        <f>IF(L878&gt;0,L878*35.273962,IF(J878&gt;0,J878*16,))</f>
        <v>#REF!</v>
      </c>
      <c r="L878" t="str">
        <f>IF(J878&gt;0,J878*0.453592,IF(K878&gt;0,K878*0.02835,))</f>
        <v>#REF!</v>
      </c>
      <c r="O878">
        <f>I878+N878+M878</f>
        <v>0</v>
      </c>
      <c r="P878">
        <f>O878*C$3</f>
        <v>0</v>
      </c>
      <c r="Q878" t="str">
        <f>ROUNDUP(HLOOKUP(IF(CEILING(L878,0.5)&lt;1,1,CEILING(L878,0.5)),'배송비 조회'!A$32:AY$36,2,0),-2)</f>
        <v>#REF!</v>
      </c>
      <c r="R878">
        <v>0</v>
      </c>
      <c r="S878" t="str">
        <f>ROUND((P878+Q878)*0.6,-2)</f>
        <v>#REF!</v>
      </c>
      <c r="T878" t="str">
        <f>ROUND((P878+Q878)*0.7,-2)</f>
        <v>#REF!</v>
      </c>
      <c r="U878" t="str">
        <f>ROUND(SUM(P878+Q878+R878+S878), -2)</f>
        <v>#REF!</v>
      </c>
      <c r="V878" t="str">
        <f>ROUND(P878+Q878+R878+T878, -2)</f>
        <v>#REF!</v>
      </c>
      <c r="W878">
        <v>0</v>
      </c>
      <c r="X878" t="str">
        <f>U878*0.038</f>
        <v>#REF!</v>
      </c>
      <c r="Y878" t="str">
        <f>U878*0.02</f>
        <v>#REF!</v>
      </c>
      <c r="Z878" t="str">
        <f>V878*0.1</f>
        <v>#REF!</v>
      </c>
      <c r="AA878" t="str">
        <f>U878-X878-Y878</f>
        <v>#REF!</v>
      </c>
      <c r="AB878" t="str">
        <f>V878-Z878</f>
        <v>#REF!</v>
      </c>
      <c r="AC878" t="str">
        <f>AA878*0.01</f>
        <v>#REF!</v>
      </c>
      <c r="AD878" t="str">
        <f>AA878-P878-AC878-Q878</f>
        <v>#REF!</v>
      </c>
      <c r="AE878" t="str">
        <f>AB878-P878-Q878-AC878</f>
        <v>#REF!</v>
      </c>
      <c r="AF878" t="str">
        <f>AD878/U878</f>
        <v>#REF!</v>
      </c>
      <c r="AG878" t="str">
        <f>AE878/V878</f>
        <v>#REF!</v>
      </c>
    </row>
    <row r="879">
      <c r="G879" t="str">
        <v>A</v>
      </c>
      <c r="J879" t="str">
        <f>IF(K879&gt;0,K879*0.0625,IF(L879&gt;0,L879*2.204623,))</f>
        <v>#REF!</v>
      </c>
      <c r="K879" t="str">
        <f>IF(L879&gt;0,L879*35.273962,IF(J879&gt;0,J879*16,))</f>
        <v>#REF!</v>
      </c>
      <c r="L879" t="str">
        <f>IF(J879&gt;0,J879*0.453592,IF(K879&gt;0,K879*0.02835,))</f>
        <v>#REF!</v>
      </c>
      <c r="O879">
        <f>I879+N879+M879</f>
        <v>0</v>
      </c>
      <c r="P879">
        <f>O879*C$3</f>
        <v>0</v>
      </c>
      <c r="Q879" t="str">
        <f>ROUNDUP(HLOOKUP(IF(CEILING(L879,0.5)&lt;1,1,CEILING(L879,0.5)),'배송비 조회'!A$32:AY$36,2,0),-2)</f>
        <v>#REF!</v>
      </c>
      <c r="R879">
        <v>0</v>
      </c>
      <c r="S879" t="str">
        <f>ROUND((P879+Q879)*0.6,-2)</f>
        <v>#REF!</v>
      </c>
      <c r="T879" t="str">
        <f>ROUND((P879+Q879)*0.7,-2)</f>
        <v>#REF!</v>
      </c>
      <c r="U879" t="str">
        <f>ROUND(SUM(P879+Q879+R879+S879), -2)</f>
        <v>#REF!</v>
      </c>
      <c r="V879" t="str">
        <f>ROUND(P879+Q879+R879+T879, -2)</f>
        <v>#REF!</v>
      </c>
      <c r="W879">
        <v>0</v>
      </c>
      <c r="X879" t="str">
        <f>U879*0.038</f>
        <v>#REF!</v>
      </c>
      <c r="Y879" t="str">
        <f>U879*0.02</f>
        <v>#REF!</v>
      </c>
      <c r="Z879" t="str">
        <f>V879*0.1</f>
        <v>#REF!</v>
      </c>
      <c r="AA879" t="str">
        <f>U879-X879-Y879</f>
        <v>#REF!</v>
      </c>
      <c r="AB879" t="str">
        <f>V879-Z879</f>
        <v>#REF!</v>
      </c>
      <c r="AC879" t="str">
        <f>AA879*0.01</f>
        <v>#REF!</v>
      </c>
      <c r="AD879" t="str">
        <f>AA879-P879-AC879-Q879</f>
        <v>#REF!</v>
      </c>
      <c r="AE879" t="str">
        <f>AB879-P879-Q879-AC879</f>
        <v>#REF!</v>
      </c>
      <c r="AF879" t="str">
        <f>AD879/U879</f>
        <v>#REF!</v>
      </c>
      <c r="AG879" t="str">
        <f>AE879/V879</f>
        <v>#REF!</v>
      </c>
    </row>
    <row r="880">
      <c r="G880" t="str">
        <v>A</v>
      </c>
      <c r="J880" t="str">
        <f>IF(K880&gt;0,K880*0.0625,IF(L880&gt;0,L880*2.204623,))</f>
        <v>#REF!</v>
      </c>
      <c r="K880" t="str">
        <f>IF(L880&gt;0,L880*35.273962,IF(J880&gt;0,J880*16,))</f>
        <v>#REF!</v>
      </c>
      <c r="L880" t="str">
        <f>IF(J880&gt;0,J880*0.453592,IF(K880&gt;0,K880*0.02835,))</f>
        <v>#REF!</v>
      </c>
      <c r="O880">
        <f>I880+N880+M880</f>
        <v>0</v>
      </c>
      <c r="P880">
        <f>O880*C$3</f>
        <v>0</v>
      </c>
      <c r="Q880" t="str">
        <f>ROUNDUP(HLOOKUP(IF(CEILING(L880,0.5)&lt;1,1,CEILING(L880,0.5)),'배송비 조회'!A$32:AY$36,2,0),-2)</f>
        <v>#REF!</v>
      </c>
      <c r="R880">
        <v>0</v>
      </c>
      <c r="S880" t="str">
        <f>ROUND((P880+Q880)*0.6,-2)</f>
        <v>#REF!</v>
      </c>
      <c r="T880" t="str">
        <f>ROUND((P880+Q880)*0.7,-2)</f>
        <v>#REF!</v>
      </c>
      <c r="U880" t="str">
        <f>ROUND(SUM(P880+Q880+R880+S880), -2)</f>
        <v>#REF!</v>
      </c>
      <c r="V880" t="str">
        <f>ROUND(P880+Q880+R880+T880, -2)</f>
        <v>#REF!</v>
      </c>
      <c r="W880">
        <v>0</v>
      </c>
      <c r="X880" t="str">
        <f>U880*0.038</f>
        <v>#REF!</v>
      </c>
      <c r="Y880" t="str">
        <f>U880*0.02</f>
        <v>#REF!</v>
      </c>
      <c r="Z880" t="str">
        <f>V880*0.1</f>
        <v>#REF!</v>
      </c>
      <c r="AA880" t="str">
        <f>U880-X880-Y880</f>
        <v>#REF!</v>
      </c>
      <c r="AB880" t="str">
        <f>V880-Z880</f>
        <v>#REF!</v>
      </c>
      <c r="AC880" t="str">
        <f>AA880*0.01</f>
        <v>#REF!</v>
      </c>
      <c r="AD880" t="str">
        <f>AA880-P880-AC880-Q880</f>
        <v>#REF!</v>
      </c>
      <c r="AE880" t="str">
        <f>AB880-P880-Q880-AC880</f>
        <v>#REF!</v>
      </c>
      <c r="AF880" t="str">
        <f>AD880/U880</f>
        <v>#REF!</v>
      </c>
      <c r="AG880" t="str">
        <f>AE880/V880</f>
        <v>#REF!</v>
      </c>
    </row>
    <row r="881">
      <c r="G881" t="str">
        <v>A</v>
      </c>
      <c r="J881" t="str">
        <f>IF(K881&gt;0,K881*0.0625,IF(L881&gt;0,L881*2.204623,))</f>
        <v>#REF!</v>
      </c>
      <c r="K881" t="str">
        <f>IF(L881&gt;0,L881*35.273962,IF(J881&gt;0,J881*16,))</f>
        <v>#REF!</v>
      </c>
      <c r="L881" t="str">
        <f>IF(J881&gt;0,J881*0.453592,IF(K881&gt;0,K881*0.02835,))</f>
        <v>#REF!</v>
      </c>
      <c r="O881">
        <f>I881+N881+M881</f>
        <v>0</v>
      </c>
      <c r="P881">
        <f>O881*C$3</f>
        <v>0</v>
      </c>
      <c r="Q881" t="str">
        <f>ROUNDUP(HLOOKUP(IF(CEILING(L881,0.5)&lt;1,1,CEILING(L881,0.5)),'배송비 조회'!A$32:AY$36,2,0),-2)</f>
        <v>#REF!</v>
      </c>
      <c r="R881">
        <v>0</v>
      </c>
      <c r="S881" t="str">
        <f>ROUND((P881+Q881)*0.6,-2)</f>
        <v>#REF!</v>
      </c>
      <c r="T881" t="str">
        <f>ROUND((P881+Q881)*0.7,-2)</f>
        <v>#REF!</v>
      </c>
      <c r="U881" t="str">
        <f>ROUND(SUM(P881+Q881+R881+S881), -2)</f>
        <v>#REF!</v>
      </c>
      <c r="V881" t="str">
        <f>ROUND(P881+Q881+R881+T881, -2)</f>
        <v>#REF!</v>
      </c>
      <c r="W881">
        <v>0</v>
      </c>
      <c r="X881" t="str">
        <f>U881*0.038</f>
        <v>#REF!</v>
      </c>
      <c r="Y881" t="str">
        <f>U881*0.02</f>
        <v>#REF!</v>
      </c>
      <c r="Z881" t="str">
        <f>V881*0.1</f>
        <v>#REF!</v>
      </c>
      <c r="AA881" t="str">
        <f>U881-X881-Y881</f>
        <v>#REF!</v>
      </c>
      <c r="AB881" t="str">
        <f>V881-Z881</f>
        <v>#REF!</v>
      </c>
      <c r="AC881" t="str">
        <f>AA881*0.01</f>
        <v>#REF!</v>
      </c>
      <c r="AD881" t="str">
        <f>AA881-P881-AC881-Q881</f>
        <v>#REF!</v>
      </c>
      <c r="AE881" t="str">
        <f>AB881-P881-Q881-AC881</f>
        <v>#REF!</v>
      </c>
      <c r="AF881" t="str">
        <f>AD881/U881</f>
        <v>#REF!</v>
      </c>
      <c r="AG881" t="str">
        <f>AE881/V881</f>
        <v>#REF!</v>
      </c>
    </row>
    <row r="882">
      <c r="G882" t="str">
        <v>A</v>
      </c>
      <c r="J882" t="str">
        <f>IF(K882&gt;0,K882*0.0625,IF(L882&gt;0,L882*2.204623,))</f>
        <v>#REF!</v>
      </c>
      <c r="K882" t="str">
        <f>IF(L882&gt;0,L882*35.273962,IF(J882&gt;0,J882*16,))</f>
        <v>#REF!</v>
      </c>
      <c r="L882" t="str">
        <f>IF(J882&gt;0,J882*0.453592,IF(K882&gt;0,K882*0.02835,))</f>
        <v>#REF!</v>
      </c>
      <c r="O882">
        <f>I882+N882+M882</f>
        <v>0</v>
      </c>
      <c r="P882">
        <f>O882*C$3</f>
        <v>0</v>
      </c>
      <c r="Q882" t="str">
        <f>ROUNDUP(HLOOKUP(IF(CEILING(L882,0.5)&lt;1,1,CEILING(L882,0.5)),'배송비 조회'!A$32:AY$36,2,0),-2)</f>
        <v>#REF!</v>
      </c>
      <c r="R882">
        <v>0</v>
      </c>
      <c r="S882" t="str">
        <f>ROUND((P882+Q882)*0.6,-2)</f>
        <v>#REF!</v>
      </c>
      <c r="T882" t="str">
        <f>ROUND((P882+Q882)*0.7,-2)</f>
        <v>#REF!</v>
      </c>
      <c r="U882" t="str">
        <f>ROUND(SUM(P882+Q882+R882+S882), -2)</f>
        <v>#REF!</v>
      </c>
      <c r="V882" t="str">
        <f>ROUND(P882+Q882+R882+T882, -2)</f>
        <v>#REF!</v>
      </c>
      <c r="W882">
        <v>0</v>
      </c>
      <c r="X882" t="str">
        <f>U882*0.038</f>
        <v>#REF!</v>
      </c>
      <c r="Y882" t="str">
        <f>U882*0.02</f>
        <v>#REF!</v>
      </c>
      <c r="Z882" t="str">
        <f>V882*0.1</f>
        <v>#REF!</v>
      </c>
      <c r="AA882" t="str">
        <f>U882-X882-Y882</f>
        <v>#REF!</v>
      </c>
      <c r="AB882" t="str">
        <f>V882-Z882</f>
        <v>#REF!</v>
      </c>
      <c r="AC882" t="str">
        <f>AA882*0.01</f>
        <v>#REF!</v>
      </c>
      <c r="AD882" t="str">
        <f>AA882-P882-AC882-Q882</f>
        <v>#REF!</v>
      </c>
      <c r="AE882" t="str">
        <f>AB882-P882-Q882-AC882</f>
        <v>#REF!</v>
      </c>
      <c r="AF882" t="str">
        <f>AD882/U882</f>
        <v>#REF!</v>
      </c>
      <c r="AG882" t="str">
        <f>AE882/V882</f>
        <v>#REF!</v>
      </c>
    </row>
    <row r="883">
      <c r="G883" t="str">
        <v>A</v>
      </c>
      <c r="J883" t="str">
        <f>IF(K883&gt;0,K883*0.0625,IF(L883&gt;0,L883*2.204623,))</f>
        <v>#REF!</v>
      </c>
      <c r="K883" t="str">
        <f>IF(L883&gt;0,L883*35.273962,IF(J883&gt;0,J883*16,))</f>
        <v>#REF!</v>
      </c>
      <c r="L883" t="str">
        <f>IF(J883&gt;0,J883*0.453592,IF(K883&gt;0,K883*0.02835,))</f>
        <v>#REF!</v>
      </c>
      <c r="O883">
        <f>I883+N883+M883</f>
        <v>0</v>
      </c>
      <c r="P883">
        <f>O883*C$3</f>
        <v>0</v>
      </c>
      <c r="Q883" t="str">
        <f>ROUNDUP(HLOOKUP(IF(CEILING(L883,0.5)&lt;1,1,CEILING(L883,0.5)),'배송비 조회'!A$32:AY$36,2,0),-2)</f>
        <v>#REF!</v>
      </c>
      <c r="R883">
        <v>0</v>
      </c>
      <c r="S883" t="str">
        <f>ROUND((P883+Q883)*0.6,-2)</f>
        <v>#REF!</v>
      </c>
      <c r="T883" t="str">
        <f>ROUND((P883+Q883)*0.7,-2)</f>
        <v>#REF!</v>
      </c>
      <c r="U883" t="str">
        <f>ROUND(SUM(P883+Q883+R883+S883), -2)</f>
        <v>#REF!</v>
      </c>
      <c r="V883" t="str">
        <f>ROUND(P883+Q883+R883+T883, -2)</f>
        <v>#REF!</v>
      </c>
      <c r="W883">
        <v>0</v>
      </c>
      <c r="X883" t="str">
        <f>U883*0.038</f>
        <v>#REF!</v>
      </c>
      <c r="Y883" t="str">
        <f>U883*0.02</f>
        <v>#REF!</v>
      </c>
      <c r="Z883" t="str">
        <f>V883*0.1</f>
        <v>#REF!</v>
      </c>
      <c r="AA883" t="str">
        <f>U883-X883-Y883</f>
        <v>#REF!</v>
      </c>
      <c r="AB883" t="str">
        <f>V883-Z883</f>
        <v>#REF!</v>
      </c>
      <c r="AC883" t="str">
        <f>AA883*0.01</f>
        <v>#REF!</v>
      </c>
      <c r="AD883" t="str">
        <f>AA883-P883-AC883-Q883</f>
        <v>#REF!</v>
      </c>
      <c r="AE883" t="str">
        <f>AB883-P883-Q883-AC883</f>
        <v>#REF!</v>
      </c>
      <c r="AF883" t="str">
        <f>AD883/U883</f>
        <v>#REF!</v>
      </c>
      <c r="AG883" t="str">
        <f>AE883/V883</f>
        <v>#REF!</v>
      </c>
    </row>
    <row r="884">
      <c r="G884" t="str">
        <v>A</v>
      </c>
      <c r="J884" t="str">
        <f>IF(K884&gt;0,K884*0.0625,IF(L884&gt;0,L884*2.204623,))</f>
        <v>#REF!</v>
      </c>
      <c r="K884" t="str">
        <f>IF(L884&gt;0,L884*35.273962,IF(J884&gt;0,J884*16,))</f>
        <v>#REF!</v>
      </c>
      <c r="L884" t="str">
        <f>IF(J884&gt;0,J884*0.453592,IF(K884&gt;0,K884*0.02835,))</f>
        <v>#REF!</v>
      </c>
      <c r="O884">
        <f>I884+N884+M884</f>
        <v>0</v>
      </c>
      <c r="P884">
        <f>O884*C$3</f>
        <v>0</v>
      </c>
      <c r="Q884" t="str">
        <f>ROUNDUP(HLOOKUP(IF(CEILING(L884,0.5)&lt;1,1,CEILING(L884,0.5)),'배송비 조회'!A$32:AY$36,2,0),-2)</f>
        <v>#REF!</v>
      </c>
      <c r="R884">
        <v>0</v>
      </c>
      <c r="S884" t="str">
        <f>ROUND((P884+Q884)*0.6,-2)</f>
        <v>#REF!</v>
      </c>
      <c r="T884" t="str">
        <f>ROUND((P884+Q884)*0.7,-2)</f>
        <v>#REF!</v>
      </c>
      <c r="U884" t="str">
        <f>ROUND(SUM(P884+Q884+R884+S884), -2)</f>
        <v>#REF!</v>
      </c>
      <c r="V884" t="str">
        <f>ROUND(P884+Q884+R884+T884, -2)</f>
        <v>#REF!</v>
      </c>
      <c r="W884">
        <v>0</v>
      </c>
      <c r="X884" t="str">
        <f>U884*0.038</f>
        <v>#REF!</v>
      </c>
      <c r="Y884" t="str">
        <f>U884*0.02</f>
        <v>#REF!</v>
      </c>
      <c r="Z884" t="str">
        <f>V884*0.1</f>
        <v>#REF!</v>
      </c>
      <c r="AA884" t="str">
        <f>U884-X884-Y884</f>
        <v>#REF!</v>
      </c>
      <c r="AB884" t="str">
        <f>V884-Z884</f>
        <v>#REF!</v>
      </c>
      <c r="AC884" t="str">
        <f>AA884*0.01</f>
        <v>#REF!</v>
      </c>
      <c r="AD884" t="str">
        <f>AA884-P884-AC884-Q884</f>
        <v>#REF!</v>
      </c>
      <c r="AE884" t="str">
        <f>AB884-P884-Q884-AC884</f>
        <v>#REF!</v>
      </c>
      <c r="AF884" t="str">
        <f>AD884/U884</f>
        <v>#REF!</v>
      </c>
      <c r="AG884" t="str">
        <f>AE884/V884</f>
        <v>#REF!</v>
      </c>
    </row>
    <row r="885">
      <c r="G885" t="str">
        <v>A</v>
      </c>
      <c r="J885" t="str">
        <f>IF(K885&gt;0,K885*0.0625,IF(L885&gt;0,L885*2.204623,))</f>
        <v>#REF!</v>
      </c>
      <c r="K885" t="str">
        <f>IF(L885&gt;0,L885*35.273962,IF(J885&gt;0,J885*16,))</f>
        <v>#REF!</v>
      </c>
      <c r="L885" t="str">
        <f>IF(J885&gt;0,J885*0.453592,IF(K885&gt;0,K885*0.02835,))</f>
        <v>#REF!</v>
      </c>
      <c r="O885">
        <f>I885+N885+M885</f>
        <v>0</v>
      </c>
      <c r="P885">
        <f>O885*C$3</f>
        <v>0</v>
      </c>
      <c r="Q885" t="str">
        <f>ROUNDUP(HLOOKUP(IF(CEILING(L885,0.5)&lt;1,1,CEILING(L885,0.5)),'배송비 조회'!A$32:AY$36,2,0),-2)</f>
        <v>#REF!</v>
      </c>
      <c r="R885">
        <v>0</v>
      </c>
      <c r="S885" t="str">
        <f>ROUND((P885+Q885)*0.6,-2)</f>
        <v>#REF!</v>
      </c>
      <c r="T885" t="str">
        <f>ROUND((P885+Q885)*0.7,-2)</f>
        <v>#REF!</v>
      </c>
      <c r="U885" t="str">
        <f>ROUND(SUM(P885+Q885+R885+S885), -2)</f>
        <v>#REF!</v>
      </c>
      <c r="V885" t="str">
        <f>ROUND(P885+Q885+R885+T885, -2)</f>
        <v>#REF!</v>
      </c>
      <c r="W885">
        <v>0</v>
      </c>
      <c r="X885" t="str">
        <f>U885*0.038</f>
        <v>#REF!</v>
      </c>
      <c r="Y885" t="str">
        <f>U885*0.02</f>
        <v>#REF!</v>
      </c>
      <c r="Z885" t="str">
        <f>V885*0.1</f>
        <v>#REF!</v>
      </c>
      <c r="AA885" t="str">
        <f>U885-X885-Y885</f>
        <v>#REF!</v>
      </c>
      <c r="AB885" t="str">
        <f>V885-Z885</f>
        <v>#REF!</v>
      </c>
      <c r="AC885" t="str">
        <f>AA885*0.01</f>
        <v>#REF!</v>
      </c>
      <c r="AD885" t="str">
        <f>AA885-P885-AC885-Q885</f>
        <v>#REF!</v>
      </c>
      <c r="AE885" t="str">
        <f>AB885-P885-Q885-AC885</f>
        <v>#REF!</v>
      </c>
      <c r="AF885" t="str">
        <f>AD885/U885</f>
        <v>#REF!</v>
      </c>
      <c r="AG885" t="str">
        <f>AE885/V885</f>
        <v>#REF!</v>
      </c>
    </row>
    <row r="886">
      <c r="G886" t="str">
        <v>A</v>
      </c>
      <c r="J886" t="str">
        <f>IF(K886&gt;0,K886*0.0625,IF(L886&gt;0,L886*2.204623,))</f>
        <v>#REF!</v>
      </c>
      <c r="K886" t="str">
        <f>IF(L886&gt;0,L886*35.273962,IF(J886&gt;0,J886*16,))</f>
        <v>#REF!</v>
      </c>
      <c r="L886" t="str">
        <f>IF(J886&gt;0,J886*0.453592,IF(K886&gt;0,K886*0.02835,))</f>
        <v>#REF!</v>
      </c>
      <c r="O886">
        <f>I886+N886+M886</f>
        <v>0</v>
      </c>
      <c r="P886">
        <f>O886*C$3</f>
        <v>0</v>
      </c>
      <c r="Q886" t="str">
        <f>ROUNDUP(HLOOKUP(IF(CEILING(L886,0.5)&lt;1,1,CEILING(L886,0.5)),'배송비 조회'!A$32:AY$36,2,0),-2)</f>
        <v>#REF!</v>
      </c>
      <c r="R886">
        <v>0</v>
      </c>
      <c r="S886" t="str">
        <f>ROUND((P886+Q886)*0.6,-2)</f>
        <v>#REF!</v>
      </c>
      <c r="T886" t="str">
        <f>ROUND((P886+Q886)*0.7,-2)</f>
        <v>#REF!</v>
      </c>
      <c r="U886" t="str">
        <f>ROUND(SUM(P886+Q886+R886+S886), -2)</f>
        <v>#REF!</v>
      </c>
      <c r="V886" t="str">
        <f>ROUND(P886+Q886+R886+T886, -2)</f>
        <v>#REF!</v>
      </c>
      <c r="W886">
        <v>0</v>
      </c>
      <c r="X886" t="str">
        <f>U886*0.038</f>
        <v>#REF!</v>
      </c>
      <c r="Y886" t="str">
        <f>U886*0.02</f>
        <v>#REF!</v>
      </c>
      <c r="Z886" t="str">
        <f>V886*0.1</f>
        <v>#REF!</v>
      </c>
      <c r="AA886" t="str">
        <f>U886-X886-Y886</f>
        <v>#REF!</v>
      </c>
      <c r="AB886" t="str">
        <f>V886-Z886</f>
        <v>#REF!</v>
      </c>
      <c r="AC886" t="str">
        <f>AA886*0.01</f>
        <v>#REF!</v>
      </c>
      <c r="AD886" t="str">
        <f>AA886-P886-AC886-Q886</f>
        <v>#REF!</v>
      </c>
      <c r="AE886" t="str">
        <f>AB886-P886-Q886-AC886</f>
        <v>#REF!</v>
      </c>
      <c r="AF886" t="str">
        <f>AD886/U886</f>
        <v>#REF!</v>
      </c>
      <c r="AG886" t="str">
        <f>AE886/V886</f>
        <v>#REF!</v>
      </c>
    </row>
    <row r="887">
      <c r="G887" t="str">
        <v>A</v>
      </c>
      <c r="J887" t="str">
        <f>IF(K887&gt;0,K887*0.0625,IF(L887&gt;0,L887*2.204623,))</f>
        <v>#REF!</v>
      </c>
      <c r="K887" t="str">
        <f>IF(L887&gt;0,L887*35.273962,IF(J887&gt;0,J887*16,))</f>
        <v>#REF!</v>
      </c>
      <c r="L887" t="str">
        <f>IF(J887&gt;0,J887*0.453592,IF(K887&gt;0,K887*0.02835,))</f>
        <v>#REF!</v>
      </c>
      <c r="O887">
        <f>I887+N887+M887</f>
        <v>0</v>
      </c>
      <c r="P887">
        <f>O887*C$3</f>
        <v>0</v>
      </c>
      <c r="Q887" t="str">
        <f>ROUNDUP(HLOOKUP(IF(CEILING(L887,0.5)&lt;1,1,CEILING(L887,0.5)),'배송비 조회'!A$32:AY$36,2,0),-2)</f>
        <v>#REF!</v>
      </c>
      <c r="R887">
        <v>0</v>
      </c>
      <c r="S887" t="str">
        <f>ROUND((P887+Q887)*0.6,-2)</f>
        <v>#REF!</v>
      </c>
      <c r="T887" t="str">
        <f>ROUND((P887+Q887)*0.7,-2)</f>
        <v>#REF!</v>
      </c>
      <c r="U887" t="str">
        <f>ROUND(SUM(P887+Q887+R887+S887), -2)</f>
        <v>#REF!</v>
      </c>
      <c r="V887" t="str">
        <f>ROUND(P887+Q887+R887+T887, -2)</f>
        <v>#REF!</v>
      </c>
      <c r="W887">
        <v>0</v>
      </c>
      <c r="X887" t="str">
        <f>U887*0.038</f>
        <v>#REF!</v>
      </c>
      <c r="Y887" t="str">
        <f>U887*0.02</f>
        <v>#REF!</v>
      </c>
      <c r="Z887" t="str">
        <f>V887*0.1</f>
        <v>#REF!</v>
      </c>
      <c r="AA887" t="str">
        <f>U887-X887-Y887</f>
        <v>#REF!</v>
      </c>
      <c r="AB887" t="str">
        <f>V887-Z887</f>
        <v>#REF!</v>
      </c>
      <c r="AC887" t="str">
        <f>AA887*0.01</f>
        <v>#REF!</v>
      </c>
      <c r="AD887" t="str">
        <f>AA887-P887-AC887-Q887</f>
        <v>#REF!</v>
      </c>
      <c r="AE887" t="str">
        <f>AB887-P887-Q887-AC887</f>
        <v>#REF!</v>
      </c>
      <c r="AF887" t="str">
        <f>AD887/U887</f>
        <v>#REF!</v>
      </c>
      <c r="AG887" t="str">
        <f>AE887/V887</f>
        <v>#REF!</v>
      </c>
    </row>
    <row r="888">
      <c r="G888" t="str">
        <v>A</v>
      </c>
      <c r="J888" t="str">
        <f>IF(K888&gt;0,K888*0.0625,IF(L888&gt;0,L888*2.204623,))</f>
        <v>#REF!</v>
      </c>
      <c r="K888" t="str">
        <f>IF(L888&gt;0,L888*35.273962,IF(J888&gt;0,J888*16,))</f>
        <v>#REF!</v>
      </c>
      <c r="L888" t="str">
        <f>IF(J888&gt;0,J888*0.453592,IF(K888&gt;0,K888*0.02835,))</f>
        <v>#REF!</v>
      </c>
      <c r="O888">
        <f>I888+N888+M888</f>
        <v>0</v>
      </c>
      <c r="P888">
        <f>O888*C$3</f>
        <v>0</v>
      </c>
      <c r="Q888" t="str">
        <f>ROUNDUP(HLOOKUP(IF(CEILING(L888,0.5)&lt;1,1,CEILING(L888,0.5)),'배송비 조회'!A$32:AY$36,2,0),-2)</f>
        <v>#REF!</v>
      </c>
      <c r="R888">
        <v>0</v>
      </c>
      <c r="S888" t="str">
        <f>ROUND((P888+Q888)*0.6,-2)</f>
        <v>#REF!</v>
      </c>
      <c r="T888" t="str">
        <f>ROUND((P888+Q888)*0.7,-2)</f>
        <v>#REF!</v>
      </c>
      <c r="U888" t="str">
        <f>ROUND(SUM(P888+Q888+R888+S888), -2)</f>
        <v>#REF!</v>
      </c>
      <c r="V888" t="str">
        <f>ROUND(P888+Q888+R888+T888, -2)</f>
        <v>#REF!</v>
      </c>
      <c r="W888">
        <v>0</v>
      </c>
      <c r="X888" t="str">
        <f>U888*0.038</f>
        <v>#REF!</v>
      </c>
      <c r="Y888" t="str">
        <f>U888*0.02</f>
        <v>#REF!</v>
      </c>
      <c r="Z888" t="str">
        <f>V888*0.1</f>
        <v>#REF!</v>
      </c>
      <c r="AA888" t="str">
        <f>U888-X888-Y888</f>
        <v>#REF!</v>
      </c>
      <c r="AB888" t="str">
        <f>V888-Z888</f>
        <v>#REF!</v>
      </c>
      <c r="AC888" t="str">
        <f>AA888*0.01</f>
        <v>#REF!</v>
      </c>
      <c r="AD888" t="str">
        <f>AA888-P888-AC888-Q888</f>
        <v>#REF!</v>
      </c>
      <c r="AE888" t="str">
        <f>AB888-P888-Q888-AC888</f>
        <v>#REF!</v>
      </c>
      <c r="AF888" t="str">
        <f>AD888/U888</f>
        <v>#REF!</v>
      </c>
      <c r="AG888" t="str">
        <f>AE888/V888</f>
        <v>#REF!</v>
      </c>
    </row>
    <row r="889">
      <c r="G889" t="str">
        <v>A</v>
      </c>
      <c r="J889" t="str">
        <f>IF(K889&gt;0,K889*0.0625,IF(L889&gt;0,L889*2.204623,))</f>
        <v>#REF!</v>
      </c>
      <c r="K889" t="str">
        <f>IF(L889&gt;0,L889*35.273962,IF(J889&gt;0,J889*16,))</f>
        <v>#REF!</v>
      </c>
      <c r="L889" t="str">
        <f>IF(J889&gt;0,J889*0.453592,IF(K889&gt;0,K889*0.02835,))</f>
        <v>#REF!</v>
      </c>
      <c r="O889">
        <f>I889+N889+M889</f>
        <v>0</v>
      </c>
      <c r="P889">
        <f>O889*C$3</f>
        <v>0</v>
      </c>
      <c r="Q889" t="str">
        <f>ROUNDUP(HLOOKUP(IF(CEILING(L889,0.5)&lt;1,1,CEILING(L889,0.5)),'배송비 조회'!A$32:AY$36,2,0),-2)</f>
        <v>#REF!</v>
      </c>
      <c r="R889">
        <v>0</v>
      </c>
      <c r="S889" t="str">
        <f>ROUND((P889+Q889)*0.6,-2)</f>
        <v>#REF!</v>
      </c>
      <c r="T889" t="str">
        <f>ROUND((P889+Q889)*0.7,-2)</f>
        <v>#REF!</v>
      </c>
      <c r="U889" t="str">
        <f>ROUND(SUM(P889+Q889+R889+S889), -2)</f>
        <v>#REF!</v>
      </c>
      <c r="V889" t="str">
        <f>ROUND(P889+Q889+R889+T889, -2)</f>
        <v>#REF!</v>
      </c>
      <c r="W889">
        <v>0</v>
      </c>
      <c r="X889" t="str">
        <f>U889*0.038</f>
        <v>#REF!</v>
      </c>
      <c r="Y889" t="str">
        <f>U889*0.02</f>
        <v>#REF!</v>
      </c>
      <c r="Z889" t="str">
        <f>V889*0.1</f>
        <v>#REF!</v>
      </c>
      <c r="AA889" t="str">
        <f>U889-X889-Y889</f>
        <v>#REF!</v>
      </c>
      <c r="AB889" t="str">
        <f>V889-Z889</f>
        <v>#REF!</v>
      </c>
      <c r="AC889" t="str">
        <f>AA889*0.01</f>
        <v>#REF!</v>
      </c>
      <c r="AD889" t="str">
        <f>AA889-P889-AC889-Q889</f>
        <v>#REF!</v>
      </c>
      <c r="AE889" t="str">
        <f>AB889-P889-Q889-AC889</f>
        <v>#REF!</v>
      </c>
      <c r="AF889" t="str">
        <f>AD889/U889</f>
        <v>#REF!</v>
      </c>
      <c r="AG889" t="str">
        <f>AE889/V889</f>
        <v>#REF!</v>
      </c>
    </row>
    <row r="890">
      <c r="G890" t="str">
        <v>A</v>
      </c>
      <c r="J890" t="str">
        <f>IF(K890&gt;0,K890*0.0625,IF(L890&gt;0,L890*2.204623,))</f>
        <v>#REF!</v>
      </c>
      <c r="K890" t="str">
        <f>IF(L890&gt;0,L890*35.273962,IF(J890&gt;0,J890*16,))</f>
        <v>#REF!</v>
      </c>
      <c r="L890" t="str">
        <f>IF(J890&gt;0,J890*0.453592,IF(K890&gt;0,K890*0.02835,))</f>
        <v>#REF!</v>
      </c>
      <c r="O890">
        <f>I890+N890+M890</f>
        <v>0</v>
      </c>
      <c r="P890">
        <f>O890*C$3</f>
        <v>0</v>
      </c>
      <c r="Q890" t="str">
        <f>ROUNDUP(HLOOKUP(IF(CEILING(L890,0.5)&lt;1,1,CEILING(L890,0.5)),'배송비 조회'!A$32:AY$36,2,0),-2)</f>
        <v>#REF!</v>
      </c>
      <c r="R890">
        <v>0</v>
      </c>
      <c r="S890" t="str">
        <f>ROUND((P890+Q890)*0.6,-2)</f>
        <v>#REF!</v>
      </c>
      <c r="T890" t="str">
        <f>ROUND((P890+Q890)*0.7,-2)</f>
        <v>#REF!</v>
      </c>
      <c r="U890" t="str">
        <f>ROUND(SUM(P890+Q890+R890+S890), -2)</f>
        <v>#REF!</v>
      </c>
      <c r="V890" t="str">
        <f>ROUND(P890+Q890+R890+T890, -2)</f>
        <v>#REF!</v>
      </c>
      <c r="W890">
        <v>0</v>
      </c>
      <c r="X890" t="str">
        <f>U890*0.038</f>
        <v>#REF!</v>
      </c>
      <c r="Y890" t="str">
        <f>U890*0.02</f>
        <v>#REF!</v>
      </c>
      <c r="Z890" t="str">
        <f>V890*0.1</f>
        <v>#REF!</v>
      </c>
      <c r="AA890" t="str">
        <f>U890-X890-Y890</f>
        <v>#REF!</v>
      </c>
      <c r="AB890" t="str">
        <f>V890-Z890</f>
        <v>#REF!</v>
      </c>
      <c r="AC890" t="str">
        <f>AA890*0.01</f>
        <v>#REF!</v>
      </c>
      <c r="AD890" t="str">
        <f>AA890-P890-AC890-Q890</f>
        <v>#REF!</v>
      </c>
      <c r="AE890" t="str">
        <f>AB890-P890-Q890-AC890</f>
        <v>#REF!</v>
      </c>
      <c r="AF890" t="str">
        <f>AD890/U890</f>
        <v>#REF!</v>
      </c>
      <c r="AG890" t="str">
        <f>AE890/V890</f>
        <v>#REF!</v>
      </c>
    </row>
    <row r="891">
      <c r="G891" t="str">
        <v>A</v>
      </c>
      <c r="J891" t="str">
        <f>IF(K891&gt;0,K891*0.0625,IF(L891&gt;0,L891*2.204623,))</f>
        <v>#REF!</v>
      </c>
      <c r="K891" t="str">
        <f>IF(L891&gt;0,L891*35.273962,IF(J891&gt;0,J891*16,))</f>
        <v>#REF!</v>
      </c>
      <c r="L891" t="str">
        <f>IF(J891&gt;0,J891*0.453592,IF(K891&gt;0,K891*0.02835,))</f>
        <v>#REF!</v>
      </c>
      <c r="O891">
        <f>I891+N891+M891</f>
        <v>0</v>
      </c>
      <c r="P891">
        <f>O891*C$3</f>
        <v>0</v>
      </c>
      <c r="Q891" t="str">
        <f>ROUNDUP(HLOOKUP(IF(CEILING(L891,0.5)&lt;1,1,CEILING(L891,0.5)),'배송비 조회'!A$32:AY$36,2,0),-2)</f>
        <v>#REF!</v>
      </c>
      <c r="R891">
        <v>0</v>
      </c>
      <c r="S891" t="str">
        <f>ROUND((P891+Q891)*0.6,-2)</f>
        <v>#REF!</v>
      </c>
      <c r="T891" t="str">
        <f>ROUND((P891+Q891)*0.7,-2)</f>
        <v>#REF!</v>
      </c>
      <c r="U891" t="str">
        <f>ROUND(SUM(P891+Q891+R891+S891), -2)</f>
        <v>#REF!</v>
      </c>
      <c r="V891" t="str">
        <f>ROUND(P891+Q891+R891+T891, -2)</f>
        <v>#REF!</v>
      </c>
      <c r="W891">
        <v>0</v>
      </c>
      <c r="X891" t="str">
        <f>U891*0.038</f>
        <v>#REF!</v>
      </c>
      <c r="Y891" t="str">
        <f>U891*0.02</f>
        <v>#REF!</v>
      </c>
      <c r="Z891" t="str">
        <f>V891*0.1</f>
        <v>#REF!</v>
      </c>
      <c r="AA891" t="str">
        <f>U891-X891-Y891</f>
        <v>#REF!</v>
      </c>
      <c r="AB891" t="str">
        <f>V891-Z891</f>
        <v>#REF!</v>
      </c>
      <c r="AC891" t="str">
        <f>AA891*0.01</f>
        <v>#REF!</v>
      </c>
      <c r="AD891" t="str">
        <f>AA891-P891-AC891-Q891</f>
        <v>#REF!</v>
      </c>
      <c r="AE891" t="str">
        <f>AB891-P891-Q891-AC891</f>
        <v>#REF!</v>
      </c>
      <c r="AF891" t="str">
        <f>AD891/U891</f>
        <v>#REF!</v>
      </c>
      <c r="AG891" t="str">
        <f>AE891/V891</f>
        <v>#REF!</v>
      </c>
    </row>
    <row r="892">
      <c r="G892" t="str">
        <v>A</v>
      </c>
      <c r="J892" t="str">
        <f>IF(K892&gt;0,K892*0.0625,IF(L892&gt;0,L892*2.204623,))</f>
        <v>#REF!</v>
      </c>
      <c r="K892" t="str">
        <f>IF(L892&gt;0,L892*35.273962,IF(J892&gt;0,J892*16,))</f>
        <v>#REF!</v>
      </c>
      <c r="L892" t="str">
        <f>IF(J892&gt;0,J892*0.453592,IF(K892&gt;0,K892*0.02835,))</f>
        <v>#REF!</v>
      </c>
      <c r="O892">
        <f>I892+N892+M892</f>
        <v>0</v>
      </c>
      <c r="P892">
        <f>O892*C$3</f>
        <v>0</v>
      </c>
      <c r="Q892" t="str">
        <f>ROUNDUP(HLOOKUP(IF(CEILING(L892,0.5)&lt;1,1,CEILING(L892,0.5)),'배송비 조회'!A$32:AY$36,2,0),-2)</f>
        <v>#REF!</v>
      </c>
      <c r="R892">
        <v>0</v>
      </c>
      <c r="S892" t="str">
        <f>ROUND((P892+Q892)*0.6,-2)</f>
        <v>#REF!</v>
      </c>
      <c r="T892" t="str">
        <f>ROUND((P892+Q892)*0.7,-2)</f>
        <v>#REF!</v>
      </c>
      <c r="U892" t="str">
        <f>ROUND(SUM(P892+Q892+R892+S892), -2)</f>
        <v>#REF!</v>
      </c>
      <c r="V892" t="str">
        <f>ROUND(P892+Q892+R892+T892, -2)</f>
        <v>#REF!</v>
      </c>
      <c r="W892">
        <v>0</v>
      </c>
      <c r="X892" t="str">
        <f>U892*0.038</f>
        <v>#REF!</v>
      </c>
      <c r="Y892" t="str">
        <f>U892*0.02</f>
        <v>#REF!</v>
      </c>
      <c r="Z892" t="str">
        <f>V892*0.1</f>
        <v>#REF!</v>
      </c>
      <c r="AA892" t="str">
        <f>U892-X892-Y892</f>
        <v>#REF!</v>
      </c>
      <c r="AB892" t="str">
        <f>V892-Z892</f>
        <v>#REF!</v>
      </c>
      <c r="AC892" t="str">
        <f>AA892*0.01</f>
        <v>#REF!</v>
      </c>
      <c r="AD892" t="str">
        <f>AA892-P892-AC892-Q892</f>
        <v>#REF!</v>
      </c>
      <c r="AE892" t="str">
        <f>AB892-P892-Q892-AC892</f>
        <v>#REF!</v>
      </c>
      <c r="AF892" t="str">
        <f>AD892/U892</f>
        <v>#REF!</v>
      </c>
      <c r="AG892" t="str">
        <f>AE892/V892</f>
        <v>#REF!</v>
      </c>
    </row>
    <row r="893">
      <c r="G893" t="str">
        <v>A</v>
      </c>
      <c r="J893" t="str">
        <f>IF(K893&gt;0,K893*0.0625,IF(L893&gt;0,L893*2.204623,))</f>
        <v>#REF!</v>
      </c>
      <c r="K893" t="str">
        <f>IF(L893&gt;0,L893*35.273962,IF(J893&gt;0,J893*16,))</f>
        <v>#REF!</v>
      </c>
      <c r="L893" t="str">
        <f>IF(J893&gt;0,J893*0.453592,IF(K893&gt;0,K893*0.02835,))</f>
        <v>#REF!</v>
      </c>
      <c r="O893">
        <f>I893+N893+M893</f>
        <v>0</v>
      </c>
      <c r="P893">
        <f>O893*C$3</f>
        <v>0</v>
      </c>
      <c r="Q893" t="str">
        <f>ROUNDUP(HLOOKUP(IF(CEILING(L893,0.5)&lt;1,1,CEILING(L893,0.5)),'배송비 조회'!A$32:AY$36,2,0),-2)</f>
        <v>#REF!</v>
      </c>
      <c r="R893">
        <v>0</v>
      </c>
      <c r="S893" t="str">
        <f>ROUND((P893+Q893)*0.6,-2)</f>
        <v>#REF!</v>
      </c>
      <c r="T893" t="str">
        <f>ROUND((P893+Q893)*0.7,-2)</f>
        <v>#REF!</v>
      </c>
      <c r="U893" t="str">
        <f>ROUND(SUM(P893+Q893+R893+S893), -2)</f>
        <v>#REF!</v>
      </c>
      <c r="V893" t="str">
        <f>ROUND(P893+Q893+R893+T893, -2)</f>
        <v>#REF!</v>
      </c>
      <c r="W893">
        <v>0</v>
      </c>
      <c r="X893" t="str">
        <f>U893*0.038</f>
        <v>#REF!</v>
      </c>
      <c r="Y893" t="str">
        <f>U893*0.02</f>
        <v>#REF!</v>
      </c>
      <c r="Z893" t="str">
        <f>V893*0.1</f>
        <v>#REF!</v>
      </c>
      <c r="AA893" t="str">
        <f>U893-X893-Y893</f>
        <v>#REF!</v>
      </c>
      <c r="AB893" t="str">
        <f>V893-Z893</f>
        <v>#REF!</v>
      </c>
      <c r="AC893" t="str">
        <f>AA893*0.01</f>
        <v>#REF!</v>
      </c>
      <c r="AD893" t="str">
        <f>AA893-P893-AC893-Q893</f>
        <v>#REF!</v>
      </c>
      <c r="AE893" t="str">
        <f>AB893-P893-Q893-AC893</f>
        <v>#REF!</v>
      </c>
      <c r="AF893" t="str">
        <f>AD893/U893</f>
        <v>#REF!</v>
      </c>
      <c r="AG893" t="str">
        <f>AE893/V893</f>
        <v>#REF!</v>
      </c>
    </row>
    <row r="894">
      <c r="G894" t="str">
        <v>A</v>
      </c>
      <c r="J894" t="str">
        <f>IF(K894&gt;0,K894*0.0625,IF(L894&gt;0,L894*2.204623,))</f>
        <v>#REF!</v>
      </c>
      <c r="K894" t="str">
        <f>IF(L894&gt;0,L894*35.273962,IF(J894&gt;0,J894*16,))</f>
        <v>#REF!</v>
      </c>
      <c r="L894" t="str">
        <f>IF(J894&gt;0,J894*0.453592,IF(K894&gt;0,K894*0.02835,))</f>
        <v>#REF!</v>
      </c>
      <c r="O894">
        <f>I894+N894+M894</f>
        <v>0</v>
      </c>
      <c r="P894">
        <f>O894*C$3</f>
        <v>0</v>
      </c>
      <c r="Q894" t="str">
        <f>ROUNDUP(HLOOKUP(IF(CEILING(L894,0.5)&lt;1,1,CEILING(L894,0.5)),'배송비 조회'!A$32:AY$36,2,0),-2)</f>
        <v>#REF!</v>
      </c>
      <c r="R894">
        <v>0</v>
      </c>
      <c r="S894" t="str">
        <f>ROUND((P894+Q894)*0.6,-2)</f>
        <v>#REF!</v>
      </c>
      <c r="T894" t="str">
        <f>ROUND((P894+Q894)*0.7,-2)</f>
        <v>#REF!</v>
      </c>
      <c r="U894" t="str">
        <f>ROUND(SUM(P894+Q894+R894+S894), -2)</f>
        <v>#REF!</v>
      </c>
      <c r="V894" t="str">
        <f>ROUND(P894+Q894+R894+T894, -2)</f>
        <v>#REF!</v>
      </c>
      <c r="W894">
        <v>0</v>
      </c>
      <c r="X894" t="str">
        <f>U894*0.038</f>
        <v>#REF!</v>
      </c>
      <c r="Y894" t="str">
        <f>U894*0.02</f>
        <v>#REF!</v>
      </c>
      <c r="Z894" t="str">
        <f>V894*0.1</f>
        <v>#REF!</v>
      </c>
      <c r="AA894" t="str">
        <f>U894-X894-Y894</f>
        <v>#REF!</v>
      </c>
      <c r="AB894" t="str">
        <f>V894-Z894</f>
        <v>#REF!</v>
      </c>
      <c r="AC894" t="str">
        <f>AA894*0.01</f>
        <v>#REF!</v>
      </c>
      <c r="AD894" t="str">
        <f>AA894-P894-AC894-Q894</f>
        <v>#REF!</v>
      </c>
      <c r="AE894" t="str">
        <f>AB894-P894-Q894-AC894</f>
        <v>#REF!</v>
      </c>
      <c r="AF894" t="str">
        <f>AD894/U894</f>
        <v>#REF!</v>
      </c>
      <c r="AG894" t="str">
        <f>AE894/V894</f>
        <v>#REF!</v>
      </c>
    </row>
    <row r="895">
      <c r="G895" t="str">
        <v>A</v>
      </c>
      <c r="J895" t="str">
        <f>IF(K895&gt;0,K895*0.0625,IF(L895&gt;0,L895*2.204623,))</f>
        <v>#REF!</v>
      </c>
      <c r="K895" t="str">
        <f>IF(L895&gt;0,L895*35.273962,IF(J895&gt;0,J895*16,))</f>
        <v>#REF!</v>
      </c>
      <c r="L895" t="str">
        <f>IF(J895&gt;0,J895*0.453592,IF(K895&gt;0,K895*0.02835,))</f>
        <v>#REF!</v>
      </c>
      <c r="O895">
        <f>I895+N895+M895</f>
        <v>0</v>
      </c>
      <c r="P895">
        <f>O895*C$3</f>
        <v>0</v>
      </c>
      <c r="Q895" t="str">
        <f>ROUNDUP(HLOOKUP(IF(CEILING(L895,0.5)&lt;1,1,CEILING(L895,0.5)),'배송비 조회'!A$32:AY$36,2,0),-2)</f>
        <v>#REF!</v>
      </c>
      <c r="R895">
        <v>0</v>
      </c>
      <c r="S895" t="str">
        <f>ROUND((P895+Q895)*0.6,-2)</f>
        <v>#REF!</v>
      </c>
      <c r="T895" t="str">
        <f>ROUND((P895+Q895)*0.7,-2)</f>
        <v>#REF!</v>
      </c>
      <c r="U895" t="str">
        <f>ROUND(SUM(P895+Q895+R895+S895), -2)</f>
        <v>#REF!</v>
      </c>
      <c r="V895" t="str">
        <f>ROUND(P895+Q895+R895+T895, -2)</f>
        <v>#REF!</v>
      </c>
      <c r="W895">
        <v>0</v>
      </c>
      <c r="X895" t="str">
        <f>U895*0.038</f>
        <v>#REF!</v>
      </c>
      <c r="Y895" t="str">
        <f>U895*0.02</f>
        <v>#REF!</v>
      </c>
      <c r="Z895" t="str">
        <f>V895*0.1</f>
        <v>#REF!</v>
      </c>
      <c r="AA895" t="str">
        <f>U895-X895-Y895</f>
        <v>#REF!</v>
      </c>
      <c r="AB895" t="str">
        <f>V895-Z895</f>
        <v>#REF!</v>
      </c>
      <c r="AC895" t="str">
        <f>AA895*0.01</f>
        <v>#REF!</v>
      </c>
      <c r="AD895" t="str">
        <f>AA895-P895-AC895-Q895</f>
        <v>#REF!</v>
      </c>
      <c r="AE895" t="str">
        <f>AB895-P895-Q895-AC895</f>
        <v>#REF!</v>
      </c>
      <c r="AF895" t="str">
        <f>AD895/U895</f>
        <v>#REF!</v>
      </c>
      <c r="AG895" t="str">
        <f>AE895/V895</f>
        <v>#REF!</v>
      </c>
    </row>
    <row r="896">
      <c r="G896" t="str">
        <v>A</v>
      </c>
      <c r="J896" t="str">
        <f>IF(K896&gt;0,K896*0.0625,IF(L896&gt;0,L896*2.204623,))</f>
        <v>#REF!</v>
      </c>
      <c r="K896" t="str">
        <f>IF(L896&gt;0,L896*35.273962,IF(J896&gt;0,J896*16,))</f>
        <v>#REF!</v>
      </c>
      <c r="L896" t="str">
        <f>IF(J896&gt;0,J896*0.453592,IF(K896&gt;0,K896*0.02835,))</f>
        <v>#REF!</v>
      </c>
      <c r="O896">
        <f>I896+N896+M896</f>
        <v>0</v>
      </c>
      <c r="P896">
        <f>O896*C$3</f>
        <v>0</v>
      </c>
      <c r="Q896" t="str">
        <f>ROUNDUP(HLOOKUP(IF(CEILING(L896,0.5)&lt;1,1,CEILING(L896,0.5)),'배송비 조회'!A$32:AY$36,2,0),-2)</f>
        <v>#REF!</v>
      </c>
      <c r="R896">
        <v>0</v>
      </c>
      <c r="S896" t="str">
        <f>ROUND((P896+Q896)*0.6,-2)</f>
        <v>#REF!</v>
      </c>
      <c r="T896" t="str">
        <f>ROUND((P896+Q896)*0.7,-2)</f>
        <v>#REF!</v>
      </c>
      <c r="U896" t="str">
        <f>ROUND(SUM(P896+Q896+R896+S896), -2)</f>
        <v>#REF!</v>
      </c>
      <c r="V896" t="str">
        <f>ROUND(P896+Q896+R896+T896, -2)</f>
        <v>#REF!</v>
      </c>
      <c r="W896">
        <v>0</v>
      </c>
      <c r="X896" t="str">
        <f>U896*0.038</f>
        <v>#REF!</v>
      </c>
      <c r="Y896" t="str">
        <f>U896*0.02</f>
        <v>#REF!</v>
      </c>
      <c r="Z896" t="str">
        <f>V896*0.1</f>
        <v>#REF!</v>
      </c>
      <c r="AA896" t="str">
        <f>U896-X896-Y896</f>
        <v>#REF!</v>
      </c>
      <c r="AB896" t="str">
        <f>V896-Z896</f>
        <v>#REF!</v>
      </c>
      <c r="AC896" t="str">
        <f>AA896*0.01</f>
        <v>#REF!</v>
      </c>
      <c r="AD896" t="str">
        <f>AA896-P896-AC896-Q896</f>
        <v>#REF!</v>
      </c>
      <c r="AE896" t="str">
        <f>AB896-P896-Q896-AC896</f>
        <v>#REF!</v>
      </c>
      <c r="AF896" t="str">
        <f>AD896/U896</f>
        <v>#REF!</v>
      </c>
      <c r="AG896" t="str">
        <f>AE896/V896</f>
        <v>#REF!</v>
      </c>
    </row>
    <row r="897">
      <c r="G897" t="str">
        <v>A</v>
      </c>
      <c r="J897" t="str">
        <f>IF(K897&gt;0,K897*0.0625,IF(L897&gt;0,L897*2.204623,))</f>
        <v>#REF!</v>
      </c>
      <c r="K897" t="str">
        <f>IF(L897&gt;0,L897*35.273962,IF(J897&gt;0,J897*16,))</f>
        <v>#REF!</v>
      </c>
      <c r="L897" t="str">
        <f>IF(J897&gt;0,J897*0.453592,IF(K897&gt;0,K897*0.02835,))</f>
        <v>#REF!</v>
      </c>
      <c r="O897">
        <f>I897+N897+M897</f>
        <v>0</v>
      </c>
      <c r="P897">
        <f>O897*C$3</f>
        <v>0</v>
      </c>
      <c r="Q897" t="str">
        <f>ROUNDUP(HLOOKUP(IF(CEILING(L897,0.5)&lt;1,1,CEILING(L897,0.5)),'배송비 조회'!A$32:AY$36,2,0),-2)</f>
        <v>#REF!</v>
      </c>
      <c r="R897">
        <v>0</v>
      </c>
      <c r="S897" t="str">
        <f>ROUND((P897+Q897)*0.6,-2)</f>
        <v>#REF!</v>
      </c>
      <c r="T897" t="str">
        <f>ROUND((P897+Q897)*0.7,-2)</f>
        <v>#REF!</v>
      </c>
      <c r="U897" t="str">
        <f>ROUND(SUM(P897+Q897+R897+S897), -2)</f>
        <v>#REF!</v>
      </c>
      <c r="V897" t="str">
        <f>ROUND(P897+Q897+R897+T897, -2)</f>
        <v>#REF!</v>
      </c>
      <c r="W897">
        <v>0</v>
      </c>
      <c r="X897" t="str">
        <f>U897*0.038</f>
        <v>#REF!</v>
      </c>
      <c r="Y897" t="str">
        <f>U897*0.02</f>
        <v>#REF!</v>
      </c>
      <c r="Z897" t="str">
        <f>V897*0.1</f>
        <v>#REF!</v>
      </c>
      <c r="AA897" t="str">
        <f>U897-X897-Y897</f>
        <v>#REF!</v>
      </c>
      <c r="AB897" t="str">
        <f>V897-Z897</f>
        <v>#REF!</v>
      </c>
      <c r="AC897" t="str">
        <f>AA897*0.01</f>
        <v>#REF!</v>
      </c>
      <c r="AD897" t="str">
        <f>AA897-P897-AC897-Q897</f>
        <v>#REF!</v>
      </c>
      <c r="AE897" t="str">
        <f>AB897-P897-Q897-AC897</f>
        <v>#REF!</v>
      </c>
      <c r="AF897" t="str">
        <f>AD897/U897</f>
        <v>#REF!</v>
      </c>
      <c r="AG897" t="str">
        <f>AE897/V897</f>
        <v>#REF!</v>
      </c>
    </row>
    <row r="898">
      <c r="G898" t="str">
        <v>A</v>
      </c>
      <c r="J898" t="str">
        <f>IF(K898&gt;0,K898*0.0625,IF(L898&gt;0,L898*2.204623,))</f>
        <v>#REF!</v>
      </c>
      <c r="K898" t="str">
        <f>IF(L898&gt;0,L898*35.273962,IF(J898&gt;0,J898*16,))</f>
        <v>#REF!</v>
      </c>
      <c r="L898" t="str">
        <f>IF(J898&gt;0,J898*0.453592,IF(K898&gt;0,K898*0.02835,))</f>
        <v>#REF!</v>
      </c>
      <c r="O898">
        <f>I898+N898+M898</f>
        <v>0</v>
      </c>
      <c r="P898">
        <f>O898*C$3</f>
        <v>0</v>
      </c>
      <c r="Q898" t="str">
        <f>ROUNDUP(HLOOKUP(IF(CEILING(L898,0.5)&lt;1,1,CEILING(L898,0.5)),'배송비 조회'!A$32:AY$36,2,0),-2)</f>
        <v>#REF!</v>
      </c>
      <c r="R898">
        <v>0</v>
      </c>
      <c r="S898" t="str">
        <f>ROUND((P898+Q898)*0.6,-2)</f>
        <v>#REF!</v>
      </c>
      <c r="T898" t="str">
        <f>ROUND((P898+Q898)*0.7,-2)</f>
        <v>#REF!</v>
      </c>
      <c r="U898" t="str">
        <f>ROUND(SUM(P898+Q898+R898+S898), -2)</f>
        <v>#REF!</v>
      </c>
      <c r="V898" t="str">
        <f>ROUND(P898+Q898+R898+T898, -2)</f>
        <v>#REF!</v>
      </c>
      <c r="W898">
        <v>0</v>
      </c>
      <c r="X898" t="str">
        <f>U898*0.038</f>
        <v>#REF!</v>
      </c>
      <c r="Y898" t="str">
        <f>U898*0.02</f>
        <v>#REF!</v>
      </c>
      <c r="Z898" t="str">
        <f>V898*0.1</f>
        <v>#REF!</v>
      </c>
      <c r="AA898" t="str">
        <f>U898-X898-Y898</f>
        <v>#REF!</v>
      </c>
      <c r="AB898" t="str">
        <f>V898-Z898</f>
        <v>#REF!</v>
      </c>
      <c r="AC898" t="str">
        <f>AA898*0.01</f>
        <v>#REF!</v>
      </c>
      <c r="AD898" t="str">
        <f>AA898-P898-AC898-Q898</f>
        <v>#REF!</v>
      </c>
      <c r="AE898" t="str">
        <f>AB898-P898-Q898-AC898</f>
        <v>#REF!</v>
      </c>
      <c r="AF898" t="str">
        <f>AD898/U898</f>
        <v>#REF!</v>
      </c>
      <c r="AG898" t="str">
        <f>AE898/V898</f>
        <v>#REF!</v>
      </c>
    </row>
    <row r="899">
      <c r="G899" t="str">
        <v>A</v>
      </c>
      <c r="J899" t="str">
        <f>IF(K899&gt;0,K899*0.0625,IF(L899&gt;0,L899*2.204623,))</f>
        <v>#REF!</v>
      </c>
      <c r="K899" t="str">
        <f>IF(L899&gt;0,L899*35.273962,IF(J899&gt;0,J899*16,))</f>
        <v>#REF!</v>
      </c>
      <c r="L899" t="str">
        <f>IF(J899&gt;0,J899*0.453592,IF(K899&gt;0,K899*0.02835,))</f>
        <v>#REF!</v>
      </c>
      <c r="O899">
        <f>I899+N899+M899</f>
        <v>0</v>
      </c>
      <c r="P899">
        <f>O899*C$3</f>
        <v>0</v>
      </c>
      <c r="Q899" t="str">
        <f>ROUNDUP(HLOOKUP(IF(CEILING(L899,0.5)&lt;1,1,CEILING(L899,0.5)),'배송비 조회'!A$32:AY$36,2,0),-2)</f>
        <v>#REF!</v>
      </c>
      <c r="R899">
        <v>0</v>
      </c>
      <c r="S899" t="str">
        <f>ROUND((P899+Q899)*0.6,-2)</f>
        <v>#REF!</v>
      </c>
      <c r="T899" t="str">
        <f>ROUND((P899+Q899)*0.7,-2)</f>
        <v>#REF!</v>
      </c>
      <c r="U899" t="str">
        <f>ROUND(SUM(P899+Q899+R899+S899), -2)</f>
        <v>#REF!</v>
      </c>
      <c r="V899" t="str">
        <f>ROUND(P899+Q899+R899+T899, -2)</f>
        <v>#REF!</v>
      </c>
      <c r="W899">
        <v>0</v>
      </c>
      <c r="X899" t="str">
        <f>U899*0.038</f>
        <v>#REF!</v>
      </c>
      <c r="Y899" t="str">
        <f>U899*0.02</f>
        <v>#REF!</v>
      </c>
      <c r="Z899" t="str">
        <f>V899*0.1</f>
        <v>#REF!</v>
      </c>
      <c r="AA899" t="str">
        <f>U899-X899-Y899</f>
        <v>#REF!</v>
      </c>
      <c r="AB899" t="str">
        <f>V899-Z899</f>
        <v>#REF!</v>
      </c>
      <c r="AC899" t="str">
        <f>AA899*0.01</f>
        <v>#REF!</v>
      </c>
      <c r="AD899" t="str">
        <f>AA899-P899-AC899-Q899</f>
        <v>#REF!</v>
      </c>
      <c r="AE899" t="str">
        <f>AB899-P899-Q899-AC899</f>
        <v>#REF!</v>
      </c>
      <c r="AF899" t="str">
        <f>AD899/U899</f>
        <v>#REF!</v>
      </c>
      <c r="AG899" t="str">
        <f>AE899/V899</f>
        <v>#REF!</v>
      </c>
    </row>
    <row r="900">
      <c r="G900" t="str">
        <v>A</v>
      </c>
      <c r="J900" t="str">
        <f>IF(K900&gt;0,K900*0.0625,IF(L900&gt;0,L900*2.204623,))</f>
        <v>#REF!</v>
      </c>
      <c r="K900" t="str">
        <f>IF(L900&gt;0,L900*35.273962,IF(J900&gt;0,J900*16,))</f>
        <v>#REF!</v>
      </c>
      <c r="L900" t="str">
        <f>IF(J900&gt;0,J900*0.453592,IF(K900&gt;0,K900*0.02835,))</f>
        <v>#REF!</v>
      </c>
      <c r="O900">
        <f>I900+N900+M900</f>
        <v>0</v>
      </c>
      <c r="P900">
        <f>O900*C$3</f>
        <v>0</v>
      </c>
      <c r="Q900" t="str">
        <f>ROUNDUP(HLOOKUP(IF(CEILING(L900,0.5)&lt;1,1,CEILING(L900,0.5)),'배송비 조회'!A$32:AY$36,2,0),-2)</f>
        <v>#REF!</v>
      </c>
      <c r="R900">
        <v>0</v>
      </c>
      <c r="S900" t="str">
        <f>ROUND((P900+Q900)*0.6,-2)</f>
        <v>#REF!</v>
      </c>
      <c r="T900" t="str">
        <f>ROUND((P900+Q900)*0.7,-2)</f>
        <v>#REF!</v>
      </c>
      <c r="U900" t="str">
        <f>ROUND(SUM(P900+Q900+R900+S900), -2)</f>
        <v>#REF!</v>
      </c>
      <c r="V900" t="str">
        <f>ROUND(P900+Q900+R900+T900, -2)</f>
        <v>#REF!</v>
      </c>
      <c r="W900">
        <v>0</v>
      </c>
      <c r="X900" t="str">
        <f>U900*0.038</f>
        <v>#REF!</v>
      </c>
      <c r="Y900" t="str">
        <f>U900*0.02</f>
        <v>#REF!</v>
      </c>
      <c r="Z900" t="str">
        <f>V900*0.1</f>
        <v>#REF!</v>
      </c>
      <c r="AA900" t="str">
        <f>U900-X900-Y900</f>
        <v>#REF!</v>
      </c>
      <c r="AB900" t="str">
        <f>V900-Z900</f>
        <v>#REF!</v>
      </c>
      <c r="AC900" t="str">
        <f>AA900*0.01</f>
        <v>#REF!</v>
      </c>
      <c r="AD900" t="str">
        <f>AA900-P900-AC900-Q900</f>
        <v>#REF!</v>
      </c>
      <c r="AE900" t="str">
        <f>AB900-P900-Q900-AC900</f>
        <v>#REF!</v>
      </c>
      <c r="AF900" t="str">
        <f>AD900/U900</f>
        <v>#REF!</v>
      </c>
      <c r="AG900" t="str">
        <f>AE900/V900</f>
        <v>#REF!</v>
      </c>
    </row>
    <row r="901">
      <c r="G901" t="str">
        <v>A</v>
      </c>
      <c r="J901" t="str">
        <f>IF(K901&gt;0,K901*0.0625,IF(L901&gt;0,L901*2.204623,))</f>
        <v>#REF!</v>
      </c>
      <c r="K901" t="str">
        <f>IF(L901&gt;0,L901*35.273962,IF(J901&gt;0,J901*16,))</f>
        <v>#REF!</v>
      </c>
      <c r="L901" t="str">
        <f>IF(J901&gt;0,J901*0.453592,IF(K901&gt;0,K901*0.02835,))</f>
        <v>#REF!</v>
      </c>
      <c r="O901">
        <f>I901+N901+M901</f>
        <v>0</v>
      </c>
      <c r="P901">
        <f>O901*C$3</f>
        <v>0</v>
      </c>
      <c r="Q901" t="str">
        <f>ROUNDUP(HLOOKUP(IF(CEILING(L901,0.5)&lt;1,1,CEILING(L901,0.5)),'배송비 조회'!A$32:AY$36,2,0),-2)</f>
        <v>#REF!</v>
      </c>
      <c r="R901">
        <v>0</v>
      </c>
      <c r="S901" t="str">
        <f>ROUND((P901+Q901)*0.6,-2)</f>
        <v>#REF!</v>
      </c>
      <c r="T901" t="str">
        <f>ROUND((P901+Q901)*0.7,-2)</f>
        <v>#REF!</v>
      </c>
      <c r="U901" t="str">
        <f>ROUND(SUM(P901+Q901+R901+S901), -2)</f>
        <v>#REF!</v>
      </c>
      <c r="V901" t="str">
        <f>ROUND(P901+Q901+R901+T901, -2)</f>
        <v>#REF!</v>
      </c>
      <c r="W901">
        <v>0</v>
      </c>
      <c r="X901" t="str">
        <f>U901*0.038</f>
        <v>#REF!</v>
      </c>
      <c r="Y901" t="str">
        <f>U901*0.02</f>
        <v>#REF!</v>
      </c>
      <c r="Z901" t="str">
        <f>V901*0.1</f>
        <v>#REF!</v>
      </c>
      <c r="AA901" t="str">
        <f>U901-X901-Y901</f>
        <v>#REF!</v>
      </c>
      <c r="AB901" t="str">
        <f>V901-Z901</f>
        <v>#REF!</v>
      </c>
      <c r="AC901" t="str">
        <f>AA901*0.01</f>
        <v>#REF!</v>
      </c>
      <c r="AD901" t="str">
        <f>AA901-P901-AC901-Q901</f>
        <v>#REF!</v>
      </c>
      <c r="AE901" t="str">
        <f>AB901-P901-Q901-AC901</f>
        <v>#REF!</v>
      </c>
      <c r="AF901" t="str">
        <f>AD901/U901</f>
        <v>#REF!</v>
      </c>
      <c r="AG901" t="str">
        <f>AE901/V901</f>
        <v>#REF!</v>
      </c>
    </row>
    <row r="902">
      <c r="G902" t="str">
        <v>A</v>
      </c>
      <c r="J902" t="str">
        <f>IF(K902&gt;0,K902*0.0625,IF(L902&gt;0,L902*2.204623,))</f>
        <v>#REF!</v>
      </c>
      <c r="K902" t="str">
        <f>IF(L902&gt;0,L902*35.273962,IF(J902&gt;0,J902*16,))</f>
        <v>#REF!</v>
      </c>
      <c r="L902" t="str">
        <f>IF(J902&gt;0,J902*0.453592,IF(K902&gt;0,K902*0.02835,))</f>
        <v>#REF!</v>
      </c>
      <c r="O902">
        <f>I902+N902+M902</f>
        <v>0</v>
      </c>
      <c r="P902">
        <f>O902*C$3</f>
        <v>0</v>
      </c>
      <c r="Q902" t="str">
        <f>ROUNDUP(HLOOKUP(IF(CEILING(L902,0.5)&lt;1,1,CEILING(L902,0.5)),'배송비 조회'!A$32:AY$36,2,0),-2)</f>
        <v>#REF!</v>
      </c>
      <c r="R902">
        <v>0</v>
      </c>
      <c r="S902" t="str">
        <f>ROUND((P902+Q902)*0.6,-2)</f>
        <v>#REF!</v>
      </c>
      <c r="T902" t="str">
        <f>ROUND((P902+Q902)*0.7,-2)</f>
        <v>#REF!</v>
      </c>
      <c r="U902" t="str">
        <f>ROUND(SUM(P902+Q902+R902+S902), -2)</f>
        <v>#REF!</v>
      </c>
      <c r="V902" t="str">
        <f>ROUND(P902+Q902+R902+T902, -2)</f>
        <v>#REF!</v>
      </c>
      <c r="W902">
        <v>0</v>
      </c>
      <c r="X902" t="str">
        <f>U902*0.038</f>
        <v>#REF!</v>
      </c>
      <c r="Y902" t="str">
        <f>U902*0.02</f>
        <v>#REF!</v>
      </c>
      <c r="Z902" t="str">
        <f>V902*0.1</f>
        <v>#REF!</v>
      </c>
      <c r="AA902" t="str">
        <f>U902-X902-Y902</f>
        <v>#REF!</v>
      </c>
      <c r="AB902" t="str">
        <f>V902-Z902</f>
        <v>#REF!</v>
      </c>
      <c r="AC902" t="str">
        <f>AA902*0.01</f>
        <v>#REF!</v>
      </c>
      <c r="AD902" t="str">
        <f>AA902-P902-AC902-Q902</f>
        <v>#REF!</v>
      </c>
      <c r="AE902" t="str">
        <f>AB902-P902-Q902-AC902</f>
        <v>#REF!</v>
      </c>
      <c r="AF902" t="str">
        <f>AD902/U902</f>
        <v>#REF!</v>
      </c>
      <c r="AG902" t="str">
        <f>AE902/V902</f>
        <v>#REF!</v>
      </c>
    </row>
    <row r="903">
      <c r="G903" t="str">
        <v>A</v>
      </c>
      <c r="J903" t="str">
        <f>IF(K903&gt;0,K903*0.0625,IF(L903&gt;0,L903*2.204623,))</f>
        <v>#REF!</v>
      </c>
      <c r="K903" t="str">
        <f>IF(L903&gt;0,L903*35.273962,IF(J903&gt;0,J903*16,))</f>
        <v>#REF!</v>
      </c>
      <c r="L903" t="str">
        <f>IF(J903&gt;0,J903*0.453592,IF(K903&gt;0,K903*0.02835,))</f>
        <v>#REF!</v>
      </c>
      <c r="O903">
        <f>I903+N903+M903</f>
        <v>0</v>
      </c>
      <c r="P903">
        <f>O903*C$3</f>
        <v>0</v>
      </c>
      <c r="Q903" t="str">
        <f>ROUNDUP(HLOOKUP(IF(CEILING(L903,0.5)&lt;1,1,CEILING(L903,0.5)),'배송비 조회'!A$32:AY$36,2,0),-2)</f>
        <v>#REF!</v>
      </c>
      <c r="R903">
        <v>0</v>
      </c>
      <c r="S903" t="str">
        <f>ROUND((P903+Q903)*0.6,-2)</f>
        <v>#REF!</v>
      </c>
      <c r="T903" t="str">
        <f>ROUND((P903+Q903)*0.7,-2)</f>
        <v>#REF!</v>
      </c>
      <c r="U903" t="str">
        <f>ROUND(SUM(P903+Q903+R903+S903), -2)</f>
        <v>#REF!</v>
      </c>
      <c r="V903" t="str">
        <f>ROUND(P903+Q903+R903+T903, -2)</f>
        <v>#REF!</v>
      </c>
      <c r="W903">
        <v>0</v>
      </c>
      <c r="X903" t="str">
        <f>U903*0.038</f>
        <v>#REF!</v>
      </c>
      <c r="Y903" t="str">
        <f>U903*0.02</f>
        <v>#REF!</v>
      </c>
      <c r="Z903" t="str">
        <f>V903*0.1</f>
        <v>#REF!</v>
      </c>
      <c r="AA903" t="str">
        <f>U903-X903-Y903</f>
        <v>#REF!</v>
      </c>
      <c r="AB903" t="str">
        <f>V903-Z903</f>
        <v>#REF!</v>
      </c>
      <c r="AC903" t="str">
        <f>AA903*0.01</f>
        <v>#REF!</v>
      </c>
      <c r="AD903" t="str">
        <f>AA903-P903-AC903-Q903</f>
        <v>#REF!</v>
      </c>
      <c r="AE903" t="str">
        <f>AB903-P903-Q903-AC903</f>
        <v>#REF!</v>
      </c>
      <c r="AF903" t="str">
        <f>AD903/U903</f>
        <v>#REF!</v>
      </c>
      <c r="AG903" t="str">
        <f>AE903/V903</f>
        <v>#REF!</v>
      </c>
    </row>
    <row r="904">
      <c r="G904" t="str">
        <v>A</v>
      </c>
      <c r="J904" t="str">
        <f>IF(K904&gt;0,K904*0.0625,IF(L904&gt;0,L904*2.204623,))</f>
        <v>#REF!</v>
      </c>
      <c r="K904" t="str">
        <f>IF(L904&gt;0,L904*35.273962,IF(J904&gt;0,J904*16,))</f>
        <v>#REF!</v>
      </c>
      <c r="L904" t="str">
        <f>IF(J904&gt;0,J904*0.453592,IF(K904&gt;0,K904*0.02835,))</f>
        <v>#REF!</v>
      </c>
      <c r="O904">
        <f>I904+N904+M904</f>
        <v>0</v>
      </c>
      <c r="P904">
        <f>O904*C$3</f>
        <v>0</v>
      </c>
      <c r="Q904" t="str">
        <f>ROUNDUP(HLOOKUP(IF(CEILING(L904,0.5)&lt;1,1,CEILING(L904,0.5)),'배송비 조회'!A$32:AY$36,2,0),-2)</f>
        <v>#REF!</v>
      </c>
      <c r="R904">
        <v>0</v>
      </c>
      <c r="S904" t="str">
        <f>ROUND((P904+Q904)*0.6,-2)</f>
        <v>#REF!</v>
      </c>
      <c r="T904" t="str">
        <f>ROUND((P904+Q904)*0.7,-2)</f>
        <v>#REF!</v>
      </c>
      <c r="U904" t="str">
        <f>ROUND(SUM(P904+Q904+R904+S904), -2)</f>
        <v>#REF!</v>
      </c>
      <c r="V904" t="str">
        <f>ROUND(P904+Q904+R904+T904, -2)</f>
        <v>#REF!</v>
      </c>
      <c r="W904">
        <v>0</v>
      </c>
      <c r="X904" t="str">
        <f>U904*0.038</f>
        <v>#REF!</v>
      </c>
      <c r="Y904" t="str">
        <f>U904*0.02</f>
        <v>#REF!</v>
      </c>
      <c r="Z904" t="str">
        <f>V904*0.1</f>
        <v>#REF!</v>
      </c>
      <c r="AA904" t="str">
        <f>U904-X904-Y904</f>
        <v>#REF!</v>
      </c>
      <c r="AB904" t="str">
        <f>V904-Z904</f>
        <v>#REF!</v>
      </c>
      <c r="AC904" t="str">
        <f>AA904*0.01</f>
        <v>#REF!</v>
      </c>
      <c r="AD904" t="str">
        <f>AA904-P904-AC904-Q904</f>
        <v>#REF!</v>
      </c>
      <c r="AE904" t="str">
        <f>AB904-P904-Q904-AC904</f>
        <v>#REF!</v>
      </c>
      <c r="AF904" t="str">
        <f>AD904/U904</f>
        <v>#REF!</v>
      </c>
      <c r="AG904" t="str">
        <f>AE904/V904</f>
        <v>#REF!</v>
      </c>
    </row>
    <row r="905">
      <c r="G905" t="str">
        <v>A</v>
      </c>
      <c r="J905" t="str">
        <f>IF(K905&gt;0,K905*0.0625,IF(L905&gt;0,L905*2.204623,))</f>
        <v>#REF!</v>
      </c>
      <c r="K905" t="str">
        <f>IF(L905&gt;0,L905*35.273962,IF(J905&gt;0,J905*16,))</f>
        <v>#REF!</v>
      </c>
      <c r="L905" t="str">
        <f>IF(J905&gt;0,J905*0.453592,IF(K905&gt;0,K905*0.02835,))</f>
        <v>#REF!</v>
      </c>
      <c r="O905">
        <f>I905+N905+M905</f>
        <v>0</v>
      </c>
      <c r="P905">
        <f>O905*C$3</f>
        <v>0</v>
      </c>
      <c r="Q905" t="str">
        <f>ROUNDUP(HLOOKUP(IF(CEILING(L905,0.5)&lt;1,1,CEILING(L905,0.5)),'배송비 조회'!A$32:AY$36,2,0),-2)</f>
        <v>#REF!</v>
      </c>
      <c r="R905">
        <v>0</v>
      </c>
      <c r="S905" t="str">
        <f>ROUND((P905+Q905)*0.6,-2)</f>
        <v>#REF!</v>
      </c>
      <c r="T905" t="str">
        <f>ROUND((P905+Q905)*0.7,-2)</f>
        <v>#REF!</v>
      </c>
      <c r="U905" t="str">
        <f>ROUND(SUM(P905+Q905+R905+S905), -2)</f>
        <v>#REF!</v>
      </c>
      <c r="V905" t="str">
        <f>ROUND(P905+Q905+R905+T905, -2)</f>
        <v>#REF!</v>
      </c>
      <c r="W905">
        <v>0</v>
      </c>
      <c r="X905" t="str">
        <f>U905*0.038</f>
        <v>#REF!</v>
      </c>
      <c r="Y905" t="str">
        <f>U905*0.02</f>
        <v>#REF!</v>
      </c>
      <c r="Z905" t="str">
        <f>V905*0.1</f>
        <v>#REF!</v>
      </c>
      <c r="AA905" t="str">
        <f>U905-X905-Y905</f>
        <v>#REF!</v>
      </c>
      <c r="AB905" t="str">
        <f>V905-Z905</f>
        <v>#REF!</v>
      </c>
      <c r="AC905" t="str">
        <f>AA905*0.01</f>
        <v>#REF!</v>
      </c>
      <c r="AD905" t="str">
        <f>AA905-P905-AC905-Q905</f>
        <v>#REF!</v>
      </c>
      <c r="AE905" t="str">
        <f>AB905-P905-Q905-AC905</f>
        <v>#REF!</v>
      </c>
      <c r="AF905" t="str">
        <f>AD905/U905</f>
        <v>#REF!</v>
      </c>
      <c r="AG905" t="str">
        <f>AE905/V905</f>
        <v>#REF!</v>
      </c>
    </row>
    <row r="906">
      <c r="G906" t="str">
        <v>A</v>
      </c>
      <c r="J906" t="str">
        <f>IF(K906&gt;0,K906*0.0625,IF(L906&gt;0,L906*2.204623,))</f>
        <v>#REF!</v>
      </c>
      <c r="K906" t="str">
        <f>IF(L906&gt;0,L906*35.273962,IF(J906&gt;0,J906*16,))</f>
        <v>#REF!</v>
      </c>
      <c r="L906" t="str">
        <f>IF(J906&gt;0,J906*0.453592,IF(K906&gt;0,K906*0.02835,))</f>
        <v>#REF!</v>
      </c>
      <c r="O906">
        <f>I906+N906+M906</f>
        <v>0</v>
      </c>
      <c r="P906">
        <f>O906*C$3</f>
        <v>0</v>
      </c>
      <c r="Q906" t="str">
        <f>ROUNDUP(HLOOKUP(IF(CEILING(L906,0.5)&lt;1,1,CEILING(L906,0.5)),'배송비 조회'!A$32:AY$36,2,0),-2)</f>
        <v>#REF!</v>
      </c>
      <c r="R906">
        <v>0</v>
      </c>
      <c r="S906" t="str">
        <f>ROUND((P906+Q906)*0.6,-2)</f>
        <v>#REF!</v>
      </c>
      <c r="T906" t="str">
        <f>ROUND((P906+Q906)*0.7,-2)</f>
        <v>#REF!</v>
      </c>
      <c r="U906" t="str">
        <f>ROUND(SUM(P906+Q906+R906+S906), -2)</f>
        <v>#REF!</v>
      </c>
      <c r="V906" t="str">
        <f>ROUND(P906+Q906+R906+T906, -2)</f>
        <v>#REF!</v>
      </c>
      <c r="W906">
        <v>0</v>
      </c>
      <c r="X906" t="str">
        <f>U906*0.038</f>
        <v>#REF!</v>
      </c>
      <c r="Y906" t="str">
        <f>U906*0.02</f>
        <v>#REF!</v>
      </c>
      <c r="Z906" t="str">
        <f>V906*0.1</f>
        <v>#REF!</v>
      </c>
      <c r="AA906" t="str">
        <f>U906-X906-Y906</f>
        <v>#REF!</v>
      </c>
      <c r="AB906" t="str">
        <f>V906-Z906</f>
        <v>#REF!</v>
      </c>
      <c r="AC906" t="str">
        <f>AA906*0.01</f>
        <v>#REF!</v>
      </c>
      <c r="AD906" t="str">
        <f>AA906-P906-AC906-Q906</f>
        <v>#REF!</v>
      </c>
      <c r="AE906" t="str">
        <f>AB906-P906-Q906-AC906</f>
        <v>#REF!</v>
      </c>
      <c r="AF906" t="str">
        <f>AD906/U906</f>
        <v>#REF!</v>
      </c>
      <c r="AG906" t="str">
        <f>AE906/V906</f>
        <v>#REF!</v>
      </c>
    </row>
    <row r="907">
      <c r="G907" t="str">
        <v>A</v>
      </c>
      <c r="J907" t="str">
        <f>IF(K907&gt;0,K907*0.0625,IF(L907&gt;0,L907*2.204623,))</f>
        <v>#REF!</v>
      </c>
      <c r="K907" t="str">
        <f>IF(L907&gt;0,L907*35.273962,IF(J907&gt;0,J907*16,))</f>
        <v>#REF!</v>
      </c>
      <c r="L907" t="str">
        <f>IF(J907&gt;0,J907*0.453592,IF(K907&gt;0,K907*0.02835,))</f>
        <v>#REF!</v>
      </c>
      <c r="O907">
        <f>I907+N907+M907</f>
        <v>0</v>
      </c>
      <c r="P907">
        <f>O907*C$3</f>
        <v>0</v>
      </c>
      <c r="Q907" t="str">
        <f>ROUNDUP(HLOOKUP(IF(CEILING(L907,0.5)&lt;1,1,CEILING(L907,0.5)),'배송비 조회'!A$32:AY$36,2,0),-2)</f>
        <v>#REF!</v>
      </c>
      <c r="R907">
        <v>0</v>
      </c>
      <c r="S907" t="str">
        <f>ROUND((P907+Q907)*0.6,-2)</f>
        <v>#REF!</v>
      </c>
      <c r="T907" t="str">
        <f>ROUND((P907+Q907)*0.7,-2)</f>
        <v>#REF!</v>
      </c>
      <c r="U907" t="str">
        <f>ROUND(SUM(P907+Q907+R907+S907), -2)</f>
        <v>#REF!</v>
      </c>
      <c r="V907" t="str">
        <f>ROUND(P907+Q907+R907+T907, -2)</f>
        <v>#REF!</v>
      </c>
      <c r="W907">
        <v>0</v>
      </c>
      <c r="X907" t="str">
        <f>U907*0.038</f>
        <v>#REF!</v>
      </c>
      <c r="Y907" t="str">
        <f>U907*0.02</f>
        <v>#REF!</v>
      </c>
      <c r="Z907" t="str">
        <f>V907*0.1</f>
        <v>#REF!</v>
      </c>
      <c r="AA907" t="str">
        <f>U907-X907-Y907</f>
        <v>#REF!</v>
      </c>
      <c r="AB907" t="str">
        <f>V907-Z907</f>
        <v>#REF!</v>
      </c>
      <c r="AC907" t="str">
        <f>AA907*0.01</f>
        <v>#REF!</v>
      </c>
      <c r="AD907" t="str">
        <f>AA907-P907-AC907-Q907</f>
        <v>#REF!</v>
      </c>
      <c r="AE907" t="str">
        <f>AB907-P907-Q907-AC907</f>
        <v>#REF!</v>
      </c>
      <c r="AF907" t="str">
        <f>AD907/U907</f>
        <v>#REF!</v>
      </c>
      <c r="AG907" t="str">
        <f>AE907/V907</f>
        <v>#REF!</v>
      </c>
    </row>
    <row r="908">
      <c r="G908" t="str">
        <v>A</v>
      </c>
      <c r="J908" t="str">
        <f>IF(K908&gt;0,K908*0.0625,IF(L908&gt;0,L908*2.204623,))</f>
        <v>#REF!</v>
      </c>
      <c r="K908" t="str">
        <f>IF(L908&gt;0,L908*35.273962,IF(J908&gt;0,J908*16,))</f>
        <v>#REF!</v>
      </c>
      <c r="L908" t="str">
        <f>IF(J908&gt;0,J908*0.453592,IF(K908&gt;0,K908*0.02835,))</f>
        <v>#REF!</v>
      </c>
      <c r="O908">
        <f>I908+N908+M908</f>
        <v>0</v>
      </c>
      <c r="P908">
        <f>O908*C$3</f>
        <v>0</v>
      </c>
      <c r="Q908" t="str">
        <f>ROUNDUP(HLOOKUP(IF(CEILING(L908,0.5)&lt;1,1,CEILING(L908,0.5)),'배송비 조회'!A$32:AY$36,2,0),-2)</f>
        <v>#REF!</v>
      </c>
      <c r="R908">
        <v>0</v>
      </c>
      <c r="S908" t="str">
        <f>ROUND((P908+Q908)*0.6,-2)</f>
        <v>#REF!</v>
      </c>
      <c r="T908" t="str">
        <f>ROUND((P908+Q908)*0.7,-2)</f>
        <v>#REF!</v>
      </c>
      <c r="U908" t="str">
        <f>ROUND(SUM(P908+Q908+R908+S908), -2)</f>
        <v>#REF!</v>
      </c>
      <c r="V908" t="str">
        <f>ROUND(P908+Q908+R908+T908, -2)</f>
        <v>#REF!</v>
      </c>
      <c r="W908">
        <v>0</v>
      </c>
      <c r="X908" t="str">
        <f>U908*0.038</f>
        <v>#REF!</v>
      </c>
      <c r="Y908" t="str">
        <f>U908*0.02</f>
        <v>#REF!</v>
      </c>
      <c r="Z908" t="str">
        <f>V908*0.1</f>
        <v>#REF!</v>
      </c>
      <c r="AA908" t="str">
        <f>U908-X908-Y908</f>
        <v>#REF!</v>
      </c>
      <c r="AB908" t="str">
        <f>V908-Z908</f>
        <v>#REF!</v>
      </c>
      <c r="AC908" t="str">
        <f>AA908*0.01</f>
        <v>#REF!</v>
      </c>
      <c r="AD908" t="str">
        <f>AA908-P908-AC908-Q908</f>
        <v>#REF!</v>
      </c>
      <c r="AE908" t="str">
        <f>AB908-P908-Q908-AC908</f>
        <v>#REF!</v>
      </c>
      <c r="AF908" t="str">
        <f>AD908/U908</f>
        <v>#REF!</v>
      </c>
      <c r="AG908" t="str">
        <f>AE908/V908</f>
        <v>#REF!</v>
      </c>
    </row>
    <row r="909">
      <c r="G909" t="str">
        <v>A</v>
      </c>
      <c r="J909" t="str">
        <f>IF(K909&gt;0,K909*0.0625,IF(L909&gt;0,L909*2.204623,))</f>
        <v>#REF!</v>
      </c>
      <c r="K909" t="str">
        <f>IF(L909&gt;0,L909*35.273962,IF(J909&gt;0,J909*16,))</f>
        <v>#REF!</v>
      </c>
      <c r="L909" t="str">
        <f>IF(J909&gt;0,J909*0.453592,IF(K909&gt;0,K909*0.02835,))</f>
        <v>#REF!</v>
      </c>
      <c r="O909">
        <f>I909+N909+M909</f>
        <v>0</v>
      </c>
      <c r="P909">
        <f>O909*C$3</f>
        <v>0</v>
      </c>
      <c r="Q909" t="str">
        <f>ROUNDUP(HLOOKUP(IF(CEILING(L909,0.5)&lt;1,1,CEILING(L909,0.5)),'배송비 조회'!A$32:AY$36,2,0),-2)</f>
        <v>#REF!</v>
      </c>
      <c r="R909">
        <v>0</v>
      </c>
      <c r="S909" t="str">
        <f>ROUND((P909+Q909)*0.6,-2)</f>
        <v>#REF!</v>
      </c>
      <c r="T909" t="str">
        <f>ROUND((P909+Q909)*0.7,-2)</f>
        <v>#REF!</v>
      </c>
      <c r="U909" t="str">
        <f>ROUND(SUM(P909+Q909+R909+S909), -2)</f>
        <v>#REF!</v>
      </c>
      <c r="V909" t="str">
        <f>ROUND(P909+Q909+R909+T909, -2)</f>
        <v>#REF!</v>
      </c>
      <c r="W909">
        <v>0</v>
      </c>
      <c r="X909" t="str">
        <f>U909*0.038</f>
        <v>#REF!</v>
      </c>
      <c r="Y909" t="str">
        <f>U909*0.02</f>
        <v>#REF!</v>
      </c>
      <c r="Z909" t="str">
        <f>V909*0.1</f>
        <v>#REF!</v>
      </c>
      <c r="AA909" t="str">
        <f>U909-X909-Y909</f>
        <v>#REF!</v>
      </c>
      <c r="AB909" t="str">
        <f>V909-Z909</f>
        <v>#REF!</v>
      </c>
      <c r="AC909" t="str">
        <f>AA909*0.01</f>
        <v>#REF!</v>
      </c>
      <c r="AD909" t="str">
        <f>AA909-P909-AC909-Q909</f>
        <v>#REF!</v>
      </c>
      <c r="AE909" t="str">
        <f>AB909-P909-Q909-AC909</f>
        <v>#REF!</v>
      </c>
      <c r="AF909" t="str">
        <f>AD909/U909</f>
        <v>#REF!</v>
      </c>
      <c r="AG909" t="str">
        <f>AE909/V909</f>
        <v>#REF!</v>
      </c>
    </row>
    <row r="910">
      <c r="G910" t="str">
        <v>A</v>
      </c>
      <c r="J910" t="str">
        <f>IF(K910&gt;0,K910*0.0625,IF(L910&gt;0,L910*2.204623,))</f>
        <v>#REF!</v>
      </c>
      <c r="K910" t="str">
        <f>IF(L910&gt;0,L910*35.273962,IF(J910&gt;0,J910*16,))</f>
        <v>#REF!</v>
      </c>
      <c r="L910" t="str">
        <f>IF(J910&gt;0,J910*0.453592,IF(K910&gt;0,K910*0.02835,))</f>
        <v>#REF!</v>
      </c>
      <c r="O910">
        <f>I910+N910+M910</f>
        <v>0</v>
      </c>
      <c r="P910">
        <f>O910*C$3</f>
        <v>0</v>
      </c>
      <c r="Q910" t="str">
        <f>ROUNDUP(HLOOKUP(IF(CEILING(L910,0.5)&lt;1,1,CEILING(L910,0.5)),'배송비 조회'!A$32:AY$36,2,0),-2)</f>
        <v>#REF!</v>
      </c>
      <c r="R910">
        <v>0</v>
      </c>
      <c r="S910" t="str">
        <f>ROUND((P910+Q910)*0.6,-2)</f>
        <v>#REF!</v>
      </c>
      <c r="T910" t="str">
        <f>ROUND((P910+Q910)*0.7,-2)</f>
        <v>#REF!</v>
      </c>
      <c r="U910" t="str">
        <f>ROUND(SUM(P910+Q910+R910+S910), -2)</f>
        <v>#REF!</v>
      </c>
      <c r="V910" t="str">
        <f>ROUND(P910+Q910+R910+T910, -2)</f>
        <v>#REF!</v>
      </c>
      <c r="W910">
        <v>0</v>
      </c>
      <c r="X910" t="str">
        <f>U910*0.038</f>
        <v>#REF!</v>
      </c>
      <c r="Y910" t="str">
        <f>U910*0.02</f>
        <v>#REF!</v>
      </c>
      <c r="Z910" t="str">
        <f>V910*0.1</f>
        <v>#REF!</v>
      </c>
      <c r="AA910" t="str">
        <f>U910-X910-Y910</f>
        <v>#REF!</v>
      </c>
      <c r="AB910" t="str">
        <f>V910-Z910</f>
        <v>#REF!</v>
      </c>
      <c r="AC910" t="str">
        <f>AA910*0.01</f>
        <v>#REF!</v>
      </c>
      <c r="AD910" t="str">
        <f>AA910-P910-AC910-Q910</f>
        <v>#REF!</v>
      </c>
      <c r="AE910" t="str">
        <f>AB910-P910-Q910-AC910</f>
        <v>#REF!</v>
      </c>
      <c r="AF910" t="str">
        <f>AD910/U910</f>
        <v>#REF!</v>
      </c>
      <c r="AG910" t="str">
        <f>AE910/V910</f>
        <v>#REF!</v>
      </c>
    </row>
    <row r="911">
      <c r="G911" t="str">
        <v>A</v>
      </c>
      <c r="J911" t="str">
        <f>IF(K911&gt;0,K911*0.0625,IF(L911&gt;0,L911*2.204623,))</f>
        <v>#REF!</v>
      </c>
      <c r="K911" t="str">
        <f>IF(L911&gt;0,L911*35.273962,IF(J911&gt;0,J911*16,))</f>
        <v>#REF!</v>
      </c>
      <c r="L911" t="str">
        <f>IF(J911&gt;0,J911*0.453592,IF(K911&gt;0,K911*0.02835,))</f>
        <v>#REF!</v>
      </c>
      <c r="O911">
        <f>I911+N911+M911</f>
        <v>0</v>
      </c>
      <c r="P911">
        <f>O911*C$3</f>
        <v>0</v>
      </c>
      <c r="Q911" t="str">
        <f>ROUNDUP(HLOOKUP(IF(CEILING(L911,0.5)&lt;1,1,CEILING(L911,0.5)),'배송비 조회'!A$32:AY$36,2,0),-2)</f>
        <v>#REF!</v>
      </c>
      <c r="R911">
        <v>0</v>
      </c>
      <c r="S911" t="str">
        <f>ROUND((P911+Q911)*0.6,-2)</f>
        <v>#REF!</v>
      </c>
      <c r="T911" t="str">
        <f>ROUND((P911+Q911)*0.7,-2)</f>
        <v>#REF!</v>
      </c>
      <c r="U911" t="str">
        <f>ROUND(SUM(P911+Q911+R911+S911), -2)</f>
        <v>#REF!</v>
      </c>
      <c r="V911" t="str">
        <f>ROUND(P911+Q911+R911+T911, -2)</f>
        <v>#REF!</v>
      </c>
      <c r="W911">
        <v>0</v>
      </c>
      <c r="X911" t="str">
        <f>U911*0.038</f>
        <v>#REF!</v>
      </c>
      <c r="Y911" t="str">
        <f>U911*0.02</f>
        <v>#REF!</v>
      </c>
      <c r="Z911" t="str">
        <f>V911*0.1</f>
        <v>#REF!</v>
      </c>
      <c r="AA911" t="str">
        <f>U911-X911-Y911</f>
        <v>#REF!</v>
      </c>
      <c r="AB911" t="str">
        <f>V911-Z911</f>
        <v>#REF!</v>
      </c>
      <c r="AC911" t="str">
        <f>AA911*0.01</f>
        <v>#REF!</v>
      </c>
      <c r="AD911" t="str">
        <f>AA911-P911-AC911-Q911</f>
        <v>#REF!</v>
      </c>
      <c r="AE911" t="str">
        <f>AB911-P911-Q911-AC911</f>
        <v>#REF!</v>
      </c>
      <c r="AF911" t="str">
        <f>AD911/U911</f>
        <v>#REF!</v>
      </c>
      <c r="AG911" t="str">
        <f>AE911/V911</f>
        <v>#REF!</v>
      </c>
    </row>
    <row r="912">
      <c r="G912" t="str">
        <v>A</v>
      </c>
      <c r="J912" t="str">
        <f>IF(K912&gt;0,K912*0.0625,IF(L912&gt;0,L912*2.204623,))</f>
        <v>#REF!</v>
      </c>
      <c r="K912" t="str">
        <f>IF(L912&gt;0,L912*35.273962,IF(J912&gt;0,J912*16,))</f>
        <v>#REF!</v>
      </c>
      <c r="L912" t="str">
        <f>IF(J912&gt;0,J912*0.453592,IF(K912&gt;0,K912*0.02835,))</f>
        <v>#REF!</v>
      </c>
      <c r="O912">
        <f>I912+N912+M912</f>
        <v>0</v>
      </c>
      <c r="P912">
        <f>O912*C$3</f>
        <v>0</v>
      </c>
      <c r="Q912" t="str">
        <f>ROUNDUP(HLOOKUP(IF(CEILING(L912,0.5)&lt;1,1,CEILING(L912,0.5)),'배송비 조회'!A$32:AY$36,2,0),-2)</f>
        <v>#REF!</v>
      </c>
      <c r="R912">
        <v>0</v>
      </c>
      <c r="S912" t="str">
        <f>ROUND((P912+Q912)*0.6,-2)</f>
        <v>#REF!</v>
      </c>
      <c r="T912" t="str">
        <f>ROUND((P912+Q912)*0.7,-2)</f>
        <v>#REF!</v>
      </c>
      <c r="U912" t="str">
        <f>ROUND(SUM(P912+Q912+R912+S912), -2)</f>
        <v>#REF!</v>
      </c>
      <c r="V912" t="str">
        <f>ROUND(P912+Q912+R912+T912, -2)</f>
        <v>#REF!</v>
      </c>
      <c r="W912">
        <v>0</v>
      </c>
      <c r="X912" t="str">
        <f>U912*0.038</f>
        <v>#REF!</v>
      </c>
      <c r="Y912" t="str">
        <f>U912*0.02</f>
        <v>#REF!</v>
      </c>
      <c r="Z912" t="str">
        <f>V912*0.1</f>
        <v>#REF!</v>
      </c>
      <c r="AA912" t="str">
        <f>U912-X912-Y912</f>
        <v>#REF!</v>
      </c>
      <c r="AB912" t="str">
        <f>V912-Z912</f>
        <v>#REF!</v>
      </c>
      <c r="AC912" t="str">
        <f>AA912*0.01</f>
        <v>#REF!</v>
      </c>
      <c r="AD912" t="str">
        <f>AA912-P912-AC912-Q912</f>
        <v>#REF!</v>
      </c>
      <c r="AE912" t="str">
        <f>AB912-P912-Q912-AC912</f>
        <v>#REF!</v>
      </c>
      <c r="AF912" t="str">
        <f>AD912/U912</f>
        <v>#REF!</v>
      </c>
      <c r="AG912" t="str">
        <f>AE912/V912</f>
        <v>#REF!</v>
      </c>
    </row>
    <row r="913">
      <c r="G913" t="str">
        <v>A</v>
      </c>
      <c r="J913" t="str">
        <f>IF(K913&gt;0,K913*0.0625,IF(L913&gt;0,L913*2.204623,))</f>
        <v>#REF!</v>
      </c>
      <c r="K913" t="str">
        <f>IF(L913&gt;0,L913*35.273962,IF(J913&gt;0,J913*16,))</f>
        <v>#REF!</v>
      </c>
      <c r="L913" t="str">
        <f>IF(J913&gt;0,J913*0.453592,IF(K913&gt;0,K913*0.02835,))</f>
        <v>#REF!</v>
      </c>
      <c r="O913">
        <f>I913+N913+M913</f>
        <v>0</v>
      </c>
      <c r="P913">
        <f>O913*C$3</f>
        <v>0</v>
      </c>
      <c r="Q913" t="str">
        <f>ROUNDUP(HLOOKUP(IF(CEILING(L913,0.5)&lt;1,1,CEILING(L913,0.5)),'배송비 조회'!A$32:AY$36,2,0),-2)</f>
        <v>#REF!</v>
      </c>
      <c r="R913">
        <v>0</v>
      </c>
      <c r="S913" t="str">
        <f>ROUND((P913+Q913)*0.6,-2)</f>
        <v>#REF!</v>
      </c>
      <c r="T913" t="str">
        <f>ROUND((P913+Q913)*0.7,-2)</f>
        <v>#REF!</v>
      </c>
      <c r="U913" t="str">
        <f>ROUND(SUM(P913+Q913+R913+S913), -2)</f>
        <v>#REF!</v>
      </c>
      <c r="V913" t="str">
        <f>ROUND(P913+Q913+R913+T913, -2)</f>
        <v>#REF!</v>
      </c>
      <c r="W913">
        <v>0</v>
      </c>
      <c r="X913" t="str">
        <f>U913*0.038</f>
        <v>#REF!</v>
      </c>
      <c r="Y913" t="str">
        <f>U913*0.02</f>
        <v>#REF!</v>
      </c>
      <c r="Z913" t="str">
        <f>V913*0.1</f>
        <v>#REF!</v>
      </c>
      <c r="AA913" t="str">
        <f>U913-X913-Y913</f>
        <v>#REF!</v>
      </c>
      <c r="AB913" t="str">
        <f>V913-Z913</f>
        <v>#REF!</v>
      </c>
      <c r="AC913" t="str">
        <f>AA913*0.01</f>
        <v>#REF!</v>
      </c>
      <c r="AD913" t="str">
        <f>AA913-P913-AC913-Q913</f>
        <v>#REF!</v>
      </c>
      <c r="AE913" t="str">
        <f>AB913-P913-Q913-AC913</f>
        <v>#REF!</v>
      </c>
      <c r="AF913" t="str">
        <f>AD913/U913</f>
        <v>#REF!</v>
      </c>
      <c r="AG913" t="str">
        <f>AE913/V913</f>
        <v>#REF!</v>
      </c>
    </row>
    <row r="914">
      <c r="G914" t="str">
        <v>A</v>
      </c>
      <c r="J914" t="str">
        <f>IF(K914&gt;0,K914*0.0625,IF(L914&gt;0,L914*2.204623,))</f>
        <v>#REF!</v>
      </c>
      <c r="K914" t="str">
        <f>IF(L914&gt;0,L914*35.273962,IF(J914&gt;0,J914*16,))</f>
        <v>#REF!</v>
      </c>
      <c r="L914" t="str">
        <f>IF(J914&gt;0,J914*0.453592,IF(K914&gt;0,K914*0.02835,))</f>
        <v>#REF!</v>
      </c>
      <c r="O914">
        <f>I914+N914+M914</f>
        <v>0</v>
      </c>
      <c r="P914">
        <f>O914*C$3</f>
        <v>0</v>
      </c>
      <c r="Q914" t="str">
        <f>ROUNDUP(HLOOKUP(IF(CEILING(L914,0.5)&lt;1,1,CEILING(L914,0.5)),'배송비 조회'!A$32:AY$36,2,0),-2)</f>
        <v>#REF!</v>
      </c>
      <c r="R914">
        <v>0</v>
      </c>
      <c r="S914" t="str">
        <f>ROUND((P914+Q914)*0.6,-2)</f>
        <v>#REF!</v>
      </c>
      <c r="T914" t="str">
        <f>ROUND((P914+Q914)*0.7,-2)</f>
        <v>#REF!</v>
      </c>
      <c r="U914" t="str">
        <f>ROUND(SUM(P914+Q914+R914+S914), -2)</f>
        <v>#REF!</v>
      </c>
      <c r="V914" t="str">
        <f>ROUND(P914+Q914+R914+T914, -2)</f>
        <v>#REF!</v>
      </c>
      <c r="W914">
        <v>0</v>
      </c>
      <c r="X914" t="str">
        <f>U914*0.038</f>
        <v>#REF!</v>
      </c>
      <c r="Y914" t="str">
        <f>U914*0.02</f>
        <v>#REF!</v>
      </c>
      <c r="Z914" t="str">
        <f>V914*0.1</f>
        <v>#REF!</v>
      </c>
      <c r="AA914" t="str">
        <f>U914-X914-Y914</f>
        <v>#REF!</v>
      </c>
      <c r="AB914" t="str">
        <f>V914-Z914</f>
        <v>#REF!</v>
      </c>
      <c r="AC914" t="str">
        <f>AA914*0.01</f>
        <v>#REF!</v>
      </c>
      <c r="AD914" t="str">
        <f>AA914-P914-AC914-Q914</f>
        <v>#REF!</v>
      </c>
      <c r="AE914" t="str">
        <f>AB914-P914-Q914-AC914</f>
        <v>#REF!</v>
      </c>
      <c r="AF914" t="str">
        <f>AD914/U914</f>
        <v>#REF!</v>
      </c>
      <c r="AG914" t="str">
        <f>AE914/V914</f>
        <v>#REF!</v>
      </c>
    </row>
    <row r="915">
      <c r="G915" t="str">
        <v>A</v>
      </c>
      <c r="J915" t="str">
        <f>IF(K915&gt;0,K915*0.0625,IF(L915&gt;0,L915*2.204623,))</f>
        <v>#REF!</v>
      </c>
      <c r="K915" t="str">
        <f>IF(L915&gt;0,L915*35.273962,IF(J915&gt;0,J915*16,))</f>
        <v>#REF!</v>
      </c>
      <c r="L915" t="str">
        <f>IF(J915&gt;0,J915*0.453592,IF(K915&gt;0,K915*0.02835,))</f>
        <v>#REF!</v>
      </c>
      <c r="O915">
        <f>I915+N915+M915</f>
        <v>0</v>
      </c>
      <c r="P915">
        <f>O915*C$3</f>
        <v>0</v>
      </c>
      <c r="Q915" t="str">
        <f>ROUNDUP(HLOOKUP(IF(CEILING(L915,0.5)&lt;1,1,CEILING(L915,0.5)),'배송비 조회'!A$32:AY$36,2,0),-2)</f>
        <v>#REF!</v>
      </c>
      <c r="R915">
        <v>0</v>
      </c>
      <c r="S915" t="str">
        <f>ROUND((P915+Q915)*0.6,-2)</f>
        <v>#REF!</v>
      </c>
      <c r="T915" t="str">
        <f>ROUND((P915+Q915)*0.7,-2)</f>
        <v>#REF!</v>
      </c>
      <c r="U915" t="str">
        <f>ROUND(SUM(P915+Q915+R915+S915), -2)</f>
        <v>#REF!</v>
      </c>
      <c r="V915" t="str">
        <f>ROUND(P915+Q915+R915+T915, -2)</f>
        <v>#REF!</v>
      </c>
      <c r="W915">
        <v>0</v>
      </c>
      <c r="X915" t="str">
        <f>U915*0.038</f>
        <v>#REF!</v>
      </c>
      <c r="Y915" t="str">
        <f>U915*0.02</f>
        <v>#REF!</v>
      </c>
      <c r="Z915" t="str">
        <f>V915*0.1</f>
        <v>#REF!</v>
      </c>
      <c r="AA915" t="str">
        <f>U915-X915-Y915</f>
        <v>#REF!</v>
      </c>
      <c r="AB915" t="str">
        <f>V915-Z915</f>
        <v>#REF!</v>
      </c>
      <c r="AC915" t="str">
        <f>AA915*0.01</f>
        <v>#REF!</v>
      </c>
      <c r="AD915" t="str">
        <f>AA915-P915-AC915-Q915</f>
        <v>#REF!</v>
      </c>
      <c r="AE915" t="str">
        <f>AB915-P915-Q915-AC915</f>
        <v>#REF!</v>
      </c>
      <c r="AF915" t="str">
        <f>AD915/U915</f>
        <v>#REF!</v>
      </c>
      <c r="AG915" t="str">
        <f>AE915/V915</f>
        <v>#REF!</v>
      </c>
    </row>
    <row r="916">
      <c r="G916" t="str">
        <v>A</v>
      </c>
      <c r="J916" t="str">
        <f>IF(K916&gt;0,K916*0.0625,IF(L916&gt;0,L916*2.204623,))</f>
        <v>#REF!</v>
      </c>
      <c r="K916" t="str">
        <f>IF(L916&gt;0,L916*35.273962,IF(J916&gt;0,J916*16,))</f>
        <v>#REF!</v>
      </c>
      <c r="L916" t="str">
        <f>IF(J916&gt;0,J916*0.453592,IF(K916&gt;0,K916*0.02835,))</f>
        <v>#REF!</v>
      </c>
      <c r="O916">
        <f>I916+N916+M916</f>
        <v>0</v>
      </c>
      <c r="P916">
        <f>O916*C$3</f>
        <v>0</v>
      </c>
      <c r="Q916" t="str">
        <f>ROUNDUP(HLOOKUP(IF(CEILING(L916,0.5)&lt;1,1,CEILING(L916,0.5)),'배송비 조회'!A$32:AY$36,2,0),-2)</f>
        <v>#REF!</v>
      </c>
      <c r="R916">
        <v>0</v>
      </c>
      <c r="S916" t="str">
        <f>ROUND((P916+Q916)*0.6,-2)</f>
        <v>#REF!</v>
      </c>
      <c r="T916" t="str">
        <f>ROUND((P916+Q916)*0.7,-2)</f>
        <v>#REF!</v>
      </c>
      <c r="U916" t="str">
        <f>ROUND(SUM(P916+Q916+R916+S916), -2)</f>
        <v>#REF!</v>
      </c>
      <c r="V916" t="str">
        <f>ROUND(P916+Q916+R916+T916, -2)</f>
        <v>#REF!</v>
      </c>
      <c r="W916">
        <v>0</v>
      </c>
      <c r="X916" t="str">
        <f>U916*0.038</f>
        <v>#REF!</v>
      </c>
      <c r="Y916" t="str">
        <f>U916*0.02</f>
        <v>#REF!</v>
      </c>
      <c r="Z916" t="str">
        <f>V916*0.1</f>
        <v>#REF!</v>
      </c>
      <c r="AA916" t="str">
        <f>U916-X916-Y916</f>
        <v>#REF!</v>
      </c>
      <c r="AB916" t="str">
        <f>V916-Z916</f>
        <v>#REF!</v>
      </c>
      <c r="AC916" t="str">
        <f>AA916*0.01</f>
        <v>#REF!</v>
      </c>
      <c r="AD916" t="str">
        <f>AA916-P916-AC916-Q916</f>
        <v>#REF!</v>
      </c>
      <c r="AE916" t="str">
        <f>AB916-P916-Q916-AC916</f>
        <v>#REF!</v>
      </c>
      <c r="AF916" t="str">
        <f>AD916/U916</f>
        <v>#REF!</v>
      </c>
      <c r="AG916" t="str">
        <f>AE916/V916</f>
        <v>#REF!</v>
      </c>
    </row>
    <row r="917">
      <c r="G917" t="str">
        <v>A</v>
      </c>
      <c r="J917" t="str">
        <f>IF(K917&gt;0,K917*0.0625,IF(L917&gt;0,L917*2.204623,))</f>
        <v>#REF!</v>
      </c>
      <c r="K917" t="str">
        <f>IF(L917&gt;0,L917*35.273962,IF(J917&gt;0,J917*16,))</f>
        <v>#REF!</v>
      </c>
      <c r="L917" t="str">
        <f>IF(J917&gt;0,J917*0.453592,IF(K917&gt;0,K917*0.02835,))</f>
        <v>#REF!</v>
      </c>
      <c r="O917">
        <f>I917+N917+M917</f>
        <v>0</v>
      </c>
      <c r="P917">
        <f>O917*C$3</f>
        <v>0</v>
      </c>
      <c r="Q917" t="str">
        <f>ROUNDUP(HLOOKUP(IF(CEILING(L917,0.5)&lt;1,1,CEILING(L917,0.5)),'배송비 조회'!A$32:AY$36,2,0),-2)</f>
        <v>#REF!</v>
      </c>
      <c r="R917">
        <v>0</v>
      </c>
      <c r="S917" t="str">
        <f>ROUND((P917+Q917)*0.6,-2)</f>
        <v>#REF!</v>
      </c>
      <c r="T917" t="str">
        <f>ROUND((P917+Q917)*0.7,-2)</f>
        <v>#REF!</v>
      </c>
      <c r="U917" t="str">
        <f>ROUND(SUM(P917+Q917+R917+S917), -2)</f>
        <v>#REF!</v>
      </c>
      <c r="V917" t="str">
        <f>ROUND(P917+Q917+R917+T917, -2)</f>
        <v>#REF!</v>
      </c>
      <c r="W917">
        <v>0</v>
      </c>
      <c r="X917" t="str">
        <f>U917*0.038</f>
        <v>#REF!</v>
      </c>
      <c r="Y917" t="str">
        <f>U917*0.02</f>
        <v>#REF!</v>
      </c>
      <c r="Z917" t="str">
        <f>V917*0.1</f>
        <v>#REF!</v>
      </c>
      <c r="AA917" t="str">
        <f>U917-X917-Y917</f>
        <v>#REF!</v>
      </c>
      <c r="AB917" t="str">
        <f>V917-Z917</f>
        <v>#REF!</v>
      </c>
      <c r="AC917" t="str">
        <f>AA917*0.01</f>
        <v>#REF!</v>
      </c>
      <c r="AD917" t="str">
        <f>AA917-P917-AC917-Q917</f>
        <v>#REF!</v>
      </c>
      <c r="AE917" t="str">
        <f>AB917-P917-Q917-AC917</f>
        <v>#REF!</v>
      </c>
      <c r="AF917" t="str">
        <f>AD917/U917</f>
        <v>#REF!</v>
      </c>
      <c r="AG917" t="str">
        <f>AE917/V917</f>
        <v>#REF!</v>
      </c>
    </row>
    <row r="918">
      <c r="G918" t="str">
        <v>A</v>
      </c>
      <c r="J918" t="str">
        <f>IF(K918&gt;0,K918*0.0625,IF(L918&gt;0,L918*2.204623,))</f>
        <v>#REF!</v>
      </c>
      <c r="K918" t="str">
        <f>IF(L918&gt;0,L918*35.273962,IF(J918&gt;0,J918*16,))</f>
        <v>#REF!</v>
      </c>
      <c r="L918" t="str">
        <f>IF(J918&gt;0,J918*0.453592,IF(K918&gt;0,K918*0.02835,))</f>
        <v>#REF!</v>
      </c>
      <c r="O918">
        <f>I918+N918+M918</f>
        <v>0</v>
      </c>
      <c r="P918">
        <f>O918*C$3</f>
        <v>0</v>
      </c>
      <c r="Q918" t="str">
        <f>ROUNDUP(HLOOKUP(IF(CEILING(L918,0.5)&lt;1,1,CEILING(L918,0.5)),'배송비 조회'!A$32:AY$36,2,0),-2)</f>
        <v>#REF!</v>
      </c>
      <c r="R918">
        <v>0</v>
      </c>
      <c r="S918" t="str">
        <f>ROUND((P918+Q918)*0.6,-2)</f>
        <v>#REF!</v>
      </c>
      <c r="T918" t="str">
        <f>ROUND((P918+Q918)*0.7,-2)</f>
        <v>#REF!</v>
      </c>
      <c r="U918" t="str">
        <f>ROUND(SUM(P918+Q918+R918+S918), -2)</f>
        <v>#REF!</v>
      </c>
      <c r="V918" t="str">
        <f>ROUND(P918+Q918+R918+T918, -2)</f>
        <v>#REF!</v>
      </c>
      <c r="W918">
        <v>0</v>
      </c>
      <c r="X918" t="str">
        <f>U918*0.038</f>
        <v>#REF!</v>
      </c>
      <c r="Y918" t="str">
        <f>U918*0.02</f>
        <v>#REF!</v>
      </c>
      <c r="Z918" t="str">
        <f>V918*0.1</f>
        <v>#REF!</v>
      </c>
      <c r="AA918" t="str">
        <f>U918-X918-Y918</f>
        <v>#REF!</v>
      </c>
      <c r="AB918" t="str">
        <f>V918-Z918</f>
        <v>#REF!</v>
      </c>
      <c r="AC918" t="str">
        <f>AA918*0.01</f>
        <v>#REF!</v>
      </c>
      <c r="AD918" t="str">
        <f>AA918-P918-AC918-Q918</f>
        <v>#REF!</v>
      </c>
      <c r="AE918" t="str">
        <f>AB918-P918-Q918-AC918</f>
        <v>#REF!</v>
      </c>
      <c r="AF918" t="str">
        <f>AD918/U918</f>
        <v>#REF!</v>
      </c>
      <c r="AG918" t="str">
        <f>AE918/V918</f>
        <v>#REF!</v>
      </c>
    </row>
    <row r="919">
      <c r="G919" t="str">
        <v>A</v>
      </c>
      <c r="J919" t="str">
        <f>IF(K919&gt;0,K919*0.0625,IF(L919&gt;0,L919*2.204623,))</f>
        <v>#REF!</v>
      </c>
      <c r="K919" t="str">
        <f>IF(L919&gt;0,L919*35.273962,IF(J919&gt;0,J919*16,))</f>
        <v>#REF!</v>
      </c>
      <c r="L919" t="str">
        <f>IF(J919&gt;0,J919*0.453592,IF(K919&gt;0,K919*0.02835,))</f>
        <v>#REF!</v>
      </c>
      <c r="O919">
        <f>I919+N919+M919</f>
        <v>0</v>
      </c>
      <c r="P919">
        <f>O919*C$3</f>
        <v>0</v>
      </c>
      <c r="Q919" t="str">
        <f>ROUNDUP(HLOOKUP(IF(CEILING(L919,0.5)&lt;1,1,CEILING(L919,0.5)),'배송비 조회'!A$32:AY$36,2,0),-2)</f>
        <v>#REF!</v>
      </c>
      <c r="R919">
        <v>0</v>
      </c>
      <c r="S919" t="str">
        <f>ROUND((P919+Q919)*0.6,-2)</f>
        <v>#REF!</v>
      </c>
      <c r="T919" t="str">
        <f>ROUND((P919+Q919)*0.7,-2)</f>
        <v>#REF!</v>
      </c>
      <c r="U919" t="str">
        <f>ROUND(SUM(P919+Q919+R919+S919), -2)</f>
        <v>#REF!</v>
      </c>
      <c r="V919" t="str">
        <f>ROUND(P919+Q919+R919+T919, -2)</f>
        <v>#REF!</v>
      </c>
      <c r="W919">
        <v>0</v>
      </c>
      <c r="X919" t="str">
        <f>U919*0.038</f>
        <v>#REF!</v>
      </c>
      <c r="Y919" t="str">
        <f>U919*0.02</f>
        <v>#REF!</v>
      </c>
      <c r="Z919" t="str">
        <f>V919*0.1</f>
        <v>#REF!</v>
      </c>
      <c r="AA919" t="str">
        <f>U919-X919-Y919</f>
        <v>#REF!</v>
      </c>
      <c r="AB919" t="str">
        <f>V919-Z919</f>
        <v>#REF!</v>
      </c>
      <c r="AC919" t="str">
        <f>AA919*0.01</f>
        <v>#REF!</v>
      </c>
      <c r="AD919" t="str">
        <f>AA919-P919-AC919-Q919</f>
        <v>#REF!</v>
      </c>
      <c r="AE919" t="str">
        <f>AB919-P919-Q919-AC919</f>
        <v>#REF!</v>
      </c>
      <c r="AF919" t="str">
        <f>AD919/U919</f>
        <v>#REF!</v>
      </c>
      <c r="AG919" t="str">
        <f>AE919/V919</f>
        <v>#REF!</v>
      </c>
    </row>
    <row r="920">
      <c r="G920" t="str">
        <v>A</v>
      </c>
      <c r="J920" t="str">
        <f>IF(K920&gt;0,K920*0.0625,IF(L920&gt;0,L920*2.204623,))</f>
        <v>#REF!</v>
      </c>
      <c r="K920" t="str">
        <f>IF(L920&gt;0,L920*35.273962,IF(J920&gt;0,J920*16,))</f>
        <v>#REF!</v>
      </c>
      <c r="L920" t="str">
        <f>IF(J920&gt;0,J920*0.453592,IF(K920&gt;0,K920*0.02835,))</f>
        <v>#REF!</v>
      </c>
      <c r="O920">
        <f>I920+N920+M920</f>
        <v>0</v>
      </c>
      <c r="P920">
        <f>O920*C$3</f>
        <v>0</v>
      </c>
      <c r="Q920" t="str">
        <f>ROUNDUP(HLOOKUP(IF(CEILING(L920,0.5)&lt;1,1,CEILING(L920,0.5)),'배송비 조회'!A$32:AY$36,2,0),-2)</f>
        <v>#REF!</v>
      </c>
      <c r="R920">
        <v>0</v>
      </c>
      <c r="S920" t="str">
        <f>ROUND((P920+Q920)*0.6,-2)</f>
        <v>#REF!</v>
      </c>
      <c r="T920" t="str">
        <f>ROUND((P920+Q920)*0.7,-2)</f>
        <v>#REF!</v>
      </c>
      <c r="U920" t="str">
        <f>ROUND(SUM(P920+Q920+R920+S920), -2)</f>
        <v>#REF!</v>
      </c>
      <c r="V920" t="str">
        <f>ROUND(P920+Q920+R920+T920, -2)</f>
        <v>#REF!</v>
      </c>
      <c r="W920">
        <v>0</v>
      </c>
      <c r="X920" t="str">
        <f>U920*0.038</f>
        <v>#REF!</v>
      </c>
      <c r="Y920" t="str">
        <f>U920*0.02</f>
        <v>#REF!</v>
      </c>
      <c r="Z920" t="str">
        <f>V920*0.1</f>
        <v>#REF!</v>
      </c>
      <c r="AA920" t="str">
        <f>U920-X920-Y920</f>
        <v>#REF!</v>
      </c>
      <c r="AB920" t="str">
        <f>V920-Z920</f>
        <v>#REF!</v>
      </c>
      <c r="AC920" t="str">
        <f>AA920*0.01</f>
        <v>#REF!</v>
      </c>
      <c r="AD920" t="str">
        <f>AA920-P920-AC920-Q920</f>
        <v>#REF!</v>
      </c>
      <c r="AE920" t="str">
        <f>AB920-P920-Q920-AC920</f>
        <v>#REF!</v>
      </c>
      <c r="AF920" t="str">
        <f>AD920/U920</f>
        <v>#REF!</v>
      </c>
      <c r="AG920" t="str">
        <f>AE920/V920</f>
        <v>#REF!</v>
      </c>
    </row>
    <row r="921">
      <c r="G921" t="str">
        <v>A</v>
      </c>
      <c r="J921" t="str">
        <f>IF(K921&gt;0,K921*0.0625,IF(L921&gt;0,L921*2.204623,))</f>
        <v>#REF!</v>
      </c>
      <c r="K921" t="str">
        <f>IF(L921&gt;0,L921*35.273962,IF(J921&gt;0,J921*16,))</f>
        <v>#REF!</v>
      </c>
      <c r="L921" t="str">
        <f>IF(J921&gt;0,J921*0.453592,IF(K921&gt;0,K921*0.02835,))</f>
        <v>#REF!</v>
      </c>
      <c r="O921">
        <f>I921+N921+M921</f>
        <v>0</v>
      </c>
      <c r="P921">
        <f>O921*C$3</f>
        <v>0</v>
      </c>
      <c r="Q921" t="str">
        <f>ROUNDUP(HLOOKUP(IF(CEILING(L921,0.5)&lt;1,1,CEILING(L921,0.5)),'배송비 조회'!A$32:AY$36,2,0),-2)</f>
        <v>#REF!</v>
      </c>
      <c r="R921">
        <v>0</v>
      </c>
      <c r="S921" t="str">
        <f>ROUND((P921+Q921)*0.6,-2)</f>
        <v>#REF!</v>
      </c>
      <c r="T921" t="str">
        <f>ROUND((P921+Q921)*0.7,-2)</f>
        <v>#REF!</v>
      </c>
      <c r="U921" t="str">
        <f>ROUND(SUM(P921+Q921+R921+S921), -2)</f>
        <v>#REF!</v>
      </c>
      <c r="V921" t="str">
        <f>ROUND(P921+Q921+R921+T921, -2)</f>
        <v>#REF!</v>
      </c>
      <c r="W921">
        <v>0</v>
      </c>
      <c r="X921" t="str">
        <f>U921*0.038</f>
        <v>#REF!</v>
      </c>
      <c r="Y921" t="str">
        <f>U921*0.02</f>
        <v>#REF!</v>
      </c>
      <c r="Z921" t="str">
        <f>V921*0.1</f>
        <v>#REF!</v>
      </c>
      <c r="AA921" t="str">
        <f>U921-X921-Y921</f>
        <v>#REF!</v>
      </c>
      <c r="AB921" t="str">
        <f>V921-Z921</f>
        <v>#REF!</v>
      </c>
      <c r="AC921" t="str">
        <f>AA921*0.01</f>
        <v>#REF!</v>
      </c>
      <c r="AD921" t="str">
        <f>AA921-P921-AC921-Q921</f>
        <v>#REF!</v>
      </c>
      <c r="AE921" t="str">
        <f>AB921-P921-Q921-AC921</f>
        <v>#REF!</v>
      </c>
      <c r="AF921" t="str">
        <f>AD921/U921</f>
        <v>#REF!</v>
      </c>
      <c r="AG921" t="str">
        <f>AE921/V921</f>
        <v>#REF!</v>
      </c>
    </row>
    <row r="922">
      <c r="G922" t="str">
        <v>A</v>
      </c>
      <c r="J922" t="str">
        <f>IF(K922&gt;0,K922*0.0625,IF(L922&gt;0,L922*2.204623,))</f>
        <v>#REF!</v>
      </c>
      <c r="K922" t="str">
        <f>IF(L922&gt;0,L922*35.273962,IF(J922&gt;0,J922*16,))</f>
        <v>#REF!</v>
      </c>
      <c r="L922" t="str">
        <f>IF(J922&gt;0,J922*0.453592,IF(K922&gt;0,K922*0.02835,))</f>
        <v>#REF!</v>
      </c>
      <c r="O922">
        <f>I922+N922+M922</f>
        <v>0</v>
      </c>
      <c r="P922">
        <f>O922*C$3</f>
        <v>0</v>
      </c>
      <c r="Q922" t="str">
        <f>ROUNDUP(HLOOKUP(IF(CEILING(L922,0.5)&lt;1,1,CEILING(L922,0.5)),'배송비 조회'!A$32:AY$36,2,0),-2)</f>
        <v>#REF!</v>
      </c>
      <c r="R922">
        <v>0</v>
      </c>
      <c r="S922" t="str">
        <f>ROUND((P922+Q922)*0.6,-2)</f>
        <v>#REF!</v>
      </c>
      <c r="T922" t="str">
        <f>ROUND((P922+Q922)*0.7,-2)</f>
        <v>#REF!</v>
      </c>
      <c r="U922" t="str">
        <f>ROUND(SUM(P922+Q922+R922+S922), -2)</f>
        <v>#REF!</v>
      </c>
      <c r="V922" t="str">
        <f>ROUND(P922+Q922+R922+T922, -2)</f>
        <v>#REF!</v>
      </c>
      <c r="W922">
        <v>0</v>
      </c>
      <c r="X922" t="str">
        <f>U922*0.038</f>
        <v>#REF!</v>
      </c>
      <c r="Y922" t="str">
        <f>U922*0.02</f>
        <v>#REF!</v>
      </c>
      <c r="Z922" t="str">
        <f>V922*0.1</f>
        <v>#REF!</v>
      </c>
      <c r="AA922" t="str">
        <f>U922-X922-Y922</f>
        <v>#REF!</v>
      </c>
      <c r="AB922" t="str">
        <f>V922-Z922</f>
        <v>#REF!</v>
      </c>
      <c r="AC922" t="str">
        <f>AA922*0.01</f>
        <v>#REF!</v>
      </c>
      <c r="AD922" t="str">
        <f>AA922-P922-AC922-Q922</f>
        <v>#REF!</v>
      </c>
      <c r="AE922" t="str">
        <f>AB922-P922-Q922-AC922</f>
        <v>#REF!</v>
      </c>
      <c r="AF922" t="str">
        <f>AD922/U922</f>
        <v>#REF!</v>
      </c>
      <c r="AG922" t="str">
        <f>AE922/V922</f>
        <v>#REF!</v>
      </c>
    </row>
    <row r="923">
      <c r="G923" t="str">
        <v>A</v>
      </c>
      <c r="J923" t="str">
        <f>IF(K923&gt;0,K923*0.0625,IF(L923&gt;0,L923*2.204623,))</f>
        <v>#REF!</v>
      </c>
      <c r="K923" t="str">
        <f>IF(L923&gt;0,L923*35.273962,IF(J923&gt;0,J923*16,))</f>
        <v>#REF!</v>
      </c>
      <c r="L923" t="str">
        <f>IF(J923&gt;0,J923*0.453592,IF(K923&gt;0,K923*0.02835,))</f>
        <v>#REF!</v>
      </c>
      <c r="O923">
        <f>I923+N923+M923</f>
        <v>0</v>
      </c>
      <c r="P923">
        <f>O923*C$3</f>
        <v>0</v>
      </c>
      <c r="Q923" t="str">
        <f>ROUNDUP(HLOOKUP(IF(CEILING(L923,0.5)&lt;1,1,CEILING(L923,0.5)),'배송비 조회'!A$32:AY$36,2,0),-2)</f>
        <v>#REF!</v>
      </c>
      <c r="R923">
        <v>0</v>
      </c>
      <c r="S923" t="str">
        <f>ROUND((P923+Q923)*0.6,-2)</f>
        <v>#REF!</v>
      </c>
      <c r="T923" t="str">
        <f>ROUND((P923+Q923)*0.7,-2)</f>
        <v>#REF!</v>
      </c>
      <c r="U923" t="str">
        <f>ROUND(SUM(P923+Q923+R923+S923), -2)</f>
        <v>#REF!</v>
      </c>
      <c r="V923" t="str">
        <f>ROUND(P923+Q923+R923+T923, -2)</f>
        <v>#REF!</v>
      </c>
      <c r="W923">
        <v>0</v>
      </c>
      <c r="X923" t="str">
        <f>U923*0.038</f>
        <v>#REF!</v>
      </c>
      <c r="Y923" t="str">
        <f>U923*0.02</f>
        <v>#REF!</v>
      </c>
      <c r="Z923" t="str">
        <f>V923*0.1</f>
        <v>#REF!</v>
      </c>
      <c r="AA923" t="str">
        <f>U923-X923-Y923</f>
        <v>#REF!</v>
      </c>
      <c r="AB923" t="str">
        <f>V923-Z923</f>
        <v>#REF!</v>
      </c>
      <c r="AC923" t="str">
        <f>AA923*0.01</f>
        <v>#REF!</v>
      </c>
      <c r="AD923" t="str">
        <f>AA923-P923-AC923-Q923</f>
        <v>#REF!</v>
      </c>
      <c r="AE923" t="str">
        <f>AB923-P923-Q923-AC923</f>
        <v>#REF!</v>
      </c>
      <c r="AF923" t="str">
        <f>AD923/U923</f>
        <v>#REF!</v>
      </c>
      <c r="AG923" t="str">
        <f>AE923/V923</f>
        <v>#REF!</v>
      </c>
    </row>
    <row r="924">
      <c r="G924" t="str">
        <v>A</v>
      </c>
      <c r="J924" t="str">
        <f>IF(K924&gt;0,K924*0.0625,IF(L924&gt;0,L924*2.204623,))</f>
        <v>#REF!</v>
      </c>
      <c r="K924" t="str">
        <f>IF(L924&gt;0,L924*35.273962,IF(J924&gt;0,J924*16,))</f>
        <v>#REF!</v>
      </c>
      <c r="L924" t="str">
        <f>IF(J924&gt;0,J924*0.453592,IF(K924&gt;0,K924*0.02835,))</f>
        <v>#REF!</v>
      </c>
      <c r="O924">
        <f>I924+N924+M924</f>
        <v>0</v>
      </c>
      <c r="P924">
        <f>O924*C$3</f>
        <v>0</v>
      </c>
      <c r="Q924" t="str">
        <f>ROUNDUP(HLOOKUP(IF(CEILING(L924,0.5)&lt;1,1,CEILING(L924,0.5)),'배송비 조회'!A$32:AY$36,2,0),-2)</f>
        <v>#REF!</v>
      </c>
      <c r="R924">
        <v>0</v>
      </c>
      <c r="S924" t="str">
        <f>ROUND((P924+Q924)*0.6,-2)</f>
        <v>#REF!</v>
      </c>
      <c r="T924" t="str">
        <f>ROUND((P924+Q924)*0.7,-2)</f>
        <v>#REF!</v>
      </c>
      <c r="U924" t="str">
        <f>ROUND(SUM(P924+Q924+R924+S924), -2)</f>
        <v>#REF!</v>
      </c>
      <c r="V924" t="str">
        <f>ROUND(P924+Q924+R924+T924, -2)</f>
        <v>#REF!</v>
      </c>
      <c r="W924">
        <v>0</v>
      </c>
      <c r="X924" t="str">
        <f>U924*0.038</f>
        <v>#REF!</v>
      </c>
      <c r="Y924" t="str">
        <f>U924*0.02</f>
        <v>#REF!</v>
      </c>
      <c r="Z924" t="str">
        <f>V924*0.1</f>
        <v>#REF!</v>
      </c>
      <c r="AA924" t="str">
        <f>U924-X924-Y924</f>
        <v>#REF!</v>
      </c>
      <c r="AB924" t="str">
        <f>V924-Z924</f>
        <v>#REF!</v>
      </c>
      <c r="AC924" t="str">
        <f>AA924*0.01</f>
        <v>#REF!</v>
      </c>
      <c r="AD924" t="str">
        <f>AA924-P924-AC924-Q924</f>
        <v>#REF!</v>
      </c>
      <c r="AE924" t="str">
        <f>AB924-P924-Q924-AC924</f>
        <v>#REF!</v>
      </c>
      <c r="AF924" t="str">
        <f>AD924/U924</f>
        <v>#REF!</v>
      </c>
      <c r="AG924" t="str">
        <f>AE924/V924</f>
        <v>#REF!</v>
      </c>
    </row>
    <row r="925">
      <c r="G925" t="str">
        <v>A</v>
      </c>
      <c r="J925" t="str">
        <f>IF(K925&gt;0,K925*0.0625,IF(L925&gt;0,L925*2.204623,))</f>
        <v>#REF!</v>
      </c>
      <c r="K925" t="str">
        <f>IF(L925&gt;0,L925*35.273962,IF(J925&gt;0,J925*16,))</f>
        <v>#REF!</v>
      </c>
      <c r="L925" t="str">
        <f>IF(J925&gt;0,J925*0.453592,IF(K925&gt;0,K925*0.02835,))</f>
        <v>#REF!</v>
      </c>
      <c r="O925">
        <f>I925+N925+M925</f>
        <v>0</v>
      </c>
      <c r="P925">
        <f>O925*C$3</f>
        <v>0</v>
      </c>
      <c r="Q925" t="str">
        <f>ROUNDUP(HLOOKUP(IF(CEILING(L925,0.5)&lt;1,1,CEILING(L925,0.5)),'배송비 조회'!A$32:AY$36,2,0),-2)</f>
        <v>#REF!</v>
      </c>
      <c r="R925">
        <v>0</v>
      </c>
      <c r="S925" t="str">
        <f>ROUND((P925+Q925)*0.6,-2)</f>
        <v>#REF!</v>
      </c>
      <c r="T925" t="str">
        <f>ROUND((P925+Q925)*0.7,-2)</f>
        <v>#REF!</v>
      </c>
      <c r="U925" t="str">
        <f>ROUND(SUM(P925+Q925+R925+S925), -2)</f>
        <v>#REF!</v>
      </c>
      <c r="V925" t="str">
        <f>ROUND(P925+Q925+R925+T925, -2)</f>
        <v>#REF!</v>
      </c>
      <c r="W925">
        <v>0</v>
      </c>
      <c r="X925" t="str">
        <f>U925*0.038</f>
        <v>#REF!</v>
      </c>
      <c r="Y925" t="str">
        <f>U925*0.02</f>
        <v>#REF!</v>
      </c>
      <c r="Z925" t="str">
        <f>V925*0.1</f>
        <v>#REF!</v>
      </c>
      <c r="AA925" t="str">
        <f>U925-X925-Y925</f>
        <v>#REF!</v>
      </c>
      <c r="AB925" t="str">
        <f>V925-Z925</f>
        <v>#REF!</v>
      </c>
      <c r="AC925" t="str">
        <f>AA925*0.01</f>
        <v>#REF!</v>
      </c>
      <c r="AD925" t="str">
        <f>AA925-P925-AC925-Q925</f>
        <v>#REF!</v>
      </c>
      <c r="AE925" t="str">
        <f>AB925-P925-Q925-AC925</f>
        <v>#REF!</v>
      </c>
      <c r="AF925" t="str">
        <f>AD925/U925</f>
        <v>#REF!</v>
      </c>
      <c r="AG925" t="str">
        <f>AE925/V925</f>
        <v>#REF!</v>
      </c>
    </row>
    <row r="926">
      <c r="G926" t="str">
        <v>A</v>
      </c>
      <c r="J926" t="str">
        <f>IF(K926&gt;0,K926*0.0625,IF(L926&gt;0,L926*2.204623,))</f>
        <v>#REF!</v>
      </c>
      <c r="K926" t="str">
        <f>IF(L926&gt;0,L926*35.273962,IF(J926&gt;0,J926*16,))</f>
        <v>#REF!</v>
      </c>
      <c r="L926" t="str">
        <f>IF(J926&gt;0,J926*0.453592,IF(K926&gt;0,K926*0.02835,))</f>
        <v>#REF!</v>
      </c>
      <c r="O926">
        <f>I926+N926+M926</f>
        <v>0</v>
      </c>
      <c r="P926">
        <f>O926*C$3</f>
        <v>0</v>
      </c>
      <c r="Q926" t="str">
        <f>ROUNDUP(HLOOKUP(IF(CEILING(L926,0.5)&lt;1,1,CEILING(L926,0.5)),'배송비 조회'!A$32:AY$36,2,0),-2)</f>
        <v>#REF!</v>
      </c>
      <c r="R926">
        <v>0</v>
      </c>
      <c r="S926" t="str">
        <f>ROUND((P926+Q926)*0.6,-2)</f>
        <v>#REF!</v>
      </c>
      <c r="T926" t="str">
        <f>ROUND((P926+Q926)*0.7,-2)</f>
        <v>#REF!</v>
      </c>
      <c r="U926" t="str">
        <f>ROUND(SUM(P926+Q926+R926+S926), -2)</f>
        <v>#REF!</v>
      </c>
      <c r="V926" t="str">
        <f>ROUND(P926+Q926+R926+T926, -2)</f>
        <v>#REF!</v>
      </c>
      <c r="W926">
        <v>0</v>
      </c>
      <c r="X926" t="str">
        <f>U926*0.038</f>
        <v>#REF!</v>
      </c>
      <c r="Y926" t="str">
        <f>U926*0.02</f>
        <v>#REF!</v>
      </c>
      <c r="Z926" t="str">
        <f>V926*0.1</f>
        <v>#REF!</v>
      </c>
      <c r="AA926" t="str">
        <f>U926-X926-Y926</f>
        <v>#REF!</v>
      </c>
      <c r="AB926" t="str">
        <f>V926-Z926</f>
        <v>#REF!</v>
      </c>
      <c r="AC926" t="str">
        <f>AA926*0.01</f>
        <v>#REF!</v>
      </c>
      <c r="AD926" t="str">
        <f>AA926-P926-AC926-Q926</f>
        <v>#REF!</v>
      </c>
      <c r="AE926" t="str">
        <f>AB926-P926-Q926-AC926</f>
        <v>#REF!</v>
      </c>
      <c r="AF926" t="str">
        <f>AD926/U926</f>
        <v>#REF!</v>
      </c>
      <c r="AG926" t="str">
        <f>AE926/V926</f>
        <v>#REF!</v>
      </c>
    </row>
    <row r="927">
      <c r="G927" t="str">
        <v>A</v>
      </c>
      <c r="J927" t="str">
        <f>IF(K927&gt;0,K927*0.0625,IF(L927&gt;0,L927*2.204623,))</f>
        <v>#REF!</v>
      </c>
      <c r="K927" t="str">
        <f>IF(L927&gt;0,L927*35.273962,IF(J927&gt;0,J927*16,))</f>
        <v>#REF!</v>
      </c>
      <c r="L927" t="str">
        <f>IF(J927&gt;0,J927*0.453592,IF(K927&gt;0,K927*0.02835,))</f>
        <v>#REF!</v>
      </c>
      <c r="O927">
        <f>I927+N927+M927</f>
        <v>0</v>
      </c>
      <c r="P927">
        <f>O927*C$3</f>
        <v>0</v>
      </c>
      <c r="Q927" t="str">
        <f>ROUNDUP(HLOOKUP(IF(CEILING(L927,0.5)&lt;1,1,CEILING(L927,0.5)),'배송비 조회'!A$32:AY$36,2,0),-2)</f>
        <v>#REF!</v>
      </c>
      <c r="R927">
        <v>0</v>
      </c>
      <c r="S927" t="str">
        <f>ROUND((P927+Q927)*0.6,-2)</f>
        <v>#REF!</v>
      </c>
      <c r="T927" t="str">
        <f>ROUND((P927+Q927)*0.7,-2)</f>
        <v>#REF!</v>
      </c>
      <c r="U927" t="str">
        <f>ROUND(SUM(P927+Q927+R927+S927), -2)</f>
        <v>#REF!</v>
      </c>
      <c r="V927" t="str">
        <f>ROUND(P927+Q927+R927+T927, -2)</f>
        <v>#REF!</v>
      </c>
      <c r="W927">
        <v>0</v>
      </c>
      <c r="X927" t="str">
        <f>U927*0.038</f>
        <v>#REF!</v>
      </c>
      <c r="Y927" t="str">
        <f>U927*0.02</f>
        <v>#REF!</v>
      </c>
      <c r="Z927" t="str">
        <f>V927*0.1</f>
        <v>#REF!</v>
      </c>
      <c r="AA927" t="str">
        <f>U927-X927-Y927</f>
        <v>#REF!</v>
      </c>
      <c r="AB927" t="str">
        <f>V927-Z927</f>
        <v>#REF!</v>
      </c>
      <c r="AC927" t="str">
        <f>AA927*0.01</f>
        <v>#REF!</v>
      </c>
      <c r="AD927" t="str">
        <f>AA927-P927-AC927-Q927</f>
        <v>#REF!</v>
      </c>
      <c r="AE927" t="str">
        <f>AB927-P927-Q927-AC927</f>
        <v>#REF!</v>
      </c>
      <c r="AF927" t="str">
        <f>AD927/U927</f>
        <v>#REF!</v>
      </c>
      <c r="AG927" t="str">
        <f>AE927/V927</f>
        <v>#REF!</v>
      </c>
    </row>
    <row r="928">
      <c r="G928" t="str">
        <v>A</v>
      </c>
      <c r="J928" t="str">
        <f>IF(K928&gt;0,K928*0.0625,IF(L928&gt;0,L928*2.204623,))</f>
        <v>#REF!</v>
      </c>
      <c r="K928" t="str">
        <f>IF(L928&gt;0,L928*35.273962,IF(J928&gt;0,J928*16,))</f>
        <v>#REF!</v>
      </c>
      <c r="L928" t="str">
        <f>IF(J928&gt;0,J928*0.453592,IF(K928&gt;0,K928*0.02835,))</f>
        <v>#REF!</v>
      </c>
      <c r="O928">
        <f>I928+N928+M928</f>
        <v>0</v>
      </c>
      <c r="P928">
        <f>O928*C$3</f>
        <v>0</v>
      </c>
      <c r="Q928" t="str">
        <f>ROUNDUP(HLOOKUP(IF(CEILING(L928,0.5)&lt;1,1,CEILING(L928,0.5)),'배송비 조회'!A$32:AY$36,2,0),-2)</f>
        <v>#REF!</v>
      </c>
      <c r="R928">
        <v>0</v>
      </c>
      <c r="S928" t="str">
        <f>ROUND((P928+Q928)*0.6,-2)</f>
        <v>#REF!</v>
      </c>
      <c r="T928" t="str">
        <f>ROUND((P928+Q928)*0.7,-2)</f>
        <v>#REF!</v>
      </c>
      <c r="U928" t="str">
        <f>ROUND(SUM(P928+Q928+R928+S928), -2)</f>
        <v>#REF!</v>
      </c>
      <c r="V928" t="str">
        <f>ROUND(P928+Q928+R928+T928, -2)</f>
        <v>#REF!</v>
      </c>
      <c r="W928">
        <v>0</v>
      </c>
      <c r="X928" t="str">
        <f>U928*0.038</f>
        <v>#REF!</v>
      </c>
      <c r="Y928" t="str">
        <f>U928*0.02</f>
        <v>#REF!</v>
      </c>
      <c r="Z928" t="str">
        <f>V928*0.1</f>
        <v>#REF!</v>
      </c>
      <c r="AA928" t="str">
        <f>U928-X928-Y928</f>
        <v>#REF!</v>
      </c>
      <c r="AB928" t="str">
        <f>V928-Z928</f>
        <v>#REF!</v>
      </c>
      <c r="AC928" t="str">
        <f>AA928*0.01</f>
        <v>#REF!</v>
      </c>
      <c r="AD928" t="str">
        <f>AA928-P928-AC928-Q928</f>
        <v>#REF!</v>
      </c>
      <c r="AE928" t="str">
        <f>AB928-P928-Q928-AC928</f>
        <v>#REF!</v>
      </c>
      <c r="AF928" t="str">
        <f>AD928/U928</f>
        <v>#REF!</v>
      </c>
      <c r="AG928" t="str">
        <f>AE928/V928</f>
        <v>#REF!</v>
      </c>
    </row>
    <row r="929">
      <c r="G929" t="str">
        <v>A</v>
      </c>
      <c r="J929" t="str">
        <f>IF(K929&gt;0,K929*0.0625,IF(L929&gt;0,L929*2.204623,))</f>
        <v>#REF!</v>
      </c>
      <c r="K929" t="str">
        <f>IF(L929&gt;0,L929*35.273962,IF(J929&gt;0,J929*16,))</f>
        <v>#REF!</v>
      </c>
      <c r="L929" t="str">
        <f>IF(J929&gt;0,J929*0.453592,IF(K929&gt;0,K929*0.02835,))</f>
        <v>#REF!</v>
      </c>
      <c r="O929">
        <f>I929+N929+M929</f>
        <v>0</v>
      </c>
      <c r="P929">
        <f>O929*C$3</f>
        <v>0</v>
      </c>
      <c r="Q929" t="str">
        <f>ROUNDUP(HLOOKUP(IF(CEILING(L929,0.5)&lt;1,1,CEILING(L929,0.5)),'배송비 조회'!A$32:AY$36,2,0),-2)</f>
        <v>#REF!</v>
      </c>
      <c r="R929">
        <v>0</v>
      </c>
      <c r="S929" t="str">
        <f>ROUND((P929+Q929)*0.6,-2)</f>
        <v>#REF!</v>
      </c>
      <c r="T929" t="str">
        <f>ROUND((P929+Q929)*0.7,-2)</f>
        <v>#REF!</v>
      </c>
      <c r="U929" t="str">
        <f>ROUND(SUM(P929+Q929+R929+S929), -2)</f>
        <v>#REF!</v>
      </c>
      <c r="V929" t="str">
        <f>ROUND(P929+Q929+R929+T929, -2)</f>
        <v>#REF!</v>
      </c>
      <c r="W929">
        <v>0</v>
      </c>
      <c r="X929" t="str">
        <f>U929*0.038</f>
        <v>#REF!</v>
      </c>
      <c r="Y929" t="str">
        <f>U929*0.02</f>
        <v>#REF!</v>
      </c>
      <c r="Z929" t="str">
        <f>V929*0.1</f>
        <v>#REF!</v>
      </c>
      <c r="AA929" t="str">
        <f>U929-X929-Y929</f>
        <v>#REF!</v>
      </c>
      <c r="AB929" t="str">
        <f>V929-Z929</f>
        <v>#REF!</v>
      </c>
      <c r="AC929" t="str">
        <f>AA929*0.01</f>
        <v>#REF!</v>
      </c>
      <c r="AD929" t="str">
        <f>AA929-P929-AC929-Q929</f>
        <v>#REF!</v>
      </c>
      <c r="AE929" t="str">
        <f>AB929-P929-Q929-AC929</f>
        <v>#REF!</v>
      </c>
      <c r="AF929" t="str">
        <f>AD929/U929</f>
        <v>#REF!</v>
      </c>
      <c r="AG929" t="str">
        <f>AE929/V929</f>
        <v>#REF!</v>
      </c>
    </row>
    <row r="930">
      <c r="G930" t="str">
        <v>A</v>
      </c>
      <c r="J930" t="str">
        <f>IF(K930&gt;0,K930*0.0625,IF(L930&gt;0,L930*2.204623,))</f>
        <v>#REF!</v>
      </c>
      <c r="K930" t="str">
        <f>IF(L930&gt;0,L930*35.273962,IF(J930&gt;0,J930*16,))</f>
        <v>#REF!</v>
      </c>
      <c r="L930" t="str">
        <f>IF(J930&gt;0,J930*0.453592,IF(K930&gt;0,K930*0.02835,))</f>
        <v>#REF!</v>
      </c>
      <c r="O930">
        <f>I930+N930+M930</f>
        <v>0</v>
      </c>
      <c r="P930">
        <f>O930*C$3</f>
        <v>0</v>
      </c>
      <c r="Q930" t="str">
        <f>ROUNDUP(HLOOKUP(IF(CEILING(L930,0.5)&lt;1,1,CEILING(L930,0.5)),'배송비 조회'!A$32:AY$36,2,0),-2)</f>
        <v>#REF!</v>
      </c>
      <c r="R930">
        <v>0</v>
      </c>
      <c r="S930" t="str">
        <f>ROUND((P930+Q930)*0.6,-2)</f>
        <v>#REF!</v>
      </c>
      <c r="T930" t="str">
        <f>ROUND((P930+Q930)*0.7,-2)</f>
        <v>#REF!</v>
      </c>
      <c r="U930" t="str">
        <f>ROUND(SUM(P930+Q930+R930+S930), -2)</f>
        <v>#REF!</v>
      </c>
      <c r="V930" t="str">
        <f>ROUND(P930+Q930+R930+T930, -2)</f>
        <v>#REF!</v>
      </c>
      <c r="W930">
        <v>0</v>
      </c>
      <c r="X930" t="str">
        <f>U930*0.038</f>
        <v>#REF!</v>
      </c>
      <c r="Y930" t="str">
        <f>U930*0.02</f>
        <v>#REF!</v>
      </c>
      <c r="Z930" t="str">
        <f>V930*0.1</f>
        <v>#REF!</v>
      </c>
      <c r="AA930" t="str">
        <f>U930-X930-Y930</f>
        <v>#REF!</v>
      </c>
      <c r="AB930" t="str">
        <f>V930-Z930</f>
        <v>#REF!</v>
      </c>
      <c r="AC930" t="str">
        <f>AA930*0.01</f>
        <v>#REF!</v>
      </c>
      <c r="AD930" t="str">
        <f>AA930-P930-AC930-Q930</f>
        <v>#REF!</v>
      </c>
      <c r="AE930" t="str">
        <f>AB930-P930-Q930-AC930</f>
        <v>#REF!</v>
      </c>
      <c r="AF930" t="str">
        <f>AD930/U930</f>
        <v>#REF!</v>
      </c>
      <c r="AG930" t="str">
        <f>AE930/V930</f>
        <v>#REF!</v>
      </c>
    </row>
    <row r="931">
      <c r="G931" t="str">
        <v>A</v>
      </c>
      <c r="J931" t="str">
        <f>IF(K931&gt;0,K931*0.0625,IF(L931&gt;0,L931*2.204623,))</f>
        <v>#REF!</v>
      </c>
      <c r="K931" t="str">
        <f>IF(L931&gt;0,L931*35.273962,IF(J931&gt;0,J931*16,))</f>
        <v>#REF!</v>
      </c>
      <c r="L931" t="str">
        <f>IF(J931&gt;0,J931*0.453592,IF(K931&gt;0,K931*0.02835,))</f>
        <v>#REF!</v>
      </c>
      <c r="O931">
        <f>I931+N931+M931</f>
        <v>0</v>
      </c>
      <c r="P931">
        <f>O931*C$3</f>
        <v>0</v>
      </c>
      <c r="Q931" t="str">
        <f>ROUNDUP(HLOOKUP(IF(CEILING(L931,0.5)&lt;1,1,CEILING(L931,0.5)),'배송비 조회'!A$32:AY$36,2,0),-2)</f>
        <v>#REF!</v>
      </c>
      <c r="R931">
        <v>0</v>
      </c>
      <c r="S931" t="str">
        <f>ROUND((P931+Q931)*0.6,-2)</f>
        <v>#REF!</v>
      </c>
      <c r="T931" t="str">
        <f>ROUND((P931+Q931)*0.7,-2)</f>
        <v>#REF!</v>
      </c>
      <c r="U931" t="str">
        <f>ROUND(SUM(P931+Q931+R931+S931), -2)</f>
        <v>#REF!</v>
      </c>
      <c r="V931" t="str">
        <f>ROUND(P931+Q931+R931+T931, -2)</f>
        <v>#REF!</v>
      </c>
      <c r="W931">
        <v>0</v>
      </c>
      <c r="X931" t="str">
        <f>U931*0.038</f>
        <v>#REF!</v>
      </c>
      <c r="Y931" t="str">
        <f>U931*0.02</f>
        <v>#REF!</v>
      </c>
      <c r="Z931" t="str">
        <f>V931*0.1</f>
        <v>#REF!</v>
      </c>
      <c r="AA931" t="str">
        <f>U931-X931-Y931</f>
        <v>#REF!</v>
      </c>
      <c r="AB931" t="str">
        <f>V931-Z931</f>
        <v>#REF!</v>
      </c>
      <c r="AC931" t="str">
        <f>AA931*0.01</f>
        <v>#REF!</v>
      </c>
      <c r="AD931" t="str">
        <f>AA931-P931-AC931-Q931</f>
        <v>#REF!</v>
      </c>
      <c r="AE931" t="str">
        <f>AB931-P931-Q931-AC931</f>
        <v>#REF!</v>
      </c>
      <c r="AF931" t="str">
        <f>AD931/U931</f>
        <v>#REF!</v>
      </c>
      <c r="AG931" t="str">
        <f>AE931/V931</f>
        <v>#REF!</v>
      </c>
    </row>
    <row r="932">
      <c r="G932" t="str">
        <v>A</v>
      </c>
      <c r="J932" t="str">
        <f>IF(K932&gt;0,K932*0.0625,IF(L932&gt;0,L932*2.204623,))</f>
        <v>#REF!</v>
      </c>
      <c r="K932" t="str">
        <f>IF(L932&gt;0,L932*35.273962,IF(J932&gt;0,J932*16,))</f>
        <v>#REF!</v>
      </c>
      <c r="L932" t="str">
        <f>IF(J932&gt;0,J932*0.453592,IF(K932&gt;0,K932*0.02835,))</f>
        <v>#REF!</v>
      </c>
      <c r="O932">
        <f>I932+N932+M932</f>
        <v>0</v>
      </c>
      <c r="P932">
        <f>O932*C$3</f>
        <v>0</v>
      </c>
      <c r="Q932" t="str">
        <f>ROUNDUP(HLOOKUP(IF(CEILING(L932,0.5)&lt;1,1,CEILING(L932,0.5)),'배송비 조회'!A$32:AY$36,2,0),-2)</f>
        <v>#REF!</v>
      </c>
      <c r="R932">
        <v>0</v>
      </c>
      <c r="S932" t="str">
        <f>ROUND((P932+Q932)*0.6,-2)</f>
        <v>#REF!</v>
      </c>
      <c r="T932" t="str">
        <f>ROUND((P932+Q932)*0.7,-2)</f>
        <v>#REF!</v>
      </c>
      <c r="U932" t="str">
        <f>ROUND(SUM(P932+Q932+R932+S932), -2)</f>
        <v>#REF!</v>
      </c>
      <c r="V932" t="str">
        <f>ROUND(P932+Q932+R932+T932, -2)</f>
        <v>#REF!</v>
      </c>
      <c r="W932">
        <v>0</v>
      </c>
      <c r="X932" t="str">
        <f>U932*0.038</f>
        <v>#REF!</v>
      </c>
      <c r="Y932" t="str">
        <f>U932*0.02</f>
        <v>#REF!</v>
      </c>
      <c r="Z932" t="str">
        <f>V932*0.1</f>
        <v>#REF!</v>
      </c>
      <c r="AA932" t="str">
        <f>U932-X932-Y932</f>
        <v>#REF!</v>
      </c>
      <c r="AB932" t="str">
        <f>V932-Z932</f>
        <v>#REF!</v>
      </c>
      <c r="AC932" t="str">
        <f>AA932*0.01</f>
        <v>#REF!</v>
      </c>
      <c r="AD932" t="str">
        <f>AA932-P932-AC932-Q932</f>
        <v>#REF!</v>
      </c>
      <c r="AE932" t="str">
        <f>AB932-P932-Q932-AC932</f>
        <v>#REF!</v>
      </c>
      <c r="AF932" t="str">
        <f>AD932/U932</f>
        <v>#REF!</v>
      </c>
      <c r="AG932" t="str">
        <f>AE932/V932</f>
        <v>#REF!</v>
      </c>
    </row>
    <row r="933">
      <c r="G933" t="str">
        <v>A</v>
      </c>
      <c r="J933" t="str">
        <f>IF(K933&gt;0,K933*0.0625,IF(L933&gt;0,L933*2.204623,))</f>
        <v>#REF!</v>
      </c>
      <c r="K933" t="str">
        <f>IF(L933&gt;0,L933*35.273962,IF(J933&gt;0,J933*16,))</f>
        <v>#REF!</v>
      </c>
      <c r="L933" t="str">
        <f>IF(J933&gt;0,J933*0.453592,IF(K933&gt;0,K933*0.02835,))</f>
        <v>#REF!</v>
      </c>
      <c r="O933">
        <f>I933+N933+M933</f>
        <v>0</v>
      </c>
      <c r="P933">
        <f>O933*C$3</f>
        <v>0</v>
      </c>
      <c r="Q933" t="str">
        <f>ROUNDUP(HLOOKUP(IF(CEILING(L933,0.5)&lt;1,1,CEILING(L933,0.5)),'배송비 조회'!A$32:AY$36,2,0),-2)</f>
        <v>#REF!</v>
      </c>
      <c r="R933">
        <v>0</v>
      </c>
      <c r="S933" t="str">
        <f>ROUND((P933+Q933)*0.6,-2)</f>
        <v>#REF!</v>
      </c>
      <c r="T933" t="str">
        <f>ROUND((P933+Q933)*0.7,-2)</f>
        <v>#REF!</v>
      </c>
      <c r="U933" t="str">
        <f>ROUND(SUM(P933+Q933+R933+S933), -2)</f>
        <v>#REF!</v>
      </c>
      <c r="V933" t="str">
        <f>ROUND(P933+Q933+R933+T933, -2)</f>
        <v>#REF!</v>
      </c>
      <c r="W933">
        <v>0</v>
      </c>
      <c r="X933" t="str">
        <f>U933*0.038</f>
        <v>#REF!</v>
      </c>
      <c r="Y933" t="str">
        <f>U933*0.02</f>
        <v>#REF!</v>
      </c>
      <c r="Z933" t="str">
        <f>V933*0.1</f>
        <v>#REF!</v>
      </c>
      <c r="AA933" t="str">
        <f>U933-X933-Y933</f>
        <v>#REF!</v>
      </c>
      <c r="AB933" t="str">
        <f>V933-Z933</f>
        <v>#REF!</v>
      </c>
      <c r="AC933" t="str">
        <f>AA933*0.01</f>
        <v>#REF!</v>
      </c>
      <c r="AD933" t="str">
        <f>AA933-P933-AC933-Q933</f>
        <v>#REF!</v>
      </c>
      <c r="AE933" t="str">
        <f>AB933-P933-Q933-AC933</f>
        <v>#REF!</v>
      </c>
      <c r="AF933" t="str">
        <f>AD933/U933</f>
        <v>#REF!</v>
      </c>
      <c r="AG933" t="str">
        <f>AE933/V933</f>
        <v>#REF!</v>
      </c>
    </row>
    <row r="934">
      <c r="G934" t="str">
        <v>A</v>
      </c>
      <c r="J934" t="str">
        <f>IF(K934&gt;0,K934*0.0625,IF(L934&gt;0,L934*2.204623,))</f>
        <v>#REF!</v>
      </c>
      <c r="K934" t="str">
        <f>IF(L934&gt;0,L934*35.273962,IF(J934&gt;0,J934*16,))</f>
        <v>#REF!</v>
      </c>
      <c r="L934" t="str">
        <f>IF(J934&gt;0,J934*0.453592,IF(K934&gt;0,K934*0.02835,))</f>
        <v>#REF!</v>
      </c>
      <c r="O934">
        <f>I934+N934+M934</f>
        <v>0</v>
      </c>
      <c r="P934">
        <f>O934*C$3</f>
        <v>0</v>
      </c>
      <c r="Q934" t="str">
        <f>ROUNDUP(HLOOKUP(IF(CEILING(L934,0.5)&lt;1,1,CEILING(L934,0.5)),'배송비 조회'!A$32:AY$36,2,0),-2)</f>
        <v>#REF!</v>
      </c>
      <c r="R934">
        <v>0</v>
      </c>
      <c r="S934" t="str">
        <f>ROUND((P934+Q934)*0.6,-2)</f>
        <v>#REF!</v>
      </c>
      <c r="T934" t="str">
        <f>ROUND((P934+Q934)*0.7,-2)</f>
        <v>#REF!</v>
      </c>
      <c r="U934" t="str">
        <f>ROUND(SUM(P934+Q934+R934+S934), -2)</f>
        <v>#REF!</v>
      </c>
      <c r="V934" t="str">
        <f>ROUND(P934+Q934+R934+T934, -2)</f>
        <v>#REF!</v>
      </c>
      <c r="W934">
        <v>0</v>
      </c>
      <c r="X934" t="str">
        <f>U934*0.038</f>
        <v>#REF!</v>
      </c>
      <c r="Y934" t="str">
        <f>U934*0.02</f>
        <v>#REF!</v>
      </c>
      <c r="Z934" t="str">
        <f>V934*0.1</f>
        <v>#REF!</v>
      </c>
      <c r="AA934" t="str">
        <f>U934-X934-Y934</f>
        <v>#REF!</v>
      </c>
      <c r="AB934" t="str">
        <f>V934-Z934</f>
        <v>#REF!</v>
      </c>
      <c r="AC934" t="str">
        <f>AA934*0.01</f>
        <v>#REF!</v>
      </c>
      <c r="AD934" t="str">
        <f>AA934-P934-AC934-Q934</f>
        <v>#REF!</v>
      </c>
      <c r="AE934" t="str">
        <f>AB934-P934-Q934-AC934</f>
        <v>#REF!</v>
      </c>
      <c r="AF934" t="str">
        <f>AD934/U934</f>
        <v>#REF!</v>
      </c>
      <c r="AG934" t="str">
        <f>AE934/V934</f>
        <v>#REF!</v>
      </c>
    </row>
    <row r="935">
      <c r="G935" t="str">
        <v>A</v>
      </c>
      <c r="J935" t="str">
        <f>IF(K935&gt;0,K935*0.0625,IF(L935&gt;0,L935*2.204623,))</f>
        <v>#REF!</v>
      </c>
      <c r="K935" t="str">
        <f>IF(L935&gt;0,L935*35.273962,IF(J935&gt;0,J935*16,))</f>
        <v>#REF!</v>
      </c>
      <c r="L935" t="str">
        <f>IF(J935&gt;0,J935*0.453592,IF(K935&gt;0,K935*0.02835,))</f>
        <v>#REF!</v>
      </c>
      <c r="O935">
        <f>I935+N935+M935</f>
        <v>0</v>
      </c>
      <c r="P935">
        <f>O935*C$3</f>
        <v>0</v>
      </c>
      <c r="Q935" t="str">
        <f>ROUNDUP(HLOOKUP(IF(CEILING(L935,0.5)&lt;1,1,CEILING(L935,0.5)),'배송비 조회'!A$32:AY$36,2,0),-2)</f>
        <v>#REF!</v>
      </c>
      <c r="R935">
        <v>0</v>
      </c>
      <c r="S935" t="str">
        <f>ROUND((P935+Q935)*0.6,-2)</f>
        <v>#REF!</v>
      </c>
      <c r="T935" t="str">
        <f>ROUND((P935+Q935)*0.7,-2)</f>
        <v>#REF!</v>
      </c>
      <c r="U935" t="str">
        <f>ROUND(SUM(P935+Q935+R935+S935), -2)</f>
        <v>#REF!</v>
      </c>
      <c r="V935" t="str">
        <f>ROUND(P935+Q935+R935+T935, -2)</f>
        <v>#REF!</v>
      </c>
      <c r="W935">
        <v>0</v>
      </c>
      <c r="X935" t="str">
        <f>U935*0.038</f>
        <v>#REF!</v>
      </c>
      <c r="Y935" t="str">
        <f>U935*0.02</f>
        <v>#REF!</v>
      </c>
      <c r="Z935" t="str">
        <f>V935*0.1</f>
        <v>#REF!</v>
      </c>
      <c r="AA935" t="str">
        <f>U935-X935-Y935</f>
        <v>#REF!</v>
      </c>
      <c r="AB935" t="str">
        <f>V935-Z935</f>
        <v>#REF!</v>
      </c>
      <c r="AC935" t="str">
        <f>AA935*0.01</f>
        <v>#REF!</v>
      </c>
      <c r="AD935" t="str">
        <f>AA935-P935-AC935-Q935</f>
        <v>#REF!</v>
      </c>
      <c r="AE935" t="str">
        <f>AB935-P935-Q935-AC935</f>
        <v>#REF!</v>
      </c>
      <c r="AF935" t="str">
        <f>AD935/U935</f>
        <v>#REF!</v>
      </c>
      <c r="AG935" t="str">
        <f>AE935/V935</f>
        <v>#REF!</v>
      </c>
    </row>
    <row r="936">
      <c r="G936" t="str">
        <v>A</v>
      </c>
      <c r="J936" t="str">
        <f>IF(K936&gt;0,K936*0.0625,IF(L936&gt;0,L936*2.204623,))</f>
        <v>#REF!</v>
      </c>
      <c r="K936" t="str">
        <f>IF(L936&gt;0,L936*35.273962,IF(J936&gt;0,J936*16,))</f>
        <v>#REF!</v>
      </c>
      <c r="L936" t="str">
        <f>IF(J936&gt;0,J936*0.453592,IF(K936&gt;0,K936*0.02835,))</f>
        <v>#REF!</v>
      </c>
      <c r="O936">
        <f>I936+N936+M936</f>
        <v>0</v>
      </c>
      <c r="P936">
        <f>O936*C$3</f>
        <v>0</v>
      </c>
      <c r="Q936" t="str">
        <f>ROUNDUP(HLOOKUP(IF(CEILING(L936,0.5)&lt;1,1,CEILING(L936,0.5)),'배송비 조회'!A$32:AY$36,2,0),-2)</f>
        <v>#REF!</v>
      </c>
      <c r="R936">
        <v>0</v>
      </c>
      <c r="S936" t="str">
        <f>ROUND((P936+Q936)*0.6,-2)</f>
        <v>#REF!</v>
      </c>
      <c r="T936" t="str">
        <f>ROUND((P936+Q936)*0.7,-2)</f>
        <v>#REF!</v>
      </c>
      <c r="U936" t="str">
        <f>ROUND(SUM(P936+Q936+R936+S936), -2)</f>
        <v>#REF!</v>
      </c>
      <c r="V936" t="str">
        <f>ROUND(P936+Q936+R936+T936, -2)</f>
        <v>#REF!</v>
      </c>
      <c r="W936">
        <v>0</v>
      </c>
      <c r="X936" t="str">
        <f>U936*0.038</f>
        <v>#REF!</v>
      </c>
      <c r="Y936" t="str">
        <f>U936*0.02</f>
        <v>#REF!</v>
      </c>
      <c r="Z936" t="str">
        <f>V936*0.1</f>
        <v>#REF!</v>
      </c>
      <c r="AA936" t="str">
        <f>U936-X936-Y936</f>
        <v>#REF!</v>
      </c>
      <c r="AB936" t="str">
        <f>V936-Z936</f>
        <v>#REF!</v>
      </c>
      <c r="AC936" t="str">
        <f>AA936*0.01</f>
        <v>#REF!</v>
      </c>
      <c r="AD936" t="str">
        <f>AA936-P936-AC936-Q936</f>
        <v>#REF!</v>
      </c>
      <c r="AE936" t="str">
        <f>AB936-P936-Q936-AC936</f>
        <v>#REF!</v>
      </c>
      <c r="AF936" t="str">
        <f>AD936/U936</f>
        <v>#REF!</v>
      </c>
      <c r="AG936" t="str">
        <f>AE936/V936</f>
        <v>#REF!</v>
      </c>
    </row>
    <row r="937">
      <c r="G937" t="str">
        <v>A</v>
      </c>
      <c r="J937" t="str">
        <f>IF(K937&gt;0,K937*0.0625,IF(L937&gt;0,L937*2.204623,))</f>
        <v>#REF!</v>
      </c>
      <c r="K937" t="str">
        <f>IF(L937&gt;0,L937*35.273962,IF(J937&gt;0,J937*16,))</f>
        <v>#REF!</v>
      </c>
      <c r="L937" t="str">
        <f>IF(J937&gt;0,J937*0.453592,IF(K937&gt;0,K937*0.02835,))</f>
        <v>#REF!</v>
      </c>
      <c r="O937">
        <f>I937+N937+M937</f>
        <v>0</v>
      </c>
      <c r="P937">
        <f>O937*C$3</f>
        <v>0</v>
      </c>
      <c r="Q937" t="str">
        <f>ROUNDUP(HLOOKUP(IF(CEILING(L937,0.5)&lt;1,1,CEILING(L937,0.5)),'배송비 조회'!A$32:AY$36,2,0),-2)</f>
        <v>#REF!</v>
      </c>
      <c r="R937">
        <v>0</v>
      </c>
      <c r="S937" t="str">
        <f>ROUND((P937+Q937)*0.6,-2)</f>
        <v>#REF!</v>
      </c>
      <c r="T937" t="str">
        <f>ROUND((P937+Q937)*0.7,-2)</f>
        <v>#REF!</v>
      </c>
      <c r="U937" t="str">
        <f>ROUND(SUM(P937+Q937+R937+S937), -2)</f>
        <v>#REF!</v>
      </c>
      <c r="V937" t="str">
        <f>ROUND(P937+Q937+R937+T937, -2)</f>
        <v>#REF!</v>
      </c>
      <c r="W937">
        <v>0</v>
      </c>
      <c r="X937" t="str">
        <f>U937*0.038</f>
        <v>#REF!</v>
      </c>
      <c r="Y937" t="str">
        <f>U937*0.02</f>
        <v>#REF!</v>
      </c>
      <c r="Z937" t="str">
        <f>V937*0.1</f>
        <v>#REF!</v>
      </c>
      <c r="AA937" t="str">
        <f>U937-X937-Y937</f>
        <v>#REF!</v>
      </c>
      <c r="AB937" t="str">
        <f>V937-Z937</f>
        <v>#REF!</v>
      </c>
      <c r="AC937" t="str">
        <f>AA937*0.01</f>
        <v>#REF!</v>
      </c>
      <c r="AD937" t="str">
        <f>AA937-P937-AC937-Q937</f>
        <v>#REF!</v>
      </c>
      <c r="AE937" t="str">
        <f>AB937-P937-Q937-AC937</f>
        <v>#REF!</v>
      </c>
      <c r="AF937" t="str">
        <f>AD937/U937</f>
        <v>#REF!</v>
      </c>
      <c r="AG937" t="str">
        <f>AE937/V937</f>
        <v>#REF!</v>
      </c>
    </row>
    <row r="938">
      <c r="G938" t="str">
        <v>A</v>
      </c>
      <c r="J938" t="str">
        <f>IF(K938&gt;0,K938*0.0625,IF(L938&gt;0,L938*2.204623,))</f>
        <v>#REF!</v>
      </c>
      <c r="K938" t="str">
        <f>IF(L938&gt;0,L938*35.273962,IF(J938&gt;0,J938*16,))</f>
        <v>#REF!</v>
      </c>
      <c r="L938" t="str">
        <f>IF(J938&gt;0,J938*0.453592,IF(K938&gt;0,K938*0.02835,))</f>
        <v>#REF!</v>
      </c>
      <c r="O938">
        <f>I938+N938+M938</f>
        <v>0</v>
      </c>
      <c r="P938">
        <f>O938*C$3</f>
        <v>0</v>
      </c>
      <c r="Q938" t="str">
        <f>ROUNDUP(HLOOKUP(IF(CEILING(L938,0.5)&lt;1,1,CEILING(L938,0.5)),'배송비 조회'!A$32:AY$36,2,0),-2)</f>
        <v>#REF!</v>
      </c>
      <c r="R938">
        <v>0</v>
      </c>
      <c r="S938" t="str">
        <f>ROUND((P938+Q938)*0.6,-2)</f>
        <v>#REF!</v>
      </c>
      <c r="T938" t="str">
        <f>ROUND((P938+Q938)*0.7,-2)</f>
        <v>#REF!</v>
      </c>
      <c r="U938" t="str">
        <f>ROUND(SUM(P938+Q938+R938+S938), -2)</f>
        <v>#REF!</v>
      </c>
      <c r="V938" t="str">
        <f>ROUND(P938+Q938+R938+T938, -2)</f>
        <v>#REF!</v>
      </c>
      <c r="W938">
        <v>0</v>
      </c>
      <c r="X938" t="str">
        <f>U938*0.038</f>
        <v>#REF!</v>
      </c>
      <c r="Y938" t="str">
        <f>U938*0.02</f>
        <v>#REF!</v>
      </c>
      <c r="Z938" t="str">
        <f>V938*0.1</f>
        <v>#REF!</v>
      </c>
      <c r="AA938" t="str">
        <f>U938-X938-Y938</f>
        <v>#REF!</v>
      </c>
      <c r="AB938" t="str">
        <f>V938-Z938</f>
        <v>#REF!</v>
      </c>
      <c r="AC938" t="str">
        <f>AA938*0.01</f>
        <v>#REF!</v>
      </c>
      <c r="AD938" t="str">
        <f>AA938-P938-AC938-Q938</f>
        <v>#REF!</v>
      </c>
      <c r="AE938" t="str">
        <f>AB938-P938-Q938-AC938</f>
        <v>#REF!</v>
      </c>
      <c r="AF938" t="str">
        <f>AD938/U938</f>
        <v>#REF!</v>
      </c>
      <c r="AG938" t="str">
        <f>AE938/V938</f>
        <v>#REF!</v>
      </c>
    </row>
    <row r="939">
      <c r="G939" t="str">
        <v>A</v>
      </c>
      <c r="J939" t="str">
        <f>IF(K939&gt;0,K939*0.0625,IF(L939&gt;0,L939*2.204623,))</f>
        <v>#REF!</v>
      </c>
      <c r="K939" t="str">
        <f>IF(L939&gt;0,L939*35.273962,IF(J939&gt;0,J939*16,))</f>
        <v>#REF!</v>
      </c>
      <c r="L939" t="str">
        <f>IF(J939&gt;0,J939*0.453592,IF(K939&gt;0,K939*0.02835,))</f>
        <v>#REF!</v>
      </c>
      <c r="O939">
        <f>I939+N939+M939</f>
        <v>0</v>
      </c>
      <c r="P939">
        <f>O939*C$3</f>
        <v>0</v>
      </c>
      <c r="Q939" t="str">
        <f>ROUNDUP(HLOOKUP(IF(CEILING(L939,0.5)&lt;1,1,CEILING(L939,0.5)),'배송비 조회'!A$32:AY$36,2,0),-2)</f>
        <v>#REF!</v>
      </c>
      <c r="R939">
        <v>0</v>
      </c>
      <c r="S939" t="str">
        <f>ROUND((P939+Q939)*0.6,-2)</f>
        <v>#REF!</v>
      </c>
      <c r="T939" t="str">
        <f>ROUND((P939+Q939)*0.7,-2)</f>
        <v>#REF!</v>
      </c>
      <c r="U939" t="str">
        <f>ROUND(SUM(P939+Q939+R939+S939), -2)</f>
        <v>#REF!</v>
      </c>
      <c r="V939" t="str">
        <f>ROUND(P939+Q939+R939+T939, -2)</f>
        <v>#REF!</v>
      </c>
      <c r="W939">
        <v>0</v>
      </c>
      <c r="X939" t="str">
        <f>U939*0.038</f>
        <v>#REF!</v>
      </c>
      <c r="Y939" t="str">
        <f>U939*0.02</f>
        <v>#REF!</v>
      </c>
      <c r="Z939" t="str">
        <f>V939*0.1</f>
        <v>#REF!</v>
      </c>
      <c r="AA939" t="str">
        <f>U939-X939-Y939</f>
        <v>#REF!</v>
      </c>
      <c r="AB939" t="str">
        <f>V939-Z939</f>
        <v>#REF!</v>
      </c>
      <c r="AC939" t="str">
        <f>AA939*0.01</f>
        <v>#REF!</v>
      </c>
      <c r="AD939" t="str">
        <f>AA939-P939-AC939-Q939</f>
        <v>#REF!</v>
      </c>
      <c r="AE939" t="str">
        <f>AB939-P939-Q939-AC939</f>
        <v>#REF!</v>
      </c>
      <c r="AF939" t="str">
        <f>AD939/U939</f>
        <v>#REF!</v>
      </c>
      <c r="AG939" t="str">
        <f>AE939/V939</f>
        <v>#REF!</v>
      </c>
    </row>
    <row r="940">
      <c r="G940" t="str">
        <v>A</v>
      </c>
      <c r="J940" t="str">
        <f>IF(K940&gt;0,K940*0.0625,IF(L940&gt;0,L940*2.204623,))</f>
        <v>#REF!</v>
      </c>
      <c r="K940" t="str">
        <f>IF(L940&gt;0,L940*35.273962,IF(J940&gt;0,J940*16,))</f>
        <v>#REF!</v>
      </c>
      <c r="L940" t="str">
        <f>IF(J940&gt;0,J940*0.453592,IF(K940&gt;0,K940*0.02835,))</f>
        <v>#REF!</v>
      </c>
      <c r="O940">
        <f>I940+N940+M940</f>
        <v>0</v>
      </c>
      <c r="P940">
        <f>O940*C$3</f>
        <v>0</v>
      </c>
      <c r="Q940" t="str">
        <f>ROUNDUP(HLOOKUP(IF(CEILING(L940,0.5)&lt;1,1,CEILING(L940,0.5)),'배송비 조회'!A$32:AY$36,2,0),-2)</f>
        <v>#REF!</v>
      </c>
      <c r="R940">
        <v>0</v>
      </c>
      <c r="S940" t="str">
        <f>ROUND((P940+Q940)*0.6,-2)</f>
        <v>#REF!</v>
      </c>
      <c r="T940" t="str">
        <f>ROUND((P940+Q940)*0.7,-2)</f>
        <v>#REF!</v>
      </c>
      <c r="U940" t="str">
        <f>ROUND(SUM(P940+Q940+R940+S940), -2)</f>
        <v>#REF!</v>
      </c>
      <c r="V940" t="str">
        <f>ROUND(P940+Q940+R940+T940, -2)</f>
        <v>#REF!</v>
      </c>
      <c r="W940">
        <v>0</v>
      </c>
      <c r="X940" t="str">
        <f>U940*0.038</f>
        <v>#REF!</v>
      </c>
      <c r="Y940" t="str">
        <f>U940*0.02</f>
        <v>#REF!</v>
      </c>
      <c r="Z940" t="str">
        <f>V940*0.1</f>
        <v>#REF!</v>
      </c>
      <c r="AA940" t="str">
        <f>U940-X940-Y940</f>
        <v>#REF!</v>
      </c>
      <c r="AB940" t="str">
        <f>V940-Z940</f>
        <v>#REF!</v>
      </c>
      <c r="AC940" t="str">
        <f>AA940*0.01</f>
        <v>#REF!</v>
      </c>
      <c r="AD940" t="str">
        <f>AA940-P940-AC940-Q940</f>
        <v>#REF!</v>
      </c>
      <c r="AE940" t="str">
        <f>AB940-P940-Q940-AC940</f>
        <v>#REF!</v>
      </c>
      <c r="AF940" t="str">
        <f>AD940/U940</f>
        <v>#REF!</v>
      </c>
      <c r="AG940" t="str">
        <f>AE940/V940</f>
        <v>#REF!</v>
      </c>
    </row>
    <row r="941">
      <c r="G941" t="str">
        <v>A</v>
      </c>
      <c r="J941" t="str">
        <f>IF(K941&gt;0,K941*0.0625,IF(L941&gt;0,L941*2.204623,))</f>
        <v>#REF!</v>
      </c>
      <c r="K941" t="str">
        <f>IF(L941&gt;0,L941*35.273962,IF(J941&gt;0,J941*16,))</f>
        <v>#REF!</v>
      </c>
      <c r="L941" t="str">
        <f>IF(J941&gt;0,J941*0.453592,IF(K941&gt;0,K941*0.02835,))</f>
        <v>#REF!</v>
      </c>
      <c r="O941">
        <f>I941+N941+M941</f>
        <v>0</v>
      </c>
      <c r="P941">
        <f>O941*C$3</f>
        <v>0</v>
      </c>
      <c r="Q941" t="str">
        <f>ROUNDUP(HLOOKUP(IF(CEILING(L941,0.5)&lt;1,1,CEILING(L941,0.5)),'배송비 조회'!A$32:AY$36,2,0),-2)</f>
        <v>#REF!</v>
      </c>
      <c r="R941">
        <v>0</v>
      </c>
      <c r="S941" t="str">
        <f>ROUND((P941+Q941)*0.6,-2)</f>
        <v>#REF!</v>
      </c>
      <c r="T941" t="str">
        <f>ROUND((P941+Q941)*0.7,-2)</f>
        <v>#REF!</v>
      </c>
      <c r="U941" t="str">
        <f>ROUND(SUM(P941+Q941+R941+S941), -2)</f>
        <v>#REF!</v>
      </c>
      <c r="V941" t="str">
        <f>ROUND(P941+Q941+R941+T941, -2)</f>
        <v>#REF!</v>
      </c>
      <c r="W941">
        <v>0</v>
      </c>
      <c r="X941" t="str">
        <f>U941*0.038</f>
        <v>#REF!</v>
      </c>
      <c r="Y941" t="str">
        <f>U941*0.02</f>
        <v>#REF!</v>
      </c>
      <c r="Z941" t="str">
        <f>V941*0.1</f>
        <v>#REF!</v>
      </c>
      <c r="AA941" t="str">
        <f>U941-X941-Y941</f>
        <v>#REF!</v>
      </c>
      <c r="AB941" t="str">
        <f>V941-Z941</f>
        <v>#REF!</v>
      </c>
      <c r="AC941" t="str">
        <f>AA941*0.01</f>
        <v>#REF!</v>
      </c>
      <c r="AD941" t="str">
        <f>AA941-P941-AC941-Q941</f>
        <v>#REF!</v>
      </c>
      <c r="AE941" t="str">
        <f>AB941-P941-Q941-AC941</f>
        <v>#REF!</v>
      </c>
      <c r="AF941" t="str">
        <f>AD941/U941</f>
        <v>#REF!</v>
      </c>
      <c r="AG941" t="str">
        <f>AE941/V941</f>
        <v>#REF!</v>
      </c>
    </row>
    <row r="942">
      <c r="G942" t="str">
        <v>A</v>
      </c>
      <c r="J942" t="str">
        <f>IF(K942&gt;0,K942*0.0625,IF(L942&gt;0,L942*2.204623,))</f>
        <v>#REF!</v>
      </c>
      <c r="K942" t="str">
        <f>IF(L942&gt;0,L942*35.273962,IF(J942&gt;0,J942*16,))</f>
        <v>#REF!</v>
      </c>
      <c r="L942" t="str">
        <f>IF(J942&gt;0,J942*0.453592,IF(K942&gt;0,K942*0.02835,))</f>
        <v>#REF!</v>
      </c>
      <c r="O942">
        <f>I942+N942+M942</f>
        <v>0</v>
      </c>
      <c r="P942">
        <f>O942*C$3</f>
        <v>0</v>
      </c>
      <c r="Q942" t="str">
        <f>ROUNDUP(HLOOKUP(IF(CEILING(L942,0.5)&lt;1,1,CEILING(L942,0.5)),'배송비 조회'!A$32:AY$36,2,0),-2)</f>
        <v>#REF!</v>
      </c>
      <c r="R942">
        <v>0</v>
      </c>
      <c r="S942" t="str">
        <f>ROUND((P942+Q942)*0.6,-2)</f>
        <v>#REF!</v>
      </c>
      <c r="T942" t="str">
        <f>ROUND((P942+Q942)*0.7,-2)</f>
        <v>#REF!</v>
      </c>
      <c r="U942" t="str">
        <f>ROUND(SUM(P942+Q942+R942+S942), -2)</f>
        <v>#REF!</v>
      </c>
      <c r="V942" t="str">
        <f>ROUND(P942+Q942+R942+T942, -2)</f>
        <v>#REF!</v>
      </c>
      <c r="W942">
        <v>0</v>
      </c>
      <c r="X942" t="str">
        <f>U942*0.038</f>
        <v>#REF!</v>
      </c>
      <c r="Y942" t="str">
        <f>U942*0.02</f>
        <v>#REF!</v>
      </c>
      <c r="Z942" t="str">
        <f>V942*0.1</f>
        <v>#REF!</v>
      </c>
      <c r="AA942" t="str">
        <f>U942-X942-Y942</f>
        <v>#REF!</v>
      </c>
      <c r="AB942" t="str">
        <f>V942-Z942</f>
        <v>#REF!</v>
      </c>
      <c r="AC942" t="str">
        <f>AA942*0.01</f>
        <v>#REF!</v>
      </c>
      <c r="AD942" t="str">
        <f>AA942-P942-AC942-Q942</f>
        <v>#REF!</v>
      </c>
      <c r="AE942" t="str">
        <f>AB942-P942-Q942-AC942</f>
        <v>#REF!</v>
      </c>
      <c r="AF942" t="str">
        <f>AD942/U942</f>
        <v>#REF!</v>
      </c>
      <c r="AG942" t="str">
        <f>AE942/V942</f>
        <v>#REF!</v>
      </c>
    </row>
    <row r="943">
      <c r="G943" t="str">
        <v>A</v>
      </c>
      <c r="J943" t="str">
        <f>IF(K943&gt;0,K943*0.0625,IF(L943&gt;0,L943*2.204623,))</f>
        <v>#REF!</v>
      </c>
      <c r="K943" t="str">
        <f>IF(L943&gt;0,L943*35.273962,IF(J943&gt;0,J943*16,))</f>
        <v>#REF!</v>
      </c>
      <c r="L943" t="str">
        <f>IF(J943&gt;0,J943*0.453592,IF(K943&gt;0,K943*0.02835,))</f>
        <v>#REF!</v>
      </c>
      <c r="O943">
        <f>I943+N943+M943</f>
        <v>0</v>
      </c>
      <c r="P943">
        <f>O943*C$3</f>
        <v>0</v>
      </c>
      <c r="Q943" t="str">
        <f>ROUNDUP(HLOOKUP(IF(CEILING(L943,0.5)&lt;1,1,CEILING(L943,0.5)),'배송비 조회'!A$32:AY$36,2,0),-2)</f>
        <v>#REF!</v>
      </c>
      <c r="R943">
        <v>0</v>
      </c>
      <c r="S943" t="str">
        <f>ROUND((P943+Q943)*0.6,-2)</f>
        <v>#REF!</v>
      </c>
      <c r="T943" t="str">
        <f>ROUND((P943+Q943)*0.7,-2)</f>
        <v>#REF!</v>
      </c>
      <c r="U943" t="str">
        <f>ROUND(SUM(P943+Q943+R943+S943), -2)</f>
        <v>#REF!</v>
      </c>
      <c r="V943" t="str">
        <f>ROUND(P943+Q943+R943+T943, -2)</f>
        <v>#REF!</v>
      </c>
      <c r="W943">
        <v>0</v>
      </c>
      <c r="X943" t="str">
        <f>U943*0.038</f>
        <v>#REF!</v>
      </c>
      <c r="Y943" t="str">
        <f>U943*0.02</f>
        <v>#REF!</v>
      </c>
      <c r="Z943" t="str">
        <f>V943*0.1</f>
        <v>#REF!</v>
      </c>
      <c r="AA943" t="str">
        <f>U943-X943-Y943</f>
        <v>#REF!</v>
      </c>
      <c r="AB943" t="str">
        <f>V943-Z943</f>
        <v>#REF!</v>
      </c>
      <c r="AC943" t="str">
        <f>AA943*0.01</f>
        <v>#REF!</v>
      </c>
      <c r="AD943" t="str">
        <f>AA943-P943-AC943-Q943</f>
        <v>#REF!</v>
      </c>
      <c r="AE943" t="str">
        <f>AB943-P943-Q943-AC943</f>
        <v>#REF!</v>
      </c>
      <c r="AF943" t="str">
        <f>AD943/U943</f>
        <v>#REF!</v>
      </c>
      <c r="AG943" t="str">
        <f>AE943/V943</f>
        <v>#REF!</v>
      </c>
    </row>
    <row r="944">
      <c r="G944" t="str">
        <v>A</v>
      </c>
      <c r="J944" t="str">
        <f>IF(K944&gt;0,K944*0.0625,IF(L944&gt;0,L944*2.204623,))</f>
        <v>#REF!</v>
      </c>
      <c r="K944" t="str">
        <f>IF(L944&gt;0,L944*35.273962,IF(J944&gt;0,J944*16,))</f>
        <v>#REF!</v>
      </c>
      <c r="L944" t="str">
        <f>IF(J944&gt;0,J944*0.453592,IF(K944&gt;0,K944*0.02835,))</f>
        <v>#REF!</v>
      </c>
      <c r="O944">
        <f>I944+N944+M944</f>
        <v>0</v>
      </c>
      <c r="P944">
        <f>O944*C$3</f>
        <v>0</v>
      </c>
      <c r="Q944" t="str">
        <f>ROUNDUP(HLOOKUP(IF(CEILING(L944,0.5)&lt;1,1,CEILING(L944,0.5)),'배송비 조회'!A$32:AY$36,2,0),-2)</f>
        <v>#REF!</v>
      </c>
      <c r="R944">
        <v>0</v>
      </c>
      <c r="S944" t="str">
        <f>ROUND((P944+Q944)*0.6,-2)</f>
        <v>#REF!</v>
      </c>
      <c r="T944" t="str">
        <f>ROUND((P944+Q944)*0.7,-2)</f>
        <v>#REF!</v>
      </c>
      <c r="U944" t="str">
        <f>ROUND(SUM(P944+Q944+R944+S944), -2)</f>
        <v>#REF!</v>
      </c>
      <c r="V944" t="str">
        <f>ROUND(P944+Q944+R944+T944, -2)</f>
        <v>#REF!</v>
      </c>
      <c r="W944">
        <v>0</v>
      </c>
      <c r="X944" t="str">
        <f>U944*0.038</f>
        <v>#REF!</v>
      </c>
      <c r="Y944" t="str">
        <f>U944*0.02</f>
        <v>#REF!</v>
      </c>
      <c r="Z944" t="str">
        <f>V944*0.1</f>
        <v>#REF!</v>
      </c>
      <c r="AA944" t="str">
        <f>U944-X944-Y944</f>
        <v>#REF!</v>
      </c>
      <c r="AB944" t="str">
        <f>V944-Z944</f>
        <v>#REF!</v>
      </c>
      <c r="AC944" t="str">
        <f>AA944*0.01</f>
        <v>#REF!</v>
      </c>
      <c r="AD944" t="str">
        <f>AA944-P944-AC944-Q944</f>
        <v>#REF!</v>
      </c>
      <c r="AE944" t="str">
        <f>AB944-P944-Q944-AC944</f>
        <v>#REF!</v>
      </c>
      <c r="AF944" t="str">
        <f>AD944/U944</f>
        <v>#REF!</v>
      </c>
      <c r="AG944" t="str">
        <f>AE944/V944</f>
        <v>#REF!</v>
      </c>
    </row>
    <row r="945">
      <c r="G945" t="str">
        <v>A</v>
      </c>
      <c r="J945" t="str">
        <f>IF(K945&gt;0,K945*0.0625,IF(L945&gt;0,L945*2.204623,))</f>
        <v>#REF!</v>
      </c>
      <c r="K945" t="str">
        <f>IF(L945&gt;0,L945*35.273962,IF(J945&gt;0,J945*16,))</f>
        <v>#REF!</v>
      </c>
      <c r="L945" t="str">
        <f>IF(J945&gt;0,J945*0.453592,IF(K945&gt;0,K945*0.02835,))</f>
        <v>#REF!</v>
      </c>
      <c r="O945">
        <f>I945+N945+M945</f>
        <v>0</v>
      </c>
      <c r="P945">
        <f>O945*C$3</f>
        <v>0</v>
      </c>
      <c r="Q945" t="str">
        <f>ROUNDUP(HLOOKUP(IF(CEILING(L945,0.5)&lt;1,1,CEILING(L945,0.5)),'배송비 조회'!A$32:AY$36,2,0),-2)</f>
        <v>#REF!</v>
      </c>
      <c r="R945">
        <v>0</v>
      </c>
      <c r="S945" t="str">
        <f>ROUND((P945+Q945)*0.6,-2)</f>
        <v>#REF!</v>
      </c>
      <c r="T945" t="str">
        <f>ROUND((P945+Q945)*0.7,-2)</f>
        <v>#REF!</v>
      </c>
      <c r="U945" t="str">
        <f>ROUND(SUM(P945+Q945+R945+S945), -2)</f>
        <v>#REF!</v>
      </c>
      <c r="V945" t="str">
        <f>ROUND(P945+Q945+R945+T945, -2)</f>
        <v>#REF!</v>
      </c>
      <c r="W945">
        <v>0</v>
      </c>
      <c r="X945" t="str">
        <f>U945*0.038</f>
        <v>#REF!</v>
      </c>
      <c r="Y945" t="str">
        <f>U945*0.02</f>
        <v>#REF!</v>
      </c>
      <c r="Z945" t="str">
        <f>V945*0.1</f>
        <v>#REF!</v>
      </c>
      <c r="AA945" t="str">
        <f>U945-X945-Y945</f>
        <v>#REF!</v>
      </c>
      <c r="AB945" t="str">
        <f>V945-Z945</f>
        <v>#REF!</v>
      </c>
      <c r="AC945" t="str">
        <f>AA945*0.01</f>
        <v>#REF!</v>
      </c>
      <c r="AD945" t="str">
        <f>AA945-P945-AC945-Q945</f>
        <v>#REF!</v>
      </c>
      <c r="AE945" t="str">
        <f>AB945-P945-Q945-AC945</f>
        <v>#REF!</v>
      </c>
      <c r="AF945" t="str">
        <f>AD945/U945</f>
        <v>#REF!</v>
      </c>
      <c r="AG945" t="str">
        <f>AE945/V945</f>
        <v>#REF!</v>
      </c>
    </row>
    <row r="946">
      <c r="G946" t="str">
        <v>A</v>
      </c>
      <c r="J946" t="str">
        <f>IF(K946&gt;0,K946*0.0625,IF(L946&gt;0,L946*2.204623,))</f>
        <v>#REF!</v>
      </c>
      <c r="K946" t="str">
        <f>IF(L946&gt;0,L946*35.273962,IF(J946&gt;0,J946*16,))</f>
        <v>#REF!</v>
      </c>
      <c r="L946" t="str">
        <f>IF(J946&gt;0,J946*0.453592,IF(K946&gt;0,K946*0.02835,))</f>
        <v>#REF!</v>
      </c>
      <c r="O946">
        <f>I946+N946+M946</f>
        <v>0</v>
      </c>
      <c r="P946">
        <f>O946*C$3</f>
        <v>0</v>
      </c>
      <c r="Q946" t="str">
        <f>ROUNDUP(HLOOKUP(IF(CEILING(L946,0.5)&lt;1,1,CEILING(L946,0.5)),'배송비 조회'!A$32:AY$36,2,0),-2)</f>
        <v>#REF!</v>
      </c>
      <c r="R946">
        <v>0</v>
      </c>
      <c r="S946" t="str">
        <f>ROUND((P946+Q946)*0.6,-2)</f>
        <v>#REF!</v>
      </c>
      <c r="T946" t="str">
        <f>ROUND((P946+Q946)*0.7,-2)</f>
        <v>#REF!</v>
      </c>
      <c r="U946" t="str">
        <f>ROUND(SUM(P946+Q946+R946+S946), -2)</f>
        <v>#REF!</v>
      </c>
      <c r="V946" t="str">
        <f>ROUND(P946+Q946+R946+T946, -2)</f>
        <v>#REF!</v>
      </c>
      <c r="W946">
        <v>0</v>
      </c>
      <c r="X946" t="str">
        <f>U946*0.038</f>
        <v>#REF!</v>
      </c>
      <c r="Y946" t="str">
        <f>U946*0.02</f>
        <v>#REF!</v>
      </c>
      <c r="Z946" t="str">
        <f>V946*0.1</f>
        <v>#REF!</v>
      </c>
      <c r="AA946" t="str">
        <f>U946-X946-Y946</f>
        <v>#REF!</v>
      </c>
      <c r="AB946" t="str">
        <f>V946-Z946</f>
        <v>#REF!</v>
      </c>
      <c r="AC946" t="str">
        <f>AA946*0.01</f>
        <v>#REF!</v>
      </c>
      <c r="AD946" t="str">
        <f>AA946-P946-AC946-Q946</f>
        <v>#REF!</v>
      </c>
      <c r="AE946" t="str">
        <f>AB946-P946-Q946-AC946</f>
        <v>#REF!</v>
      </c>
      <c r="AF946" t="str">
        <f>AD946/U946</f>
        <v>#REF!</v>
      </c>
      <c r="AG946" t="str">
        <f>AE946/V946</f>
        <v>#REF!</v>
      </c>
    </row>
    <row r="947">
      <c r="G947" t="str">
        <v>A</v>
      </c>
      <c r="J947" t="str">
        <f>IF(K947&gt;0,K947*0.0625,IF(L947&gt;0,L947*2.204623,))</f>
        <v>#REF!</v>
      </c>
      <c r="K947" t="str">
        <f>IF(L947&gt;0,L947*35.273962,IF(J947&gt;0,J947*16,))</f>
        <v>#REF!</v>
      </c>
      <c r="L947" t="str">
        <f>IF(J947&gt;0,J947*0.453592,IF(K947&gt;0,K947*0.02835,))</f>
        <v>#REF!</v>
      </c>
      <c r="O947">
        <f>I947+N947+M947</f>
        <v>0</v>
      </c>
      <c r="P947">
        <f>O947*C$3</f>
        <v>0</v>
      </c>
      <c r="Q947" t="str">
        <f>ROUNDUP(HLOOKUP(IF(CEILING(L947,0.5)&lt;1,1,CEILING(L947,0.5)),'배송비 조회'!A$32:AY$36,2,0),-2)</f>
        <v>#REF!</v>
      </c>
      <c r="R947">
        <v>0</v>
      </c>
      <c r="S947" t="str">
        <f>ROUND((P947+Q947)*0.6,-2)</f>
        <v>#REF!</v>
      </c>
      <c r="T947" t="str">
        <f>ROUND((P947+Q947)*0.7,-2)</f>
        <v>#REF!</v>
      </c>
      <c r="U947" t="str">
        <f>ROUND(SUM(P947+Q947+R947+S947), -2)</f>
        <v>#REF!</v>
      </c>
      <c r="V947" t="str">
        <f>ROUND(P947+Q947+R947+T947, -2)</f>
        <v>#REF!</v>
      </c>
      <c r="W947">
        <v>0</v>
      </c>
      <c r="X947" t="str">
        <f>U947*0.038</f>
        <v>#REF!</v>
      </c>
      <c r="Y947" t="str">
        <f>U947*0.02</f>
        <v>#REF!</v>
      </c>
      <c r="Z947" t="str">
        <f>V947*0.1</f>
        <v>#REF!</v>
      </c>
      <c r="AA947" t="str">
        <f>U947-X947-Y947</f>
        <v>#REF!</v>
      </c>
      <c r="AB947" t="str">
        <f>V947-Z947</f>
        <v>#REF!</v>
      </c>
      <c r="AC947" t="str">
        <f>AA947*0.01</f>
        <v>#REF!</v>
      </c>
      <c r="AD947" t="str">
        <f>AA947-P947-AC947-Q947</f>
        <v>#REF!</v>
      </c>
      <c r="AE947" t="str">
        <f>AB947-P947-Q947-AC947</f>
        <v>#REF!</v>
      </c>
      <c r="AF947" t="str">
        <f>AD947/U947</f>
        <v>#REF!</v>
      </c>
      <c r="AG947" t="str">
        <f>AE947/V947</f>
        <v>#REF!</v>
      </c>
    </row>
    <row r="948">
      <c r="G948" t="str">
        <v>A</v>
      </c>
      <c r="J948" t="str">
        <f>IF(K948&gt;0,K948*0.0625,IF(L948&gt;0,L948*2.204623,))</f>
        <v>#REF!</v>
      </c>
      <c r="K948" t="str">
        <f>IF(L948&gt;0,L948*35.273962,IF(J948&gt;0,J948*16,))</f>
        <v>#REF!</v>
      </c>
      <c r="L948" t="str">
        <f>IF(J948&gt;0,J948*0.453592,IF(K948&gt;0,K948*0.02835,))</f>
        <v>#REF!</v>
      </c>
      <c r="O948">
        <f>I948+N948+M948</f>
        <v>0</v>
      </c>
      <c r="P948">
        <f>O948*C$3</f>
        <v>0</v>
      </c>
      <c r="Q948" t="str">
        <f>ROUNDUP(HLOOKUP(IF(CEILING(L948,0.5)&lt;1,1,CEILING(L948,0.5)),'배송비 조회'!A$32:AY$36,2,0),-2)</f>
        <v>#REF!</v>
      </c>
      <c r="R948">
        <v>0</v>
      </c>
      <c r="S948" t="str">
        <f>ROUND((P948+Q948)*0.6,-2)</f>
        <v>#REF!</v>
      </c>
      <c r="T948" t="str">
        <f>ROUND((P948+Q948)*0.7,-2)</f>
        <v>#REF!</v>
      </c>
      <c r="U948" t="str">
        <f>ROUND(SUM(P948+Q948+R948+S948), -2)</f>
        <v>#REF!</v>
      </c>
      <c r="V948" t="str">
        <f>ROUND(P948+Q948+R948+T948, -2)</f>
        <v>#REF!</v>
      </c>
      <c r="W948">
        <v>0</v>
      </c>
      <c r="X948" t="str">
        <f>U948*0.038</f>
        <v>#REF!</v>
      </c>
      <c r="Y948" t="str">
        <f>U948*0.02</f>
        <v>#REF!</v>
      </c>
      <c r="Z948" t="str">
        <f>V948*0.1</f>
        <v>#REF!</v>
      </c>
      <c r="AA948" t="str">
        <f>U948-X948-Y948</f>
        <v>#REF!</v>
      </c>
      <c r="AB948" t="str">
        <f>V948-Z948</f>
        <v>#REF!</v>
      </c>
      <c r="AC948" t="str">
        <f>AA948*0.01</f>
        <v>#REF!</v>
      </c>
      <c r="AD948" t="str">
        <f>AA948-P948-AC948-Q948</f>
        <v>#REF!</v>
      </c>
      <c r="AE948" t="str">
        <f>AB948-P948-Q948-AC948</f>
        <v>#REF!</v>
      </c>
      <c r="AF948" t="str">
        <f>AD948/U948</f>
        <v>#REF!</v>
      </c>
      <c r="AG948" t="str">
        <f>AE948/V948</f>
        <v>#REF!</v>
      </c>
    </row>
    <row r="949">
      <c r="G949" t="str">
        <v>A</v>
      </c>
      <c r="J949" t="str">
        <f>IF(K949&gt;0,K949*0.0625,IF(L949&gt;0,L949*2.204623,))</f>
        <v>#REF!</v>
      </c>
      <c r="K949" t="str">
        <f>IF(L949&gt;0,L949*35.273962,IF(J949&gt;0,J949*16,))</f>
        <v>#REF!</v>
      </c>
      <c r="L949" t="str">
        <f>IF(J949&gt;0,J949*0.453592,IF(K949&gt;0,K949*0.02835,))</f>
        <v>#REF!</v>
      </c>
      <c r="O949">
        <f>I949+N949+M949</f>
        <v>0</v>
      </c>
      <c r="P949">
        <f>O949*C$3</f>
        <v>0</v>
      </c>
      <c r="Q949" t="str">
        <f>ROUNDUP(HLOOKUP(IF(CEILING(L949,0.5)&lt;1,1,CEILING(L949,0.5)),'배송비 조회'!A$32:AY$36,2,0),-2)</f>
        <v>#REF!</v>
      </c>
      <c r="R949">
        <v>0</v>
      </c>
      <c r="S949" t="str">
        <f>ROUND((P949+Q949)*0.6,-2)</f>
        <v>#REF!</v>
      </c>
      <c r="T949" t="str">
        <f>ROUND((P949+Q949)*0.7,-2)</f>
        <v>#REF!</v>
      </c>
      <c r="U949" t="str">
        <f>ROUND(SUM(P949+Q949+R949+S949), -2)</f>
        <v>#REF!</v>
      </c>
      <c r="V949" t="str">
        <f>ROUND(P949+Q949+R949+T949, -2)</f>
        <v>#REF!</v>
      </c>
      <c r="W949">
        <v>0</v>
      </c>
      <c r="X949" t="str">
        <f>U949*0.038</f>
        <v>#REF!</v>
      </c>
      <c r="Y949" t="str">
        <f>U949*0.02</f>
        <v>#REF!</v>
      </c>
      <c r="Z949" t="str">
        <f>V949*0.1</f>
        <v>#REF!</v>
      </c>
      <c r="AA949" t="str">
        <f>U949-X949-Y949</f>
        <v>#REF!</v>
      </c>
      <c r="AB949" t="str">
        <f>V949-Z949</f>
        <v>#REF!</v>
      </c>
      <c r="AC949" t="str">
        <f>AA949*0.01</f>
        <v>#REF!</v>
      </c>
      <c r="AD949" t="str">
        <f>AA949-P949-AC949-Q949</f>
        <v>#REF!</v>
      </c>
      <c r="AE949" t="str">
        <f>AB949-P949-Q949-AC949</f>
        <v>#REF!</v>
      </c>
      <c r="AF949" t="str">
        <f>AD949/U949</f>
        <v>#REF!</v>
      </c>
      <c r="AG949" t="str">
        <f>AE949/V949</f>
        <v>#REF!</v>
      </c>
    </row>
    <row r="950">
      <c r="G950" t="str">
        <v>A</v>
      </c>
      <c r="J950" t="str">
        <f>IF(K950&gt;0,K950*0.0625,IF(L950&gt;0,L950*2.204623,))</f>
        <v>#REF!</v>
      </c>
      <c r="K950" t="str">
        <f>IF(L950&gt;0,L950*35.273962,IF(J950&gt;0,J950*16,))</f>
        <v>#REF!</v>
      </c>
      <c r="L950" t="str">
        <f>IF(J950&gt;0,J950*0.453592,IF(K950&gt;0,K950*0.02835,))</f>
        <v>#REF!</v>
      </c>
      <c r="O950">
        <f>I950+N950+M950</f>
        <v>0</v>
      </c>
      <c r="P950">
        <f>O950*C$3</f>
        <v>0</v>
      </c>
      <c r="Q950" t="str">
        <f>ROUNDUP(HLOOKUP(IF(CEILING(L950,0.5)&lt;1,1,CEILING(L950,0.5)),'배송비 조회'!A$32:AY$36,2,0),-2)</f>
        <v>#REF!</v>
      </c>
      <c r="R950">
        <v>0</v>
      </c>
      <c r="S950" t="str">
        <f>ROUND((P950+Q950)*0.6,-2)</f>
        <v>#REF!</v>
      </c>
      <c r="T950" t="str">
        <f>ROUND((P950+Q950)*0.7,-2)</f>
        <v>#REF!</v>
      </c>
      <c r="U950" t="str">
        <f>ROUND(SUM(P950+Q950+R950+S950), -2)</f>
        <v>#REF!</v>
      </c>
      <c r="V950" t="str">
        <f>ROUND(P950+Q950+R950+T950, -2)</f>
        <v>#REF!</v>
      </c>
      <c r="W950">
        <v>0</v>
      </c>
      <c r="X950" t="str">
        <f>U950*0.038</f>
        <v>#REF!</v>
      </c>
      <c r="Y950" t="str">
        <f>U950*0.02</f>
        <v>#REF!</v>
      </c>
      <c r="Z950" t="str">
        <f>V950*0.1</f>
        <v>#REF!</v>
      </c>
      <c r="AA950" t="str">
        <f>U950-X950-Y950</f>
        <v>#REF!</v>
      </c>
      <c r="AB950" t="str">
        <f>V950-Z950</f>
        <v>#REF!</v>
      </c>
      <c r="AC950" t="str">
        <f>AA950*0.01</f>
        <v>#REF!</v>
      </c>
      <c r="AD950" t="str">
        <f>AA950-P950-AC950-Q950</f>
        <v>#REF!</v>
      </c>
      <c r="AE950" t="str">
        <f>AB950-P950-Q950-AC950</f>
        <v>#REF!</v>
      </c>
      <c r="AF950" t="str">
        <f>AD950/U950</f>
        <v>#REF!</v>
      </c>
      <c r="AG950" t="str">
        <f>AE950/V950</f>
        <v>#REF!</v>
      </c>
    </row>
    <row r="951">
      <c r="G951" t="str">
        <v>A</v>
      </c>
      <c r="J951" t="str">
        <f>IF(K951&gt;0,K951*0.0625,IF(L951&gt;0,L951*2.204623,))</f>
        <v>#REF!</v>
      </c>
      <c r="K951" t="str">
        <f>IF(L951&gt;0,L951*35.273962,IF(J951&gt;0,J951*16,))</f>
        <v>#REF!</v>
      </c>
      <c r="L951" t="str">
        <f>IF(J951&gt;0,J951*0.453592,IF(K951&gt;0,K951*0.02835,))</f>
        <v>#REF!</v>
      </c>
      <c r="O951">
        <f>I951+N951+M951</f>
        <v>0</v>
      </c>
      <c r="P951">
        <f>O951*C$3</f>
        <v>0</v>
      </c>
      <c r="Q951" t="str">
        <f>ROUNDUP(HLOOKUP(IF(CEILING(L951,0.5)&lt;1,1,CEILING(L951,0.5)),'배송비 조회'!A$32:AY$36,2,0),-2)</f>
        <v>#REF!</v>
      </c>
      <c r="R951">
        <v>0</v>
      </c>
      <c r="S951" t="str">
        <f>ROUND((P951+Q951)*0.6,-2)</f>
        <v>#REF!</v>
      </c>
      <c r="T951" t="str">
        <f>ROUND((P951+Q951)*0.7,-2)</f>
        <v>#REF!</v>
      </c>
      <c r="U951" t="str">
        <f>ROUND(SUM(P951+Q951+R951+S951), -2)</f>
        <v>#REF!</v>
      </c>
      <c r="V951" t="str">
        <f>ROUND(P951+Q951+R951+T951, -2)</f>
        <v>#REF!</v>
      </c>
      <c r="W951">
        <v>0</v>
      </c>
      <c r="X951" t="str">
        <f>U951*0.038</f>
        <v>#REF!</v>
      </c>
      <c r="Y951" t="str">
        <f>U951*0.02</f>
        <v>#REF!</v>
      </c>
      <c r="Z951" t="str">
        <f>V951*0.1</f>
        <v>#REF!</v>
      </c>
      <c r="AA951" t="str">
        <f>U951-X951-Y951</f>
        <v>#REF!</v>
      </c>
      <c r="AB951" t="str">
        <f>V951-Z951</f>
        <v>#REF!</v>
      </c>
      <c r="AC951" t="str">
        <f>AA951*0.01</f>
        <v>#REF!</v>
      </c>
      <c r="AD951" t="str">
        <f>AA951-P951-AC951-Q951</f>
        <v>#REF!</v>
      </c>
      <c r="AE951" t="str">
        <f>AB951-P951-Q951-AC951</f>
        <v>#REF!</v>
      </c>
      <c r="AF951" t="str">
        <f>AD951/U951</f>
        <v>#REF!</v>
      </c>
      <c r="AG951" t="str">
        <f>AE951/V951</f>
        <v>#REF!</v>
      </c>
    </row>
    <row r="952">
      <c r="G952" t="str">
        <v>A</v>
      </c>
      <c r="J952" t="str">
        <f>IF(K952&gt;0,K952*0.0625,IF(L952&gt;0,L952*2.204623,))</f>
        <v>#REF!</v>
      </c>
      <c r="K952" t="str">
        <f>IF(L952&gt;0,L952*35.273962,IF(J952&gt;0,J952*16,))</f>
        <v>#REF!</v>
      </c>
      <c r="L952" t="str">
        <f>IF(J952&gt;0,J952*0.453592,IF(K952&gt;0,K952*0.02835,))</f>
        <v>#REF!</v>
      </c>
      <c r="O952">
        <f>I952+N952+M952</f>
        <v>0</v>
      </c>
      <c r="P952">
        <f>O952*C$3</f>
        <v>0</v>
      </c>
      <c r="Q952" t="str">
        <f>ROUNDUP(HLOOKUP(IF(CEILING(L952,0.5)&lt;1,1,CEILING(L952,0.5)),'배송비 조회'!A$32:AY$36,2,0),-2)</f>
        <v>#REF!</v>
      </c>
      <c r="R952">
        <v>0</v>
      </c>
      <c r="S952" t="str">
        <f>ROUND((P952+Q952)*0.6,-2)</f>
        <v>#REF!</v>
      </c>
      <c r="T952" t="str">
        <f>ROUND((P952+Q952)*0.7,-2)</f>
        <v>#REF!</v>
      </c>
      <c r="U952" t="str">
        <f>ROUND(SUM(P952+Q952+R952+S952), -2)</f>
        <v>#REF!</v>
      </c>
      <c r="V952" t="str">
        <f>ROUND(P952+Q952+R952+T952, -2)</f>
        <v>#REF!</v>
      </c>
      <c r="W952">
        <v>0</v>
      </c>
      <c r="X952" t="str">
        <f>U952*0.038</f>
        <v>#REF!</v>
      </c>
      <c r="Y952" t="str">
        <f>U952*0.02</f>
        <v>#REF!</v>
      </c>
      <c r="Z952" t="str">
        <f>V952*0.1</f>
        <v>#REF!</v>
      </c>
      <c r="AA952" t="str">
        <f>U952-X952-Y952</f>
        <v>#REF!</v>
      </c>
      <c r="AB952" t="str">
        <f>V952-Z952</f>
        <v>#REF!</v>
      </c>
      <c r="AC952" t="str">
        <f>AA952*0.01</f>
        <v>#REF!</v>
      </c>
      <c r="AD952" t="str">
        <f>AA952-P952-AC952-Q952</f>
        <v>#REF!</v>
      </c>
      <c r="AE952" t="str">
        <f>AB952-P952-Q952-AC952</f>
        <v>#REF!</v>
      </c>
      <c r="AF952" t="str">
        <f>AD952/U952</f>
        <v>#REF!</v>
      </c>
      <c r="AG952" t="str">
        <f>AE952/V952</f>
        <v>#REF!</v>
      </c>
    </row>
    <row r="953">
      <c r="G953" t="str">
        <v>A</v>
      </c>
      <c r="J953" t="str">
        <f>IF(K953&gt;0,K953*0.0625,IF(L953&gt;0,L953*2.204623,))</f>
        <v>#REF!</v>
      </c>
      <c r="K953" t="str">
        <f>IF(L953&gt;0,L953*35.273962,IF(J953&gt;0,J953*16,))</f>
        <v>#REF!</v>
      </c>
      <c r="L953" t="str">
        <f>IF(J953&gt;0,J953*0.453592,IF(K953&gt;0,K953*0.02835,))</f>
        <v>#REF!</v>
      </c>
      <c r="O953">
        <f>I953+N953+M953</f>
        <v>0</v>
      </c>
      <c r="P953">
        <f>O953*C$3</f>
        <v>0</v>
      </c>
      <c r="Q953" t="str">
        <f>ROUNDUP(HLOOKUP(IF(CEILING(L953,0.5)&lt;1,1,CEILING(L953,0.5)),'배송비 조회'!A$32:AY$36,2,0),-2)</f>
        <v>#REF!</v>
      </c>
      <c r="R953">
        <v>0</v>
      </c>
      <c r="S953" t="str">
        <f>ROUND((P953+Q953)*0.6,-2)</f>
        <v>#REF!</v>
      </c>
      <c r="T953" t="str">
        <f>ROUND((P953+Q953)*0.7,-2)</f>
        <v>#REF!</v>
      </c>
      <c r="U953" t="str">
        <f>ROUND(SUM(P953+Q953+R953+S953), -2)</f>
        <v>#REF!</v>
      </c>
      <c r="V953" t="str">
        <f>ROUND(P953+Q953+R953+T953, -2)</f>
        <v>#REF!</v>
      </c>
      <c r="W953">
        <v>0</v>
      </c>
      <c r="X953" t="str">
        <f>U953*0.038</f>
        <v>#REF!</v>
      </c>
      <c r="Y953" t="str">
        <f>U953*0.02</f>
        <v>#REF!</v>
      </c>
      <c r="Z953" t="str">
        <f>V953*0.1</f>
        <v>#REF!</v>
      </c>
      <c r="AA953" t="str">
        <f>U953-X953-Y953</f>
        <v>#REF!</v>
      </c>
      <c r="AB953" t="str">
        <f>V953-Z953</f>
        <v>#REF!</v>
      </c>
      <c r="AC953" t="str">
        <f>AA953*0.01</f>
        <v>#REF!</v>
      </c>
      <c r="AD953" t="str">
        <f>AA953-P953-AC953-Q953</f>
        <v>#REF!</v>
      </c>
      <c r="AE953" t="str">
        <f>AB953-P953-Q953-AC953</f>
        <v>#REF!</v>
      </c>
      <c r="AF953" t="str">
        <f>AD953/U953</f>
        <v>#REF!</v>
      </c>
      <c r="AG953" t="str">
        <f>AE953/V953</f>
        <v>#REF!</v>
      </c>
    </row>
    <row r="954">
      <c r="G954" t="str">
        <v>A</v>
      </c>
      <c r="J954" t="str">
        <f>IF(K954&gt;0,K954*0.0625,IF(L954&gt;0,L954*2.204623,))</f>
        <v>#REF!</v>
      </c>
      <c r="K954" t="str">
        <f>IF(L954&gt;0,L954*35.273962,IF(J954&gt;0,J954*16,))</f>
        <v>#REF!</v>
      </c>
      <c r="L954" t="str">
        <f>IF(J954&gt;0,J954*0.453592,IF(K954&gt;0,K954*0.02835,))</f>
        <v>#REF!</v>
      </c>
      <c r="O954">
        <f>I954+N954+M954</f>
        <v>0</v>
      </c>
      <c r="P954">
        <f>O954*C$3</f>
        <v>0</v>
      </c>
      <c r="Q954" t="str">
        <f>ROUNDUP(HLOOKUP(IF(CEILING(L954,0.5)&lt;1,1,CEILING(L954,0.5)),'배송비 조회'!A$32:AY$36,2,0),-2)</f>
        <v>#REF!</v>
      </c>
      <c r="R954">
        <v>0</v>
      </c>
      <c r="S954" t="str">
        <f>ROUND((P954+Q954)*0.6,-2)</f>
        <v>#REF!</v>
      </c>
      <c r="T954" t="str">
        <f>ROUND((P954+Q954)*0.7,-2)</f>
        <v>#REF!</v>
      </c>
      <c r="U954" t="str">
        <f>ROUND(SUM(P954+Q954+R954+S954), -2)</f>
        <v>#REF!</v>
      </c>
      <c r="V954" t="str">
        <f>ROUND(P954+Q954+R954+T954, -2)</f>
        <v>#REF!</v>
      </c>
      <c r="W954">
        <v>0</v>
      </c>
      <c r="X954" t="str">
        <f>U954*0.038</f>
        <v>#REF!</v>
      </c>
      <c r="Y954" t="str">
        <f>U954*0.02</f>
        <v>#REF!</v>
      </c>
      <c r="Z954" t="str">
        <f>V954*0.1</f>
        <v>#REF!</v>
      </c>
      <c r="AA954" t="str">
        <f>U954-X954-Y954</f>
        <v>#REF!</v>
      </c>
      <c r="AB954" t="str">
        <f>V954-Z954</f>
        <v>#REF!</v>
      </c>
      <c r="AC954" t="str">
        <f>AA954*0.01</f>
        <v>#REF!</v>
      </c>
      <c r="AD954" t="str">
        <f>AA954-P954-AC954-Q954</f>
        <v>#REF!</v>
      </c>
      <c r="AE954" t="str">
        <f>AB954-P954-Q954-AC954</f>
        <v>#REF!</v>
      </c>
      <c r="AF954" t="str">
        <f>AD954/U954</f>
        <v>#REF!</v>
      </c>
      <c r="AG954" t="str">
        <f>AE954/V954</f>
        <v>#REF!</v>
      </c>
    </row>
    <row r="955">
      <c r="G955" t="str">
        <v>A</v>
      </c>
      <c r="J955" t="str">
        <f>IF(K955&gt;0,K955*0.0625,IF(L955&gt;0,L955*2.204623,))</f>
        <v>#REF!</v>
      </c>
      <c r="K955" t="str">
        <f>IF(L955&gt;0,L955*35.273962,IF(J955&gt;0,J955*16,))</f>
        <v>#REF!</v>
      </c>
      <c r="L955" t="str">
        <f>IF(J955&gt;0,J955*0.453592,IF(K955&gt;0,K955*0.02835,))</f>
        <v>#REF!</v>
      </c>
      <c r="O955">
        <f>I955+N955+M955</f>
        <v>0</v>
      </c>
      <c r="P955">
        <f>O955*C$3</f>
        <v>0</v>
      </c>
      <c r="Q955" t="str">
        <f>ROUNDUP(HLOOKUP(IF(CEILING(L955,0.5)&lt;1,1,CEILING(L955,0.5)),'배송비 조회'!A$32:AY$36,2,0),-2)</f>
        <v>#REF!</v>
      </c>
      <c r="R955">
        <v>0</v>
      </c>
      <c r="S955" t="str">
        <f>ROUND((P955+Q955)*0.6,-2)</f>
        <v>#REF!</v>
      </c>
      <c r="T955" t="str">
        <f>ROUND((P955+Q955)*0.7,-2)</f>
        <v>#REF!</v>
      </c>
      <c r="U955" t="str">
        <f>ROUND(SUM(P955+Q955+R955+S955), -2)</f>
        <v>#REF!</v>
      </c>
      <c r="V955" t="str">
        <f>ROUND(P955+Q955+R955+T955, -2)</f>
        <v>#REF!</v>
      </c>
      <c r="W955">
        <v>0</v>
      </c>
      <c r="X955" t="str">
        <f>U955*0.038</f>
        <v>#REF!</v>
      </c>
      <c r="Y955" t="str">
        <f>U955*0.02</f>
        <v>#REF!</v>
      </c>
      <c r="Z955" t="str">
        <f>V955*0.1</f>
        <v>#REF!</v>
      </c>
      <c r="AA955" t="str">
        <f>U955-X955-Y955</f>
        <v>#REF!</v>
      </c>
      <c r="AB955" t="str">
        <f>V955-Z955</f>
        <v>#REF!</v>
      </c>
      <c r="AC955" t="str">
        <f>AA955*0.01</f>
        <v>#REF!</v>
      </c>
      <c r="AD955" t="str">
        <f>AA955-P955-AC955-Q955</f>
        <v>#REF!</v>
      </c>
      <c r="AE955" t="str">
        <f>AB955-P955-Q955-AC955</f>
        <v>#REF!</v>
      </c>
      <c r="AF955" t="str">
        <f>AD955/U955</f>
        <v>#REF!</v>
      </c>
      <c r="AG955" t="str">
        <f>AE955/V955</f>
        <v>#REF!</v>
      </c>
    </row>
    <row r="956">
      <c r="G956" t="str">
        <v>A</v>
      </c>
      <c r="J956" t="str">
        <f>IF(K956&gt;0,K956*0.0625,IF(L956&gt;0,L956*2.204623,))</f>
        <v>#REF!</v>
      </c>
      <c r="K956" t="str">
        <f>IF(L956&gt;0,L956*35.273962,IF(J956&gt;0,J956*16,))</f>
        <v>#REF!</v>
      </c>
      <c r="L956" t="str">
        <f>IF(J956&gt;0,J956*0.453592,IF(K956&gt;0,K956*0.02835,))</f>
        <v>#REF!</v>
      </c>
      <c r="O956">
        <f>I956+N956+M956</f>
        <v>0</v>
      </c>
      <c r="P956">
        <f>O956*C$3</f>
        <v>0</v>
      </c>
      <c r="Q956" t="str">
        <f>ROUNDUP(HLOOKUP(IF(CEILING(L956,0.5)&lt;1,1,CEILING(L956,0.5)),'배송비 조회'!A$32:AY$36,2,0),-2)</f>
        <v>#REF!</v>
      </c>
      <c r="R956">
        <v>0</v>
      </c>
      <c r="S956" t="str">
        <f>ROUND((P956+Q956)*0.6,-2)</f>
        <v>#REF!</v>
      </c>
      <c r="T956" t="str">
        <f>ROUND((P956+Q956)*0.7,-2)</f>
        <v>#REF!</v>
      </c>
      <c r="U956" t="str">
        <f>ROUND(SUM(P956+Q956+R956+S956), -2)</f>
        <v>#REF!</v>
      </c>
      <c r="V956" t="str">
        <f>ROUND(P956+Q956+R956+T956, -2)</f>
        <v>#REF!</v>
      </c>
      <c r="W956">
        <v>0</v>
      </c>
      <c r="X956" t="str">
        <f>U956*0.038</f>
        <v>#REF!</v>
      </c>
      <c r="Y956" t="str">
        <f>U956*0.02</f>
        <v>#REF!</v>
      </c>
      <c r="Z956" t="str">
        <f>V956*0.1</f>
        <v>#REF!</v>
      </c>
      <c r="AA956" t="str">
        <f>U956-X956-Y956</f>
        <v>#REF!</v>
      </c>
      <c r="AB956" t="str">
        <f>V956-Z956</f>
        <v>#REF!</v>
      </c>
      <c r="AC956" t="str">
        <f>AA956*0.01</f>
        <v>#REF!</v>
      </c>
      <c r="AD956" t="str">
        <f>AA956-P956-AC956-Q956</f>
        <v>#REF!</v>
      </c>
      <c r="AE956" t="str">
        <f>AB956-P956-Q956-AC956</f>
        <v>#REF!</v>
      </c>
      <c r="AF956" t="str">
        <f>AD956/U956</f>
        <v>#REF!</v>
      </c>
      <c r="AG956" t="str">
        <f>AE956/V956</f>
        <v>#REF!</v>
      </c>
    </row>
    <row r="957">
      <c r="G957" t="str">
        <v>A</v>
      </c>
      <c r="J957" t="str">
        <f>IF(K957&gt;0,K957*0.0625,IF(L957&gt;0,L957*2.204623,))</f>
        <v>#REF!</v>
      </c>
      <c r="K957" t="str">
        <f>IF(L957&gt;0,L957*35.273962,IF(J957&gt;0,J957*16,))</f>
        <v>#REF!</v>
      </c>
      <c r="L957" t="str">
        <f>IF(J957&gt;0,J957*0.453592,IF(K957&gt;0,K957*0.02835,))</f>
        <v>#REF!</v>
      </c>
      <c r="O957">
        <f>I957+N957+M957</f>
        <v>0</v>
      </c>
      <c r="P957">
        <f>O957*C$3</f>
        <v>0</v>
      </c>
      <c r="Q957" t="str">
        <f>ROUNDUP(HLOOKUP(IF(CEILING(L957,0.5)&lt;1,1,CEILING(L957,0.5)),'배송비 조회'!A$32:AY$36,2,0),-2)</f>
        <v>#REF!</v>
      </c>
      <c r="R957">
        <v>0</v>
      </c>
      <c r="S957" t="str">
        <f>ROUND((P957+Q957)*0.6,-2)</f>
        <v>#REF!</v>
      </c>
      <c r="T957" t="str">
        <f>ROUND((P957+Q957)*0.7,-2)</f>
        <v>#REF!</v>
      </c>
      <c r="U957" t="str">
        <f>ROUND(SUM(P957+Q957+R957+S957), -2)</f>
        <v>#REF!</v>
      </c>
      <c r="V957" t="str">
        <f>ROUND(P957+Q957+R957+T957, -2)</f>
        <v>#REF!</v>
      </c>
      <c r="W957">
        <v>0</v>
      </c>
      <c r="X957" t="str">
        <f>U957*0.038</f>
        <v>#REF!</v>
      </c>
      <c r="Y957" t="str">
        <f>U957*0.02</f>
        <v>#REF!</v>
      </c>
      <c r="Z957" t="str">
        <f>V957*0.1</f>
        <v>#REF!</v>
      </c>
      <c r="AA957" t="str">
        <f>U957-X957-Y957</f>
        <v>#REF!</v>
      </c>
      <c r="AB957" t="str">
        <f>V957-Z957</f>
        <v>#REF!</v>
      </c>
      <c r="AC957" t="str">
        <f>AA957*0.01</f>
        <v>#REF!</v>
      </c>
      <c r="AD957" t="str">
        <f>AA957-P957-AC957-Q957</f>
        <v>#REF!</v>
      </c>
      <c r="AE957" t="str">
        <f>AB957-P957-Q957-AC957</f>
        <v>#REF!</v>
      </c>
      <c r="AF957" t="str">
        <f>AD957/U957</f>
        <v>#REF!</v>
      </c>
      <c r="AG957" t="str">
        <f>AE957/V957</f>
        <v>#REF!</v>
      </c>
    </row>
    <row r="958">
      <c r="G958" t="str">
        <v>A</v>
      </c>
      <c r="J958" t="str">
        <f>IF(K958&gt;0,K958*0.0625,IF(L958&gt;0,L958*2.204623,))</f>
        <v>#REF!</v>
      </c>
      <c r="K958" t="str">
        <f>IF(L958&gt;0,L958*35.273962,IF(J958&gt;0,J958*16,))</f>
        <v>#REF!</v>
      </c>
      <c r="L958" t="str">
        <f>IF(J958&gt;0,J958*0.453592,IF(K958&gt;0,K958*0.02835,))</f>
        <v>#REF!</v>
      </c>
      <c r="O958">
        <f>I958+N958+M958</f>
        <v>0</v>
      </c>
      <c r="P958">
        <f>O958*C$3</f>
        <v>0</v>
      </c>
      <c r="Q958" t="str">
        <f>ROUNDUP(HLOOKUP(IF(CEILING(L958,0.5)&lt;1,1,CEILING(L958,0.5)),'배송비 조회'!A$32:AY$36,2,0),-2)</f>
        <v>#REF!</v>
      </c>
      <c r="R958">
        <v>0</v>
      </c>
      <c r="S958" t="str">
        <f>ROUND((P958+Q958)*0.6,-2)</f>
        <v>#REF!</v>
      </c>
      <c r="T958" t="str">
        <f>ROUND((P958+Q958)*0.7,-2)</f>
        <v>#REF!</v>
      </c>
      <c r="U958" t="str">
        <f>ROUND(SUM(P958+Q958+R958+S958), -2)</f>
        <v>#REF!</v>
      </c>
      <c r="V958" t="str">
        <f>ROUND(P958+Q958+R958+T958, -2)</f>
        <v>#REF!</v>
      </c>
      <c r="W958">
        <v>0</v>
      </c>
      <c r="X958" t="str">
        <f>U958*0.038</f>
        <v>#REF!</v>
      </c>
      <c r="Y958" t="str">
        <f>U958*0.02</f>
        <v>#REF!</v>
      </c>
      <c r="Z958" t="str">
        <f>V958*0.1</f>
        <v>#REF!</v>
      </c>
      <c r="AA958" t="str">
        <f>U958-X958-Y958</f>
        <v>#REF!</v>
      </c>
      <c r="AB958" t="str">
        <f>V958-Z958</f>
        <v>#REF!</v>
      </c>
      <c r="AC958" t="str">
        <f>AA958*0.01</f>
        <v>#REF!</v>
      </c>
      <c r="AD958" t="str">
        <f>AA958-P958-AC958-Q958</f>
        <v>#REF!</v>
      </c>
      <c r="AE958" t="str">
        <f>AB958-P958-Q958-AC958</f>
        <v>#REF!</v>
      </c>
      <c r="AF958" t="str">
        <f>AD958/U958</f>
        <v>#REF!</v>
      </c>
      <c r="AG958" t="str">
        <f>AE958/V958</f>
        <v>#REF!</v>
      </c>
    </row>
    <row r="959">
      <c r="G959" t="str">
        <v>A</v>
      </c>
      <c r="J959" t="str">
        <f>IF(K959&gt;0,K959*0.0625,IF(L959&gt;0,L959*2.204623,))</f>
        <v>#REF!</v>
      </c>
      <c r="K959" t="str">
        <f>IF(L959&gt;0,L959*35.273962,IF(J959&gt;0,J959*16,))</f>
        <v>#REF!</v>
      </c>
      <c r="L959" t="str">
        <f>IF(J959&gt;0,J959*0.453592,IF(K959&gt;0,K959*0.02835,))</f>
        <v>#REF!</v>
      </c>
      <c r="O959">
        <f>I959+N959+M959</f>
        <v>0</v>
      </c>
      <c r="P959">
        <f>O959*C$3</f>
        <v>0</v>
      </c>
      <c r="Q959" t="str">
        <f>ROUNDUP(HLOOKUP(IF(CEILING(L959,0.5)&lt;1,1,CEILING(L959,0.5)),'배송비 조회'!A$32:AY$36,2,0),-2)</f>
        <v>#REF!</v>
      </c>
      <c r="R959">
        <v>0</v>
      </c>
      <c r="S959" t="str">
        <f>ROUND((P959+Q959)*0.6,-2)</f>
        <v>#REF!</v>
      </c>
      <c r="T959" t="str">
        <f>ROUND((P959+Q959)*0.7,-2)</f>
        <v>#REF!</v>
      </c>
      <c r="U959" t="str">
        <f>ROUND(SUM(P959+Q959+R959+S959), -2)</f>
        <v>#REF!</v>
      </c>
      <c r="V959" t="str">
        <f>ROUND(P959+Q959+R959+T959, -2)</f>
        <v>#REF!</v>
      </c>
      <c r="W959">
        <v>0</v>
      </c>
      <c r="X959" t="str">
        <f>U959*0.038</f>
        <v>#REF!</v>
      </c>
      <c r="Y959" t="str">
        <f>U959*0.02</f>
        <v>#REF!</v>
      </c>
      <c r="Z959" t="str">
        <f>V959*0.1</f>
        <v>#REF!</v>
      </c>
      <c r="AA959" t="str">
        <f>U959-X959-Y959</f>
        <v>#REF!</v>
      </c>
      <c r="AB959" t="str">
        <f>V959-Z959</f>
        <v>#REF!</v>
      </c>
      <c r="AC959" t="str">
        <f>AA959*0.01</f>
        <v>#REF!</v>
      </c>
      <c r="AD959" t="str">
        <f>AA959-P959-AC959-Q959</f>
        <v>#REF!</v>
      </c>
      <c r="AE959" t="str">
        <f>AB959-P959-Q959-AC959</f>
        <v>#REF!</v>
      </c>
      <c r="AF959" t="str">
        <f>AD959/U959</f>
        <v>#REF!</v>
      </c>
      <c r="AG959" t="str">
        <f>AE959/V959</f>
        <v>#REF!</v>
      </c>
    </row>
    <row r="960">
      <c r="G960" t="str">
        <v>A</v>
      </c>
      <c r="J960" t="str">
        <f>IF(K960&gt;0,K960*0.0625,IF(L960&gt;0,L960*2.204623,))</f>
        <v>#REF!</v>
      </c>
      <c r="K960" t="str">
        <f>IF(L960&gt;0,L960*35.273962,IF(J960&gt;0,J960*16,))</f>
        <v>#REF!</v>
      </c>
      <c r="L960" t="str">
        <f>IF(J960&gt;0,J960*0.453592,IF(K960&gt;0,K960*0.02835,))</f>
        <v>#REF!</v>
      </c>
      <c r="O960">
        <f>I960+N960+M960</f>
        <v>0</v>
      </c>
      <c r="P960">
        <f>O960*C$3</f>
        <v>0</v>
      </c>
      <c r="Q960" t="str">
        <f>ROUNDUP(HLOOKUP(IF(CEILING(L960,0.5)&lt;1,1,CEILING(L960,0.5)),'배송비 조회'!A$32:AY$36,2,0),-2)</f>
        <v>#REF!</v>
      </c>
      <c r="R960">
        <v>0</v>
      </c>
      <c r="S960" t="str">
        <f>ROUND((P960+Q960)*0.6,-2)</f>
        <v>#REF!</v>
      </c>
      <c r="T960" t="str">
        <f>ROUND((P960+Q960)*0.7,-2)</f>
        <v>#REF!</v>
      </c>
      <c r="U960" t="str">
        <f>ROUND(SUM(P960+Q960+R960+S960), -2)</f>
        <v>#REF!</v>
      </c>
      <c r="V960" t="str">
        <f>ROUND(P960+Q960+R960+T960, -2)</f>
        <v>#REF!</v>
      </c>
      <c r="W960">
        <v>0</v>
      </c>
      <c r="X960" t="str">
        <f>U960*0.038</f>
        <v>#REF!</v>
      </c>
      <c r="Y960" t="str">
        <f>U960*0.02</f>
        <v>#REF!</v>
      </c>
      <c r="Z960" t="str">
        <f>V960*0.1</f>
        <v>#REF!</v>
      </c>
      <c r="AA960" t="str">
        <f>U960-X960-Y960</f>
        <v>#REF!</v>
      </c>
      <c r="AB960" t="str">
        <f>V960-Z960</f>
        <v>#REF!</v>
      </c>
      <c r="AC960" t="str">
        <f>AA960*0.01</f>
        <v>#REF!</v>
      </c>
      <c r="AD960" t="str">
        <f>AA960-P960-AC960-Q960</f>
        <v>#REF!</v>
      </c>
      <c r="AE960" t="str">
        <f>AB960-P960-Q960-AC960</f>
        <v>#REF!</v>
      </c>
      <c r="AF960" t="str">
        <f>AD960/U960</f>
        <v>#REF!</v>
      </c>
      <c r="AG960" t="str">
        <f>AE960/V960</f>
        <v>#REF!</v>
      </c>
    </row>
    <row r="961">
      <c r="G961" t="str">
        <v>A</v>
      </c>
      <c r="J961" t="str">
        <f>IF(K961&gt;0,K961*0.0625,IF(L961&gt;0,L961*2.204623,))</f>
        <v>#REF!</v>
      </c>
      <c r="K961" t="str">
        <f>IF(L961&gt;0,L961*35.273962,IF(J961&gt;0,J961*16,))</f>
        <v>#REF!</v>
      </c>
      <c r="L961" t="str">
        <f>IF(J961&gt;0,J961*0.453592,IF(K961&gt;0,K961*0.02835,))</f>
        <v>#REF!</v>
      </c>
      <c r="O961">
        <f>I961+N961+M961</f>
        <v>0</v>
      </c>
      <c r="P961">
        <f>O961*C$3</f>
        <v>0</v>
      </c>
      <c r="Q961" t="str">
        <f>ROUNDUP(HLOOKUP(IF(CEILING(L961,0.5)&lt;1,1,CEILING(L961,0.5)),'배송비 조회'!A$32:AY$36,2,0),-2)</f>
        <v>#REF!</v>
      </c>
      <c r="R961">
        <v>0</v>
      </c>
      <c r="S961" t="str">
        <f>ROUND((P961+Q961)*0.6,-2)</f>
        <v>#REF!</v>
      </c>
      <c r="T961" t="str">
        <f>ROUND((P961+Q961)*0.7,-2)</f>
        <v>#REF!</v>
      </c>
      <c r="U961" t="str">
        <f>ROUND(SUM(P961+Q961+R961+S961), -2)</f>
        <v>#REF!</v>
      </c>
      <c r="V961" t="str">
        <f>ROUND(P961+Q961+R961+T961, -2)</f>
        <v>#REF!</v>
      </c>
      <c r="W961">
        <v>0</v>
      </c>
      <c r="X961" t="str">
        <f>U961*0.038</f>
        <v>#REF!</v>
      </c>
      <c r="Y961" t="str">
        <f>U961*0.02</f>
        <v>#REF!</v>
      </c>
      <c r="Z961" t="str">
        <f>V961*0.1</f>
        <v>#REF!</v>
      </c>
      <c r="AA961" t="str">
        <f>U961-X961-Y961</f>
        <v>#REF!</v>
      </c>
      <c r="AB961" t="str">
        <f>V961-Z961</f>
        <v>#REF!</v>
      </c>
      <c r="AC961" t="str">
        <f>AA961*0.01</f>
        <v>#REF!</v>
      </c>
      <c r="AD961" t="str">
        <f>AA961-P961-AC961-Q961</f>
        <v>#REF!</v>
      </c>
      <c r="AE961" t="str">
        <f>AB961-P961-Q961-AC961</f>
        <v>#REF!</v>
      </c>
      <c r="AF961" t="str">
        <f>AD961/U961</f>
        <v>#REF!</v>
      </c>
      <c r="AG961" t="str">
        <f>AE961/V961</f>
        <v>#REF!</v>
      </c>
    </row>
    <row r="962">
      <c r="G962" t="str">
        <v>A</v>
      </c>
      <c r="J962" t="str">
        <f>IF(K962&gt;0,K962*0.0625,IF(L962&gt;0,L962*2.204623,))</f>
        <v>#REF!</v>
      </c>
      <c r="K962" t="str">
        <f>IF(L962&gt;0,L962*35.273962,IF(J962&gt;0,J962*16,))</f>
        <v>#REF!</v>
      </c>
      <c r="L962" t="str">
        <f>IF(J962&gt;0,J962*0.453592,IF(K962&gt;0,K962*0.02835,))</f>
        <v>#REF!</v>
      </c>
      <c r="O962">
        <f>I962+N962+M962</f>
        <v>0</v>
      </c>
      <c r="P962">
        <f>O962*C$3</f>
        <v>0</v>
      </c>
      <c r="Q962" t="str">
        <f>ROUNDUP(HLOOKUP(IF(CEILING(L962,0.5)&lt;1,1,CEILING(L962,0.5)),'배송비 조회'!A$32:AY$36,2,0),-2)</f>
        <v>#REF!</v>
      </c>
      <c r="R962">
        <v>0</v>
      </c>
      <c r="S962" t="str">
        <f>ROUND((P962+Q962)*0.6,-2)</f>
        <v>#REF!</v>
      </c>
      <c r="T962" t="str">
        <f>ROUND((P962+Q962)*0.7,-2)</f>
        <v>#REF!</v>
      </c>
      <c r="U962" t="str">
        <f>ROUND(SUM(P962+Q962+R962+S962), -2)</f>
        <v>#REF!</v>
      </c>
      <c r="V962" t="str">
        <f>ROUND(P962+Q962+R962+T962, -2)</f>
        <v>#REF!</v>
      </c>
      <c r="W962">
        <v>0</v>
      </c>
      <c r="X962" t="str">
        <f>U962*0.038</f>
        <v>#REF!</v>
      </c>
      <c r="Y962" t="str">
        <f>U962*0.02</f>
        <v>#REF!</v>
      </c>
      <c r="Z962" t="str">
        <f>V962*0.1</f>
        <v>#REF!</v>
      </c>
      <c r="AA962" t="str">
        <f>U962-X962-Y962</f>
        <v>#REF!</v>
      </c>
      <c r="AB962" t="str">
        <f>V962-Z962</f>
        <v>#REF!</v>
      </c>
      <c r="AC962" t="str">
        <f>AA962*0.01</f>
        <v>#REF!</v>
      </c>
      <c r="AD962" t="str">
        <f>AA962-P962-AC962-Q962</f>
        <v>#REF!</v>
      </c>
      <c r="AE962" t="str">
        <f>AB962-P962-Q962-AC962</f>
        <v>#REF!</v>
      </c>
      <c r="AF962" t="str">
        <f>AD962/U962</f>
        <v>#REF!</v>
      </c>
      <c r="AG962" t="str">
        <f>AE962/V962</f>
        <v>#REF!</v>
      </c>
    </row>
    <row r="963">
      <c r="G963" t="str">
        <v>A</v>
      </c>
      <c r="J963" t="str">
        <f>IF(K963&gt;0,K963*0.0625,IF(L963&gt;0,L963*2.204623,))</f>
        <v>#REF!</v>
      </c>
      <c r="K963" t="str">
        <f>IF(L963&gt;0,L963*35.273962,IF(J963&gt;0,J963*16,))</f>
        <v>#REF!</v>
      </c>
      <c r="L963" t="str">
        <f>IF(J963&gt;0,J963*0.453592,IF(K963&gt;0,K963*0.02835,))</f>
        <v>#REF!</v>
      </c>
      <c r="O963">
        <f>I963+N963+M963</f>
        <v>0</v>
      </c>
      <c r="P963">
        <f>O963*C$3</f>
        <v>0</v>
      </c>
      <c r="Q963" t="str">
        <f>ROUNDUP(HLOOKUP(IF(CEILING(L963,0.5)&lt;1,1,CEILING(L963,0.5)),'배송비 조회'!A$32:AY$36,2,0),-2)</f>
        <v>#REF!</v>
      </c>
      <c r="R963">
        <v>0</v>
      </c>
      <c r="S963" t="str">
        <f>ROUND((P963+Q963)*0.6,-2)</f>
        <v>#REF!</v>
      </c>
      <c r="T963" t="str">
        <f>ROUND((P963+Q963)*0.7,-2)</f>
        <v>#REF!</v>
      </c>
      <c r="U963" t="str">
        <f>ROUND(SUM(P963+Q963+R963+S963), -2)</f>
        <v>#REF!</v>
      </c>
      <c r="V963" t="str">
        <f>ROUND(P963+Q963+R963+T963, -2)</f>
        <v>#REF!</v>
      </c>
      <c r="W963">
        <v>0</v>
      </c>
      <c r="X963" t="str">
        <f>U963*0.038</f>
        <v>#REF!</v>
      </c>
      <c r="Y963" t="str">
        <f>U963*0.02</f>
        <v>#REF!</v>
      </c>
      <c r="Z963" t="str">
        <f>V963*0.1</f>
        <v>#REF!</v>
      </c>
      <c r="AA963" t="str">
        <f>U963-X963-Y963</f>
        <v>#REF!</v>
      </c>
      <c r="AB963" t="str">
        <f>V963-Z963</f>
        <v>#REF!</v>
      </c>
      <c r="AC963" t="str">
        <f>AA963*0.01</f>
        <v>#REF!</v>
      </c>
      <c r="AD963" t="str">
        <f>AA963-P963-AC963-Q963</f>
        <v>#REF!</v>
      </c>
      <c r="AE963" t="str">
        <f>AB963-P963-Q963-AC963</f>
        <v>#REF!</v>
      </c>
      <c r="AF963" t="str">
        <f>AD963/U963</f>
        <v>#REF!</v>
      </c>
      <c r="AG963" t="str">
        <f>AE963/V963</f>
        <v>#REF!</v>
      </c>
    </row>
    <row r="964">
      <c r="G964" t="str">
        <v>A</v>
      </c>
      <c r="J964" t="str">
        <f>IF(K964&gt;0,K964*0.0625,IF(L964&gt;0,L964*2.204623,))</f>
        <v>#REF!</v>
      </c>
      <c r="K964" t="str">
        <f>IF(L964&gt;0,L964*35.273962,IF(J964&gt;0,J964*16,))</f>
        <v>#REF!</v>
      </c>
      <c r="L964" t="str">
        <f>IF(J964&gt;0,J964*0.453592,IF(K964&gt;0,K964*0.02835,))</f>
        <v>#REF!</v>
      </c>
      <c r="O964">
        <f>I964+N964+M964</f>
        <v>0</v>
      </c>
      <c r="P964">
        <f>O964*C$3</f>
        <v>0</v>
      </c>
      <c r="Q964" t="str">
        <f>ROUNDUP(HLOOKUP(IF(CEILING(L964,0.5)&lt;1,1,CEILING(L964,0.5)),'배송비 조회'!A$32:AY$36,2,0),-2)</f>
        <v>#REF!</v>
      </c>
      <c r="R964">
        <v>0</v>
      </c>
      <c r="S964" t="str">
        <f>ROUND((P964+Q964)*0.6,-2)</f>
        <v>#REF!</v>
      </c>
      <c r="T964" t="str">
        <f>ROUND((P964+Q964)*0.7,-2)</f>
        <v>#REF!</v>
      </c>
      <c r="U964" t="str">
        <f>ROUND(SUM(P964+Q964+R964+S964), -2)</f>
        <v>#REF!</v>
      </c>
      <c r="V964" t="str">
        <f>ROUND(P964+Q964+R964+T964, -2)</f>
        <v>#REF!</v>
      </c>
      <c r="W964">
        <v>0</v>
      </c>
      <c r="X964" t="str">
        <f>U964*0.038</f>
        <v>#REF!</v>
      </c>
      <c r="Y964" t="str">
        <f>U964*0.02</f>
        <v>#REF!</v>
      </c>
      <c r="Z964" t="str">
        <f>V964*0.1</f>
        <v>#REF!</v>
      </c>
      <c r="AA964" t="str">
        <f>U964-X964-Y964</f>
        <v>#REF!</v>
      </c>
      <c r="AB964" t="str">
        <f>V964-Z964</f>
        <v>#REF!</v>
      </c>
      <c r="AC964" t="str">
        <f>AA964*0.01</f>
        <v>#REF!</v>
      </c>
      <c r="AD964" t="str">
        <f>AA964-P964-AC964-Q964</f>
        <v>#REF!</v>
      </c>
      <c r="AE964" t="str">
        <f>AB964-P964-Q964-AC964</f>
        <v>#REF!</v>
      </c>
      <c r="AF964" t="str">
        <f>AD964/U964</f>
        <v>#REF!</v>
      </c>
      <c r="AG964" t="str">
        <f>AE964/V964</f>
        <v>#REF!</v>
      </c>
    </row>
    <row r="965">
      <c r="G965" t="str">
        <v>A</v>
      </c>
      <c r="J965" t="str">
        <f>IF(K965&gt;0,K965*0.0625,IF(L965&gt;0,L965*2.204623,))</f>
        <v>#REF!</v>
      </c>
      <c r="K965" t="str">
        <f>IF(L965&gt;0,L965*35.273962,IF(J965&gt;0,J965*16,))</f>
        <v>#REF!</v>
      </c>
      <c r="L965" t="str">
        <f>IF(J965&gt;0,J965*0.453592,IF(K965&gt;0,K965*0.02835,))</f>
        <v>#REF!</v>
      </c>
      <c r="O965">
        <f>I965+N965+M965</f>
        <v>0</v>
      </c>
      <c r="P965">
        <f>O965*C$3</f>
        <v>0</v>
      </c>
      <c r="Q965" t="str">
        <f>ROUNDUP(HLOOKUP(IF(CEILING(L965,0.5)&lt;1,1,CEILING(L965,0.5)),'배송비 조회'!A$32:AY$36,2,0),-2)</f>
        <v>#REF!</v>
      </c>
      <c r="R965">
        <v>0</v>
      </c>
      <c r="S965" t="str">
        <f>ROUND((P965+Q965)*0.6,-2)</f>
        <v>#REF!</v>
      </c>
      <c r="T965" t="str">
        <f>ROUND((P965+Q965)*0.7,-2)</f>
        <v>#REF!</v>
      </c>
      <c r="U965" t="str">
        <f>ROUND(SUM(P965+Q965+R965+S965), -2)</f>
        <v>#REF!</v>
      </c>
      <c r="V965" t="str">
        <f>ROUND(P965+Q965+R965+T965, -2)</f>
        <v>#REF!</v>
      </c>
      <c r="W965">
        <v>0</v>
      </c>
      <c r="X965" t="str">
        <f>U965*0.038</f>
        <v>#REF!</v>
      </c>
      <c r="Y965" t="str">
        <f>U965*0.02</f>
        <v>#REF!</v>
      </c>
      <c r="Z965" t="str">
        <f>V965*0.1</f>
        <v>#REF!</v>
      </c>
      <c r="AA965" t="str">
        <f>U965-X965-Y965</f>
        <v>#REF!</v>
      </c>
      <c r="AB965" t="str">
        <f>V965-Z965</f>
        <v>#REF!</v>
      </c>
      <c r="AC965" t="str">
        <f>AA965*0.01</f>
        <v>#REF!</v>
      </c>
      <c r="AD965" t="str">
        <f>AA965-P965-AC965-Q965</f>
        <v>#REF!</v>
      </c>
      <c r="AE965" t="str">
        <f>AB965-P965-Q965-AC965</f>
        <v>#REF!</v>
      </c>
      <c r="AF965" t="str">
        <f>AD965/U965</f>
        <v>#REF!</v>
      </c>
      <c r="AG965" t="str">
        <f>AE965/V965</f>
        <v>#REF!</v>
      </c>
    </row>
    <row r="966">
      <c r="G966" t="str">
        <v>A</v>
      </c>
      <c r="J966" t="str">
        <f>IF(K966&gt;0,K966*0.0625,IF(L966&gt;0,L966*2.204623,))</f>
        <v>#REF!</v>
      </c>
      <c r="K966" t="str">
        <f>IF(L966&gt;0,L966*35.273962,IF(J966&gt;0,J966*16,))</f>
        <v>#REF!</v>
      </c>
      <c r="L966" t="str">
        <f>IF(J966&gt;0,J966*0.453592,IF(K966&gt;0,K966*0.02835,))</f>
        <v>#REF!</v>
      </c>
      <c r="O966">
        <f>I966+N966+M966</f>
        <v>0</v>
      </c>
      <c r="P966">
        <f>O966*C$3</f>
        <v>0</v>
      </c>
      <c r="Q966" t="str">
        <f>ROUNDUP(HLOOKUP(IF(CEILING(L966,0.5)&lt;1,1,CEILING(L966,0.5)),'배송비 조회'!A$32:AY$36,2,0),-2)</f>
        <v>#REF!</v>
      </c>
      <c r="R966">
        <v>0</v>
      </c>
      <c r="S966" t="str">
        <f>ROUND((P966+Q966)*0.6,-2)</f>
        <v>#REF!</v>
      </c>
      <c r="T966" t="str">
        <f>ROUND((P966+Q966)*0.7,-2)</f>
        <v>#REF!</v>
      </c>
      <c r="U966" t="str">
        <f>ROUND(SUM(P966+Q966+R966+S966), -2)</f>
        <v>#REF!</v>
      </c>
      <c r="V966" t="str">
        <f>ROUND(P966+Q966+R966+T966, -2)</f>
        <v>#REF!</v>
      </c>
      <c r="W966">
        <v>0</v>
      </c>
      <c r="X966" t="str">
        <f>U966*0.038</f>
        <v>#REF!</v>
      </c>
      <c r="Y966" t="str">
        <f>U966*0.02</f>
        <v>#REF!</v>
      </c>
      <c r="Z966" t="str">
        <f>V966*0.1</f>
        <v>#REF!</v>
      </c>
      <c r="AA966" t="str">
        <f>U966-X966-Y966</f>
        <v>#REF!</v>
      </c>
      <c r="AB966" t="str">
        <f>V966-Z966</f>
        <v>#REF!</v>
      </c>
      <c r="AC966" t="str">
        <f>AA966*0.01</f>
        <v>#REF!</v>
      </c>
      <c r="AD966" t="str">
        <f>AA966-P966-AC966-Q966</f>
        <v>#REF!</v>
      </c>
      <c r="AE966" t="str">
        <f>AB966-P966-Q966-AC966</f>
        <v>#REF!</v>
      </c>
      <c r="AF966" t="str">
        <f>AD966/U966</f>
        <v>#REF!</v>
      </c>
      <c r="AG966" t="str">
        <f>AE966/V966</f>
        <v>#REF!</v>
      </c>
    </row>
    <row r="967">
      <c r="G967" t="str">
        <v>A</v>
      </c>
      <c r="J967" t="str">
        <f>IF(K967&gt;0,K967*0.0625,IF(L967&gt;0,L967*2.204623,))</f>
        <v>#REF!</v>
      </c>
      <c r="K967" t="str">
        <f>IF(L967&gt;0,L967*35.273962,IF(J967&gt;0,J967*16,))</f>
        <v>#REF!</v>
      </c>
      <c r="L967" t="str">
        <f>IF(J967&gt;0,J967*0.453592,IF(K967&gt;0,K967*0.02835,))</f>
        <v>#REF!</v>
      </c>
      <c r="O967">
        <f>I967+N967+M967</f>
        <v>0</v>
      </c>
      <c r="P967">
        <f>O967*C$3</f>
        <v>0</v>
      </c>
      <c r="Q967" t="str">
        <f>ROUNDUP(HLOOKUP(IF(CEILING(L967,0.5)&lt;1,1,CEILING(L967,0.5)),'배송비 조회'!A$32:AY$36,2,0),-2)</f>
        <v>#REF!</v>
      </c>
      <c r="R967">
        <v>0</v>
      </c>
      <c r="S967" t="str">
        <f>ROUND((P967+Q967)*0.6,-2)</f>
        <v>#REF!</v>
      </c>
      <c r="T967" t="str">
        <f>ROUND((P967+Q967)*0.7,-2)</f>
        <v>#REF!</v>
      </c>
      <c r="U967" t="str">
        <f>ROUND(SUM(P967+Q967+R967+S967), -2)</f>
        <v>#REF!</v>
      </c>
      <c r="V967" t="str">
        <f>ROUND(P967+Q967+R967+T967, -2)</f>
        <v>#REF!</v>
      </c>
      <c r="W967">
        <v>0</v>
      </c>
      <c r="X967" t="str">
        <f>U967*0.038</f>
        <v>#REF!</v>
      </c>
      <c r="Y967" t="str">
        <f>U967*0.02</f>
        <v>#REF!</v>
      </c>
      <c r="Z967" t="str">
        <f>V967*0.1</f>
        <v>#REF!</v>
      </c>
      <c r="AA967" t="str">
        <f>U967-X967-Y967</f>
        <v>#REF!</v>
      </c>
      <c r="AB967" t="str">
        <f>V967-Z967</f>
        <v>#REF!</v>
      </c>
      <c r="AC967" t="str">
        <f>AA967*0.01</f>
        <v>#REF!</v>
      </c>
      <c r="AD967" t="str">
        <f>AA967-P967-AC967-Q967</f>
        <v>#REF!</v>
      </c>
      <c r="AE967" t="str">
        <f>AB967-P967-Q967-AC967</f>
        <v>#REF!</v>
      </c>
      <c r="AF967" t="str">
        <f>AD967/U967</f>
        <v>#REF!</v>
      </c>
      <c r="AG967" t="str">
        <f>AE967/V967</f>
        <v>#REF!</v>
      </c>
    </row>
    <row r="968">
      <c r="G968" t="str">
        <v>A</v>
      </c>
      <c r="J968" t="str">
        <f>IF(K968&gt;0,K968*0.0625,IF(L968&gt;0,L968*2.204623,))</f>
        <v>#REF!</v>
      </c>
      <c r="K968" t="str">
        <f>IF(L968&gt;0,L968*35.273962,IF(J968&gt;0,J968*16,))</f>
        <v>#REF!</v>
      </c>
      <c r="L968" t="str">
        <f>IF(J968&gt;0,J968*0.453592,IF(K968&gt;0,K968*0.02835,))</f>
        <v>#REF!</v>
      </c>
      <c r="O968">
        <f>I968+N968+M968</f>
        <v>0</v>
      </c>
      <c r="P968">
        <f>O968*C$3</f>
        <v>0</v>
      </c>
      <c r="Q968" t="str">
        <f>ROUNDUP(HLOOKUP(IF(CEILING(L968,0.5)&lt;1,1,CEILING(L968,0.5)),'배송비 조회'!A$32:AY$36,2,0),-2)</f>
        <v>#REF!</v>
      </c>
      <c r="R968">
        <v>0</v>
      </c>
      <c r="S968" t="str">
        <f>ROUND((P968+Q968)*0.6,-2)</f>
        <v>#REF!</v>
      </c>
      <c r="T968" t="str">
        <f>ROUND((P968+Q968)*0.7,-2)</f>
        <v>#REF!</v>
      </c>
      <c r="U968" t="str">
        <f>ROUND(SUM(P968+Q968+R968+S968), -2)</f>
        <v>#REF!</v>
      </c>
      <c r="V968" t="str">
        <f>ROUND(P968+Q968+R968+T968, -2)</f>
        <v>#REF!</v>
      </c>
      <c r="W968">
        <v>0</v>
      </c>
      <c r="X968" t="str">
        <f>U968*0.038</f>
        <v>#REF!</v>
      </c>
      <c r="Y968" t="str">
        <f>U968*0.02</f>
        <v>#REF!</v>
      </c>
      <c r="Z968" t="str">
        <f>V968*0.1</f>
        <v>#REF!</v>
      </c>
      <c r="AA968" t="str">
        <f>U968-X968-Y968</f>
        <v>#REF!</v>
      </c>
      <c r="AB968" t="str">
        <f>V968-Z968</f>
        <v>#REF!</v>
      </c>
      <c r="AC968" t="str">
        <f>AA968*0.01</f>
        <v>#REF!</v>
      </c>
      <c r="AD968" t="str">
        <f>AA968-P968-AC968-Q968</f>
        <v>#REF!</v>
      </c>
      <c r="AE968" t="str">
        <f>AB968-P968-Q968-AC968</f>
        <v>#REF!</v>
      </c>
      <c r="AF968" t="str">
        <f>AD968/U968</f>
        <v>#REF!</v>
      </c>
      <c r="AG968" t="str">
        <f>AE968/V968</f>
        <v>#REF!</v>
      </c>
    </row>
    <row r="969">
      <c r="G969" t="str">
        <v>A</v>
      </c>
      <c r="J969" t="str">
        <f>IF(K969&gt;0,K969*0.0625,IF(L969&gt;0,L969*2.204623,))</f>
        <v>#REF!</v>
      </c>
      <c r="K969" t="str">
        <f>IF(L969&gt;0,L969*35.273962,IF(J969&gt;0,J969*16,))</f>
        <v>#REF!</v>
      </c>
      <c r="L969" t="str">
        <f>IF(J969&gt;0,J969*0.453592,IF(K969&gt;0,K969*0.02835,))</f>
        <v>#REF!</v>
      </c>
      <c r="O969">
        <f>I969+N969+M969</f>
        <v>0</v>
      </c>
      <c r="P969">
        <f>O969*C$3</f>
        <v>0</v>
      </c>
      <c r="Q969" t="str">
        <f>ROUNDUP(HLOOKUP(IF(CEILING(L969,0.5)&lt;1,1,CEILING(L969,0.5)),'배송비 조회'!A$32:AY$36,2,0),-2)</f>
        <v>#REF!</v>
      </c>
      <c r="R969">
        <v>0</v>
      </c>
      <c r="S969" t="str">
        <f>ROUND((P969+Q969)*0.6,-2)</f>
        <v>#REF!</v>
      </c>
      <c r="T969" t="str">
        <f>ROUND((P969+Q969)*0.7,-2)</f>
        <v>#REF!</v>
      </c>
      <c r="U969" t="str">
        <f>ROUND(SUM(P969+Q969+R969+S969), -2)</f>
        <v>#REF!</v>
      </c>
      <c r="V969" t="str">
        <f>ROUND(P969+Q969+R969+T969, -2)</f>
        <v>#REF!</v>
      </c>
      <c r="W969">
        <v>0</v>
      </c>
      <c r="X969" t="str">
        <f>U969*0.038</f>
        <v>#REF!</v>
      </c>
      <c r="Y969" t="str">
        <f>U969*0.02</f>
        <v>#REF!</v>
      </c>
      <c r="Z969" t="str">
        <f>V969*0.1</f>
        <v>#REF!</v>
      </c>
      <c r="AA969" t="str">
        <f>U969-X969-Y969</f>
        <v>#REF!</v>
      </c>
      <c r="AB969" t="str">
        <f>V969-Z969</f>
        <v>#REF!</v>
      </c>
      <c r="AC969" t="str">
        <f>AA969*0.01</f>
        <v>#REF!</v>
      </c>
      <c r="AD969" t="str">
        <f>AA969-P969-AC969-Q969</f>
        <v>#REF!</v>
      </c>
      <c r="AE969" t="str">
        <f>AB969-P969-Q969-AC969</f>
        <v>#REF!</v>
      </c>
      <c r="AF969" t="str">
        <f>AD969/U969</f>
        <v>#REF!</v>
      </c>
      <c r="AG969" t="str">
        <f>AE969/V969</f>
        <v>#REF!</v>
      </c>
    </row>
    <row r="970">
      <c r="G970" t="str">
        <v>A</v>
      </c>
      <c r="J970" t="str">
        <f>IF(K970&gt;0,K970*0.0625,IF(L970&gt;0,L970*2.204623,))</f>
        <v>#REF!</v>
      </c>
      <c r="K970" t="str">
        <f>IF(L970&gt;0,L970*35.273962,IF(J970&gt;0,J970*16,))</f>
        <v>#REF!</v>
      </c>
      <c r="L970" t="str">
        <f>IF(J970&gt;0,J970*0.453592,IF(K970&gt;0,K970*0.02835,))</f>
        <v>#REF!</v>
      </c>
      <c r="O970">
        <f>I970+N970+M970</f>
        <v>0</v>
      </c>
      <c r="P970">
        <f>O970*C$3</f>
        <v>0</v>
      </c>
      <c r="Q970" t="str">
        <f>ROUNDUP(HLOOKUP(IF(CEILING(L970,0.5)&lt;1,1,CEILING(L970,0.5)),'배송비 조회'!A$32:AY$36,2,0),-2)</f>
        <v>#REF!</v>
      </c>
      <c r="R970">
        <v>0</v>
      </c>
      <c r="S970" t="str">
        <f>ROUND((P970+Q970)*0.6,-2)</f>
        <v>#REF!</v>
      </c>
      <c r="T970" t="str">
        <f>ROUND((P970+Q970)*0.7,-2)</f>
        <v>#REF!</v>
      </c>
      <c r="U970" t="str">
        <f>ROUND(SUM(P970+Q970+R970+S970), -2)</f>
        <v>#REF!</v>
      </c>
      <c r="V970" t="str">
        <f>ROUND(P970+Q970+R970+T970, -2)</f>
        <v>#REF!</v>
      </c>
      <c r="W970">
        <v>0</v>
      </c>
      <c r="X970" t="str">
        <f>U970*0.038</f>
        <v>#REF!</v>
      </c>
      <c r="Y970" t="str">
        <f>U970*0.02</f>
        <v>#REF!</v>
      </c>
      <c r="Z970" t="str">
        <f>V970*0.1</f>
        <v>#REF!</v>
      </c>
      <c r="AA970" t="str">
        <f>U970-X970-Y970</f>
        <v>#REF!</v>
      </c>
      <c r="AB970" t="str">
        <f>V970-Z970</f>
        <v>#REF!</v>
      </c>
      <c r="AC970" t="str">
        <f>AA970*0.01</f>
        <v>#REF!</v>
      </c>
      <c r="AD970" t="str">
        <f>AA970-P970-AC970-Q970</f>
        <v>#REF!</v>
      </c>
      <c r="AE970" t="str">
        <f>AB970-P970-Q970-AC970</f>
        <v>#REF!</v>
      </c>
      <c r="AF970" t="str">
        <f>AD970/U970</f>
        <v>#REF!</v>
      </c>
      <c r="AG970" t="str">
        <f>AE970/V970</f>
        <v>#REF!</v>
      </c>
    </row>
    <row r="971">
      <c r="G971" t="str">
        <v>A</v>
      </c>
      <c r="J971" t="str">
        <f>IF(K971&gt;0,K971*0.0625,IF(L971&gt;0,L971*2.204623,))</f>
        <v>#REF!</v>
      </c>
      <c r="K971" t="str">
        <f>IF(L971&gt;0,L971*35.273962,IF(J971&gt;0,J971*16,))</f>
        <v>#REF!</v>
      </c>
      <c r="L971" t="str">
        <f>IF(J971&gt;0,J971*0.453592,IF(K971&gt;0,K971*0.02835,))</f>
        <v>#REF!</v>
      </c>
      <c r="O971">
        <f>I971+N971+M971</f>
        <v>0</v>
      </c>
      <c r="P971">
        <f>O971*C$3</f>
        <v>0</v>
      </c>
      <c r="Q971" t="str">
        <f>ROUNDUP(HLOOKUP(IF(CEILING(L971,0.5)&lt;1,1,CEILING(L971,0.5)),'배송비 조회'!A$32:AY$36,2,0),-2)</f>
        <v>#REF!</v>
      </c>
      <c r="R971">
        <v>0</v>
      </c>
      <c r="S971" t="str">
        <f>ROUND((P971+Q971)*0.6,-2)</f>
        <v>#REF!</v>
      </c>
      <c r="T971" t="str">
        <f>ROUND((P971+Q971)*0.7,-2)</f>
        <v>#REF!</v>
      </c>
      <c r="U971" t="str">
        <f>ROUND(SUM(P971+Q971+R971+S971), -2)</f>
        <v>#REF!</v>
      </c>
      <c r="V971" t="str">
        <f>ROUND(P971+Q971+R971+T971, -2)</f>
        <v>#REF!</v>
      </c>
      <c r="W971">
        <v>0</v>
      </c>
      <c r="X971" t="str">
        <f>U971*0.038</f>
        <v>#REF!</v>
      </c>
      <c r="Y971" t="str">
        <f>U971*0.02</f>
        <v>#REF!</v>
      </c>
      <c r="Z971" t="str">
        <f>V971*0.1</f>
        <v>#REF!</v>
      </c>
      <c r="AA971" t="str">
        <f>U971-X971-Y971</f>
        <v>#REF!</v>
      </c>
      <c r="AB971" t="str">
        <f>V971-Z971</f>
        <v>#REF!</v>
      </c>
      <c r="AC971" t="str">
        <f>AA971*0.01</f>
        <v>#REF!</v>
      </c>
      <c r="AD971" t="str">
        <f>AA971-P971-AC971-Q971</f>
        <v>#REF!</v>
      </c>
      <c r="AE971" t="str">
        <f>AB971-P971-Q971-AC971</f>
        <v>#REF!</v>
      </c>
      <c r="AF971" t="str">
        <f>AD971/U971</f>
        <v>#REF!</v>
      </c>
      <c r="AG971" t="str">
        <f>AE971/V971</f>
        <v>#REF!</v>
      </c>
    </row>
    <row r="972">
      <c r="G972" t="str">
        <v>A</v>
      </c>
      <c r="J972" t="str">
        <f>IF(K972&gt;0,K972*0.0625,IF(L972&gt;0,L972*2.204623,))</f>
        <v>#REF!</v>
      </c>
      <c r="K972" t="str">
        <f>IF(L972&gt;0,L972*35.273962,IF(J972&gt;0,J972*16,))</f>
        <v>#REF!</v>
      </c>
      <c r="L972" t="str">
        <f>IF(J972&gt;0,J972*0.453592,IF(K972&gt;0,K972*0.02835,))</f>
        <v>#REF!</v>
      </c>
      <c r="O972">
        <f>I972+N972+M972</f>
        <v>0</v>
      </c>
      <c r="P972">
        <f>O972*C$3</f>
        <v>0</v>
      </c>
      <c r="Q972" t="str">
        <f>ROUNDUP(HLOOKUP(IF(CEILING(L972,0.5)&lt;1,1,CEILING(L972,0.5)),'배송비 조회'!A$32:AY$36,2,0),-2)</f>
        <v>#REF!</v>
      </c>
      <c r="R972">
        <v>0</v>
      </c>
      <c r="S972" t="str">
        <f>ROUND((P972+Q972)*0.6,-2)</f>
        <v>#REF!</v>
      </c>
      <c r="T972" t="str">
        <f>ROUND((P972+Q972)*0.7,-2)</f>
        <v>#REF!</v>
      </c>
      <c r="U972" t="str">
        <f>ROUND(SUM(P972+Q972+R972+S972), -2)</f>
        <v>#REF!</v>
      </c>
      <c r="V972" t="str">
        <f>ROUND(P972+Q972+R972+T972, -2)</f>
        <v>#REF!</v>
      </c>
      <c r="W972">
        <v>0</v>
      </c>
      <c r="X972" t="str">
        <f>U972*0.038</f>
        <v>#REF!</v>
      </c>
      <c r="Y972" t="str">
        <f>U972*0.02</f>
        <v>#REF!</v>
      </c>
      <c r="Z972" t="str">
        <f>V972*0.1</f>
        <v>#REF!</v>
      </c>
      <c r="AA972" t="str">
        <f>U972-X972-Y972</f>
        <v>#REF!</v>
      </c>
      <c r="AB972" t="str">
        <f>V972-Z972</f>
        <v>#REF!</v>
      </c>
      <c r="AC972" t="str">
        <f>AA972*0.01</f>
        <v>#REF!</v>
      </c>
      <c r="AD972" t="str">
        <f>AA972-P972-AC972-Q972</f>
        <v>#REF!</v>
      </c>
      <c r="AE972" t="str">
        <f>AB972-P972-Q972-AC972</f>
        <v>#REF!</v>
      </c>
      <c r="AF972" t="str">
        <f>AD972/U972</f>
        <v>#REF!</v>
      </c>
      <c r="AG972" t="str">
        <f>AE972/V972</f>
        <v>#REF!</v>
      </c>
    </row>
    <row r="973">
      <c r="G973" t="str">
        <v>A</v>
      </c>
      <c r="J973" t="str">
        <f>IF(K973&gt;0,K973*0.0625,IF(L973&gt;0,L973*2.204623,))</f>
        <v>#REF!</v>
      </c>
      <c r="K973" t="str">
        <f>IF(L973&gt;0,L973*35.273962,IF(J973&gt;0,J973*16,))</f>
        <v>#REF!</v>
      </c>
      <c r="L973" t="str">
        <f>IF(J973&gt;0,J973*0.453592,IF(K973&gt;0,K973*0.02835,))</f>
        <v>#REF!</v>
      </c>
      <c r="O973">
        <f>I973+N973+M973</f>
        <v>0</v>
      </c>
      <c r="P973">
        <f>O973*C$3</f>
        <v>0</v>
      </c>
      <c r="Q973" t="str">
        <f>ROUNDUP(HLOOKUP(IF(CEILING(L973,0.5)&lt;1,1,CEILING(L973,0.5)),'배송비 조회'!A$32:AY$36,2,0),-2)</f>
        <v>#REF!</v>
      </c>
      <c r="R973">
        <v>0</v>
      </c>
      <c r="S973" t="str">
        <f>ROUND((P973+Q973)*0.6,-2)</f>
        <v>#REF!</v>
      </c>
      <c r="T973" t="str">
        <f>ROUND((P973+Q973)*0.7,-2)</f>
        <v>#REF!</v>
      </c>
      <c r="U973" t="str">
        <f>ROUND(SUM(P973+Q973+R973+S973), -2)</f>
        <v>#REF!</v>
      </c>
      <c r="V973" t="str">
        <f>ROUND(P973+Q973+R973+T973, -2)</f>
        <v>#REF!</v>
      </c>
      <c r="W973">
        <v>0</v>
      </c>
      <c r="X973" t="str">
        <f>U973*0.038</f>
        <v>#REF!</v>
      </c>
      <c r="Y973" t="str">
        <f>U973*0.02</f>
        <v>#REF!</v>
      </c>
      <c r="Z973" t="str">
        <f>V973*0.1</f>
        <v>#REF!</v>
      </c>
      <c r="AA973" t="str">
        <f>U973-X973-Y973</f>
        <v>#REF!</v>
      </c>
      <c r="AB973" t="str">
        <f>V973-Z973</f>
        <v>#REF!</v>
      </c>
      <c r="AC973" t="str">
        <f>AA973*0.01</f>
        <v>#REF!</v>
      </c>
      <c r="AD973" t="str">
        <f>AA973-P973-AC973-Q973</f>
        <v>#REF!</v>
      </c>
      <c r="AE973" t="str">
        <f>AB973-P973-Q973-AC973</f>
        <v>#REF!</v>
      </c>
      <c r="AF973" t="str">
        <f>AD973/U973</f>
        <v>#REF!</v>
      </c>
      <c r="AG973" t="str">
        <f>AE973/V973</f>
        <v>#REF!</v>
      </c>
    </row>
    <row r="974">
      <c r="G974" t="str">
        <v>A</v>
      </c>
      <c r="J974" t="str">
        <f>IF(K974&gt;0,K974*0.0625,IF(L974&gt;0,L974*2.204623,))</f>
        <v>#REF!</v>
      </c>
      <c r="K974" t="str">
        <f>IF(L974&gt;0,L974*35.273962,IF(J974&gt;0,J974*16,))</f>
        <v>#REF!</v>
      </c>
      <c r="L974" t="str">
        <f>IF(J974&gt;0,J974*0.453592,IF(K974&gt;0,K974*0.02835,))</f>
        <v>#REF!</v>
      </c>
      <c r="O974">
        <f>I974+N974+M974</f>
        <v>0</v>
      </c>
      <c r="P974">
        <f>O974*C$3</f>
        <v>0</v>
      </c>
      <c r="Q974" t="str">
        <f>ROUNDUP(HLOOKUP(IF(CEILING(L974,0.5)&lt;1,1,CEILING(L974,0.5)),'배송비 조회'!A$32:AY$36,2,0),-2)</f>
        <v>#REF!</v>
      </c>
      <c r="R974">
        <v>0</v>
      </c>
      <c r="S974" t="str">
        <f>ROUND((P974+Q974)*0.6,-2)</f>
        <v>#REF!</v>
      </c>
      <c r="T974" t="str">
        <f>ROUND((P974+Q974)*0.7,-2)</f>
        <v>#REF!</v>
      </c>
      <c r="U974" t="str">
        <f>ROUND(SUM(P974+Q974+R974+S974), -2)</f>
        <v>#REF!</v>
      </c>
      <c r="V974" t="str">
        <f>ROUND(P974+Q974+R974+T974, -2)</f>
        <v>#REF!</v>
      </c>
      <c r="W974">
        <v>0</v>
      </c>
      <c r="X974" t="str">
        <f>U974*0.038</f>
        <v>#REF!</v>
      </c>
      <c r="Y974" t="str">
        <f>U974*0.02</f>
        <v>#REF!</v>
      </c>
      <c r="Z974" t="str">
        <f>V974*0.1</f>
        <v>#REF!</v>
      </c>
      <c r="AA974" t="str">
        <f>U974-X974-Y974</f>
        <v>#REF!</v>
      </c>
      <c r="AB974" t="str">
        <f>V974-Z974</f>
        <v>#REF!</v>
      </c>
      <c r="AC974" t="str">
        <f>AA974*0.01</f>
        <v>#REF!</v>
      </c>
      <c r="AD974" t="str">
        <f>AA974-P974-AC974-Q974</f>
        <v>#REF!</v>
      </c>
      <c r="AE974" t="str">
        <f>AB974-P974-Q974-AC974</f>
        <v>#REF!</v>
      </c>
      <c r="AF974" t="str">
        <f>AD974/U974</f>
        <v>#REF!</v>
      </c>
      <c r="AG974" t="str">
        <f>AE974/V974</f>
        <v>#REF!</v>
      </c>
    </row>
    <row r="975">
      <c r="G975" t="str">
        <v>A</v>
      </c>
      <c r="J975" t="str">
        <f>IF(K975&gt;0,K975*0.0625,IF(L975&gt;0,L975*2.204623,))</f>
        <v>#REF!</v>
      </c>
      <c r="K975" t="str">
        <f>IF(L975&gt;0,L975*35.273962,IF(J975&gt;0,J975*16,))</f>
        <v>#REF!</v>
      </c>
      <c r="L975" t="str">
        <f>IF(J975&gt;0,J975*0.453592,IF(K975&gt;0,K975*0.02835,))</f>
        <v>#REF!</v>
      </c>
      <c r="O975">
        <f>I975+N975+M975</f>
        <v>0</v>
      </c>
      <c r="P975">
        <f>O975*C$3</f>
        <v>0</v>
      </c>
      <c r="Q975" t="str">
        <f>ROUNDUP(HLOOKUP(IF(CEILING(L975,0.5)&lt;1,1,CEILING(L975,0.5)),'배송비 조회'!A$32:AY$36,2,0),-2)</f>
        <v>#REF!</v>
      </c>
      <c r="R975">
        <v>0</v>
      </c>
      <c r="S975" t="str">
        <f>ROUND((P975+Q975)*0.6,-2)</f>
        <v>#REF!</v>
      </c>
      <c r="T975" t="str">
        <f>ROUND((P975+Q975)*0.7,-2)</f>
        <v>#REF!</v>
      </c>
      <c r="U975" t="str">
        <f>ROUND(SUM(P975+Q975+R975+S975), -2)</f>
        <v>#REF!</v>
      </c>
      <c r="V975" t="str">
        <f>ROUND(P975+Q975+R975+T975, -2)</f>
        <v>#REF!</v>
      </c>
      <c r="W975">
        <v>0</v>
      </c>
      <c r="X975" t="str">
        <f>U975*0.038</f>
        <v>#REF!</v>
      </c>
      <c r="Y975" t="str">
        <f>U975*0.02</f>
        <v>#REF!</v>
      </c>
      <c r="Z975" t="str">
        <f>V975*0.1</f>
        <v>#REF!</v>
      </c>
      <c r="AA975" t="str">
        <f>U975-X975-Y975</f>
        <v>#REF!</v>
      </c>
      <c r="AB975" t="str">
        <f>V975-Z975</f>
        <v>#REF!</v>
      </c>
      <c r="AC975" t="str">
        <f>AA975*0.01</f>
        <v>#REF!</v>
      </c>
      <c r="AD975" t="str">
        <f>AA975-P975-AC975-Q975</f>
        <v>#REF!</v>
      </c>
      <c r="AE975" t="str">
        <f>AB975-P975-Q975-AC975</f>
        <v>#REF!</v>
      </c>
      <c r="AF975" t="str">
        <f>AD975/U975</f>
        <v>#REF!</v>
      </c>
      <c r="AG975" t="str">
        <f>AE975/V975</f>
        <v>#REF!</v>
      </c>
    </row>
    <row r="976">
      <c r="G976" t="str">
        <v>A</v>
      </c>
      <c r="J976" t="str">
        <f>IF(K976&gt;0,K976*0.0625,IF(L976&gt;0,L976*2.204623,))</f>
        <v>#REF!</v>
      </c>
      <c r="K976" t="str">
        <f>IF(L976&gt;0,L976*35.273962,IF(J976&gt;0,J976*16,))</f>
        <v>#REF!</v>
      </c>
      <c r="L976" t="str">
        <f>IF(J976&gt;0,J976*0.453592,IF(K976&gt;0,K976*0.02835,))</f>
        <v>#REF!</v>
      </c>
      <c r="O976">
        <f>I976+N976+M976</f>
        <v>0</v>
      </c>
      <c r="P976">
        <f>O976*C$3</f>
        <v>0</v>
      </c>
      <c r="Q976" t="str">
        <f>ROUNDUP(HLOOKUP(IF(CEILING(L976,0.5)&lt;1,1,CEILING(L976,0.5)),'배송비 조회'!A$32:AY$36,2,0),-2)</f>
        <v>#REF!</v>
      </c>
      <c r="R976">
        <v>0</v>
      </c>
      <c r="S976" t="str">
        <f>ROUND((P976+Q976)*0.6,-2)</f>
        <v>#REF!</v>
      </c>
      <c r="T976" t="str">
        <f>ROUND((P976+Q976)*0.7,-2)</f>
        <v>#REF!</v>
      </c>
      <c r="U976" t="str">
        <f>ROUND(SUM(P976+Q976+R976+S976), -2)</f>
        <v>#REF!</v>
      </c>
      <c r="V976" t="str">
        <f>ROUND(P976+Q976+R976+T976, -2)</f>
        <v>#REF!</v>
      </c>
      <c r="W976">
        <v>0</v>
      </c>
      <c r="X976" t="str">
        <f>U976*0.038</f>
        <v>#REF!</v>
      </c>
      <c r="Y976" t="str">
        <f>U976*0.02</f>
        <v>#REF!</v>
      </c>
      <c r="Z976" t="str">
        <f>V976*0.1</f>
        <v>#REF!</v>
      </c>
      <c r="AA976" t="str">
        <f>U976-X976-Y976</f>
        <v>#REF!</v>
      </c>
      <c r="AB976" t="str">
        <f>V976-Z976</f>
        <v>#REF!</v>
      </c>
      <c r="AC976" t="str">
        <f>AA976*0.01</f>
        <v>#REF!</v>
      </c>
      <c r="AD976" t="str">
        <f>AA976-P976-AC976-Q976</f>
        <v>#REF!</v>
      </c>
      <c r="AE976" t="str">
        <f>AB976-P976-Q976-AC976</f>
        <v>#REF!</v>
      </c>
      <c r="AF976" t="str">
        <f>AD976/U976</f>
        <v>#REF!</v>
      </c>
      <c r="AG976" t="str">
        <f>AE976/V976</f>
        <v>#REF!</v>
      </c>
    </row>
    <row r="977">
      <c r="G977" t="str">
        <v>A</v>
      </c>
      <c r="J977" t="str">
        <f>IF(K977&gt;0,K977*0.0625,IF(L977&gt;0,L977*2.204623,))</f>
        <v>#REF!</v>
      </c>
      <c r="K977" t="str">
        <f>IF(L977&gt;0,L977*35.273962,IF(J977&gt;0,J977*16,))</f>
        <v>#REF!</v>
      </c>
      <c r="L977" t="str">
        <f>IF(J977&gt;0,J977*0.453592,IF(K977&gt;0,K977*0.02835,))</f>
        <v>#REF!</v>
      </c>
      <c r="O977">
        <f>I977+N977+M977</f>
        <v>0</v>
      </c>
      <c r="P977">
        <f>O977*C$3</f>
        <v>0</v>
      </c>
      <c r="Q977" t="str">
        <f>ROUNDUP(HLOOKUP(IF(CEILING(L977,0.5)&lt;1,1,CEILING(L977,0.5)),'배송비 조회'!A$32:AY$36,2,0),-2)</f>
        <v>#REF!</v>
      </c>
      <c r="R977">
        <v>0</v>
      </c>
      <c r="S977" t="str">
        <f>ROUND((P977+Q977)*0.6,-2)</f>
        <v>#REF!</v>
      </c>
      <c r="T977" t="str">
        <f>ROUND((P977+Q977)*0.7,-2)</f>
        <v>#REF!</v>
      </c>
      <c r="U977" t="str">
        <f>ROUND(SUM(P977+Q977+R977+S977), -2)</f>
        <v>#REF!</v>
      </c>
      <c r="V977" t="str">
        <f>ROUND(P977+Q977+R977+T977, -2)</f>
        <v>#REF!</v>
      </c>
      <c r="W977">
        <v>0</v>
      </c>
      <c r="X977" t="str">
        <f>U977*0.038</f>
        <v>#REF!</v>
      </c>
      <c r="Y977" t="str">
        <f>U977*0.02</f>
        <v>#REF!</v>
      </c>
      <c r="Z977" t="str">
        <f>V977*0.1</f>
        <v>#REF!</v>
      </c>
      <c r="AA977" t="str">
        <f>U977-X977-Y977</f>
        <v>#REF!</v>
      </c>
      <c r="AB977" t="str">
        <f>V977-Z977</f>
        <v>#REF!</v>
      </c>
      <c r="AC977" t="str">
        <f>AA977*0.01</f>
        <v>#REF!</v>
      </c>
      <c r="AD977" t="str">
        <f>AA977-P977-AC977-Q977</f>
        <v>#REF!</v>
      </c>
      <c r="AE977" t="str">
        <f>AB977-P977-Q977-AC977</f>
        <v>#REF!</v>
      </c>
      <c r="AF977" t="str">
        <f>AD977/U977</f>
        <v>#REF!</v>
      </c>
      <c r="AG977" t="str">
        <f>AE977/V977</f>
        <v>#REF!</v>
      </c>
    </row>
    <row r="978">
      <c r="G978" t="str">
        <v>A</v>
      </c>
      <c r="J978" t="str">
        <f>IF(K978&gt;0,K978*0.0625,IF(L978&gt;0,L978*2.204623,))</f>
        <v>#REF!</v>
      </c>
      <c r="K978" t="str">
        <f>IF(L978&gt;0,L978*35.273962,IF(J978&gt;0,J978*16,))</f>
        <v>#REF!</v>
      </c>
      <c r="L978" t="str">
        <f>IF(J978&gt;0,J978*0.453592,IF(K978&gt;0,K978*0.02835,))</f>
        <v>#REF!</v>
      </c>
      <c r="O978">
        <f>I978+N978+M978</f>
        <v>0</v>
      </c>
      <c r="P978">
        <f>O978*C$3</f>
        <v>0</v>
      </c>
      <c r="Q978" t="str">
        <f>ROUNDUP(HLOOKUP(IF(CEILING(L978,0.5)&lt;1,1,CEILING(L978,0.5)),'배송비 조회'!A$32:AY$36,2,0),-2)</f>
        <v>#REF!</v>
      </c>
      <c r="R978">
        <v>0</v>
      </c>
      <c r="S978" t="str">
        <f>ROUND((P978+Q978)*0.6,-2)</f>
        <v>#REF!</v>
      </c>
      <c r="T978" t="str">
        <f>ROUND((P978+Q978)*0.7,-2)</f>
        <v>#REF!</v>
      </c>
      <c r="U978" t="str">
        <f>ROUND(SUM(P978+Q978+R978+S978), -2)</f>
        <v>#REF!</v>
      </c>
      <c r="V978" t="str">
        <f>ROUND(P978+Q978+R978+T978, -2)</f>
        <v>#REF!</v>
      </c>
      <c r="W978">
        <v>0</v>
      </c>
      <c r="X978" t="str">
        <f>U978*0.038</f>
        <v>#REF!</v>
      </c>
      <c r="Y978" t="str">
        <f>U978*0.02</f>
        <v>#REF!</v>
      </c>
      <c r="Z978" t="str">
        <f>V978*0.1</f>
        <v>#REF!</v>
      </c>
      <c r="AA978" t="str">
        <f>U978-X978-Y978</f>
        <v>#REF!</v>
      </c>
      <c r="AB978" t="str">
        <f>V978-Z978</f>
        <v>#REF!</v>
      </c>
      <c r="AC978" t="str">
        <f>AA978*0.01</f>
        <v>#REF!</v>
      </c>
      <c r="AD978" t="str">
        <f>AA978-P978-AC978-Q978</f>
        <v>#REF!</v>
      </c>
      <c r="AE978" t="str">
        <f>AB978-P978-Q978-AC978</f>
        <v>#REF!</v>
      </c>
      <c r="AF978" t="str">
        <f>AD978/U978</f>
        <v>#REF!</v>
      </c>
      <c r="AG978" t="str">
        <f>AE978/V978</f>
        <v>#REF!</v>
      </c>
    </row>
    <row r="979">
      <c r="G979" t="str">
        <v>A</v>
      </c>
      <c r="J979" t="str">
        <f>IF(K979&gt;0,K979*0.0625,IF(L979&gt;0,L979*2.204623,))</f>
        <v>#REF!</v>
      </c>
      <c r="K979" t="str">
        <f>IF(L979&gt;0,L979*35.273962,IF(J979&gt;0,J979*16,))</f>
        <v>#REF!</v>
      </c>
      <c r="L979" t="str">
        <f>IF(J979&gt;0,J979*0.453592,IF(K979&gt;0,K979*0.02835,))</f>
        <v>#REF!</v>
      </c>
      <c r="O979">
        <f>I979+N979+M979</f>
        <v>0</v>
      </c>
      <c r="P979">
        <f>O979*C$3</f>
        <v>0</v>
      </c>
      <c r="Q979" t="str">
        <f>ROUNDUP(HLOOKUP(IF(CEILING(L979,0.5)&lt;1,1,CEILING(L979,0.5)),'배송비 조회'!A$32:AY$36,2,0),-2)</f>
        <v>#REF!</v>
      </c>
      <c r="R979">
        <v>0</v>
      </c>
      <c r="S979" t="str">
        <f>ROUND((P979+Q979)*0.6,-2)</f>
        <v>#REF!</v>
      </c>
      <c r="T979" t="str">
        <f>ROUND((P979+Q979)*0.7,-2)</f>
        <v>#REF!</v>
      </c>
      <c r="U979" t="str">
        <f>ROUND(SUM(P979+Q979+R979+S979), -2)</f>
        <v>#REF!</v>
      </c>
      <c r="V979" t="str">
        <f>ROUND(P979+Q979+R979+T979, -2)</f>
        <v>#REF!</v>
      </c>
      <c r="W979">
        <v>0</v>
      </c>
      <c r="X979" t="str">
        <f>U979*0.038</f>
        <v>#REF!</v>
      </c>
      <c r="Y979" t="str">
        <f>U979*0.02</f>
        <v>#REF!</v>
      </c>
      <c r="Z979" t="str">
        <f>V979*0.1</f>
        <v>#REF!</v>
      </c>
      <c r="AA979" t="str">
        <f>U979-X979-Y979</f>
        <v>#REF!</v>
      </c>
      <c r="AB979" t="str">
        <f>V979-Z979</f>
        <v>#REF!</v>
      </c>
      <c r="AC979" t="str">
        <f>AA979*0.01</f>
        <v>#REF!</v>
      </c>
      <c r="AD979" t="str">
        <f>AA979-P979-AC979-Q979</f>
        <v>#REF!</v>
      </c>
      <c r="AE979" t="str">
        <f>AB979-P979-Q979-AC979</f>
        <v>#REF!</v>
      </c>
      <c r="AF979" t="str">
        <f>AD979/U979</f>
        <v>#REF!</v>
      </c>
      <c r="AG979" t="str">
        <f>AE979/V979</f>
        <v>#REF!</v>
      </c>
    </row>
    <row r="980">
      <c r="G980" t="str">
        <v>A</v>
      </c>
      <c r="J980" t="str">
        <f>IF(K980&gt;0,K980*0.0625,IF(L980&gt;0,L980*2.204623,))</f>
        <v>#REF!</v>
      </c>
      <c r="K980" t="str">
        <f>IF(L980&gt;0,L980*35.273962,IF(J980&gt;0,J980*16,))</f>
        <v>#REF!</v>
      </c>
      <c r="L980" t="str">
        <f>IF(J980&gt;0,J980*0.453592,IF(K980&gt;0,K980*0.02835,))</f>
        <v>#REF!</v>
      </c>
      <c r="O980">
        <f>I980+N980+M980</f>
        <v>0</v>
      </c>
      <c r="P980">
        <f>O980*C$3</f>
        <v>0</v>
      </c>
      <c r="Q980" t="str">
        <f>ROUNDUP(HLOOKUP(IF(CEILING(L980,0.5)&lt;1,1,CEILING(L980,0.5)),'배송비 조회'!A$32:AY$36,2,0),-2)</f>
        <v>#REF!</v>
      </c>
      <c r="R980">
        <v>0</v>
      </c>
      <c r="S980" t="str">
        <f>ROUND((P980+Q980)*0.6,-2)</f>
        <v>#REF!</v>
      </c>
      <c r="T980" t="str">
        <f>ROUND((P980+Q980)*0.7,-2)</f>
        <v>#REF!</v>
      </c>
      <c r="U980" t="str">
        <f>ROUND(SUM(P980+Q980+R980+S980), -2)</f>
        <v>#REF!</v>
      </c>
      <c r="V980" t="str">
        <f>ROUND(P980+Q980+R980+T980, -2)</f>
        <v>#REF!</v>
      </c>
      <c r="W980">
        <v>0</v>
      </c>
      <c r="X980" t="str">
        <f>U980*0.038</f>
        <v>#REF!</v>
      </c>
      <c r="Y980" t="str">
        <f>U980*0.02</f>
        <v>#REF!</v>
      </c>
      <c r="Z980" t="str">
        <f>V980*0.1</f>
        <v>#REF!</v>
      </c>
      <c r="AA980" t="str">
        <f>U980-X980-Y980</f>
        <v>#REF!</v>
      </c>
      <c r="AB980" t="str">
        <f>V980-Z980</f>
        <v>#REF!</v>
      </c>
      <c r="AC980" t="str">
        <f>AA980*0.01</f>
        <v>#REF!</v>
      </c>
      <c r="AD980" t="str">
        <f>AA980-P980-AC980-Q980</f>
        <v>#REF!</v>
      </c>
      <c r="AE980" t="str">
        <f>AB980-P980-Q980-AC980</f>
        <v>#REF!</v>
      </c>
      <c r="AF980" t="str">
        <f>AD980/U980</f>
        <v>#REF!</v>
      </c>
      <c r="AG980" t="str">
        <f>AE980/V980</f>
        <v>#REF!</v>
      </c>
    </row>
    <row r="981">
      <c r="G981" t="str">
        <v>A</v>
      </c>
      <c r="J981" t="str">
        <f>IF(K981&gt;0,K981*0.0625,IF(L981&gt;0,L981*2.204623,))</f>
        <v>#REF!</v>
      </c>
      <c r="K981" t="str">
        <f>IF(L981&gt;0,L981*35.273962,IF(J981&gt;0,J981*16,))</f>
        <v>#REF!</v>
      </c>
      <c r="L981" t="str">
        <f>IF(J981&gt;0,J981*0.453592,IF(K981&gt;0,K981*0.02835,))</f>
        <v>#REF!</v>
      </c>
      <c r="O981">
        <f>I981+N981+M981</f>
        <v>0</v>
      </c>
      <c r="P981">
        <f>O981*C$3</f>
        <v>0</v>
      </c>
      <c r="Q981" t="str">
        <f>ROUNDUP(HLOOKUP(IF(CEILING(L981,0.5)&lt;1,1,CEILING(L981,0.5)),'배송비 조회'!A$32:AY$36,2,0),-2)</f>
        <v>#REF!</v>
      </c>
      <c r="R981">
        <v>0</v>
      </c>
      <c r="S981" t="str">
        <f>ROUND((P981+Q981)*0.6,-2)</f>
        <v>#REF!</v>
      </c>
      <c r="T981" t="str">
        <f>ROUND((P981+Q981)*0.7,-2)</f>
        <v>#REF!</v>
      </c>
      <c r="U981" t="str">
        <f>ROUND(SUM(P981+Q981+R981+S981), -2)</f>
        <v>#REF!</v>
      </c>
      <c r="V981" t="str">
        <f>ROUND(P981+Q981+R981+T981, -2)</f>
        <v>#REF!</v>
      </c>
      <c r="W981">
        <v>0</v>
      </c>
      <c r="X981" t="str">
        <f>U981*0.038</f>
        <v>#REF!</v>
      </c>
      <c r="Y981" t="str">
        <f>U981*0.02</f>
        <v>#REF!</v>
      </c>
      <c r="Z981" t="str">
        <f>V981*0.1</f>
        <v>#REF!</v>
      </c>
      <c r="AA981" t="str">
        <f>U981-X981-Y981</f>
        <v>#REF!</v>
      </c>
      <c r="AB981" t="str">
        <f>V981-Z981</f>
        <v>#REF!</v>
      </c>
      <c r="AC981" t="str">
        <f>AA981*0.01</f>
        <v>#REF!</v>
      </c>
      <c r="AD981" t="str">
        <f>AA981-P981-AC981-Q981</f>
        <v>#REF!</v>
      </c>
      <c r="AE981" t="str">
        <f>AB981-P981-Q981-AC981</f>
        <v>#REF!</v>
      </c>
      <c r="AF981" t="str">
        <f>AD981/U981</f>
        <v>#REF!</v>
      </c>
      <c r="AG981" t="str">
        <f>AE981/V981</f>
        <v>#REF!</v>
      </c>
    </row>
    <row r="982">
      <c r="G982" t="str">
        <v>A</v>
      </c>
      <c r="J982" t="str">
        <f>IF(K982&gt;0,K982*0.0625,IF(L982&gt;0,L982*2.204623,))</f>
        <v>#REF!</v>
      </c>
      <c r="K982" t="str">
        <f>IF(L982&gt;0,L982*35.273962,IF(J982&gt;0,J982*16,))</f>
        <v>#REF!</v>
      </c>
      <c r="L982" t="str">
        <f>IF(J982&gt;0,J982*0.453592,IF(K982&gt;0,K982*0.02835,))</f>
        <v>#REF!</v>
      </c>
      <c r="O982">
        <f>I982+N982+M982</f>
        <v>0</v>
      </c>
      <c r="P982">
        <f>O982*C$3</f>
        <v>0</v>
      </c>
      <c r="Q982" t="str">
        <f>ROUNDUP(HLOOKUP(IF(CEILING(L982,0.5)&lt;1,1,CEILING(L982,0.5)),'배송비 조회'!A$32:AY$36,2,0),-2)</f>
        <v>#REF!</v>
      </c>
      <c r="R982">
        <v>0</v>
      </c>
      <c r="S982" t="str">
        <f>ROUND((P982+Q982)*0.6,-2)</f>
        <v>#REF!</v>
      </c>
      <c r="T982" t="str">
        <f>ROUND((P982+Q982)*0.7,-2)</f>
        <v>#REF!</v>
      </c>
      <c r="U982" t="str">
        <f>ROUND(SUM(P982+Q982+R982+S982), -2)</f>
        <v>#REF!</v>
      </c>
      <c r="V982" t="str">
        <f>ROUND(P982+Q982+R982+T982, -2)</f>
        <v>#REF!</v>
      </c>
      <c r="W982">
        <v>0</v>
      </c>
      <c r="X982" t="str">
        <f>U982*0.038</f>
        <v>#REF!</v>
      </c>
      <c r="Y982" t="str">
        <f>U982*0.02</f>
        <v>#REF!</v>
      </c>
      <c r="Z982" t="str">
        <f>V982*0.1</f>
        <v>#REF!</v>
      </c>
      <c r="AA982" t="str">
        <f>U982-X982-Y982</f>
        <v>#REF!</v>
      </c>
      <c r="AB982" t="str">
        <f>V982-Z982</f>
        <v>#REF!</v>
      </c>
      <c r="AC982" t="str">
        <f>AA982*0.01</f>
        <v>#REF!</v>
      </c>
      <c r="AD982" t="str">
        <f>AA982-P982-AC982-Q982</f>
        <v>#REF!</v>
      </c>
      <c r="AE982" t="str">
        <f>AB982-P982-Q982-AC982</f>
        <v>#REF!</v>
      </c>
      <c r="AF982" t="str">
        <f>AD982/U982</f>
        <v>#REF!</v>
      </c>
      <c r="AG982" t="str">
        <f>AE982/V982</f>
        <v>#REF!</v>
      </c>
    </row>
    <row r="983">
      <c r="G983" t="str">
        <v>A</v>
      </c>
      <c r="J983" t="str">
        <f>IF(K983&gt;0,K983*0.0625,IF(L983&gt;0,L983*2.204623,))</f>
        <v>#REF!</v>
      </c>
      <c r="K983" t="str">
        <f>IF(L983&gt;0,L983*35.273962,IF(J983&gt;0,J983*16,))</f>
        <v>#REF!</v>
      </c>
      <c r="L983" t="str">
        <f>IF(J983&gt;0,J983*0.453592,IF(K983&gt;0,K983*0.02835,))</f>
        <v>#REF!</v>
      </c>
      <c r="O983">
        <f>I983+N983+M983</f>
        <v>0</v>
      </c>
      <c r="P983">
        <f>O983*C$3</f>
        <v>0</v>
      </c>
      <c r="Q983" t="str">
        <f>ROUNDUP(HLOOKUP(IF(CEILING(L983,0.5)&lt;1,1,CEILING(L983,0.5)),'배송비 조회'!A$32:AY$36,2,0),-2)</f>
        <v>#REF!</v>
      </c>
      <c r="R983">
        <v>0</v>
      </c>
      <c r="S983" t="str">
        <f>ROUND((P983+Q983)*0.6,-2)</f>
        <v>#REF!</v>
      </c>
      <c r="T983" t="str">
        <f>ROUND((P983+Q983)*0.7,-2)</f>
        <v>#REF!</v>
      </c>
      <c r="U983" t="str">
        <f>ROUND(SUM(P983+Q983+R983+S983), -2)</f>
        <v>#REF!</v>
      </c>
      <c r="V983" t="str">
        <f>ROUND(P983+Q983+R983+T983, -2)</f>
        <v>#REF!</v>
      </c>
      <c r="W983">
        <v>0</v>
      </c>
      <c r="X983" t="str">
        <f>U983*0.038</f>
        <v>#REF!</v>
      </c>
      <c r="Y983" t="str">
        <f>U983*0.02</f>
        <v>#REF!</v>
      </c>
      <c r="Z983" t="str">
        <f>V983*0.1</f>
        <v>#REF!</v>
      </c>
      <c r="AA983" t="str">
        <f>U983-X983-Y983</f>
        <v>#REF!</v>
      </c>
      <c r="AB983" t="str">
        <f>V983-Z983</f>
        <v>#REF!</v>
      </c>
      <c r="AC983" t="str">
        <f>AA983*0.01</f>
        <v>#REF!</v>
      </c>
      <c r="AD983" t="str">
        <f>AA983-P983-AC983-Q983</f>
        <v>#REF!</v>
      </c>
      <c r="AE983" t="str">
        <f>AB983-P983-Q983-AC983</f>
        <v>#REF!</v>
      </c>
      <c r="AF983" t="str">
        <f>AD983/U983</f>
        <v>#REF!</v>
      </c>
      <c r="AG983" t="str">
        <f>AE983/V983</f>
        <v>#REF!</v>
      </c>
    </row>
    <row r="984">
      <c r="G984" t="str">
        <v>A</v>
      </c>
      <c r="J984" t="str">
        <f>IF(K984&gt;0,K984*0.0625,IF(L984&gt;0,L984*2.204623,))</f>
        <v>#REF!</v>
      </c>
      <c r="K984" t="str">
        <f>IF(L984&gt;0,L984*35.273962,IF(J984&gt;0,J984*16,))</f>
        <v>#REF!</v>
      </c>
      <c r="L984" t="str">
        <f>IF(J984&gt;0,J984*0.453592,IF(K984&gt;0,K984*0.02835,))</f>
        <v>#REF!</v>
      </c>
      <c r="O984">
        <f>I984+N984+M984</f>
        <v>0</v>
      </c>
      <c r="P984">
        <f>O984*C$3</f>
        <v>0</v>
      </c>
      <c r="Q984" t="str">
        <f>ROUNDUP(HLOOKUP(IF(CEILING(L984,0.5)&lt;1,1,CEILING(L984,0.5)),'배송비 조회'!A$32:AY$36,2,0),-2)</f>
        <v>#REF!</v>
      </c>
      <c r="R984">
        <v>0</v>
      </c>
      <c r="S984" t="str">
        <f>ROUND((P984+Q984)*0.6,-2)</f>
        <v>#REF!</v>
      </c>
      <c r="T984" t="str">
        <f>ROUND((P984+Q984)*0.7,-2)</f>
        <v>#REF!</v>
      </c>
      <c r="U984" t="str">
        <f>ROUND(SUM(P984+Q984+R984+S984), -2)</f>
        <v>#REF!</v>
      </c>
      <c r="V984" t="str">
        <f>ROUND(P984+Q984+R984+T984, -2)</f>
        <v>#REF!</v>
      </c>
      <c r="W984">
        <v>0</v>
      </c>
      <c r="X984" t="str">
        <f>U984*0.038</f>
        <v>#REF!</v>
      </c>
      <c r="Y984" t="str">
        <f>U984*0.02</f>
        <v>#REF!</v>
      </c>
      <c r="Z984" t="str">
        <f>V984*0.1</f>
        <v>#REF!</v>
      </c>
      <c r="AA984" t="str">
        <f>U984-X984-Y984</f>
        <v>#REF!</v>
      </c>
      <c r="AB984" t="str">
        <f>V984-Z984</f>
        <v>#REF!</v>
      </c>
      <c r="AC984" t="str">
        <f>AA984*0.01</f>
        <v>#REF!</v>
      </c>
      <c r="AD984" t="str">
        <f>AA984-P984-AC984-Q984</f>
        <v>#REF!</v>
      </c>
      <c r="AE984" t="str">
        <f>AB984-P984-Q984-AC984</f>
        <v>#REF!</v>
      </c>
      <c r="AF984" t="str">
        <f>AD984/U984</f>
        <v>#REF!</v>
      </c>
      <c r="AG984" t="str">
        <f>AE984/V984</f>
        <v>#REF!</v>
      </c>
    </row>
    <row r="985">
      <c r="G985" t="str">
        <v>A</v>
      </c>
      <c r="J985" t="str">
        <f>IF(K985&gt;0,K985*0.0625,IF(L985&gt;0,L985*2.204623,))</f>
        <v>#REF!</v>
      </c>
      <c r="K985" t="str">
        <f>IF(L985&gt;0,L985*35.273962,IF(J985&gt;0,J985*16,))</f>
        <v>#REF!</v>
      </c>
      <c r="L985" t="str">
        <f>IF(J985&gt;0,J985*0.453592,IF(K985&gt;0,K985*0.02835,))</f>
        <v>#REF!</v>
      </c>
      <c r="O985">
        <f>I985+N985+M985</f>
        <v>0</v>
      </c>
      <c r="P985">
        <f>O985*C$3</f>
        <v>0</v>
      </c>
      <c r="Q985" t="str">
        <f>ROUNDUP(HLOOKUP(IF(CEILING(L985,0.5)&lt;1,1,CEILING(L985,0.5)),'배송비 조회'!A$32:AY$36,2,0),-2)</f>
        <v>#REF!</v>
      </c>
      <c r="R985">
        <v>0</v>
      </c>
      <c r="S985" t="str">
        <f>ROUND((P985+Q985)*0.6,-2)</f>
        <v>#REF!</v>
      </c>
      <c r="T985" t="str">
        <f>ROUND((P985+Q985)*0.7,-2)</f>
        <v>#REF!</v>
      </c>
      <c r="U985" t="str">
        <f>ROUND(SUM(P985+Q985+R985+S985), -2)</f>
        <v>#REF!</v>
      </c>
      <c r="V985" t="str">
        <f>ROUND(P985+Q985+R985+T985, -2)</f>
        <v>#REF!</v>
      </c>
      <c r="W985">
        <v>0</v>
      </c>
      <c r="X985" t="str">
        <f>U985*0.038</f>
        <v>#REF!</v>
      </c>
      <c r="Y985" t="str">
        <f>U985*0.02</f>
        <v>#REF!</v>
      </c>
      <c r="Z985" t="str">
        <f>V985*0.1</f>
        <v>#REF!</v>
      </c>
      <c r="AA985" t="str">
        <f>U985-X985-Y985</f>
        <v>#REF!</v>
      </c>
      <c r="AB985" t="str">
        <f>V985-Z985</f>
        <v>#REF!</v>
      </c>
      <c r="AC985" t="str">
        <f>AA985*0.01</f>
        <v>#REF!</v>
      </c>
      <c r="AD985" t="str">
        <f>AA985-P985-AC985-Q985</f>
        <v>#REF!</v>
      </c>
      <c r="AE985" t="str">
        <f>AB985-P985-Q985-AC985</f>
        <v>#REF!</v>
      </c>
      <c r="AF985" t="str">
        <f>AD985/U985</f>
        <v>#REF!</v>
      </c>
      <c r="AG985" t="str">
        <f>AE985/V985</f>
        <v>#REF!</v>
      </c>
    </row>
    <row r="986">
      <c r="G986" t="str">
        <v>A</v>
      </c>
      <c r="J986" t="str">
        <f>IF(K986&gt;0,K986*0.0625,IF(L986&gt;0,L986*2.204623,))</f>
        <v>#REF!</v>
      </c>
      <c r="K986" t="str">
        <f>IF(L986&gt;0,L986*35.273962,IF(J986&gt;0,J986*16,))</f>
        <v>#REF!</v>
      </c>
      <c r="L986" t="str">
        <f>IF(J986&gt;0,J986*0.453592,IF(K986&gt;0,K986*0.02835,))</f>
        <v>#REF!</v>
      </c>
      <c r="O986">
        <f>I986+N986+M986</f>
        <v>0</v>
      </c>
      <c r="P986">
        <f>O986*C$3</f>
        <v>0</v>
      </c>
      <c r="Q986" t="str">
        <f>ROUNDUP(HLOOKUP(IF(CEILING(L986,0.5)&lt;1,1,CEILING(L986,0.5)),'배송비 조회'!A$32:AY$36,2,0),-2)</f>
        <v>#REF!</v>
      </c>
      <c r="R986">
        <v>0</v>
      </c>
      <c r="S986" t="str">
        <f>ROUND((P986+Q986)*0.6,-2)</f>
        <v>#REF!</v>
      </c>
      <c r="T986" t="str">
        <f>ROUND((P986+Q986)*0.7,-2)</f>
        <v>#REF!</v>
      </c>
      <c r="U986" t="str">
        <f>ROUND(SUM(P986+Q986+R986+S986), -2)</f>
        <v>#REF!</v>
      </c>
      <c r="V986" t="str">
        <f>ROUND(P986+Q986+R986+T986, -2)</f>
        <v>#REF!</v>
      </c>
      <c r="W986">
        <v>0</v>
      </c>
      <c r="X986" t="str">
        <f>U986*0.038</f>
        <v>#REF!</v>
      </c>
      <c r="Y986" t="str">
        <f>U986*0.02</f>
        <v>#REF!</v>
      </c>
      <c r="Z986" t="str">
        <f>V986*0.1</f>
        <v>#REF!</v>
      </c>
      <c r="AA986" t="str">
        <f>U986-X986-Y986</f>
        <v>#REF!</v>
      </c>
      <c r="AB986" t="str">
        <f>V986-Z986</f>
        <v>#REF!</v>
      </c>
      <c r="AC986" t="str">
        <f>AA986*0.01</f>
        <v>#REF!</v>
      </c>
      <c r="AD986" t="str">
        <f>AA986-P986-AC986-Q986</f>
        <v>#REF!</v>
      </c>
      <c r="AE986" t="str">
        <f>AB986-P986-Q986-AC986</f>
        <v>#REF!</v>
      </c>
      <c r="AF986" t="str">
        <f>AD986/U986</f>
        <v>#REF!</v>
      </c>
      <c r="AG986" t="str">
        <f>AE986/V986</f>
        <v>#REF!</v>
      </c>
    </row>
    <row r="987">
      <c r="G987" t="str">
        <v>A</v>
      </c>
      <c r="J987" t="str">
        <f>IF(K987&gt;0,K987*0.0625,IF(L987&gt;0,L987*2.204623,))</f>
        <v>#REF!</v>
      </c>
      <c r="K987" t="str">
        <f>IF(L987&gt;0,L987*35.273962,IF(J987&gt;0,J987*16,))</f>
        <v>#REF!</v>
      </c>
      <c r="L987" t="str">
        <f>IF(J987&gt;0,J987*0.453592,IF(K987&gt;0,K987*0.02835,))</f>
        <v>#REF!</v>
      </c>
      <c r="O987">
        <f>I987+N987+M987</f>
        <v>0</v>
      </c>
      <c r="P987">
        <f>O987*C$3</f>
        <v>0</v>
      </c>
      <c r="Q987" t="str">
        <f>ROUNDUP(HLOOKUP(IF(CEILING(L987,0.5)&lt;1,1,CEILING(L987,0.5)),'배송비 조회'!A$32:AY$36,2,0),-2)</f>
        <v>#REF!</v>
      </c>
      <c r="R987">
        <v>0</v>
      </c>
      <c r="S987" t="str">
        <f>ROUND((P987+Q987)*0.6,-2)</f>
        <v>#REF!</v>
      </c>
      <c r="T987" t="str">
        <f>ROUND((P987+Q987)*0.7,-2)</f>
        <v>#REF!</v>
      </c>
      <c r="U987" t="str">
        <f>ROUND(SUM(P987+Q987+R987+S987), -2)</f>
        <v>#REF!</v>
      </c>
      <c r="V987" t="str">
        <f>ROUND(P987+Q987+R987+T987, -2)</f>
        <v>#REF!</v>
      </c>
      <c r="W987">
        <v>0</v>
      </c>
      <c r="X987" t="str">
        <f>U987*0.038</f>
        <v>#REF!</v>
      </c>
      <c r="Y987" t="str">
        <f>U987*0.02</f>
        <v>#REF!</v>
      </c>
      <c r="Z987" t="str">
        <f>V987*0.1</f>
        <v>#REF!</v>
      </c>
      <c r="AA987" t="str">
        <f>U987-X987-Y987</f>
        <v>#REF!</v>
      </c>
      <c r="AB987" t="str">
        <f>V987-Z987</f>
        <v>#REF!</v>
      </c>
      <c r="AC987" t="str">
        <f>AA987*0.01</f>
        <v>#REF!</v>
      </c>
      <c r="AD987" t="str">
        <f>AA987-P987-AC987-Q987</f>
        <v>#REF!</v>
      </c>
      <c r="AE987" t="str">
        <f>AB987-P987-Q987-AC987</f>
        <v>#REF!</v>
      </c>
      <c r="AF987" t="str">
        <f>AD987/U987</f>
        <v>#REF!</v>
      </c>
      <c r="AG987" t="str">
        <f>AE987/V987</f>
        <v>#REF!</v>
      </c>
    </row>
    <row r="988">
      <c r="G988" t="str">
        <v>A</v>
      </c>
      <c r="J988" t="str">
        <f>IF(K988&gt;0,K988*0.0625,IF(L988&gt;0,L988*2.204623,))</f>
        <v>#REF!</v>
      </c>
      <c r="K988" t="str">
        <f>IF(L988&gt;0,L988*35.273962,IF(J988&gt;0,J988*16,))</f>
        <v>#REF!</v>
      </c>
      <c r="L988" t="str">
        <f>IF(J988&gt;0,J988*0.453592,IF(K988&gt;0,K988*0.02835,))</f>
        <v>#REF!</v>
      </c>
      <c r="O988">
        <f>I988+N988+M988</f>
        <v>0</v>
      </c>
      <c r="P988">
        <f>O988*C$3</f>
        <v>0</v>
      </c>
      <c r="Q988" t="str">
        <f>ROUNDUP(HLOOKUP(IF(CEILING(L988,0.5)&lt;1,1,CEILING(L988,0.5)),'배송비 조회'!A$32:AY$36,2,0),-2)</f>
        <v>#REF!</v>
      </c>
      <c r="R988">
        <v>0</v>
      </c>
      <c r="S988" t="str">
        <f>ROUND((P988+Q988)*0.6,-2)</f>
        <v>#REF!</v>
      </c>
      <c r="T988" t="str">
        <f>ROUND((P988+Q988)*0.7,-2)</f>
        <v>#REF!</v>
      </c>
      <c r="U988" t="str">
        <f>ROUND(SUM(P988+Q988+R988+S988), -2)</f>
        <v>#REF!</v>
      </c>
      <c r="V988" t="str">
        <f>ROUND(P988+Q988+R988+T988, -2)</f>
        <v>#REF!</v>
      </c>
      <c r="W988">
        <v>0</v>
      </c>
      <c r="X988" t="str">
        <f>U988*0.038</f>
        <v>#REF!</v>
      </c>
      <c r="Y988" t="str">
        <f>U988*0.02</f>
        <v>#REF!</v>
      </c>
      <c r="Z988" t="str">
        <f>V988*0.1</f>
        <v>#REF!</v>
      </c>
      <c r="AA988" t="str">
        <f>U988-X988-Y988</f>
        <v>#REF!</v>
      </c>
      <c r="AB988" t="str">
        <f>V988-Z988</f>
        <v>#REF!</v>
      </c>
      <c r="AC988" t="str">
        <f>AA988*0.01</f>
        <v>#REF!</v>
      </c>
      <c r="AD988" t="str">
        <f>AA988-P988-AC988-Q988</f>
        <v>#REF!</v>
      </c>
      <c r="AE988" t="str">
        <f>AB988-P988-Q988-AC988</f>
        <v>#REF!</v>
      </c>
      <c r="AF988" t="str">
        <f>AD988/U988</f>
        <v>#REF!</v>
      </c>
      <c r="AG988" t="str">
        <f>AE988/V988</f>
        <v>#REF!</v>
      </c>
    </row>
    <row r="989">
      <c r="G989" t="str">
        <v>A</v>
      </c>
      <c r="J989" t="str">
        <f>IF(K989&gt;0,K989*0.0625,IF(L989&gt;0,L989*2.204623,))</f>
        <v>#REF!</v>
      </c>
      <c r="K989" t="str">
        <f>IF(L989&gt;0,L989*35.273962,IF(J989&gt;0,J989*16,))</f>
        <v>#REF!</v>
      </c>
      <c r="L989" t="str">
        <f>IF(J989&gt;0,J989*0.453592,IF(K989&gt;0,K989*0.02835,))</f>
        <v>#REF!</v>
      </c>
      <c r="O989">
        <f>I989+N989+M989</f>
        <v>0</v>
      </c>
      <c r="P989">
        <f>O989*C$3</f>
        <v>0</v>
      </c>
      <c r="Q989" t="str">
        <f>ROUNDUP(HLOOKUP(IF(CEILING(L989,0.5)&lt;1,1,CEILING(L989,0.5)),'배송비 조회'!A$32:AY$36,2,0),-2)</f>
        <v>#REF!</v>
      </c>
      <c r="R989">
        <v>0</v>
      </c>
      <c r="S989" t="str">
        <f>ROUND((P989+Q989)*0.6,-2)</f>
        <v>#REF!</v>
      </c>
      <c r="T989" t="str">
        <f>ROUND((P989+Q989)*0.7,-2)</f>
        <v>#REF!</v>
      </c>
      <c r="U989" t="str">
        <f>ROUND(SUM(P989+Q989+R989+S989), -2)</f>
        <v>#REF!</v>
      </c>
      <c r="V989" t="str">
        <f>ROUND(P989+Q989+R989+T989, -2)</f>
        <v>#REF!</v>
      </c>
      <c r="W989">
        <v>0</v>
      </c>
      <c r="X989" t="str">
        <f>U989*0.038</f>
        <v>#REF!</v>
      </c>
      <c r="Y989" t="str">
        <f>U989*0.02</f>
        <v>#REF!</v>
      </c>
      <c r="Z989" t="str">
        <f>V989*0.1</f>
        <v>#REF!</v>
      </c>
      <c r="AA989" t="str">
        <f>U989-X989-Y989</f>
        <v>#REF!</v>
      </c>
      <c r="AB989" t="str">
        <f>V989-Z989</f>
        <v>#REF!</v>
      </c>
      <c r="AC989" t="str">
        <f>AA989*0.01</f>
        <v>#REF!</v>
      </c>
      <c r="AD989" t="str">
        <f>AA989-P989-AC989-Q989</f>
        <v>#REF!</v>
      </c>
      <c r="AE989" t="str">
        <f>AB989-P989-Q989-AC989</f>
        <v>#REF!</v>
      </c>
      <c r="AF989" t="str">
        <f>AD989/U989</f>
        <v>#REF!</v>
      </c>
      <c r="AG989" t="str">
        <f>AE989/V989</f>
        <v>#REF!</v>
      </c>
    </row>
    <row r="990">
      <c r="G990" t="str">
        <v>A</v>
      </c>
      <c r="J990" t="str">
        <f>IF(K990&gt;0,K990*0.0625,IF(L990&gt;0,L990*2.204623,))</f>
        <v>#REF!</v>
      </c>
      <c r="K990" t="str">
        <f>IF(L990&gt;0,L990*35.273962,IF(J990&gt;0,J990*16,))</f>
        <v>#REF!</v>
      </c>
      <c r="L990" t="str">
        <f>IF(J990&gt;0,J990*0.453592,IF(K990&gt;0,K990*0.02835,))</f>
        <v>#REF!</v>
      </c>
      <c r="O990">
        <f>I990+N990+M990</f>
        <v>0</v>
      </c>
      <c r="P990">
        <f>O990*C$3</f>
        <v>0</v>
      </c>
      <c r="Q990" t="str">
        <f>ROUNDUP(HLOOKUP(IF(CEILING(L990,0.5)&lt;1,1,CEILING(L990,0.5)),'배송비 조회'!A$32:AY$36,2,0),-2)</f>
        <v>#REF!</v>
      </c>
      <c r="R990">
        <v>0</v>
      </c>
      <c r="S990" t="str">
        <f>ROUND((P990+Q990)*0.6,-2)</f>
        <v>#REF!</v>
      </c>
      <c r="T990" t="str">
        <f>ROUND((P990+Q990)*0.7,-2)</f>
        <v>#REF!</v>
      </c>
      <c r="U990" t="str">
        <f>ROUND(SUM(P990+Q990+R990+S990), -2)</f>
        <v>#REF!</v>
      </c>
      <c r="V990" t="str">
        <f>ROUND(P990+Q990+R990+T990, -2)</f>
        <v>#REF!</v>
      </c>
      <c r="W990">
        <v>0</v>
      </c>
      <c r="X990" t="str">
        <f>U990*0.038</f>
        <v>#REF!</v>
      </c>
      <c r="Y990" t="str">
        <f>U990*0.02</f>
        <v>#REF!</v>
      </c>
      <c r="Z990" t="str">
        <f>V990*0.1</f>
        <v>#REF!</v>
      </c>
      <c r="AA990" t="str">
        <f>U990-X990-Y990</f>
        <v>#REF!</v>
      </c>
      <c r="AB990" t="str">
        <f>V990-Z990</f>
        <v>#REF!</v>
      </c>
      <c r="AC990" t="str">
        <f>AA990*0.01</f>
        <v>#REF!</v>
      </c>
      <c r="AD990" t="str">
        <f>AA990-P990-AC990-Q990</f>
        <v>#REF!</v>
      </c>
      <c r="AE990" t="str">
        <f>AB990-P990-Q990-AC990</f>
        <v>#REF!</v>
      </c>
      <c r="AF990" t="str">
        <f>AD990/U990</f>
        <v>#REF!</v>
      </c>
      <c r="AG990" t="str">
        <f>AE990/V990</f>
        <v>#REF!</v>
      </c>
    </row>
    <row r="991">
      <c r="G991" t="str">
        <v>A</v>
      </c>
      <c r="J991" t="str">
        <f>IF(K991&gt;0,K991*0.0625,IF(L991&gt;0,L991*2.204623,))</f>
        <v>#REF!</v>
      </c>
      <c r="K991" t="str">
        <f>IF(L991&gt;0,L991*35.273962,IF(J991&gt;0,J991*16,))</f>
        <v>#REF!</v>
      </c>
      <c r="L991" t="str">
        <f>IF(J991&gt;0,J991*0.453592,IF(K991&gt;0,K991*0.02835,))</f>
        <v>#REF!</v>
      </c>
      <c r="O991">
        <f>I991+N991+M991</f>
        <v>0</v>
      </c>
      <c r="P991">
        <f>O991*C$3</f>
        <v>0</v>
      </c>
      <c r="Q991" t="str">
        <f>ROUNDUP(HLOOKUP(IF(CEILING(L991,0.5)&lt;1,1,CEILING(L991,0.5)),'배송비 조회'!A$32:AY$36,2,0),-2)</f>
        <v>#REF!</v>
      </c>
      <c r="R991">
        <v>0</v>
      </c>
      <c r="S991" t="str">
        <f>ROUND((P991+Q991)*0.6,-2)</f>
        <v>#REF!</v>
      </c>
      <c r="T991" t="str">
        <f>ROUND((P991+Q991)*0.7,-2)</f>
        <v>#REF!</v>
      </c>
      <c r="U991" t="str">
        <f>ROUND(SUM(P991+Q991+R991+S991), -2)</f>
        <v>#REF!</v>
      </c>
      <c r="V991" t="str">
        <f>ROUND(P991+Q991+R991+T991, -2)</f>
        <v>#REF!</v>
      </c>
      <c r="W991">
        <v>0</v>
      </c>
      <c r="X991" t="str">
        <f>U991*0.038</f>
        <v>#REF!</v>
      </c>
      <c r="Y991" t="str">
        <f>U991*0.02</f>
        <v>#REF!</v>
      </c>
      <c r="Z991" t="str">
        <f>V991*0.1</f>
        <v>#REF!</v>
      </c>
      <c r="AA991" t="str">
        <f>U991-X991-Y991</f>
        <v>#REF!</v>
      </c>
      <c r="AB991" t="str">
        <f>V991-Z991</f>
        <v>#REF!</v>
      </c>
      <c r="AC991" t="str">
        <f>AA991*0.01</f>
        <v>#REF!</v>
      </c>
      <c r="AD991" t="str">
        <f>AA991-P991-AC991-Q991</f>
        <v>#REF!</v>
      </c>
      <c r="AE991" t="str">
        <f>AB991-P991-Q991-AC991</f>
        <v>#REF!</v>
      </c>
      <c r="AF991" t="str">
        <f>AD991/U991</f>
        <v>#REF!</v>
      </c>
      <c r="AG991" t="str">
        <f>AE991/V991</f>
        <v>#REF!</v>
      </c>
    </row>
    <row r="992">
      <c r="G992" t="str">
        <v>A</v>
      </c>
      <c r="J992" t="str">
        <f>IF(K992&gt;0,K992*0.0625,IF(L992&gt;0,L992*2.204623,))</f>
        <v>#REF!</v>
      </c>
      <c r="K992" t="str">
        <f>IF(L992&gt;0,L992*35.273962,IF(J992&gt;0,J992*16,))</f>
        <v>#REF!</v>
      </c>
      <c r="L992" t="str">
        <f>IF(J992&gt;0,J992*0.453592,IF(K992&gt;0,K992*0.02835,))</f>
        <v>#REF!</v>
      </c>
      <c r="O992">
        <f>I992+N992+M992</f>
        <v>0</v>
      </c>
      <c r="P992">
        <f>O992*C$3</f>
        <v>0</v>
      </c>
      <c r="Q992" t="str">
        <f>ROUNDUP(HLOOKUP(IF(CEILING(L992,0.5)&lt;1,1,CEILING(L992,0.5)),'배송비 조회'!A$32:AY$36,2,0),-2)</f>
        <v>#REF!</v>
      </c>
      <c r="R992">
        <v>0</v>
      </c>
      <c r="S992" t="str">
        <f>ROUND((P992+Q992)*0.6,-2)</f>
        <v>#REF!</v>
      </c>
      <c r="T992" t="str">
        <f>ROUND((P992+Q992)*0.7,-2)</f>
        <v>#REF!</v>
      </c>
      <c r="U992" t="str">
        <f>ROUND(SUM(P992+Q992+R992+S992), -2)</f>
        <v>#REF!</v>
      </c>
      <c r="V992" t="str">
        <f>ROUND(P992+Q992+R992+T992, -2)</f>
        <v>#REF!</v>
      </c>
      <c r="W992">
        <v>0</v>
      </c>
      <c r="X992" t="str">
        <f>U992*0.038</f>
        <v>#REF!</v>
      </c>
      <c r="Y992" t="str">
        <f>U992*0.02</f>
        <v>#REF!</v>
      </c>
      <c r="Z992" t="str">
        <f>V992*0.1</f>
        <v>#REF!</v>
      </c>
      <c r="AA992" t="str">
        <f>U992-X992-Y992</f>
        <v>#REF!</v>
      </c>
      <c r="AB992" t="str">
        <f>V992-Z992</f>
        <v>#REF!</v>
      </c>
      <c r="AC992" t="str">
        <f>AA992*0.01</f>
        <v>#REF!</v>
      </c>
      <c r="AD992" t="str">
        <f>AA992-P992-AC992-Q992</f>
        <v>#REF!</v>
      </c>
      <c r="AE992" t="str">
        <f>AB992-P992-Q992-AC992</f>
        <v>#REF!</v>
      </c>
      <c r="AF992" t="str">
        <f>AD992/U992</f>
        <v>#REF!</v>
      </c>
      <c r="AG992" t="str">
        <f>AE992/V992</f>
        <v>#REF!</v>
      </c>
    </row>
    <row r="993">
      <c r="G993" t="str">
        <v>A</v>
      </c>
      <c r="J993" t="str">
        <f>IF(K993&gt;0,K993*0.0625,IF(L993&gt;0,L993*2.204623,))</f>
        <v>#REF!</v>
      </c>
      <c r="K993" t="str">
        <f>IF(L993&gt;0,L993*35.273962,IF(J993&gt;0,J993*16,))</f>
        <v>#REF!</v>
      </c>
      <c r="L993" t="str">
        <f>IF(J993&gt;0,J993*0.453592,IF(K993&gt;0,K993*0.02835,))</f>
        <v>#REF!</v>
      </c>
      <c r="O993">
        <f>I993+N993+M993</f>
        <v>0</v>
      </c>
      <c r="P993">
        <f>O993*C$3</f>
        <v>0</v>
      </c>
      <c r="Q993" t="str">
        <f>ROUNDUP(HLOOKUP(IF(CEILING(L993,0.5)&lt;1,1,CEILING(L993,0.5)),'배송비 조회'!A$32:AY$36,2,0),-2)</f>
        <v>#REF!</v>
      </c>
      <c r="R993">
        <v>0</v>
      </c>
      <c r="S993" t="str">
        <f>ROUND((P993+Q993)*0.6,-2)</f>
        <v>#REF!</v>
      </c>
      <c r="T993" t="str">
        <f>ROUND((P993+Q993)*0.7,-2)</f>
        <v>#REF!</v>
      </c>
      <c r="U993" t="str">
        <f>ROUND(SUM(P993+Q993+R993+S993), -2)</f>
        <v>#REF!</v>
      </c>
      <c r="V993" t="str">
        <f>ROUND(P993+Q993+R993+T993, -2)</f>
        <v>#REF!</v>
      </c>
      <c r="W993">
        <v>0</v>
      </c>
      <c r="X993" t="str">
        <f>U993*0.038</f>
        <v>#REF!</v>
      </c>
      <c r="Y993" t="str">
        <f>U993*0.02</f>
        <v>#REF!</v>
      </c>
      <c r="Z993" t="str">
        <f>V993*0.1</f>
        <v>#REF!</v>
      </c>
      <c r="AA993" t="str">
        <f>U993-X993-Y993</f>
        <v>#REF!</v>
      </c>
      <c r="AB993" t="str">
        <f>V993-Z993</f>
        <v>#REF!</v>
      </c>
      <c r="AC993" t="str">
        <f>AA993*0.01</f>
        <v>#REF!</v>
      </c>
      <c r="AD993" t="str">
        <f>AA993-P993-AC993-Q993</f>
        <v>#REF!</v>
      </c>
      <c r="AE993" t="str">
        <f>AB993-P993-Q993-AC993</f>
        <v>#REF!</v>
      </c>
      <c r="AF993" t="str">
        <f>AD993/U993</f>
        <v>#REF!</v>
      </c>
      <c r="AG993" t="str">
        <f>AE993/V993</f>
        <v>#REF!</v>
      </c>
    </row>
    <row r="994">
      <c r="G994" t="str">
        <v>A</v>
      </c>
      <c r="J994" t="str">
        <f>IF(K994&gt;0,K994*0.0625,IF(L994&gt;0,L994*2.204623,))</f>
        <v>#REF!</v>
      </c>
      <c r="K994" t="str">
        <f>IF(L994&gt;0,L994*35.273962,IF(J994&gt;0,J994*16,))</f>
        <v>#REF!</v>
      </c>
      <c r="L994" t="str">
        <f>IF(J994&gt;0,J994*0.453592,IF(K994&gt;0,K994*0.02835,))</f>
        <v>#REF!</v>
      </c>
      <c r="O994">
        <f>I994+N994+M994</f>
        <v>0</v>
      </c>
      <c r="P994">
        <f>O994*C$3</f>
        <v>0</v>
      </c>
      <c r="Q994" t="str">
        <f>ROUNDUP(HLOOKUP(IF(CEILING(L994,0.5)&lt;1,1,CEILING(L994,0.5)),'배송비 조회'!A$32:AY$36,2,0),-2)</f>
        <v>#REF!</v>
      </c>
      <c r="R994">
        <v>0</v>
      </c>
      <c r="S994" t="str">
        <f>ROUND((P994+Q994)*0.6,-2)</f>
        <v>#REF!</v>
      </c>
      <c r="T994" t="str">
        <f>ROUND((P994+Q994)*0.7,-2)</f>
        <v>#REF!</v>
      </c>
      <c r="U994" t="str">
        <f>ROUND(SUM(P994+Q994+R994+S994), -2)</f>
        <v>#REF!</v>
      </c>
      <c r="V994" t="str">
        <f>ROUND(P994+Q994+R994+T994, -2)</f>
        <v>#REF!</v>
      </c>
      <c r="W994">
        <v>0</v>
      </c>
      <c r="X994" t="str">
        <f>U994*0.038</f>
        <v>#REF!</v>
      </c>
      <c r="Y994" t="str">
        <f>U994*0.02</f>
        <v>#REF!</v>
      </c>
      <c r="Z994" t="str">
        <f>V994*0.1</f>
        <v>#REF!</v>
      </c>
      <c r="AA994" t="str">
        <f>U994-X994-Y994</f>
        <v>#REF!</v>
      </c>
      <c r="AB994" t="str">
        <f>V994-Z994</f>
        <v>#REF!</v>
      </c>
      <c r="AC994" t="str">
        <f>AA994*0.01</f>
        <v>#REF!</v>
      </c>
      <c r="AD994" t="str">
        <f>AA994-P994-AC994-Q994</f>
        <v>#REF!</v>
      </c>
      <c r="AE994" t="str">
        <f>AB994-P994-Q994-AC994</f>
        <v>#REF!</v>
      </c>
      <c r="AF994" t="str">
        <f>AD994/U994</f>
        <v>#REF!</v>
      </c>
      <c r="AG994" t="str">
        <f>AE994/V994</f>
        <v>#REF!</v>
      </c>
    </row>
    <row r="995">
      <c r="G995" t="str">
        <v>A</v>
      </c>
      <c r="J995" t="str">
        <f>IF(K995&gt;0,K995*0.0625,IF(L995&gt;0,L995*2.204623,))</f>
        <v>#REF!</v>
      </c>
      <c r="K995" t="str">
        <f>IF(L995&gt;0,L995*35.273962,IF(J995&gt;0,J995*16,))</f>
        <v>#REF!</v>
      </c>
      <c r="L995" t="str">
        <f>IF(J995&gt;0,J995*0.453592,IF(K995&gt;0,K995*0.02835,))</f>
        <v>#REF!</v>
      </c>
      <c r="O995">
        <f>I995+N995+M995</f>
        <v>0</v>
      </c>
      <c r="P995">
        <f>O995*C$3</f>
        <v>0</v>
      </c>
      <c r="Q995" t="str">
        <f>ROUNDUP(HLOOKUP(IF(CEILING(L995,0.5)&lt;1,1,CEILING(L995,0.5)),'배송비 조회'!A$32:AY$36,2,0),-2)</f>
        <v>#REF!</v>
      </c>
      <c r="R995">
        <v>0</v>
      </c>
      <c r="S995" t="str">
        <f>ROUND((P995+Q995)*0.6,-2)</f>
        <v>#REF!</v>
      </c>
      <c r="T995" t="str">
        <f>ROUND((P995+Q995)*0.7,-2)</f>
        <v>#REF!</v>
      </c>
      <c r="U995" t="str">
        <f>ROUND(SUM(P995+Q995+R995+S995), -2)</f>
        <v>#REF!</v>
      </c>
      <c r="V995" t="str">
        <f>ROUND(P995+Q995+R995+T995, -2)</f>
        <v>#REF!</v>
      </c>
      <c r="W995">
        <v>0</v>
      </c>
      <c r="X995" t="str">
        <f>U995*0.038</f>
        <v>#REF!</v>
      </c>
      <c r="Y995" t="str">
        <f>U995*0.02</f>
        <v>#REF!</v>
      </c>
      <c r="Z995" t="str">
        <f>V995*0.1</f>
        <v>#REF!</v>
      </c>
      <c r="AA995" t="str">
        <f>U995-X995-Y995</f>
        <v>#REF!</v>
      </c>
      <c r="AB995" t="str">
        <f>V995-Z995</f>
        <v>#REF!</v>
      </c>
      <c r="AC995" t="str">
        <f>AA995*0.01</f>
        <v>#REF!</v>
      </c>
      <c r="AD995" t="str">
        <f>AA995-P995-AC995-Q995</f>
        <v>#REF!</v>
      </c>
      <c r="AE995" t="str">
        <f>AB995-P995-Q995-AC995</f>
        <v>#REF!</v>
      </c>
      <c r="AF995" t="str">
        <f>AD995/U995</f>
        <v>#REF!</v>
      </c>
      <c r="AG995" t="str">
        <f>AE995/V995</f>
        <v>#REF!</v>
      </c>
    </row>
    <row r="996">
      <c r="G996" t="str">
        <v>A</v>
      </c>
      <c r="J996" t="str">
        <f>IF(K996&gt;0,K996*0.0625,IF(L996&gt;0,L996*2.204623,))</f>
        <v>#REF!</v>
      </c>
      <c r="K996" t="str">
        <f>IF(L996&gt;0,L996*35.273962,IF(J996&gt;0,J996*16,))</f>
        <v>#REF!</v>
      </c>
      <c r="L996" t="str">
        <f>IF(J996&gt;0,J996*0.453592,IF(K996&gt;0,K996*0.02835,))</f>
        <v>#REF!</v>
      </c>
      <c r="O996">
        <f>I996+N996+M996</f>
        <v>0</v>
      </c>
      <c r="P996">
        <f>O996*C$3</f>
        <v>0</v>
      </c>
      <c r="Q996" t="str">
        <f>ROUNDUP(HLOOKUP(IF(CEILING(L996,0.5)&lt;1,1,CEILING(L996,0.5)),'배송비 조회'!A$32:AY$36,2,0),-2)</f>
        <v>#REF!</v>
      </c>
      <c r="R996">
        <v>0</v>
      </c>
      <c r="S996" t="str">
        <f>ROUND((P996+Q996)*0.6,-2)</f>
        <v>#REF!</v>
      </c>
      <c r="T996" t="str">
        <f>ROUND((P996+Q996)*0.7,-2)</f>
        <v>#REF!</v>
      </c>
      <c r="U996" t="str">
        <f>ROUND(SUM(P996+Q996+R996+S996), -2)</f>
        <v>#REF!</v>
      </c>
      <c r="V996" t="str">
        <f>ROUND(P996+Q996+R996+T996, -2)</f>
        <v>#REF!</v>
      </c>
      <c r="W996">
        <v>0</v>
      </c>
      <c r="X996" t="str">
        <f>U996*0.038</f>
        <v>#REF!</v>
      </c>
      <c r="Y996" t="str">
        <f>U996*0.02</f>
        <v>#REF!</v>
      </c>
      <c r="Z996" t="str">
        <f>V996*0.1</f>
        <v>#REF!</v>
      </c>
      <c r="AA996" t="str">
        <f>U996-X996-Y996</f>
        <v>#REF!</v>
      </c>
      <c r="AB996" t="str">
        <f>V996-Z996</f>
        <v>#REF!</v>
      </c>
      <c r="AC996" t="str">
        <f>AA996*0.01</f>
        <v>#REF!</v>
      </c>
      <c r="AD996" t="str">
        <f>AA996-P996-AC996-Q996</f>
        <v>#REF!</v>
      </c>
      <c r="AE996" t="str">
        <f>AB996-P996-Q996-AC996</f>
        <v>#REF!</v>
      </c>
      <c r="AF996" t="str">
        <f>AD996/U996</f>
        <v>#REF!</v>
      </c>
      <c r="AG996" t="str">
        <f>AE996/V996</f>
        <v>#REF!</v>
      </c>
    </row>
    <row r="997">
      <c r="G997" t="str">
        <v>A</v>
      </c>
      <c r="J997" t="str">
        <f>IF(K997&gt;0,K997*0.0625,IF(L997&gt;0,L997*2.204623,))</f>
        <v>#REF!</v>
      </c>
      <c r="K997" t="str">
        <f>IF(L997&gt;0,L997*35.273962,IF(J997&gt;0,J997*16,))</f>
        <v>#REF!</v>
      </c>
      <c r="L997" t="str">
        <f>IF(J997&gt;0,J997*0.453592,IF(K997&gt;0,K997*0.02835,))</f>
        <v>#REF!</v>
      </c>
      <c r="O997">
        <f>I997+N997+M997</f>
        <v>0</v>
      </c>
      <c r="P997">
        <f>O997*C$3</f>
        <v>0</v>
      </c>
      <c r="Q997" t="str">
        <f>ROUNDUP(HLOOKUP(IF(CEILING(L997,0.5)&lt;1,1,CEILING(L997,0.5)),'배송비 조회'!A$32:AY$36,2,0),-2)</f>
        <v>#REF!</v>
      </c>
      <c r="R997">
        <v>0</v>
      </c>
      <c r="S997" t="str">
        <f>ROUND((P997+Q997)*0.6,-2)</f>
        <v>#REF!</v>
      </c>
      <c r="T997" t="str">
        <f>ROUND((P997+Q997)*0.7,-2)</f>
        <v>#REF!</v>
      </c>
      <c r="U997" t="str">
        <f>ROUND(SUM(P997+Q997+R997+S997), -2)</f>
        <v>#REF!</v>
      </c>
      <c r="V997" t="str">
        <f>ROUND(P997+Q997+R997+T997, -2)</f>
        <v>#REF!</v>
      </c>
      <c r="W997">
        <v>0</v>
      </c>
      <c r="X997" t="str">
        <f>U997*0.038</f>
        <v>#REF!</v>
      </c>
      <c r="Y997" t="str">
        <f>U997*0.02</f>
        <v>#REF!</v>
      </c>
      <c r="Z997" t="str">
        <f>V997*0.1</f>
        <v>#REF!</v>
      </c>
      <c r="AA997" t="str">
        <f>U997-X997-Y997</f>
        <v>#REF!</v>
      </c>
      <c r="AB997" t="str">
        <f>V997-Z997</f>
        <v>#REF!</v>
      </c>
      <c r="AC997" t="str">
        <f>AA997*0.01</f>
        <v>#REF!</v>
      </c>
      <c r="AD997" t="str">
        <f>AA997-P997-AC997-Q997</f>
        <v>#REF!</v>
      </c>
      <c r="AE997" t="str">
        <f>AB997-P997-Q997-AC997</f>
        <v>#REF!</v>
      </c>
      <c r="AF997" t="str">
        <f>AD997/U997</f>
        <v>#REF!</v>
      </c>
      <c r="AG997" t="str">
        <f>AE997/V997</f>
        <v>#REF!</v>
      </c>
    </row>
    <row r="998">
      <c r="G998" t="str">
        <v>A</v>
      </c>
      <c r="J998" t="str">
        <f>IF(K998&gt;0,K998*0.0625,IF(L998&gt;0,L998*2.204623,))</f>
        <v>#REF!</v>
      </c>
      <c r="K998" t="str">
        <f>IF(L998&gt;0,L998*35.273962,IF(J998&gt;0,J998*16,))</f>
        <v>#REF!</v>
      </c>
      <c r="L998" t="str">
        <f>IF(J998&gt;0,J998*0.453592,IF(K998&gt;0,K998*0.02835,))</f>
        <v>#REF!</v>
      </c>
      <c r="O998">
        <f>I998+N998+M998</f>
        <v>0</v>
      </c>
      <c r="P998">
        <f>O998*C$3</f>
        <v>0</v>
      </c>
      <c r="Q998" t="str">
        <f>ROUNDUP(HLOOKUP(IF(CEILING(L998,0.5)&lt;1,1,CEILING(L998,0.5)),'배송비 조회'!A$32:AY$36,2,0),-2)</f>
        <v>#REF!</v>
      </c>
      <c r="R998">
        <v>0</v>
      </c>
      <c r="S998" t="str">
        <f>ROUND((P998+Q998)*0.6,-2)</f>
        <v>#REF!</v>
      </c>
      <c r="T998" t="str">
        <f>ROUND((P998+Q998)*0.7,-2)</f>
        <v>#REF!</v>
      </c>
      <c r="U998" t="str">
        <f>ROUND(SUM(P998+Q998+R998+S998), -2)</f>
        <v>#REF!</v>
      </c>
      <c r="V998" t="str">
        <f>ROUND(P998+Q998+R998+T998, -2)</f>
        <v>#REF!</v>
      </c>
      <c r="W998">
        <v>0</v>
      </c>
      <c r="X998" t="str">
        <f>U998*0.038</f>
        <v>#REF!</v>
      </c>
      <c r="Y998" t="str">
        <f>U998*0.02</f>
        <v>#REF!</v>
      </c>
      <c r="Z998" t="str">
        <f>V998*0.1</f>
        <v>#REF!</v>
      </c>
      <c r="AA998" t="str">
        <f>U998-X998-Y998</f>
        <v>#REF!</v>
      </c>
      <c r="AB998" t="str">
        <f>V998-Z998</f>
        <v>#REF!</v>
      </c>
      <c r="AC998" t="str">
        <f>AA998*0.01</f>
        <v>#REF!</v>
      </c>
      <c r="AD998" t="str">
        <f>AA998-P998-AC998-Q998</f>
        <v>#REF!</v>
      </c>
      <c r="AE998" t="str">
        <f>AB998-P998-Q998-AC998</f>
        <v>#REF!</v>
      </c>
      <c r="AF998" t="str">
        <f>AD998/U998</f>
        <v>#REF!</v>
      </c>
      <c r="AG998" t="str">
        <f>AE998/V998</f>
        <v>#REF!</v>
      </c>
    </row>
    <row r="999">
      <c r="G999" t="str">
        <v>A</v>
      </c>
      <c r="J999" t="str">
        <f>IF(K999&gt;0,K999*0.0625,IF(L999&gt;0,L999*2.204623,))</f>
        <v>#REF!</v>
      </c>
      <c r="K999" t="str">
        <f>IF(L999&gt;0,L999*35.273962,IF(J999&gt;0,J999*16,))</f>
        <v>#REF!</v>
      </c>
      <c r="L999" t="str">
        <f>IF(J999&gt;0,J999*0.453592,IF(K999&gt;0,K999*0.02835,))</f>
        <v>#REF!</v>
      </c>
      <c r="O999">
        <f>I999+N999+M999</f>
        <v>0</v>
      </c>
      <c r="P999">
        <f>O999*C$3</f>
        <v>0</v>
      </c>
      <c r="Q999" t="str">
        <f>ROUNDUP(HLOOKUP(IF(CEILING(L999,0.5)&lt;1,1,CEILING(L999,0.5)),'배송비 조회'!A$32:AY$36,2,0),-2)</f>
        <v>#REF!</v>
      </c>
      <c r="R999">
        <v>0</v>
      </c>
      <c r="S999" t="str">
        <f>ROUND((P999+Q999)*0.6,-2)</f>
        <v>#REF!</v>
      </c>
      <c r="T999" t="str">
        <f>ROUND((P999+Q999)*0.7,-2)</f>
        <v>#REF!</v>
      </c>
      <c r="U999" t="str">
        <f>ROUND(SUM(P999+Q999+R999+S999), -2)</f>
        <v>#REF!</v>
      </c>
      <c r="V999" t="str">
        <f>ROUND(P999+Q999+R999+T999, -2)</f>
        <v>#REF!</v>
      </c>
      <c r="W999">
        <v>0</v>
      </c>
      <c r="X999" t="str">
        <f>U999*0.038</f>
        <v>#REF!</v>
      </c>
      <c r="Y999" t="str">
        <f>U999*0.02</f>
        <v>#REF!</v>
      </c>
      <c r="Z999" t="str">
        <f>V999*0.1</f>
        <v>#REF!</v>
      </c>
      <c r="AA999" t="str">
        <f>U999-X999-Y999</f>
        <v>#REF!</v>
      </c>
      <c r="AB999" t="str">
        <f>V999-Z999</f>
        <v>#REF!</v>
      </c>
      <c r="AC999" t="str">
        <f>AA999*0.01</f>
        <v>#REF!</v>
      </c>
      <c r="AD999" t="str">
        <f>AA999-P999-AC999-Q999</f>
        <v>#REF!</v>
      </c>
      <c r="AE999" t="str">
        <f>AB999-P999-Q999-AC999</f>
        <v>#REF!</v>
      </c>
      <c r="AF999" t="str">
        <f>AD999/U999</f>
        <v>#REF!</v>
      </c>
      <c r="AG999" t="str">
        <f>AE999/V999</f>
        <v>#REF!</v>
      </c>
    </row>
    <row r="1000">
      <c r="G1000" t="str">
        <v>A</v>
      </c>
      <c r="J1000" t="str">
        <f>IF(K1000&gt;0,K1000*0.0625,IF(L1000&gt;0,L1000*2.204623,))</f>
        <v>#REF!</v>
      </c>
      <c r="K1000" t="str">
        <f>IF(L1000&gt;0,L1000*35.273962,IF(J1000&gt;0,J1000*16,))</f>
        <v>#REF!</v>
      </c>
      <c r="L1000" t="str">
        <f>IF(J1000&gt;0,J1000*0.453592,IF(K1000&gt;0,K1000*0.02835,))</f>
        <v>#REF!</v>
      </c>
      <c r="O1000">
        <f>I1000+N1000+M1000</f>
        <v>0</v>
      </c>
      <c r="P1000">
        <f>O1000*C$3</f>
        <v>0</v>
      </c>
      <c r="Q1000" t="str">
        <f>ROUNDUP(HLOOKUP(IF(CEILING(L1000,0.5)&lt;1,1,CEILING(L1000,0.5)),'배송비 조회'!A$32:AY$36,2,0),-2)</f>
        <v>#REF!</v>
      </c>
      <c r="R1000">
        <v>0</v>
      </c>
      <c r="S1000" t="str">
        <f>ROUND((P1000+Q1000)*0.6,-2)</f>
        <v>#REF!</v>
      </c>
      <c r="T1000" t="str">
        <f>ROUND((P1000+Q1000)*0.7,-2)</f>
        <v>#REF!</v>
      </c>
      <c r="U1000" t="str">
        <f>ROUND(SUM(P1000+Q1000+R1000+S1000), -2)</f>
        <v>#REF!</v>
      </c>
      <c r="V1000" t="str">
        <f>ROUND(P1000+Q1000+R1000+T1000, -2)</f>
        <v>#REF!</v>
      </c>
      <c r="W1000">
        <v>0</v>
      </c>
      <c r="X1000" t="str">
        <f>U1000*0.038</f>
        <v>#REF!</v>
      </c>
      <c r="Y1000" t="str">
        <f>U1000*0.02</f>
        <v>#REF!</v>
      </c>
      <c r="Z1000" t="str">
        <f>V1000*0.1</f>
        <v>#REF!</v>
      </c>
      <c r="AA1000" t="str">
        <f>U1000-X1000-Y1000</f>
        <v>#REF!</v>
      </c>
      <c r="AB1000" t="str">
        <f>V1000-Z1000</f>
        <v>#REF!</v>
      </c>
      <c r="AC1000" t="str">
        <f>AA1000*0.01</f>
        <v>#REF!</v>
      </c>
      <c r="AD1000" t="str">
        <f>AA1000-P1000-AC1000-Q1000</f>
        <v>#REF!</v>
      </c>
      <c r="AE1000" t="str">
        <f>AB1000-P1000-Q1000-AC1000</f>
        <v>#REF!</v>
      </c>
      <c r="AF1000" t="str">
        <f>AD1000/U1000</f>
        <v>#REF!</v>
      </c>
      <c r="AG1000" t="str">
        <f>AE1000/V1000</f>
        <v>#REF!</v>
      </c>
    </row>
    <row r="1001">
      <c r="G1001" t="str">
        <v>A</v>
      </c>
      <c r="J1001" t="str">
        <f>IF(K1001&gt;0,K1001*0.0625,IF(L1001&gt;0,L1001*2.204623,))</f>
        <v>#REF!</v>
      </c>
      <c r="K1001" t="str">
        <f>IF(L1001&gt;0,L1001*35.273962,IF(J1001&gt;0,J1001*16,))</f>
        <v>#REF!</v>
      </c>
      <c r="L1001" t="str">
        <f>IF(J1001&gt;0,J1001*0.453592,IF(K1001&gt;0,K1001*0.02835,))</f>
        <v>#REF!</v>
      </c>
      <c r="O1001">
        <f>I1001+N1001+M1001</f>
        <v>0</v>
      </c>
      <c r="P1001">
        <f>O1001*C$3</f>
        <v>0</v>
      </c>
      <c r="Q1001" t="str">
        <f>ROUNDUP(HLOOKUP(IF(CEILING(L1001,0.5)&lt;1,1,CEILING(L1001,0.5)),'배송비 조회'!A$32:AY$36,2,0),-2)</f>
        <v>#REF!</v>
      </c>
      <c r="R1001">
        <v>0</v>
      </c>
      <c r="S1001" t="str">
        <f>ROUND((P1001+Q1001)*0.6,-2)</f>
        <v>#REF!</v>
      </c>
      <c r="T1001" t="str">
        <f>ROUND((P1001+Q1001)*0.7,-2)</f>
        <v>#REF!</v>
      </c>
      <c r="U1001" t="str">
        <f>ROUND(SUM(P1001+Q1001+R1001+S1001), -2)</f>
        <v>#REF!</v>
      </c>
      <c r="V1001" t="str">
        <f>ROUND(P1001+Q1001+R1001+T1001, -2)</f>
        <v>#REF!</v>
      </c>
      <c r="W1001">
        <v>0</v>
      </c>
      <c r="X1001" t="str">
        <f>U1001*0.038</f>
        <v>#REF!</v>
      </c>
      <c r="Y1001" t="str">
        <f>U1001*0.02</f>
        <v>#REF!</v>
      </c>
      <c r="Z1001" t="str">
        <f>V1001*0.1</f>
        <v>#REF!</v>
      </c>
      <c r="AA1001" t="str">
        <f>U1001-X1001-Y1001</f>
        <v>#REF!</v>
      </c>
      <c r="AB1001" t="str">
        <f>V1001-Z1001</f>
        <v>#REF!</v>
      </c>
      <c r="AC1001" t="str">
        <f>AA1001*0.01</f>
        <v>#REF!</v>
      </c>
      <c r="AD1001" t="str">
        <f>AA1001-P1001-AC1001-Q1001</f>
        <v>#REF!</v>
      </c>
      <c r="AE1001" t="str">
        <f>AB1001-P1001-Q1001-AC1001</f>
        <v>#REF!</v>
      </c>
      <c r="AF1001" t="str">
        <f>AD1001/U1001</f>
        <v>#REF!</v>
      </c>
      <c r="AG1001" t="str">
        <f>AE1001/V1001</f>
        <v>#REF!</v>
      </c>
    </row>
    <row r="1002">
      <c r="G1002" t="str">
        <v>A</v>
      </c>
      <c r="J1002" t="str">
        <f>IF(K1002&gt;0,K1002*0.0625,IF(L1002&gt;0,L1002*2.204623,))</f>
        <v>#REF!</v>
      </c>
      <c r="K1002" t="str">
        <f>IF(L1002&gt;0,L1002*35.273962,IF(J1002&gt;0,J1002*16,))</f>
        <v>#REF!</v>
      </c>
      <c r="L1002" t="str">
        <f>IF(J1002&gt;0,J1002*0.453592,IF(K1002&gt;0,K1002*0.02835,))</f>
        <v>#REF!</v>
      </c>
      <c r="O1002">
        <f>I1002+N1002+M1002</f>
        <v>0</v>
      </c>
      <c r="P1002">
        <f>O1002*C$3</f>
        <v>0</v>
      </c>
      <c r="Q1002" t="str">
        <f>ROUNDUP(HLOOKUP(IF(CEILING(L1002,0.5)&lt;1,1,CEILING(L1002,0.5)),'배송비 조회'!A$32:AY$36,2,0),-2)</f>
        <v>#REF!</v>
      </c>
      <c r="R1002">
        <v>0</v>
      </c>
      <c r="S1002" t="str">
        <f>ROUND((P1002+Q1002)*0.6,-2)</f>
        <v>#REF!</v>
      </c>
      <c r="T1002" t="str">
        <f>ROUND((P1002+Q1002)*0.7,-2)</f>
        <v>#REF!</v>
      </c>
      <c r="U1002" t="str">
        <f>ROUND(SUM(P1002+Q1002+R1002+S1002), -2)</f>
        <v>#REF!</v>
      </c>
      <c r="V1002" t="str">
        <f>ROUND(P1002+Q1002+R1002+T1002, -2)</f>
        <v>#REF!</v>
      </c>
      <c r="W1002">
        <v>0</v>
      </c>
      <c r="X1002" t="str">
        <f>U1002*0.038</f>
        <v>#REF!</v>
      </c>
      <c r="Y1002" t="str">
        <f>U1002*0.02</f>
        <v>#REF!</v>
      </c>
      <c r="Z1002" t="str">
        <f>V1002*0.1</f>
        <v>#REF!</v>
      </c>
      <c r="AA1002" t="str">
        <f>U1002-X1002-Y1002</f>
        <v>#REF!</v>
      </c>
      <c r="AB1002" t="str">
        <f>V1002-Z1002</f>
        <v>#REF!</v>
      </c>
      <c r="AC1002" t="str">
        <f>AA1002*0.01</f>
        <v>#REF!</v>
      </c>
      <c r="AD1002" t="str">
        <f>AA1002-P1002-AC1002-Q1002</f>
        <v>#REF!</v>
      </c>
      <c r="AE1002" t="str">
        <f>AB1002-P1002-Q1002-AC1002</f>
        <v>#REF!</v>
      </c>
      <c r="AF1002" t="str">
        <f>AD1002/U1002</f>
        <v>#REF!</v>
      </c>
      <c r="AG1002" t="str">
        <f>AE1002/V1002</f>
        <v>#REF!</v>
      </c>
    </row>
    <row r="1003">
      <c r="G1003" t="str">
        <v>A</v>
      </c>
      <c r="J1003" t="str">
        <f>IF(K1003&gt;0,K1003*0.0625,IF(L1003&gt;0,L1003*2.204623,))</f>
        <v>#REF!</v>
      </c>
      <c r="K1003" t="str">
        <f>IF(L1003&gt;0,L1003*35.273962,IF(J1003&gt;0,J1003*16,))</f>
        <v>#REF!</v>
      </c>
      <c r="L1003" t="str">
        <f>IF(J1003&gt;0,J1003*0.453592,IF(K1003&gt;0,K1003*0.02835,))</f>
        <v>#REF!</v>
      </c>
      <c r="O1003">
        <f>I1003+N1003+M1003</f>
        <v>0</v>
      </c>
      <c r="P1003">
        <f>O1003*C$3</f>
        <v>0</v>
      </c>
      <c r="Q1003" t="str">
        <f>ROUNDUP(HLOOKUP(IF(CEILING(L1003,0.5)&lt;1,1,CEILING(L1003,0.5)),'배송비 조회'!A$32:AY$36,2,0),-2)</f>
        <v>#REF!</v>
      </c>
      <c r="R1003">
        <v>0</v>
      </c>
      <c r="S1003" t="str">
        <f>ROUND((P1003+Q1003)*0.6,-2)</f>
        <v>#REF!</v>
      </c>
      <c r="T1003" t="str">
        <f>ROUND((P1003+Q1003)*0.7,-2)</f>
        <v>#REF!</v>
      </c>
      <c r="U1003" t="str">
        <f>ROUND(SUM(P1003+Q1003+R1003+S1003), -2)</f>
        <v>#REF!</v>
      </c>
      <c r="V1003" t="str">
        <f>ROUND(P1003+Q1003+R1003+T1003, -2)</f>
        <v>#REF!</v>
      </c>
      <c r="W1003">
        <v>0</v>
      </c>
      <c r="X1003" t="str">
        <f>U1003*0.038</f>
        <v>#REF!</v>
      </c>
      <c r="Y1003" t="str">
        <f>U1003*0.02</f>
        <v>#REF!</v>
      </c>
      <c r="Z1003" t="str">
        <f>V1003*0.1</f>
        <v>#REF!</v>
      </c>
      <c r="AA1003" t="str">
        <f>U1003-X1003-Y1003</f>
        <v>#REF!</v>
      </c>
      <c r="AB1003" t="str">
        <f>V1003-Z1003</f>
        <v>#REF!</v>
      </c>
      <c r="AC1003" t="str">
        <f>AA1003*0.01</f>
        <v>#REF!</v>
      </c>
      <c r="AD1003" t="str">
        <f>AA1003-P1003-AC1003-Q1003</f>
        <v>#REF!</v>
      </c>
      <c r="AE1003" t="str">
        <f>AB1003-P1003-Q1003-AC1003</f>
        <v>#REF!</v>
      </c>
      <c r="AF1003" t="str">
        <f>AD1003/U1003</f>
        <v>#REF!</v>
      </c>
      <c r="AG1003" t="str">
        <f>AE1003/V1003</f>
        <v>#REF!</v>
      </c>
    </row>
    <row r="1004">
      <c r="G1004" t="str">
        <v>A</v>
      </c>
      <c r="J1004" t="str">
        <f>IF(K1004&gt;0,K1004*0.0625,IF(L1004&gt;0,L1004*2.204623,))</f>
        <v>#REF!</v>
      </c>
      <c r="K1004" t="str">
        <f>IF(L1004&gt;0,L1004*35.273962,IF(J1004&gt;0,J1004*16,))</f>
        <v>#REF!</v>
      </c>
      <c r="L1004" t="str">
        <f>IF(J1004&gt;0,J1004*0.453592,IF(K1004&gt;0,K1004*0.02835,))</f>
        <v>#REF!</v>
      </c>
      <c r="O1004">
        <f>I1004+N1004+M1004</f>
        <v>0</v>
      </c>
      <c r="P1004">
        <f>O1004*C$3</f>
        <v>0</v>
      </c>
      <c r="Q1004" t="str">
        <f>ROUNDUP(HLOOKUP(IF(CEILING(L1004,0.5)&lt;1,1,CEILING(L1004,0.5)),'배송비 조회'!A$32:AY$36,2,0),-2)</f>
        <v>#REF!</v>
      </c>
      <c r="R1004">
        <v>0</v>
      </c>
      <c r="S1004" t="str">
        <f>ROUND((P1004+Q1004)*0.6,-2)</f>
        <v>#REF!</v>
      </c>
      <c r="T1004" t="str">
        <f>ROUND((P1004+Q1004)*0.7,-2)</f>
        <v>#REF!</v>
      </c>
      <c r="U1004" t="str">
        <f>ROUND(SUM(P1004+Q1004+R1004+S1004), -2)</f>
        <v>#REF!</v>
      </c>
      <c r="V1004" t="str">
        <f>ROUND(P1004+Q1004+R1004+T1004, -2)</f>
        <v>#REF!</v>
      </c>
      <c r="W1004">
        <v>0</v>
      </c>
      <c r="X1004" t="str">
        <f>U1004*0.038</f>
        <v>#REF!</v>
      </c>
      <c r="Y1004" t="str">
        <f>U1004*0.02</f>
        <v>#REF!</v>
      </c>
      <c r="Z1004" t="str">
        <f>V1004*0.1</f>
        <v>#REF!</v>
      </c>
      <c r="AA1004" t="str">
        <f>U1004-X1004-Y1004</f>
        <v>#REF!</v>
      </c>
      <c r="AB1004" t="str">
        <f>V1004-Z1004</f>
        <v>#REF!</v>
      </c>
      <c r="AC1004" t="str">
        <f>AA1004*0.01</f>
        <v>#REF!</v>
      </c>
      <c r="AD1004" t="str">
        <f>AA1004-P1004-AC1004-Q1004</f>
        <v>#REF!</v>
      </c>
      <c r="AE1004" t="str">
        <f>AB1004-P1004-Q1004-AC1004</f>
        <v>#REF!</v>
      </c>
      <c r="AF1004" t="str">
        <f>AD1004/U1004</f>
        <v>#REF!</v>
      </c>
      <c r="AG1004" t="str">
        <f>AE1004/V1004</f>
        <v>#REF!</v>
      </c>
    </row>
    <row r="1005">
      <c r="G1005" t="str">
        <v>A</v>
      </c>
      <c r="J1005" t="str">
        <f>IF(K1005&gt;0,K1005*0.0625,IF(L1005&gt;0,L1005*2.204623,))</f>
        <v>#REF!</v>
      </c>
      <c r="K1005" t="str">
        <f>IF(L1005&gt;0,L1005*35.273962,IF(J1005&gt;0,J1005*16,))</f>
        <v>#REF!</v>
      </c>
      <c r="L1005" t="str">
        <f>IF(J1005&gt;0,J1005*0.453592,IF(K1005&gt;0,K1005*0.02835,))</f>
        <v>#REF!</v>
      </c>
      <c r="O1005">
        <f>I1005+N1005+M1005</f>
        <v>0</v>
      </c>
      <c r="P1005">
        <f>O1005*C$3</f>
        <v>0</v>
      </c>
      <c r="Q1005" t="str">
        <f>ROUNDUP(HLOOKUP(IF(CEILING(L1005,0.5)&lt;1,1,CEILING(L1005,0.5)),'배송비 조회'!A$32:AY$36,2,0),-2)</f>
        <v>#REF!</v>
      </c>
      <c r="R1005">
        <v>0</v>
      </c>
      <c r="S1005" t="str">
        <f>ROUND((P1005+Q1005)*0.6,-2)</f>
        <v>#REF!</v>
      </c>
      <c r="T1005" t="str">
        <f>ROUND((P1005+Q1005)*0.7,-2)</f>
        <v>#REF!</v>
      </c>
      <c r="U1005" t="str">
        <f>ROUND(SUM(P1005+Q1005+R1005+S1005), -2)</f>
        <v>#REF!</v>
      </c>
      <c r="V1005" t="str">
        <f>ROUND(P1005+Q1005+R1005+T1005, -2)</f>
        <v>#REF!</v>
      </c>
      <c r="W1005">
        <v>0</v>
      </c>
      <c r="X1005" t="str">
        <f>U1005*0.038</f>
        <v>#REF!</v>
      </c>
      <c r="Y1005" t="str">
        <f>U1005*0.02</f>
        <v>#REF!</v>
      </c>
      <c r="Z1005" t="str">
        <f>V1005*0.1</f>
        <v>#REF!</v>
      </c>
      <c r="AA1005" t="str">
        <f>U1005-X1005-Y1005</f>
        <v>#REF!</v>
      </c>
      <c r="AB1005" t="str">
        <f>V1005-Z1005</f>
        <v>#REF!</v>
      </c>
      <c r="AC1005" t="str">
        <f>AA1005*0.01</f>
        <v>#REF!</v>
      </c>
      <c r="AD1005" t="str">
        <f>AA1005-P1005-AC1005-Q1005</f>
        <v>#REF!</v>
      </c>
      <c r="AE1005" t="str">
        <f>AB1005-P1005-Q1005-AC1005</f>
        <v>#REF!</v>
      </c>
      <c r="AF1005" t="str">
        <f>AD1005/U1005</f>
        <v>#REF!</v>
      </c>
      <c r="AG1005" t="str">
        <f>AE1005/V1005</f>
        <v>#REF!</v>
      </c>
    </row>
    <row r="1006">
      <c r="G1006" t="str">
        <v>A</v>
      </c>
      <c r="J1006" t="str">
        <f>IF(K1006&gt;0,K1006*0.0625,IF(L1006&gt;0,L1006*2.204623,))</f>
        <v>#REF!</v>
      </c>
      <c r="K1006" t="str">
        <f>IF(L1006&gt;0,L1006*35.273962,IF(J1006&gt;0,J1006*16,))</f>
        <v>#REF!</v>
      </c>
      <c r="L1006" t="str">
        <f>IF(J1006&gt;0,J1006*0.453592,IF(K1006&gt;0,K1006*0.02835,))</f>
        <v>#REF!</v>
      </c>
      <c r="O1006">
        <f>I1006+N1006+M1006</f>
        <v>0</v>
      </c>
      <c r="P1006">
        <f>O1006*C$3</f>
        <v>0</v>
      </c>
      <c r="Q1006" t="str">
        <f>ROUNDUP(HLOOKUP(IF(CEILING(L1006,0.5)&lt;1,1,CEILING(L1006,0.5)),'배송비 조회'!A$32:AY$36,2,0),-2)</f>
        <v>#REF!</v>
      </c>
      <c r="R1006">
        <v>0</v>
      </c>
      <c r="S1006" t="str">
        <f>ROUND((P1006+Q1006)*0.6,-2)</f>
        <v>#REF!</v>
      </c>
      <c r="T1006" t="str">
        <f>ROUND((P1006+Q1006)*0.7,-2)</f>
        <v>#REF!</v>
      </c>
      <c r="U1006" t="str">
        <f>ROUND(SUM(P1006+Q1006+R1006+S1006), -2)</f>
        <v>#REF!</v>
      </c>
      <c r="V1006" t="str">
        <f>ROUND(P1006+Q1006+R1006+T1006, -2)</f>
        <v>#REF!</v>
      </c>
      <c r="W1006">
        <v>0</v>
      </c>
      <c r="X1006" t="str">
        <f>U1006*0.038</f>
        <v>#REF!</v>
      </c>
      <c r="Y1006" t="str">
        <f>U1006*0.02</f>
        <v>#REF!</v>
      </c>
      <c r="Z1006" t="str">
        <f>V1006*0.1</f>
        <v>#REF!</v>
      </c>
      <c r="AA1006" t="str">
        <f>U1006-X1006-Y1006</f>
        <v>#REF!</v>
      </c>
      <c r="AB1006" t="str">
        <f>V1006-Z1006</f>
        <v>#REF!</v>
      </c>
      <c r="AC1006" t="str">
        <f>AA1006*0.01</f>
        <v>#REF!</v>
      </c>
      <c r="AD1006" t="str">
        <f>AA1006-P1006-AC1006-Q1006</f>
        <v>#REF!</v>
      </c>
      <c r="AE1006" t="str">
        <f>AB1006-P1006-Q1006-AC1006</f>
        <v>#REF!</v>
      </c>
      <c r="AF1006" t="str">
        <f>AD1006/U1006</f>
        <v>#REF!</v>
      </c>
      <c r="AG1006" t="str">
        <f>AE1006/V1006</f>
        <v>#REF!</v>
      </c>
    </row>
    <row r="1007">
      <c r="G1007" t="str">
        <v>A</v>
      </c>
      <c r="J1007" t="str">
        <f>IF(K1007&gt;0,K1007*0.0625,IF(L1007&gt;0,L1007*2.204623,))</f>
        <v>#REF!</v>
      </c>
      <c r="K1007" t="str">
        <f>IF(L1007&gt;0,L1007*35.273962,IF(J1007&gt;0,J1007*16,))</f>
        <v>#REF!</v>
      </c>
      <c r="L1007" t="str">
        <f>IF(J1007&gt;0,J1007*0.453592,IF(K1007&gt;0,K1007*0.02835,))</f>
        <v>#REF!</v>
      </c>
      <c r="O1007">
        <f>I1007+N1007+M1007</f>
        <v>0</v>
      </c>
      <c r="P1007">
        <f>O1007*C$3</f>
        <v>0</v>
      </c>
      <c r="Q1007" t="str">
        <f>ROUNDUP(HLOOKUP(IF(CEILING(L1007,0.5)&lt;1,1,CEILING(L1007,0.5)),'배송비 조회'!A$32:AY$36,2,0),-2)</f>
        <v>#REF!</v>
      </c>
      <c r="R1007">
        <v>0</v>
      </c>
      <c r="S1007" t="str">
        <f>ROUND((P1007+Q1007)*0.6,-2)</f>
        <v>#REF!</v>
      </c>
      <c r="T1007" t="str">
        <f>ROUND((P1007+Q1007)*0.7,-2)</f>
        <v>#REF!</v>
      </c>
      <c r="U1007" t="str">
        <f>ROUND(SUM(P1007+Q1007+R1007+S1007), -2)</f>
        <v>#REF!</v>
      </c>
      <c r="V1007" t="str">
        <f>ROUND(P1007+Q1007+R1007+T1007, -2)</f>
        <v>#REF!</v>
      </c>
      <c r="W1007">
        <v>0</v>
      </c>
      <c r="X1007" t="str">
        <f>U1007*0.038</f>
        <v>#REF!</v>
      </c>
      <c r="Y1007" t="str">
        <f>U1007*0.02</f>
        <v>#REF!</v>
      </c>
      <c r="Z1007" t="str">
        <f>V1007*0.1</f>
        <v>#REF!</v>
      </c>
      <c r="AA1007" t="str">
        <f>U1007-X1007-Y1007</f>
        <v>#REF!</v>
      </c>
      <c r="AB1007" t="str">
        <f>V1007-Z1007</f>
        <v>#REF!</v>
      </c>
      <c r="AC1007" t="str">
        <f>AA1007*0.01</f>
        <v>#REF!</v>
      </c>
      <c r="AD1007" t="str">
        <f>AA1007-P1007-AC1007-Q1007</f>
        <v>#REF!</v>
      </c>
      <c r="AE1007" t="str">
        <f>AB1007-P1007-Q1007-AC1007</f>
        <v>#REF!</v>
      </c>
      <c r="AF1007" t="str">
        <f>AD1007/U1007</f>
        <v>#REF!</v>
      </c>
      <c r="AG1007" t="str">
        <f>AE1007/V1007</f>
        <v>#REF!</v>
      </c>
    </row>
    <row r="1008">
      <c r="G1008" t="str">
        <v>A</v>
      </c>
      <c r="J1008" t="str">
        <f>IF(K1008&gt;0,K1008*0.0625,IF(L1008&gt;0,L1008*2.204623,))</f>
        <v>#REF!</v>
      </c>
      <c r="K1008" t="str">
        <f>IF(L1008&gt;0,L1008*35.273962,IF(J1008&gt;0,J1008*16,))</f>
        <v>#REF!</v>
      </c>
      <c r="L1008" t="str">
        <f>IF(J1008&gt;0,J1008*0.453592,IF(K1008&gt;0,K1008*0.02835,))</f>
        <v>#REF!</v>
      </c>
      <c r="O1008">
        <f>I1008+N1008+M1008</f>
        <v>0</v>
      </c>
      <c r="P1008">
        <f>O1008*C$3</f>
        <v>0</v>
      </c>
      <c r="Q1008" t="str">
        <f>ROUNDUP(HLOOKUP(IF(CEILING(L1008,0.5)&lt;1,1,CEILING(L1008,0.5)),'배송비 조회'!A$32:AY$36,2,0),-2)</f>
        <v>#REF!</v>
      </c>
      <c r="R1008">
        <v>0</v>
      </c>
      <c r="S1008" t="str">
        <f>ROUND((P1008+Q1008)*0.6,-2)</f>
        <v>#REF!</v>
      </c>
      <c r="T1008" t="str">
        <f>ROUND((P1008+Q1008)*0.7,-2)</f>
        <v>#REF!</v>
      </c>
      <c r="U1008" t="str">
        <f>ROUND(SUM(P1008+Q1008+R1008+S1008), -2)</f>
        <v>#REF!</v>
      </c>
      <c r="V1008" t="str">
        <f>ROUND(P1008+Q1008+R1008+T1008, -2)</f>
        <v>#REF!</v>
      </c>
      <c r="W1008">
        <v>0</v>
      </c>
      <c r="X1008" t="str">
        <f>U1008*0.038</f>
        <v>#REF!</v>
      </c>
      <c r="Y1008" t="str">
        <f>U1008*0.02</f>
        <v>#REF!</v>
      </c>
      <c r="Z1008" t="str">
        <f>V1008*0.1</f>
        <v>#REF!</v>
      </c>
      <c r="AA1008" t="str">
        <f>U1008-X1008-Y1008</f>
        <v>#REF!</v>
      </c>
      <c r="AB1008" t="str">
        <f>V1008-Z1008</f>
        <v>#REF!</v>
      </c>
      <c r="AC1008" t="str">
        <f>AA1008*0.01</f>
        <v>#REF!</v>
      </c>
      <c r="AD1008" t="str">
        <f>AA1008-P1008-AC1008-Q1008</f>
        <v>#REF!</v>
      </c>
      <c r="AE1008" t="str">
        <f>AB1008-P1008-Q1008-AC1008</f>
        <v>#REF!</v>
      </c>
      <c r="AF1008" t="str">
        <f>AD1008/U1008</f>
        <v>#REF!</v>
      </c>
      <c r="AG1008" t="str">
        <f>AE1008/V1008</f>
        <v>#REF!</v>
      </c>
    </row>
    <row r="1009">
      <c r="G1009" t="str">
        <v>A</v>
      </c>
      <c r="J1009" t="str">
        <f>IF(K1009&gt;0,K1009*0.0625,IF(L1009&gt;0,L1009*2.204623,))</f>
        <v>#REF!</v>
      </c>
      <c r="K1009" t="str">
        <f>IF(L1009&gt;0,L1009*35.273962,IF(J1009&gt;0,J1009*16,))</f>
        <v>#REF!</v>
      </c>
      <c r="L1009" t="str">
        <f>IF(J1009&gt;0,J1009*0.453592,IF(K1009&gt;0,K1009*0.02835,))</f>
        <v>#REF!</v>
      </c>
      <c r="O1009">
        <f>I1009+N1009+M1009</f>
        <v>0</v>
      </c>
      <c r="P1009">
        <f>O1009*C$3</f>
        <v>0</v>
      </c>
      <c r="Q1009" t="str">
        <f>ROUNDUP(HLOOKUP(IF(CEILING(L1009,0.5)&lt;1,1,CEILING(L1009,0.5)),'배송비 조회'!A$32:AY$36,2,0),-2)</f>
        <v>#REF!</v>
      </c>
      <c r="R1009">
        <v>0</v>
      </c>
      <c r="S1009" t="str">
        <f>ROUND((P1009+Q1009)*0.6,-2)</f>
        <v>#REF!</v>
      </c>
      <c r="T1009" t="str">
        <f>ROUND((P1009+Q1009)*0.7,-2)</f>
        <v>#REF!</v>
      </c>
      <c r="U1009" t="str">
        <f>ROUND(SUM(P1009+Q1009+R1009+S1009), -2)</f>
        <v>#REF!</v>
      </c>
      <c r="V1009" t="str">
        <f>ROUND(P1009+Q1009+R1009+T1009, -2)</f>
        <v>#REF!</v>
      </c>
      <c r="W1009">
        <v>0</v>
      </c>
      <c r="X1009" t="str">
        <f>U1009*0.038</f>
        <v>#REF!</v>
      </c>
      <c r="Y1009" t="str">
        <f>U1009*0.02</f>
        <v>#REF!</v>
      </c>
      <c r="Z1009" t="str">
        <f>V1009*0.1</f>
        <v>#REF!</v>
      </c>
      <c r="AA1009" t="str">
        <f>U1009-X1009-Y1009</f>
        <v>#REF!</v>
      </c>
      <c r="AB1009" t="str">
        <f>V1009-Z1009</f>
        <v>#REF!</v>
      </c>
      <c r="AC1009" t="str">
        <f>AA1009*0.01</f>
        <v>#REF!</v>
      </c>
      <c r="AD1009" t="str">
        <f>AA1009-P1009-AC1009-Q1009</f>
        <v>#REF!</v>
      </c>
      <c r="AE1009" t="str">
        <f>AB1009-P1009-Q1009-AC1009</f>
        <v>#REF!</v>
      </c>
      <c r="AF1009" t="str">
        <f>AD1009/U1009</f>
        <v>#REF!</v>
      </c>
      <c r="AG1009" t="str">
        <f>AE1009/V1009</f>
        <v>#REF!</v>
      </c>
    </row>
  </sheetData>
  <autoFilter ref="A2:AU1009"/>
  <mergeCells count="157">
    <mergeCell ref="W1:Z1"/>
    <mergeCell ref="AA1:AB1"/>
    <mergeCell ref="AC1:AC2"/>
    <mergeCell ref="AD1:AE1"/>
    <mergeCell ref="AF1:AG1"/>
    <mergeCell ref="N1:N2"/>
    <mergeCell ref="O1:O2"/>
    <mergeCell ref="P1:P2"/>
    <mergeCell ref="Q1:Q2"/>
    <mergeCell ref="R1:R2"/>
    <mergeCell ref="S1:T1"/>
    <mergeCell ref="U1:V1"/>
    <mergeCell ref="A1:B1"/>
    <mergeCell ref="C1:D1"/>
    <mergeCell ref="E1:E2"/>
    <mergeCell ref="F1:F2"/>
    <mergeCell ref="G1:H2"/>
    <mergeCell ref="I1:I2"/>
    <mergeCell ref="M1:M2"/>
    <mergeCell ref="A3:B3"/>
    <mergeCell ref="A4:B4"/>
    <mergeCell ref="A5:A8"/>
    <mergeCell ref="B5:B8"/>
    <mergeCell ref="C5:C8"/>
    <mergeCell ref="E5:E8"/>
    <mergeCell ref="A9:A11"/>
    <mergeCell ref="B9:B11"/>
    <mergeCell ref="C9:C11"/>
    <mergeCell ref="A12:A13"/>
    <mergeCell ref="B12:B13"/>
    <mergeCell ref="C12:C13"/>
    <mergeCell ref="E9:E11"/>
    <mergeCell ref="E12:E13"/>
    <mergeCell ref="B14:B15"/>
    <mergeCell ref="C14:C15"/>
    <mergeCell ref="A33:A34"/>
    <mergeCell ref="A36:A38"/>
    <mergeCell ref="B36:B38"/>
    <mergeCell ref="C36:C38"/>
    <mergeCell ref="D36:D38"/>
    <mergeCell ref="E33:E34"/>
    <mergeCell ref="E36:E38"/>
    <mergeCell ref="E14:E15"/>
    <mergeCell ref="E16:E21"/>
    <mergeCell ref="E22:E23"/>
    <mergeCell ref="E25:E26"/>
    <mergeCell ref="E27:E28"/>
    <mergeCell ref="A14:A15"/>
    <mergeCell ref="A16:A21"/>
    <mergeCell ref="B16:B21"/>
    <mergeCell ref="C16:C21"/>
    <mergeCell ref="A22:A23"/>
    <mergeCell ref="B22:B23"/>
    <mergeCell ref="C22:C23"/>
    <mergeCell ref="A25:A26"/>
    <mergeCell ref="B25:B26"/>
    <mergeCell ref="C25:C26"/>
    <mergeCell ref="A27:A28"/>
    <mergeCell ref="B27:B28"/>
    <mergeCell ref="C27:C28"/>
    <mergeCell ref="C33:C34"/>
    <mergeCell ref="A39:A40"/>
    <mergeCell ref="B39:B40"/>
    <mergeCell ref="C39:C40"/>
    <mergeCell ref="D39:D40"/>
    <mergeCell ref="E39:E40"/>
    <mergeCell ref="D59:D60"/>
    <mergeCell ref="E59:E60"/>
    <mergeCell ref="A61:A62"/>
    <mergeCell ref="B61:B62"/>
    <mergeCell ref="C61:C62"/>
    <mergeCell ref="D61:D62"/>
    <mergeCell ref="E61:E62"/>
    <mergeCell ref="B41:B46"/>
    <mergeCell ref="E41:E46"/>
    <mergeCell ref="C57:C58"/>
    <mergeCell ref="D57:D58"/>
    <mergeCell ref="E57:E58"/>
    <mergeCell ref="C41:C46"/>
    <mergeCell ref="D41:D46"/>
    <mergeCell ref="C49:C51"/>
    <mergeCell ref="D49:D51"/>
    <mergeCell ref="E49:E51"/>
    <mergeCell ref="C52:C54"/>
    <mergeCell ref="D52:D54"/>
    <mergeCell ref="A41:A46"/>
    <mergeCell ref="A49:A51"/>
    <mergeCell ref="B49:B51"/>
    <mergeCell ref="A52:A54"/>
    <mergeCell ref="B52:B54"/>
    <mergeCell ref="E134:E137"/>
    <mergeCell ref="A128:A131"/>
    <mergeCell ref="C128:C131"/>
    <mergeCell ref="D128:D131"/>
    <mergeCell ref="A132:A133"/>
    <mergeCell ref="C132:C133"/>
    <mergeCell ref="D132:D133"/>
    <mergeCell ref="D134:D137"/>
    <mergeCell ref="A134:A137"/>
    <mergeCell ref="A57:A58"/>
    <mergeCell ref="B57:B58"/>
    <mergeCell ref="C85:C86"/>
    <mergeCell ref="C147:C149"/>
    <mergeCell ref="B134:B137"/>
    <mergeCell ref="C134:C137"/>
    <mergeCell ref="C101:C124"/>
    <mergeCell ref="C125:C126"/>
    <mergeCell ref="B93:B94"/>
    <mergeCell ref="C93:C94"/>
    <mergeCell ref="A97:A100"/>
    <mergeCell ref="C97:C100"/>
    <mergeCell ref="A101:A124"/>
    <mergeCell ref="B101:B124"/>
    <mergeCell ref="A125:A126"/>
    <mergeCell ref="A59:A60"/>
    <mergeCell ref="B59:B60"/>
    <mergeCell ref="C59:C60"/>
    <mergeCell ref="A63:A84"/>
    <mergeCell ref="B63:B84"/>
    <mergeCell ref="C64:C84"/>
    <mergeCell ref="D64:D84"/>
    <mergeCell ref="E64:E84"/>
    <mergeCell ref="B85:B86"/>
    <mergeCell ref="E85:E86"/>
    <mergeCell ref="D93:D94"/>
    <mergeCell ref="E93:E94"/>
    <mergeCell ref="A85:A86"/>
    <mergeCell ref="A88:A90"/>
    <mergeCell ref="B88:B90"/>
    <mergeCell ref="C88:C90"/>
    <mergeCell ref="D88:D90"/>
    <mergeCell ref="E88:E90"/>
    <mergeCell ref="A93:A94"/>
    <mergeCell ref="D101:D124"/>
    <mergeCell ref="E101:E124"/>
    <mergeCell ref="G101:G124"/>
    <mergeCell ref="D125:D126"/>
    <mergeCell ref="A155:A158"/>
    <mergeCell ref="C155:C158"/>
    <mergeCell ref="G161:G170"/>
    <mergeCell ref="G176:G179"/>
    <mergeCell ref="D85:D86"/>
    <mergeCell ref="A139:A140"/>
    <mergeCell ref="C139:C140"/>
    <mergeCell ref="A141:A145"/>
    <mergeCell ref="C141:C145"/>
    <mergeCell ref="A147:A149"/>
    <mergeCell ref="A150:A154"/>
    <mergeCell ref="C150:C154"/>
    <mergeCell ref="A161:A170"/>
    <mergeCell ref="C161:C170"/>
    <mergeCell ref="A171:A172"/>
    <mergeCell ref="C171:C172"/>
    <mergeCell ref="A173:A174"/>
    <mergeCell ref="C173:C174"/>
    <mergeCell ref="C176:C179"/>
    <mergeCell ref="A176:A179"/>
  </mergeCells>
  <hyperlinks>
    <hyperlink ref="G24" r:id="rId1"/>
    <hyperlink ref="G56" r:id="rId2"/>
    <hyperlink ref="G96" location="중국!G96"/>
  </hyperlinks>
  <pageMargins left="0.7" right="0.7" top="0.75" bottom="0.75" header="0.3" footer="0.3"/>
  <ignoredErrors>
    <ignoredError numberStoredAsText="1" sqref="A1:AU1009"/>
  </ignoredErrors>
  <legacyDrawing r:id="rId3"/>
</worksheet>
</file>

<file path=xl/worksheets/sheet3.xml><?xml version="1.0" encoding="utf-8"?>
<worksheet xmlns="http://schemas.openxmlformats.org/spreadsheetml/2006/main" xmlns:r="http://schemas.openxmlformats.org/officeDocument/2006/relationships">
  <dimension ref="A1:AU994"/>
  <sheetViews>
    <sheetView workbookViewId="0" rightToLeft="0"/>
  </sheetViews>
  <sheetData>
    <row r="1" xml:space="preserve">
      <c r="A1" t="str">
        <v>등록번호</v>
      </c>
      <c r="C1" t="str">
        <v>상품명 국문</v>
      </c>
      <c r="E1" t="str">
        <v>상품명 영문</v>
      </c>
      <c r="F1" t="str">
        <v>옵션 구성</v>
      </c>
      <c r="G1" t="str">
        <v>판매처 URL</v>
      </c>
      <c r="I1" t="str">
        <v>매입단가</v>
      </c>
      <c r="J1" t="str">
        <v>무게</v>
      </c>
      <c r="M1" t="str">
        <v>세금</v>
      </c>
      <c r="N1" t="str">
        <v>배송비</v>
      </c>
      <c r="O1" t="str">
        <v>합계</v>
      </c>
      <c r="P1" t="str" xml:space="preserve">
        <v xml:space="preserve">매입단가_x000d_
(원화)</v>
      </c>
      <c r="Q1" t="str">
        <v>판매가</v>
      </c>
      <c r="R1" t="str">
        <v>배송비</v>
      </c>
      <c r="S1" t="str">
        <v>관부가세</v>
      </c>
      <c r="T1" t="str">
        <v>자체마진 2</v>
      </c>
      <c r="V1" t="str">
        <v>배송비 포함 판매가</v>
      </c>
      <c r="X1" t="str">
        <v>세금&amp;수수료</v>
      </c>
      <c r="AB1" t="str">
        <v>정산금액</v>
      </c>
      <c r="AE1" t="str">
        <v>실제예상마진</v>
      </c>
      <c r="AG1" t="str">
        <v>실제 마진율</v>
      </c>
    </row>
    <row r="2">
      <c r="A2" t="str">
        <v>스스</v>
      </c>
      <c r="B2" t="str">
        <v>쿠팡</v>
      </c>
      <c r="C2" t="str">
        <v>스스</v>
      </c>
      <c r="D2" t="str">
        <v>쿠팡</v>
      </c>
      <c r="J2" t="str">
        <v>lb</v>
      </c>
      <c r="K2" t="str">
        <v>oz</v>
      </c>
      <c r="L2" t="str">
        <v>kg</v>
      </c>
      <c r="T2" t="str">
        <v>스스</v>
      </c>
      <c r="U2" t="str">
        <v>쿠팡</v>
      </c>
      <c r="V2" t="str">
        <v>스스</v>
      </c>
      <c r="W2" t="str">
        <v>쿠팡</v>
      </c>
      <c r="X2" t="str">
        <v>실제 관/부가세</v>
      </c>
      <c r="Y2" t="str">
        <v>네이버페이수수료 3.8%</v>
      </c>
      <c r="Z2" t="str">
        <v>스스수수료 2%</v>
      </c>
      <c r="AA2" t="str">
        <v>쿠팡수수료10%</v>
      </c>
      <c r="AB2" t="str">
        <v>스스</v>
      </c>
      <c r="AC2" t="str">
        <v>쿠팡</v>
      </c>
      <c r="AD2" t="str">
        <v>카드수수료 1%</v>
      </c>
      <c r="AE2" t="str">
        <v>스스</v>
      </c>
      <c r="AF2" t="str">
        <v>쿠팡</v>
      </c>
      <c r="AG2" t="str">
        <v>스스</v>
      </c>
      <c r="AH2" t="str">
        <v>쿠팡</v>
      </c>
      <c r="AI2" t="str">
        <v>유료배송 측정</v>
      </c>
    </row>
    <row r="3">
      <c r="A3" t="str">
        <v>환율(유로화)</v>
      </c>
      <c r="B3">
        <v>1350</v>
      </c>
    </row>
    <row r="4">
      <c r="A4" t="str">
        <f>HYPERLINK("https://docs.google.com/document/d/1RpgD2om0PR7FJXqJuLOndrS-94tkp7Zuxa1BcWuhHlg/edit","관련 문서")</f>
        <v>관련 문서</v>
      </c>
    </row>
    <row r="5">
      <c r="A5" t="str">
        <f>HYPERLINK("https://smartstore.naver.com/brickstore2019/products/4719020898","4719020898")</f>
        <v>4719020898</v>
      </c>
      <c r="C5" t="str">
        <v>알레시 앵무새 와인오프너 Allessi Parror Corkscrew AAM32 (무료배송)</v>
      </c>
      <c r="E5" t="str">
        <v>A di Alessi Parrot Corkscrew</v>
      </c>
      <c r="F5" t="str">
        <v>Green</v>
      </c>
      <c r="G5" t="str">
        <f>HYPERLINK("https://www.amazon.de/dp/B000FVBUCQ/ref=pd_rhf_ee_p_img_2?_encoding=UTF8&amp;refRID=94KM3DQHXRM8S1TBSDR6&amp;th=1","A")</f>
        <v>A</v>
      </c>
      <c r="I5">
        <v>30.26</v>
      </c>
      <c r="J5">
        <f>IF(K5&gt;0,K5*0.0625,IF(L5&gt;0,L5*2.204623,))</f>
        <v>0.26014546974999997</v>
      </c>
      <c r="K5">
        <f>IF(L5&gt;0,L5*35.273962,IF(J5&gt;0,J5*16,))</f>
        <v>4.1623275159999995</v>
      </c>
      <c r="L5">
        <v>0.118</v>
      </c>
      <c r="M5">
        <v>0</v>
      </c>
      <c r="N5">
        <v>0</v>
      </c>
      <c r="O5">
        <f>I5+N5+M5</f>
        <v>30.26</v>
      </c>
      <c r="P5">
        <f>O5*B$3</f>
        <v>40851</v>
      </c>
      <c r="Q5">
        <f>ROUND(SUM(P5), -2)</f>
        <v>40900</v>
      </c>
      <c r="R5">
        <f>ROUNDUP(HLOOKUP(IF(CEILING(L5,0.5)&lt;1,0.5,CEILING(L5,0.5)),'배송비 조회'!A$44:AO$56,7,0)*B$3,-2)</f>
        <v>14900</v>
      </c>
      <c r="S5">
        <v>0</v>
      </c>
      <c r="T5">
        <f>ROUND((Q5+R5)*0.3,-2)</f>
        <v>16700</v>
      </c>
      <c r="U5">
        <f>ROUND((Q5+R5)*0.4,-2)</f>
        <v>22300</v>
      </c>
      <c r="V5">
        <f>SUM(Q5:R5)+T5</f>
        <v>72500</v>
      </c>
      <c r="W5">
        <f>SUM(Q5:S5)+U5</f>
        <v>78100</v>
      </c>
      <c r="X5">
        <v>0</v>
      </c>
      <c r="Y5">
        <f>V5*0.038</f>
        <v>2755</v>
      </c>
      <c r="Z5">
        <f>V5*0.02</f>
        <v>1450</v>
      </c>
      <c r="AA5">
        <f>W5*0.1</f>
        <v>7810</v>
      </c>
      <c r="AB5">
        <f>V5-Y5-Z5</f>
        <v>68295</v>
      </c>
      <c r="AC5">
        <f>W5-AA5</f>
        <v>70290</v>
      </c>
      <c r="AD5">
        <f>AB5*0.01</f>
        <v>682.95</v>
      </c>
      <c r="AE5">
        <f>AB5-Q5-AD5-R5</f>
        <v>11812.05</v>
      </c>
      <c r="AF5">
        <f>AC5-Q5-AD5-R5</f>
        <v>13807.05</v>
      </c>
      <c r="AG5">
        <f>AE5/V5</f>
        <v>0.16292482758620688</v>
      </c>
      <c r="AH5">
        <f>AF5/W5</f>
        <v>0.17678681177976951</v>
      </c>
    </row>
    <row r="6">
      <c r="F6" t="str">
        <v>Black</v>
      </c>
      <c r="G6" t="str">
        <f>HYPERLINK("https://www.amazon.de/dp/B000FVBUC6/ref=pd_rhf_ee_p_img_2?_encoding=UTF8&amp;refRID=94KM3DQHXRM8S1TBSDR6&amp;th=1","A")</f>
        <v>A</v>
      </c>
      <c r="I6">
        <v>37.49</v>
      </c>
      <c r="J6">
        <f>IF(K6&gt;0,K6*0.0625,IF(L6&gt;0,L6*2.204623,))</f>
        <v>0.26014546974999997</v>
      </c>
      <c r="K6">
        <f>IF(L6&gt;0,L6*35.273962,IF(J6&gt;0,J6*16,))</f>
        <v>4.1623275159999995</v>
      </c>
      <c r="L6">
        <v>0.118</v>
      </c>
      <c r="M6">
        <v>0</v>
      </c>
      <c r="N6">
        <v>0</v>
      </c>
      <c r="O6">
        <f>I6+N6+M6</f>
        <v>37.49</v>
      </c>
      <c r="P6">
        <f>O6*B$3</f>
        <v>50611.5</v>
      </c>
      <c r="Q6">
        <f>ROUND(SUM(P6), -2)</f>
        <v>50600</v>
      </c>
      <c r="R6">
        <f>ROUNDUP(HLOOKUP(IF(CEILING(L6,0.5)&lt;1,0.5,CEILING(L6,0.5)),'배송비 조회'!A$44:AO$56,7,0)*B$3,-2)</f>
        <v>14900</v>
      </c>
      <c r="S6">
        <v>0</v>
      </c>
      <c r="T6">
        <f>ROUND((Q6+R6)*0.3,-2)</f>
        <v>19700</v>
      </c>
      <c r="U6">
        <f>ROUND((Q6+R6)*0.4,-2)</f>
        <v>26200</v>
      </c>
      <c r="V6">
        <f>SUM(Q6:R6)+T6</f>
        <v>85200</v>
      </c>
      <c r="W6">
        <f>SUM(Q6:S6)+U6</f>
        <v>91700</v>
      </c>
      <c r="X6">
        <v>0</v>
      </c>
      <c r="Y6">
        <f>V6*0.038</f>
        <v>3237.6</v>
      </c>
      <c r="Z6">
        <f>V6*0.02</f>
        <v>1704</v>
      </c>
      <c r="AA6">
        <f>W6*0.1</f>
        <v>9170</v>
      </c>
      <c r="AB6">
        <f>V6-Y6-Z6</f>
        <v>80258.4</v>
      </c>
      <c r="AC6">
        <f>W6-AA6</f>
        <v>82530</v>
      </c>
      <c r="AD6">
        <f>AB6*0.01</f>
        <v>802.584</v>
      </c>
      <c r="AE6">
        <f>AB6-Q6-AD6-R6</f>
        <v>13955.815999999995</v>
      </c>
      <c r="AF6">
        <f>AC6-Q6-AD6-R6</f>
        <v>16227.416000000001</v>
      </c>
      <c r="AG6">
        <f>AE6/V6</f>
        <v>0.16380065727699525</v>
      </c>
      <c r="AH6">
        <f>AF6/W6</f>
        <v>0.17696200654307526</v>
      </c>
    </row>
    <row r="7">
      <c r="F7" t="str">
        <v>Blue</v>
      </c>
      <c r="G7" t="str">
        <f>HYPERLINK("https://www.amazon.de/dp/B000FV8FR4/ref=pd_rhf_ee_p_img_2?_encoding=UTF8&amp;refRID=94KM3DQHXRM8S1TBSDR6&amp;th=1","A")</f>
        <v>A</v>
      </c>
      <c r="I7">
        <v>32.53</v>
      </c>
      <c r="J7">
        <f>IF(K7&gt;0,K7*0.0625,IF(L7&gt;0,L7*2.204623,))</f>
        <v>0.26014546974999997</v>
      </c>
      <c r="K7">
        <f>IF(L7&gt;0,L7*35.273962,IF(J7&gt;0,J7*16,))</f>
        <v>4.1623275159999995</v>
      </c>
      <c r="L7">
        <v>0.118</v>
      </c>
      <c r="M7">
        <v>0</v>
      </c>
      <c r="N7">
        <v>0</v>
      </c>
      <c r="O7">
        <f>I7+N7+M7</f>
        <v>32.53</v>
      </c>
      <c r="P7">
        <f>O7*B$3</f>
        <v>43915.5</v>
      </c>
      <c r="Q7">
        <f>ROUND(SUM(P7), -2)</f>
        <v>43900</v>
      </c>
      <c r="R7">
        <f>ROUNDUP(HLOOKUP(IF(CEILING(L7,0.5)&lt;1,0.5,CEILING(L7,0.5)),'배송비 조회'!A$44:AO$56,7,0)*B$3,-2)</f>
        <v>14900</v>
      </c>
      <c r="S7">
        <v>0</v>
      </c>
      <c r="T7">
        <f>ROUND((Q7+R7)*0.3,-2)</f>
        <v>17600</v>
      </c>
      <c r="U7">
        <f>ROUND((Q7+R7)*0.4,-2)</f>
        <v>23500</v>
      </c>
      <c r="V7">
        <f>SUM(Q7:R7)+T7</f>
        <v>76400</v>
      </c>
      <c r="W7">
        <f>SUM(Q7:S7)+U7</f>
        <v>82300</v>
      </c>
      <c r="X7">
        <v>0</v>
      </c>
      <c r="Y7">
        <f>V7*0.038</f>
        <v>2903.2</v>
      </c>
      <c r="Z7">
        <f>V7*0.02</f>
        <v>1528</v>
      </c>
      <c r="AA7">
        <f>W7*0.1</f>
        <v>8230</v>
      </c>
      <c r="AB7">
        <f>V7-Y7-Z7</f>
        <v>71968.8</v>
      </c>
      <c r="AC7">
        <f>W7-AA7</f>
        <v>74070</v>
      </c>
      <c r="AD7">
        <f>AB7*0.01</f>
        <v>719.688</v>
      </c>
      <c r="AE7">
        <f>AB7-Q7-AD7-R7</f>
        <v>12449.112000000005</v>
      </c>
      <c r="AF7">
        <f>AC7-Q7-AD7-R7</f>
        <v>14550.312000000002</v>
      </c>
      <c r="AG7">
        <f>AE7/V7</f>
        <v>0.16294649214659693</v>
      </c>
      <c r="AH7">
        <f>AF7/W7</f>
        <v>0.17679601458080196</v>
      </c>
    </row>
    <row r="8">
      <c r="F8" t="str">
        <v>Hand-Decorated</v>
      </c>
      <c r="G8" t="str">
        <f>HYPERLINK("https://www.amazon.de/dp/B001M8APXG/ref=pd_rhf_ee_p_img_2?_encoding=UTF8&amp;refRID=94KM3DQHXRM8S1TBSDR6&amp;th=1","A")</f>
        <v>A</v>
      </c>
      <c r="I8">
        <v>36.91</v>
      </c>
      <c r="J8">
        <f>IF(K8&gt;0,K8*0.0625,IF(L8&gt;0,L8*2.204623,))</f>
        <v>0.26014546974999997</v>
      </c>
      <c r="K8">
        <f>IF(L8&gt;0,L8*35.273962,IF(J8&gt;0,J8*16,))</f>
        <v>4.1623275159999995</v>
      </c>
      <c r="L8">
        <v>0.118</v>
      </c>
      <c r="M8">
        <v>0</v>
      </c>
      <c r="N8">
        <v>0</v>
      </c>
      <c r="O8">
        <f>I8+N8+M8</f>
        <v>36.91</v>
      </c>
      <c r="P8">
        <f>O8*B$3</f>
        <v>49828.49999999999</v>
      </c>
      <c r="Q8">
        <f>ROUND(SUM(P8), -2)</f>
        <v>49800</v>
      </c>
      <c r="R8">
        <f>ROUNDUP(HLOOKUP(IF(CEILING(L8,0.5)&lt;1,0.5,CEILING(L8,0.5)),'배송비 조회'!A$44:AO$56,7,0)*B$3,-2)</f>
        <v>14900</v>
      </c>
      <c r="S8">
        <v>0</v>
      </c>
      <c r="T8">
        <f>ROUND((Q8+R8)*0.3,-2)</f>
        <v>19400</v>
      </c>
      <c r="U8">
        <f>ROUND((Q8+R8)*0.4,-2)</f>
        <v>25900</v>
      </c>
      <c r="V8">
        <f>SUM(Q8:R8)+T8</f>
        <v>84100</v>
      </c>
      <c r="W8">
        <f>SUM(Q8:S8)+U8</f>
        <v>90600</v>
      </c>
      <c r="X8">
        <v>0</v>
      </c>
      <c r="Y8">
        <f>V8*0.038</f>
        <v>3195.7999999999997</v>
      </c>
      <c r="Z8">
        <f>V8*0.02</f>
        <v>1682</v>
      </c>
      <c r="AA8">
        <f>W8*0.1</f>
        <v>9060</v>
      </c>
      <c r="AB8">
        <f>V8-Y8-Z8</f>
        <v>79222.2</v>
      </c>
      <c r="AC8">
        <f>W8-AA8</f>
        <v>81540</v>
      </c>
      <c r="AD8">
        <f>AB8*0.01</f>
        <v>792.222</v>
      </c>
      <c r="AE8">
        <f>AB8-Q8-AD8-R8</f>
        <v>13729.977999999996</v>
      </c>
      <c r="AF8">
        <f>AC8-Q8-AD8-R8</f>
        <v>16047.777999999998</v>
      </c>
      <c r="AG8">
        <f>AE8/V8</f>
        <v>0.1632577645659928</v>
      </c>
      <c r="AH8">
        <f>AF8/W8</f>
        <v>0.1771277924944812</v>
      </c>
    </row>
    <row r="9">
      <c r="A9" t="str">
        <f>HYPERLINK("https://smartstore.naver.com/brickstore2019/products/4719087400","4719087400")</f>
        <v>4719087400</v>
      </c>
      <c r="C9" t="str">
        <v>알레시 매직버니 이쑤시개통 이쑤시개함 Alessi Magic Bunny Toothpick Holder (무료배송)</v>
      </c>
      <c r="E9" t="str">
        <v>A Di Alessi Magic Bunny Toothpick Holder in Thermoplastic Resin</v>
      </c>
      <c r="F9" t="str">
        <v>Blue</v>
      </c>
      <c r="G9" t="str">
        <f>HYPERLINK("https://www.amazon.de/dp/B000FVC2NW?ref_=ast_bbp_dp&amp;th=1","A")</f>
        <v>A</v>
      </c>
      <c r="I9">
        <v>20</v>
      </c>
      <c r="J9">
        <f>IF(K9&gt;0,K9*0.0625,IF(L9&gt;0,L9*2.204623,))</f>
        <v>0.440924525</v>
      </c>
      <c r="K9">
        <f>IF(L9&gt;0,L9*35.273962,IF(J9&gt;0,J9*16,))</f>
        <v>7.0547924</v>
      </c>
      <c r="L9">
        <v>0.2</v>
      </c>
      <c r="M9">
        <v>0</v>
      </c>
      <c r="N9">
        <v>0</v>
      </c>
      <c r="O9">
        <f>I9+N9+M9</f>
        <v>20</v>
      </c>
      <c r="P9">
        <f>O9*B$3</f>
        <v>27000</v>
      </c>
      <c r="Q9">
        <f>ROUND(SUM(P9), -2)</f>
        <v>27000</v>
      </c>
      <c r="R9">
        <f>ROUNDUP(HLOOKUP(IF(CEILING(L9,0.5)&lt;1,0.5,CEILING(L9,0.5)),'배송비 조회'!A$44:AO$56,7,0)*B$3,-2)</f>
        <v>14900</v>
      </c>
      <c r="S9">
        <v>0</v>
      </c>
      <c r="T9">
        <f>ROUND((Q9+R9)*0.4,-2)</f>
        <v>16800</v>
      </c>
      <c r="U9">
        <f>ROUND((Q9+R9)*0.5,-2)</f>
        <v>21000</v>
      </c>
      <c r="V9">
        <f>SUM(Q9:R9)+T9</f>
        <v>58700</v>
      </c>
      <c r="W9">
        <f>SUM(Q9:S9)+U9</f>
        <v>62900</v>
      </c>
      <c r="X9">
        <v>0</v>
      </c>
      <c r="Y9">
        <f>V9*0.038</f>
        <v>2230.6</v>
      </c>
      <c r="Z9">
        <f>V9*0.02</f>
        <v>1174</v>
      </c>
      <c r="AA9">
        <f>W9*0.1</f>
        <v>6290</v>
      </c>
      <c r="AB9">
        <f>V9-Y9-Z9</f>
        <v>55295.4</v>
      </c>
      <c r="AC9">
        <f>W9-AA9</f>
        <v>56610</v>
      </c>
      <c r="AD9">
        <f>AB9*0.01</f>
        <v>552.9540000000001</v>
      </c>
      <c r="AE9">
        <f>AB9-Q9-AD9-R9</f>
        <v>12842.446</v>
      </c>
      <c r="AF9">
        <f>AC9-Q9-AD9-R9</f>
        <v>14157.045999999998</v>
      </c>
      <c r="AG9">
        <f>AE9/V9</f>
        <v>0.21878102214650766</v>
      </c>
      <c r="AH9">
        <f>AF9/W9</f>
        <v>0.22507227344992048</v>
      </c>
    </row>
    <row r="10">
      <c r="F10" t="str">
        <v>Yello</v>
      </c>
      <c r="G10" t="str">
        <f>HYPERLINK("https://www.amazon.de/dp/B000FVAJBE?ref_=ast_bbp_dp&amp;th=1","A")</f>
        <v>A</v>
      </c>
      <c r="I10">
        <v>20</v>
      </c>
      <c r="J10">
        <f>IF(K10&gt;0,K10*0.0625,IF(L10&gt;0,L10*2.204623,))</f>
        <v>0.440924525</v>
      </c>
      <c r="K10">
        <f>IF(L10&gt;0,L10*35.273962,IF(J10&gt;0,J10*16,))</f>
        <v>7.0547924</v>
      </c>
      <c r="L10">
        <v>0.2</v>
      </c>
      <c r="M10">
        <v>0</v>
      </c>
      <c r="N10">
        <v>0</v>
      </c>
      <c r="O10">
        <f>I10+N10+M10</f>
        <v>20</v>
      </c>
      <c r="P10">
        <f>O10*B$3</f>
        <v>27000</v>
      </c>
      <c r="Q10">
        <f>ROUND(SUM(P10), -2)</f>
        <v>27000</v>
      </c>
      <c r="R10">
        <f>ROUNDUP(HLOOKUP(IF(CEILING(L10,0.5)&lt;1,0.5,CEILING(L10,0.5)),'배송비 조회'!A$44:AO$56,7,0)*B$3,-2)</f>
        <v>14900</v>
      </c>
      <c r="S10">
        <v>0</v>
      </c>
      <c r="T10">
        <f>ROUND((Q10+R10)*0.4,-2)</f>
        <v>16800</v>
      </c>
      <c r="U10">
        <f>ROUND((Q10+R10)*0.5,-2)</f>
        <v>21000</v>
      </c>
      <c r="V10">
        <f>SUM(Q10:R10)+T10</f>
        <v>58700</v>
      </c>
      <c r="W10">
        <f>SUM(Q10:S10)+U10</f>
        <v>62900</v>
      </c>
      <c r="X10">
        <v>0</v>
      </c>
      <c r="Y10">
        <f>V10*0.038</f>
        <v>2230.6</v>
      </c>
      <c r="Z10">
        <f>V10*0.02</f>
        <v>1174</v>
      </c>
      <c r="AA10">
        <f>W10*0.1</f>
        <v>6290</v>
      </c>
      <c r="AB10">
        <f>V10-Y10-Z10</f>
        <v>55295.4</v>
      </c>
      <c r="AC10">
        <f>W10-AA10</f>
        <v>56610</v>
      </c>
      <c r="AD10">
        <f>AB10*0.01</f>
        <v>552.9540000000001</v>
      </c>
      <c r="AE10">
        <f>AB10-Q10-AD10-R10</f>
        <v>12842.446</v>
      </c>
      <c r="AF10">
        <f>AC10-Q10-AD10-R10</f>
        <v>14157.045999999998</v>
      </c>
      <c r="AG10">
        <f>AE10/V10</f>
        <v>0.21878102214650766</v>
      </c>
      <c r="AH10">
        <f>AF10/W10</f>
        <v>0.22507227344992048</v>
      </c>
    </row>
    <row r="11">
      <c r="F11" t="str">
        <v>Green</v>
      </c>
      <c r="G11" t="str">
        <f>HYPERLINK("https://www.amazon.de/dp/B000FVC2OG?ref_=ast_bbp_dp&amp;th=1","A")</f>
        <v>A</v>
      </c>
      <c r="I11">
        <v>20</v>
      </c>
      <c r="J11">
        <f>IF(K11&gt;0,K11*0.0625,IF(L11&gt;0,L11*2.204623,))</f>
        <v>0.440924525</v>
      </c>
      <c r="K11">
        <f>IF(L11&gt;0,L11*35.273962,IF(J11&gt;0,J11*16,))</f>
        <v>7.0547924</v>
      </c>
      <c r="L11">
        <v>0.2</v>
      </c>
      <c r="M11">
        <v>0</v>
      </c>
      <c r="N11">
        <v>0</v>
      </c>
      <c r="O11">
        <f>I11+N11+M11</f>
        <v>20</v>
      </c>
      <c r="P11">
        <f>O11*B$3</f>
        <v>27000</v>
      </c>
      <c r="Q11">
        <f>ROUND(SUM(P11), -2)</f>
        <v>27000</v>
      </c>
      <c r="R11">
        <f>ROUNDUP(HLOOKUP(IF(CEILING(L11,0.5)&lt;1,0.5,CEILING(L11,0.5)),'배송비 조회'!A$44:AO$56,7,0)*B$3,-2)</f>
        <v>14900</v>
      </c>
      <c r="S11">
        <v>0</v>
      </c>
      <c r="T11">
        <f>ROUND((Q11+R11)*0.4,-2)</f>
        <v>16800</v>
      </c>
      <c r="U11">
        <f>ROUND((Q11+R11)*0.5,-2)</f>
        <v>21000</v>
      </c>
      <c r="V11">
        <f>SUM(Q11:R11)+T11</f>
        <v>58700</v>
      </c>
      <c r="W11">
        <f>SUM(Q11:S11)+U11</f>
        <v>62900</v>
      </c>
      <c r="X11">
        <v>0</v>
      </c>
      <c r="Y11">
        <f>V11*0.038</f>
        <v>2230.6</v>
      </c>
      <c r="Z11">
        <f>V11*0.02</f>
        <v>1174</v>
      </c>
      <c r="AA11">
        <f>W11*0.1</f>
        <v>6290</v>
      </c>
      <c r="AB11">
        <f>V11-Y11-Z11</f>
        <v>55295.4</v>
      </c>
      <c r="AC11">
        <f>W11-AA11</f>
        <v>56610</v>
      </c>
      <c r="AD11">
        <f>AB11*0.01</f>
        <v>552.9540000000001</v>
      </c>
      <c r="AE11">
        <f>AB11-Q11-AD11-R11</f>
        <v>12842.446</v>
      </c>
      <c r="AF11">
        <f>AC11-Q11-AD11-R11</f>
        <v>14157.045999999998</v>
      </c>
      <c r="AG11">
        <f>AE11/V11</f>
        <v>0.21878102214650766</v>
      </c>
      <c r="AH11">
        <f>AF11/W11</f>
        <v>0.22507227344992048</v>
      </c>
    </row>
    <row r="12">
      <c r="F12" t="str">
        <v>Rose</v>
      </c>
      <c r="G12" t="str">
        <f>HYPERLINK("https://www.amazon.de/dp/B000FVE0ZU?ref_=ast_bbp_dp&amp;th=1","A")</f>
        <v>A</v>
      </c>
      <c r="I12">
        <v>20</v>
      </c>
      <c r="J12">
        <f>IF(K12&gt;0,K12*0.0625,IF(L12&gt;0,L12*2.204623,))</f>
        <v>0.440924525</v>
      </c>
      <c r="K12">
        <f>IF(L12&gt;0,L12*35.273962,IF(J12&gt;0,J12*16,))</f>
        <v>7.0547924</v>
      </c>
      <c r="L12">
        <v>0.2</v>
      </c>
      <c r="M12">
        <v>0</v>
      </c>
      <c r="N12">
        <v>0</v>
      </c>
      <c r="O12">
        <f>I12+N12+M12</f>
        <v>20</v>
      </c>
      <c r="P12">
        <f>O12*B$3</f>
        <v>27000</v>
      </c>
      <c r="Q12">
        <f>ROUND(SUM(P12), -2)</f>
        <v>27000</v>
      </c>
      <c r="R12">
        <f>ROUNDUP(HLOOKUP(IF(CEILING(L12,0.5)&lt;1,0.5,CEILING(L12,0.5)),'배송비 조회'!A$44:AO$56,7,0)*B$3,-2)</f>
        <v>14900</v>
      </c>
      <c r="S12">
        <v>0</v>
      </c>
      <c r="T12">
        <f>ROUND((Q12+R12)*0.4,-2)</f>
        <v>16800</v>
      </c>
      <c r="U12">
        <f>ROUND((Q12+R12)*0.5,-2)</f>
        <v>21000</v>
      </c>
      <c r="V12">
        <f>SUM(Q12:R12)+T12</f>
        <v>58700</v>
      </c>
      <c r="W12">
        <f>SUM(Q12:S12)+U12</f>
        <v>62900</v>
      </c>
      <c r="X12">
        <v>0</v>
      </c>
      <c r="Y12">
        <f>V12*0.038</f>
        <v>2230.6</v>
      </c>
      <c r="Z12">
        <f>V12*0.02</f>
        <v>1174</v>
      </c>
      <c r="AA12">
        <f>W12*0.1</f>
        <v>6290</v>
      </c>
      <c r="AB12">
        <f>V12-Y12-Z12</f>
        <v>55295.4</v>
      </c>
      <c r="AC12">
        <f>W12-AA12</f>
        <v>56610</v>
      </c>
      <c r="AD12">
        <f>AB12*0.01</f>
        <v>552.9540000000001</v>
      </c>
      <c r="AE12">
        <f>AB12-Q12-AD12-R12</f>
        <v>12842.446</v>
      </c>
      <c r="AF12">
        <f>AC12-Q12-AD12-R12</f>
        <v>14157.045999999998</v>
      </c>
      <c r="AG12">
        <f>AE12/V12</f>
        <v>0.21878102214650766</v>
      </c>
      <c r="AH12">
        <f>AF12/W12</f>
        <v>0.22507227344992048</v>
      </c>
    </row>
    <row r="13">
      <c r="F13" t="str">
        <v>Black</v>
      </c>
      <c r="G13" t="str">
        <f>HYPERLINK("https://www.amazon.de/dp/B002R1Y6NC?ref_=ast_bbp_dp&amp;th=1","A")</f>
        <v>A</v>
      </c>
      <c r="I13">
        <v>20</v>
      </c>
      <c r="J13">
        <f>IF(K13&gt;0,K13*0.0625,IF(L13&gt;0,L13*2.204623,))</f>
        <v>0.440924525</v>
      </c>
      <c r="K13">
        <f>IF(L13&gt;0,L13*35.273962,IF(J13&gt;0,J13*16,))</f>
        <v>7.0547924</v>
      </c>
      <c r="L13">
        <v>0.2</v>
      </c>
      <c r="M13">
        <v>0</v>
      </c>
      <c r="N13">
        <v>0</v>
      </c>
      <c r="O13">
        <f>I13+N13+M13</f>
        <v>20</v>
      </c>
      <c r="P13">
        <f>O13*B$3</f>
        <v>27000</v>
      </c>
      <c r="Q13">
        <f>ROUND(SUM(P13), -2)</f>
        <v>27000</v>
      </c>
      <c r="R13">
        <f>ROUNDUP(HLOOKUP(IF(CEILING(L13,0.5)&lt;1,0.5,CEILING(L13,0.5)),'배송비 조회'!A$44:AO$56,7,0)*B$3,-2)</f>
        <v>14900</v>
      </c>
      <c r="S13">
        <v>0</v>
      </c>
      <c r="T13">
        <f>ROUND((Q13+R13)*0.4,-2)</f>
        <v>16800</v>
      </c>
      <c r="U13">
        <f>ROUND((Q13+R13)*0.5,-2)</f>
        <v>21000</v>
      </c>
      <c r="V13">
        <f>SUM(Q13:R13)+T13</f>
        <v>58700</v>
      </c>
      <c r="W13">
        <f>SUM(Q13:S13)+U13</f>
        <v>62900</v>
      </c>
      <c r="X13">
        <v>0</v>
      </c>
      <c r="Y13">
        <f>V13*0.038</f>
        <v>2230.6</v>
      </c>
      <c r="Z13">
        <f>V13*0.02</f>
        <v>1174</v>
      </c>
      <c r="AA13">
        <f>W13*0.1</f>
        <v>6290</v>
      </c>
      <c r="AB13">
        <f>V13-Y13-Z13</f>
        <v>55295.4</v>
      </c>
      <c r="AC13">
        <f>W13-AA13</f>
        <v>56610</v>
      </c>
      <c r="AD13">
        <f>AB13*0.01</f>
        <v>552.9540000000001</v>
      </c>
      <c r="AE13">
        <f>AB13-Q13-AD13-R13</f>
        <v>12842.446</v>
      </c>
      <c r="AF13">
        <f>AC13-Q13-AD13-R13</f>
        <v>14157.045999999998</v>
      </c>
      <c r="AG13">
        <f>AE13/V13</f>
        <v>0.21878102214650766</v>
      </c>
      <c r="AH13">
        <f>AF13/W13</f>
        <v>0.22507227344992048</v>
      </c>
    </row>
    <row r="14">
      <c r="A14" t="str">
        <f>HYPERLINK("https://smartstore.naver.com/brickstore2019/products/4720096437","4720096437")</f>
        <v>4720096437</v>
      </c>
      <c r="C14" t="str">
        <v>알레시 플리세 전기포트 물병 블랙 Plissé Kettle Black Alessi (무료배송)</v>
      </c>
      <c r="E14" t="str">
        <v>Plissé Kettle Black Alessi</v>
      </c>
      <c r="F14" t="str">
        <v>Black</v>
      </c>
      <c r="G14" t="str">
        <f>HYPERLINK("https://www.amazon.de/dp/B07HLSFW46?ref_=ast_bbp_dp","A")</f>
        <v>A</v>
      </c>
      <c r="I14">
        <v>78</v>
      </c>
      <c r="J14">
        <f>IF(K14&gt;0,K14*0.0625,IF(L14&gt;0,L14*2.204623,))</f>
        <v>3.5273962</v>
      </c>
      <c r="K14">
        <f>IF(L14&gt;0,L14*35.273962,IF(J14&gt;0,J14*16,))</f>
        <v>56.4383392</v>
      </c>
      <c r="L14">
        <v>1.6</v>
      </c>
      <c r="M14">
        <v>0</v>
      </c>
      <c r="N14">
        <v>0</v>
      </c>
      <c r="O14">
        <f>I14+N14+M14</f>
        <v>78</v>
      </c>
      <c r="P14">
        <f>O14*B$3</f>
        <v>105300</v>
      </c>
      <c r="Q14">
        <f>ROUND(SUM(P14), -2)</f>
        <v>105300</v>
      </c>
      <c r="R14">
        <f>ROUNDUP(HLOOKUP(IF(CEILING(L14,0.5)&lt;1,0.5,CEILING(L14,0.5)),'배송비 조회'!A$44:AO$56,7,0)*B$3,-2)</f>
        <v>23800</v>
      </c>
      <c r="S14">
        <v>0</v>
      </c>
      <c r="T14">
        <f>ROUND((Q14+R14)*0.3,-2)</f>
        <v>38700</v>
      </c>
      <c r="U14">
        <f>ROUND((Q14+R14)*0.4,-2)</f>
        <v>51600</v>
      </c>
      <c r="V14">
        <f>SUM(Q14:R14)+T14</f>
        <v>167800</v>
      </c>
      <c r="W14">
        <f>SUM(Q14:S14)+U14</f>
        <v>180700</v>
      </c>
      <c r="X14">
        <v>0</v>
      </c>
      <c r="Y14">
        <f>V14*0.038</f>
        <v>6376.4</v>
      </c>
      <c r="Z14">
        <f>V14*0.02</f>
        <v>3356</v>
      </c>
      <c r="AA14">
        <f>W14*0.1</f>
        <v>18070</v>
      </c>
      <c r="AB14">
        <f>V14-Y14-Z14</f>
        <v>158067.6</v>
      </c>
      <c r="AC14">
        <f>W14-AA14</f>
        <v>162630</v>
      </c>
      <c r="AD14">
        <f>AB14*0.01</f>
        <v>1580.6760000000002</v>
      </c>
      <c r="AE14">
        <f>AB14-Q14-AD14-R14</f>
        <v>27386.924000000006</v>
      </c>
      <c r="AF14">
        <f>AC14-Q14-AD14-R14</f>
        <v>31949.324</v>
      </c>
      <c r="AG14">
        <f>AE14/V14</f>
        <v>0.16321170441001195</v>
      </c>
      <c r="AH14">
        <f>AF14/W14</f>
        <v>0.17680865522966244</v>
      </c>
    </row>
    <row r="15">
      <c r="F15" t="str">
        <v>Red</v>
      </c>
      <c r="G15" t="e">
        <f>HYPERLINK("https://www.amazon.de/dp/B07HLSFL6G/ref=pd_sbs_201_1/262-8794267-6101650?_encoding=UTF8&amp;pd_rd_i=B07HLSFL6G&amp;pd_rd_r=a074a040-98cb-4dd8-a5bf-ac1d2b833dc2&amp;pd_rd_w=5Tx7d&amp;pd_rd_wg=Qrs7x&amp;pf_rd_p=184816e4-edb5-4587-8faf-776e0027d8d1&amp;pf_rd_r=KH9G3PWXTFGBX2YMY5ZP&amp;"&amp;"refRID=KH9G3PWXTFGBX2YMY5ZP&amp;th=1","A")</f>
        <v>#VALUE!</v>
      </c>
      <c r="I15">
        <v>76.5</v>
      </c>
      <c r="J15">
        <f>IF(K15&gt;0,K15*0.0625,IF(L15&gt;0,L15*2.204623,))</f>
        <v>3.5273962</v>
      </c>
      <c r="K15">
        <f>IF(L15&gt;0,L15*35.273962,IF(J15&gt;0,J15*16,))</f>
        <v>56.4383392</v>
      </c>
      <c r="L15">
        <v>1.6</v>
      </c>
      <c r="M15">
        <v>0</v>
      </c>
      <c r="N15">
        <v>0</v>
      </c>
      <c r="O15">
        <f>I15+N15+M15</f>
        <v>76.5</v>
      </c>
      <c r="P15">
        <f>O15*B$3</f>
        <v>103275</v>
      </c>
      <c r="Q15">
        <f>ROUND(SUM(P15), -2)</f>
        <v>103300</v>
      </c>
      <c r="R15">
        <f>ROUNDUP(HLOOKUP(IF(CEILING(L15,0.5)&lt;1,0.5,CEILING(L15,0.5)),'배송비 조회'!A$44:AO$56,7,0)*B$3,-2)</f>
        <v>23800</v>
      </c>
      <c r="S15">
        <v>0</v>
      </c>
      <c r="T15">
        <f>ROUND((Q15+R15)*0.3,-2)</f>
        <v>38100</v>
      </c>
      <c r="U15">
        <f>ROUND((Q15+R15)*0.4,-2)</f>
        <v>50800</v>
      </c>
      <c r="V15">
        <f>SUM(Q15:R15)+T15</f>
        <v>165200</v>
      </c>
      <c r="W15">
        <f>SUM(Q15:S15)+U15</f>
        <v>177900</v>
      </c>
      <c r="X15">
        <v>0</v>
      </c>
      <c r="Y15">
        <f>V15*0.038</f>
        <v>6277.599999999999</v>
      </c>
      <c r="Z15">
        <f>V15*0.02</f>
        <v>3304</v>
      </c>
      <c r="AA15">
        <f>W15*0.1</f>
        <v>17790</v>
      </c>
      <c r="AB15">
        <f>V15-Y15-Z15</f>
        <v>155618.4</v>
      </c>
      <c r="AC15">
        <f>W15-AA15</f>
        <v>160110</v>
      </c>
      <c r="AD15">
        <f>AB15*0.01</f>
        <v>1556.184</v>
      </c>
      <c r="AE15">
        <f>AB15-Q15-AD15-R15</f>
        <v>26962.215999999993</v>
      </c>
      <c r="AF15">
        <f>AC15-Q15-AD15-R15</f>
        <v>31453.816</v>
      </c>
      <c r="AG15">
        <f>AE15/V15</f>
        <v>0.1632095399515738</v>
      </c>
      <c r="AH15">
        <f>AF15/W15</f>
        <v>0.17680616076447442</v>
      </c>
    </row>
    <row r="16">
      <c r="F16" t="str">
        <v>White</v>
      </c>
      <c r="G16" t="e">
        <f>HYPERLINK("https://www.amazon.de/dp/B07HLVPP91/ref=pd_sbs_201_1/262-8794267-6101650?_encoding=UTF8&amp;pd_rd_i=B07HLSFL6G&amp;pd_rd_r=a074a040-98cb-4dd8-a5bf-ac1d2b833dc2&amp;pd_rd_w=5Tx7d&amp;pd_rd_wg=Qrs7x&amp;pf_rd_p=184816e4-edb5-4587-8faf-776e0027d8d1&amp;pf_rd_r=KH9G3PWXTFGBX2YMY5ZP&amp;"&amp;"refRID=KH9G3PWXTFGBX2YMY5ZP&amp;th=1","A")</f>
        <v>#VALUE!</v>
      </c>
      <c r="I16">
        <v>82.1</v>
      </c>
      <c r="J16">
        <f>IF(K16&gt;0,K16*0.0625,IF(L16&gt;0,L16*2.204623,))</f>
        <v>3.0864716749999994</v>
      </c>
      <c r="K16">
        <f>IF(L16&gt;0,L16*35.273962,IF(J16&gt;0,J16*16,))</f>
        <v>49.38354679999999</v>
      </c>
      <c r="L16">
        <v>1.4</v>
      </c>
      <c r="M16">
        <v>0</v>
      </c>
      <c r="N16">
        <v>0</v>
      </c>
      <c r="O16">
        <f>I16+N16+M16</f>
        <v>82.1</v>
      </c>
      <c r="P16">
        <f>O16*B$3</f>
        <v>110834.99999999999</v>
      </c>
      <c r="Q16">
        <f>ROUND(SUM(P16), -2)</f>
        <v>110800</v>
      </c>
      <c r="R16">
        <f>ROUNDUP(HLOOKUP(IF(CEILING(L16,0.5)&lt;1,0.5,CEILING(L16,0.5)),'배송비 조회'!A$44:AO$56,7,0)*B$3,-2)</f>
        <v>20800</v>
      </c>
      <c r="S16">
        <v>0</v>
      </c>
      <c r="T16">
        <f>ROUND((Q16+R16)*0.3,-2)</f>
        <v>39500</v>
      </c>
      <c r="U16">
        <f>ROUND((Q16+R16)*0.4,-2)</f>
        <v>52600</v>
      </c>
      <c r="V16">
        <f>SUM(Q16:R16)+T16</f>
        <v>171100</v>
      </c>
      <c r="W16">
        <f>SUM(Q16:S16)+U16</f>
        <v>184200</v>
      </c>
      <c r="X16">
        <v>0</v>
      </c>
      <c r="Y16">
        <f>V16*0.038</f>
        <v>6501.8</v>
      </c>
      <c r="Z16">
        <f>V16*0.02</f>
        <v>3422</v>
      </c>
      <c r="AA16">
        <f>W16*0.1</f>
        <v>18420</v>
      </c>
      <c r="AB16">
        <f>V16-Y16-Z16</f>
        <v>161176.2</v>
      </c>
      <c r="AC16">
        <f>W16-AA16</f>
        <v>165780</v>
      </c>
      <c r="AD16">
        <f>AB16*0.01</f>
        <v>1611.7620000000002</v>
      </c>
      <c r="AE16">
        <f>AB16-Q16-AD16-R16</f>
        <v>27964.43800000001</v>
      </c>
      <c r="AF16">
        <f>AC16-Q16-AD16-R16</f>
        <v>32568.237999999998</v>
      </c>
      <c r="AG16">
        <f>AE16/V16</f>
        <v>0.16343914669783757</v>
      </c>
      <c r="AH16">
        <f>AF16/W16</f>
        <v>0.17680910966340932</v>
      </c>
    </row>
    <row r="17">
      <c r="A17" t="str">
        <f>HYPERLINK("https://smartstore.naver.com/brickstore2019/products/4720138461","4720138461")</f>
        <v>4720138461</v>
      </c>
      <c r="C17" t="str">
        <v>알레시 루피타 자동 애견 사료그릇 식기 밥그릇Alessi Lupita Dog Bowl (무료배송)</v>
      </c>
      <c r="E17" t="str">
        <v>Alessi Lupita Dog Bowl – Plastic – Stainless Steel – Black, Ø 32 cm</v>
      </c>
      <c r="F17" t="str">
        <v>Black</v>
      </c>
      <c r="G17" t="str">
        <f>HYPERLINK("https://www.amazon.de/dp/B01IO9DRHQ?ref_=ast_bbp_dp","A")</f>
        <v>A</v>
      </c>
      <c r="I17">
        <v>83.6</v>
      </c>
      <c r="J17">
        <f>IF(K17&gt;0,K17*0.0625,IF(L17&gt;0,L17*2.204623,))</f>
        <v>2.4250848875</v>
      </c>
      <c r="K17">
        <f>IF(L17&gt;0,L17*35.273962,IF(J17&gt;0,J17*16,))</f>
        <v>38.8013582</v>
      </c>
      <c r="L17">
        <v>1.1</v>
      </c>
      <c r="M17">
        <v>0</v>
      </c>
      <c r="N17">
        <v>0</v>
      </c>
      <c r="O17">
        <f>I17+N17+M17</f>
        <v>83.6</v>
      </c>
      <c r="P17">
        <f>O17*B$3</f>
        <v>112859.99999999999</v>
      </c>
      <c r="Q17">
        <f>ROUND(SUM(P17), -2)</f>
        <v>112900</v>
      </c>
      <c r="R17">
        <f>ROUNDUP(HLOOKUP(IF(CEILING(L17,0.5)&lt;1,0.5,CEILING(L17,0.5)),'배송비 조회'!A$44:AO$56,7,0)*B$3,-2)</f>
        <v>20800</v>
      </c>
      <c r="S17">
        <v>0</v>
      </c>
      <c r="T17">
        <f>ROUND((Q17+R17)*0.3,-2)</f>
        <v>40100</v>
      </c>
      <c r="U17">
        <f>ROUND((Q17+R17)*0.4,-2)</f>
        <v>53500</v>
      </c>
      <c r="V17">
        <f>SUM(Q17:R17)+T17</f>
        <v>173800</v>
      </c>
      <c r="W17">
        <f>SUM(Q17:S17)+U17</f>
        <v>187200</v>
      </c>
      <c r="X17">
        <v>0</v>
      </c>
      <c r="Y17">
        <f>V17*0.038</f>
        <v>6604.4</v>
      </c>
      <c r="Z17">
        <f>V17*0.02</f>
        <v>3476</v>
      </c>
      <c r="AA17">
        <f>W17*0.1</f>
        <v>18720</v>
      </c>
      <c r="AB17">
        <f>V17-Y17-Z17</f>
        <v>163719.6</v>
      </c>
      <c r="AC17">
        <f>W17-AA17</f>
        <v>168480</v>
      </c>
      <c r="AD17">
        <f>AB17*0.01</f>
        <v>1637.1960000000001</v>
      </c>
      <c r="AE17">
        <f>AB17-Q17-AD17-R17</f>
        <v>28382.404000000002</v>
      </c>
      <c r="AF17">
        <f>AC17-Q17-AD17-R17</f>
        <v>33142.804</v>
      </c>
      <c r="AG17">
        <f>AE17/V17</f>
        <v>0.16330497123130036</v>
      </c>
      <c r="AH17">
        <f>AF17/W17</f>
        <v>0.17704489316239314</v>
      </c>
    </row>
    <row r="18">
      <c r="A18" t="str">
        <f>HYPERLINK("https://smartstore.naver.com/brickstore2019/products/4720187296","4720187296")</f>
        <v>4720187296</v>
      </c>
      <c r="C18" t="str">
        <v>알레시 안나 G 자막 콕스크류 와인따개 와인오프너 Alessi Anna G Zamak Corkscrew (무료배송)</v>
      </c>
      <c r="E18" t="str">
        <v>Alessi Anna G Zamak Corkscrew by Alessandro Mendini</v>
      </c>
      <c r="F18" t="str">
        <v>Blue</v>
      </c>
      <c r="G18" t="str">
        <f>HYPERLINK("https://www.amazon.de/dp/B000FVBU80?ref_=ast_bbp_dp&amp;th=1","A")</f>
        <v>A</v>
      </c>
      <c r="I18">
        <v>40</v>
      </c>
      <c r="J18">
        <f>IF(K18&gt;0,K18*0.0625,IF(L18&gt;0,L18*2.204623,))</f>
        <v>1.3227735749999998</v>
      </c>
      <c r="K18">
        <f>IF(L18&gt;0,L18*35.273962,IF(J18&gt;0,J18*16,))</f>
        <v>21.164377199999997</v>
      </c>
      <c r="L18">
        <v>0.6</v>
      </c>
      <c r="M18">
        <v>0</v>
      </c>
      <c r="N18">
        <v>0</v>
      </c>
      <c r="O18">
        <f>I18+N18+M18</f>
        <v>40</v>
      </c>
      <c r="P18">
        <f>O18*B$3</f>
        <v>54000</v>
      </c>
      <c r="Q18">
        <f>ROUND(SUM(P18), -2)</f>
        <v>54000</v>
      </c>
      <c r="R18">
        <f>ROUNDUP(HLOOKUP(IF(CEILING(L18,0.5)&lt;1,0.5,CEILING(L18,0.5)),'배송비 조회'!A$44:AO$56,7,0)*B$3,-2)</f>
        <v>17900</v>
      </c>
      <c r="S18">
        <v>0</v>
      </c>
      <c r="T18">
        <f>ROUND((Q18+R18)*0.3,-2)</f>
        <v>21600</v>
      </c>
      <c r="U18">
        <f>ROUND((Q18+R18)*0.4,-2)</f>
        <v>28800</v>
      </c>
      <c r="V18">
        <f>SUM(Q18:R18)+T18</f>
        <v>93500</v>
      </c>
      <c r="W18">
        <f>SUM(Q18:S18)+U18</f>
        <v>100700</v>
      </c>
      <c r="X18">
        <v>0</v>
      </c>
      <c r="Y18">
        <f>V18*0.038</f>
        <v>3553</v>
      </c>
      <c r="Z18">
        <f>V18*0.02</f>
        <v>1870</v>
      </c>
      <c r="AA18">
        <f>W18*0.1</f>
        <v>10070</v>
      </c>
      <c r="AB18">
        <f>V18-Y18-Z18</f>
        <v>88077</v>
      </c>
      <c r="AC18">
        <f>W18-AA18</f>
        <v>90630</v>
      </c>
      <c r="AD18">
        <f>AB18*0.01</f>
        <v>880.77</v>
      </c>
      <c r="AE18">
        <f>AB18-Q18-AD18-R18</f>
        <v>15296.230000000003</v>
      </c>
      <c r="AF18">
        <f>AC18-Q18-AD18-R18</f>
        <v>17849.230000000003</v>
      </c>
      <c r="AG18">
        <f>AE18/V18</f>
        <v>0.16359604278074868</v>
      </c>
      <c r="AH18">
        <f>AF18/W18</f>
        <v>0.17725153922542208</v>
      </c>
      <c r="AI18">
        <f>V25-V18</f>
        <v>-23400</v>
      </c>
    </row>
    <row r="19">
      <c r="F19" t="str">
        <v>Burgundy</v>
      </c>
      <c r="G19" t="str">
        <f>HYPERLINK("https://www.amazon.de/dp/B0002BXBC6?ref_=ast_bbp_dp&amp;th=1","A")</f>
        <v>A</v>
      </c>
      <c r="I19">
        <v>37.1</v>
      </c>
      <c r="J19">
        <f>IF(K19&gt;0,K19*0.0625,IF(L19&gt;0,L19*2.204623,))</f>
        <v>1.3227735749999998</v>
      </c>
      <c r="K19">
        <f>IF(L19&gt;0,L19*35.273962,IF(J19&gt;0,J19*16,))</f>
        <v>21.164377199999997</v>
      </c>
      <c r="L19">
        <v>0.6</v>
      </c>
      <c r="M19">
        <v>0</v>
      </c>
      <c r="N19">
        <v>0</v>
      </c>
      <c r="O19">
        <f>I19+N19+M19</f>
        <v>37.1</v>
      </c>
      <c r="P19">
        <f>O19*B$3</f>
        <v>50085</v>
      </c>
      <c r="Q19">
        <f>ROUND(SUM(P19), -2)</f>
        <v>50100</v>
      </c>
      <c r="R19">
        <f>ROUNDUP(HLOOKUP(IF(CEILING(L19,0.5)&lt;1,0.5,CEILING(L19,0.5)),'배송비 조회'!A$44:AO$56,7,0)*B$3,-2)</f>
        <v>17900</v>
      </c>
      <c r="S19">
        <v>0</v>
      </c>
      <c r="T19">
        <f>ROUND((Q19+R19)*0.3,-2)</f>
        <v>20400</v>
      </c>
      <c r="U19">
        <f>ROUND((Q19+R19)*0.4,-2)</f>
        <v>27200</v>
      </c>
      <c r="V19">
        <f>SUM(Q19:R19)+T19</f>
        <v>88400</v>
      </c>
      <c r="W19">
        <f>SUM(Q19:S19)+U19</f>
        <v>95200</v>
      </c>
      <c r="X19">
        <v>0</v>
      </c>
      <c r="Y19">
        <f>V19*0.038</f>
        <v>3359.2</v>
      </c>
      <c r="Z19">
        <f>V19*0.02</f>
        <v>1768</v>
      </c>
      <c r="AA19">
        <f>W19*0.1</f>
        <v>9520</v>
      </c>
      <c r="AB19">
        <f>V19-Y19-Z19</f>
        <v>83272.8</v>
      </c>
      <c r="AC19">
        <f>W19-AA19</f>
        <v>85680</v>
      </c>
      <c r="AD19">
        <f>AB19*0.01</f>
        <v>832.7280000000001</v>
      </c>
      <c r="AE19">
        <f>AB19-Q19-AD19-R19</f>
        <v>14440.072000000004</v>
      </c>
      <c r="AF19">
        <f>AC19-Q19-AD19-R19</f>
        <v>16847.271999999997</v>
      </c>
      <c r="AG19">
        <f>AE19/V19</f>
        <v>0.1633492307692308</v>
      </c>
      <c r="AH19">
        <f>AF19/W19</f>
        <v>0.17696714285714282</v>
      </c>
      <c r="AI19">
        <f>V25-V19</f>
        <v>-18300</v>
      </c>
    </row>
    <row r="20">
      <c r="F20" t="str">
        <v>Yellow</v>
      </c>
      <c r="G20" t="str">
        <f>HYPERLINK("https://www.amazon.de/dp/B000FV8FP6?ref_=ast_bbp_dp&amp;th=1","A")</f>
        <v>A</v>
      </c>
      <c r="I20">
        <v>48</v>
      </c>
      <c r="J20">
        <f>IF(K20&gt;0,K20*0.0625,IF(L20&gt;0,L20*2.204623,))</f>
        <v>1.3227735749999998</v>
      </c>
      <c r="K20">
        <f>IF(L20&gt;0,L20*35.273962,IF(J20&gt;0,J20*16,))</f>
        <v>21.164377199999997</v>
      </c>
      <c r="L20">
        <v>0.6</v>
      </c>
      <c r="M20">
        <v>0</v>
      </c>
      <c r="N20">
        <v>0</v>
      </c>
      <c r="O20">
        <f>I20+N20+M20</f>
        <v>48</v>
      </c>
      <c r="P20">
        <f>O20*B$3</f>
        <v>64800</v>
      </c>
      <c r="Q20">
        <f>ROUND(SUM(P20), -2)</f>
        <v>64800</v>
      </c>
      <c r="R20">
        <f>ROUNDUP(HLOOKUP(IF(CEILING(L20,0.5)&lt;1,0.5,CEILING(L20,0.5)),'배송비 조회'!A$44:AO$56,7,0)*B$3,-2)</f>
        <v>17900</v>
      </c>
      <c r="S20">
        <v>0</v>
      </c>
      <c r="T20">
        <f>ROUND((Q20+R20)*0.3,-2)</f>
        <v>24800</v>
      </c>
      <c r="U20">
        <f>ROUND((Q20+R20)*0.4,-2)</f>
        <v>33100</v>
      </c>
      <c r="V20">
        <f>SUM(Q20:R20)+T20</f>
        <v>107500</v>
      </c>
      <c r="W20">
        <f>SUM(Q20:S20)+U20</f>
        <v>115800</v>
      </c>
      <c r="X20">
        <v>0</v>
      </c>
      <c r="Y20">
        <f>V20*0.038</f>
        <v>4085</v>
      </c>
      <c r="Z20">
        <f>V20*0.02</f>
        <v>2150</v>
      </c>
      <c r="AA20">
        <f>W20*0.1</f>
        <v>11580</v>
      </c>
      <c r="AB20">
        <f>V20-Y20-Z20</f>
        <v>101265</v>
      </c>
      <c r="AC20">
        <f>W20-AA20</f>
        <v>104220</v>
      </c>
      <c r="AD20">
        <f>AB20*0.01</f>
        <v>1012.65</v>
      </c>
      <c r="AE20">
        <f>AB20-Q20-AD20-R20</f>
        <v>17552.35</v>
      </c>
      <c r="AF20">
        <f>AC20-Q20-AD20-R20</f>
        <v>20507.35</v>
      </c>
      <c r="AG20">
        <f>AE20/V20</f>
        <v>0.16327767441860463</v>
      </c>
      <c r="AH20">
        <f>AF20/W20</f>
        <v>0.17709283246977547</v>
      </c>
      <c r="AI20">
        <f>V25-V20</f>
        <v>-37400</v>
      </c>
    </row>
    <row r="21">
      <c r="F21" t="str">
        <v>Mint</v>
      </c>
      <c r="G21" t="str">
        <f>HYPERLINK("https://www.amazon.de/dp/B000FVBU8K?ref_=ast_bbp_dp&amp;th=1","A")</f>
        <v>A</v>
      </c>
      <c r="I21">
        <v>40</v>
      </c>
      <c r="J21">
        <f>IF(K21&gt;0,K21*0.0625,IF(L21&gt;0,L21*2.204623,))</f>
        <v>1.3227735749999998</v>
      </c>
      <c r="K21">
        <f>IF(L21&gt;0,L21*35.273962,IF(J21&gt;0,J21*16,))</f>
        <v>21.164377199999997</v>
      </c>
      <c r="L21">
        <v>0.6</v>
      </c>
      <c r="M21">
        <v>0</v>
      </c>
      <c r="N21">
        <v>0</v>
      </c>
      <c r="O21">
        <f>I21+N21+M21</f>
        <v>40</v>
      </c>
      <c r="P21">
        <f>O21*B$3</f>
        <v>54000</v>
      </c>
      <c r="Q21">
        <f>ROUND(SUM(P21), -2)</f>
        <v>54000</v>
      </c>
      <c r="R21">
        <f>ROUNDUP(HLOOKUP(IF(CEILING(L21,0.5)&lt;1,0.5,CEILING(L21,0.5)),'배송비 조회'!A$44:AO$56,7,0)*B$3,-2)</f>
        <v>17900</v>
      </c>
      <c r="S21">
        <v>0</v>
      </c>
      <c r="T21">
        <f>ROUND((Q21+R21)*0.3,-2)</f>
        <v>21600</v>
      </c>
      <c r="U21">
        <f>ROUND((Q21+R21)*0.4,-2)</f>
        <v>28800</v>
      </c>
      <c r="V21">
        <f>SUM(Q21:R21)+T21</f>
        <v>93500</v>
      </c>
      <c r="W21">
        <f>SUM(Q21:S21)+U21</f>
        <v>100700</v>
      </c>
      <c r="X21">
        <v>0</v>
      </c>
      <c r="Y21">
        <f>V21*0.038</f>
        <v>3553</v>
      </c>
      <c r="Z21">
        <f>V21*0.02</f>
        <v>1870</v>
      </c>
      <c r="AA21">
        <f>W21*0.1</f>
        <v>10070</v>
      </c>
      <c r="AB21">
        <f>V21-Y21-Z21</f>
        <v>88077</v>
      </c>
      <c r="AC21">
        <f>W21-AA21</f>
        <v>90630</v>
      </c>
      <c r="AD21">
        <f>AB21*0.01</f>
        <v>880.77</v>
      </c>
      <c r="AE21">
        <f>AB21-Q21-AD21-R21</f>
        <v>15296.230000000003</v>
      </c>
      <c r="AF21">
        <f>AC21-Q21-AD21-R21</f>
        <v>17849.230000000003</v>
      </c>
      <c r="AG21">
        <f>AE21/V21</f>
        <v>0.16359604278074868</v>
      </c>
      <c r="AH21">
        <f>AF21/W21</f>
        <v>0.17725153922542208</v>
      </c>
      <c r="AI21">
        <f>V25-V21</f>
        <v>-23400</v>
      </c>
    </row>
    <row r="22">
      <c r="F22" t="str">
        <v>Purple</v>
      </c>
      <c r="G22" t="str">
        <f>HYPERLINK("https://www.amazon.de/dp/B000FVDT1G?ref_=ast_bbp_dp&amp;th=1","A")</f>
        <v>A</v>
      </c>
      <c r="I22">
        <v>40</v>
      </c>
      <c r="J22">
        <f>IF(K22&gt;0,K22*0.0625,IF(L22&gt;0,L22*2.204623,))</f>
        <v>1.3227735749999998</v>
      </c>
      <c r="K22">
        <f>IF(L22&gt;0,L22*35.273962,IF(J22&gt;0,J22*16,))</f>
        <v>21.164377199999997</v>
      </c>
      <c r="L22">
        <v>0.6</v>
      </c>
      <c r="M22">
        <v>0</v>
      </c>
      <c r="N22">
        <v>0</v>
      </c>
      <c r="O22">
        <f>I22+N22+M22</f>
        <v>40</v>
      </c>
      <c r="P22">
        <f>O22*B$3</f>
        <v>54000</v>
      </c>
      <c r="Q22">
        <f>ROUND(SUM(P22), -2)</f>
        <v>54000</v>
      </c>
      <c r="R22">
        <f>ROUNDUP(HLOOKUP(IF(CEILING(L22,0.5)&lt;1,0.5,CEILING(L22,0.5)),'배송비 조회'!A$44:AO$56,7,0)*B$3,-2)</f>
        <v>17900</v>
      </c>
      <c r="S22">
        <v>0</v>
      </c>
      <c r="T22">
        <f>ROUND((Q22+R22)*0.3,-2)</f>
        <v>21600</v>
      </c>
      <c r="U22">
        <f>ROUND((Q22+R22)*0.4,-2)</f>
        <v>28800</v>
      </c>
      <c r="V22">
        <f>SUM(Q22:R22)+T22</f>
        <v>93500</v>
      </c>
      <c r="W22">
        <f>SUM(Q22:S22)+U22</f>
        <v>100700</v>
      </c>
      <c r="X22">
        <v>0</v>
      </c>
      <c r="Y22">
        <f>V22*0.038</f>
        <v>3553</v>
      </c>
      <c r="Z22">
        <f>V22*0.02</f>
        <v>1870</v>
      </c>
      <c r="AA22">
        <f>W22*0.1</f>
        <v>10070</v>
      </c>
      <c r="AB22">
        <f>V22-Y22-Z22</f>
        <v>88077</v>
      </c>
      <c r="AC22">
        <f>W22-AA22</f>
        <v>90630</v>
      </c>
      <c r="AD22">
        <f>AB22*0.01</f>
        <v>880.77</v>
      </c>
      <c r="AE22">
        <f>AB22-Q22-AD22-R22</f>
        <v>15296.230000000003</v>
      </c>
      <c r="AF22">
        <f>AC22-Q22-AD22-R22</f>
        <v>17849.230000000003</v>
      </c>
      <c r="AG22">
        <f>AE22/V22</f>
        <v>0.16359604278074868</v>
      </c>
      <c r="AH22">
        <f>AF22/W22</f>
        <v>0.17725153922542208</v>
      </c>
      <c r="AI22">
        <f>V25-V22</f>
        <v>-23400</v>
      </c>
    </row>
    <row r="23">
      <c r="F23" t="str">
        <v>Black</v>
      </c>
      <c r="G23" t="str">
        <f>HYPERLINK("https://www.amazon.de/dp/B000FVBU8A?ref_=ast_bbp_dp&amp;th=1","A")</f>
        <v>A</v>
      </c>
      <c r="I23">
        <v>35.32</v>
      </c>
      <c r="J23">
        <f>IF(K23&gt;0,K23*0.0625,IF(L23&gt;0,L23*2.204623,))</f>
        <v>1.3227735749999998</v>
      </c>
      <c r="K23">
        <f>IF(L23&gt;0,L23*35.273962,IF(J23&gt;0,J23*16,))</f>
        <v>21.164377199999997</v>
      </c>
      <c r="L23">
        <v>0.6</v>
      </c>
      <c r="M23">
        <v>0</v>
      </c>
      <c r="N23">
        <v>0</v>
      </c>
      <c r="O23">
        <f>I23+N23+M23</f>
        <v>35.32</v>
      </c>
      <c r="P23">
        <f>O23*B$3</f>
        <v>47682</v>
      </c>
      <c r="Q23">
        <f>ROUND(SUM(P23), -2)</f>
        <v>47700</v>
      </c>
      <c r="R23">
        <f>ROUNDUP(HLOOKUP(IF(CEILING(L23,0.5)&lt;1,0.5,CEILING(L23,0.5)),'배송비 조회'!A$44:AO$56,7,0)*B$3,-2)</f>
        <v>17900</v>
      </c>
      <c r="S23">
        <v>0</v>
      </c>
      <c r="T23">
        <f>ROUND((Q23+R23)*0.3,-2)</f>
        <v>19700</v>
      </c>
      <c r="U23">
        <f>ROUND((Q23+R23)*0.4,-2)</f>
        <v>26200</v>
      </c>
      <c r="V23">
        <f>SUM(Q23:R23)+T23</f>
        <v>85300</v>
      </c>
      <c r="W23">
        <f>SUM(Q23:S23)+U23</f>
        <v>91800</v>
      </c>
      <c r="X23">
        <v>0</v>
      </c>
      <c r="Y23">
        <f>V23*0.038</f>
        <v>3241.4</v>
      </c>
      <c r="Z23">
        <f>V23*0.02</f>
        <v>1706</v>
      </c>
      <c r="AA23">
        <f>W23*0.1</f>
        <v>9180</v>
      </c>
      <c r="AB23">
        <f>V23-Y23-Z23</f>
        <v>80352.6</v>
      </c>
      <c r="AC23">
        <f>W23-AA23</f>
        <v>82620</v>
      </c>
      <c r="AD23">
        <f>AB23*0.01</f>
        <v>803.5260000000001</v>
      </c>
      <c r="AE23">
        <f>AB23-Q23-AD23-R23</f>
        <v>13949.074000000004</v>
      </c>
      <c r="AF23">
        <f>AC23-Q23-AD23-R23</f>
        <v>16216.474000000002</v>
      </c>
      <c r="AG23">
        <f>AE23/V23</f>
        <v>0.16352958968347014</v>
      </c>
      <c r="AH23">
        <f>AF23/W23</f>
        <v>0.17665004357298478</v>
      </c>
      <c r="AI23">
        <f>V25-V23</f>
        <v>-15200</v>
      </c>
    </row>
    <row r="24">
      <c r="F24" t="str">
        <v>Silver</v>
      </c>
      <c r="G24" t="str">
        <f>HYPERLINK("https://www.amazon.de/dp/B0002BYEJA?ref_=ast_bbp_dp&amp;th=1","A")</f>
        <v>A</v>
      </c>
      <c r="I24">
        <v>56.1</v>
      </c>
      <c r="J24">
        <f>IF(K24&gt;0,K24*0.0625,IF(L24&gt;0,L24*2.204623,))</f>
        <v>1.3227735749999998</v>
      </c>
      <c r="K24">
        <f>IF(L24&gt;0,L24*35.273962,IF(J24&gt;0,J24*16,))</f>
        <v>21.164377199999997</v>
      </c>
      <c r="L24">
        <v>0.6</v>
      </c>
      <c r="M24">
        <v>0</v>
      </c>
      <c r="N24">
        <v>0</v>
      </c>
      <c r="O24">
        <f>I24+N24+M24</f>
        <v>56.1</v>
      </c>
      <c r="P24">
        <f>O24*B$3</f>
        <v>75735</v>
      </c>
      <c r="Q24">
        <f>ROUND(SUM(P24), -2)</f>
        <v>75700</v>
      </c>
      <c r="R24">
        <f>ROUNDUP(HLOOKUP(IF(CEILING(L24,0.5)&lt;1,0.5,CEILING(L24,0.5)),'배송비 조회'!A$44:AO$56,7,0)*B$3,-2)</f>
        <v>17900</v>
      </c>
      <c r="S24">
        <v>0</v>
      </c>
      <c r="T24">
        <f>ROUND((Q24+R24)*0.15,-2)</f>
        <v>14000</v>
      </c>
      <c r="U24">
        <f>ROUND((Q24+R24)*0.4,-2)</f>
        <v>37400</v>
      </c>
      <c r="V24">
        <f>SUM(Q24:R24)+T24</f>
        <v>107600</v>
      </c>
      <c r="W24">
        <f>SUM(Q24:S24)+U24</f>
        <v>131000</v>
      </c>
      <c r="X24">
        <v>0</v>
      </c>
      <c r="Y24">
        <f>V24*0.038</f>
        <v>4088.7999999999997</v>
      </c>
      <c r="Z24">
        <f>V24*0.02</f>
        <v>2152</v>
      </c>
      <c r="AA24">
        <f>W24*0.1</f>
        <v>13100</v>
      </c>
      <c r="AB24">
        <f>V24-Y24-Z24</f>
        <v>101359.2</v>
      </c>
      <c r="AC24">
        <f>W24-AA24</f>
        <v>117900</v>
      </c>
      <c r="AD24">
        <f>AB24*0.01</f>
        <v>1013.592</v>
      </c>
      <c r="AE24">
        <f>AB24-Q24-AD24-R24</f>
        <v>6745.6079999999965</v>
      </c>
      <c r="AF24">
        <f>AC24-Q24-AD24-R24</f>
        <v>23286.408000000003</v>
      </c>
      <c r="AG24">
        <f>AE24/V24</f>
        <v>0.06269152416356874</v>
      </c>
      <c r="AH24">
        <f>AF24/W24</f>
        <v>0.1777588396946565</v>
      </c>
      <c r="AI24">
        <f>V25-V24</f>
        <v>-37500</v>
      </c>
    </row>
    <row r="25">
      <c r="F25" t="str">
        <v>Rose</v>
      </c>
      <c r="G25" t="str">
        <f>HYPERLINK("https://www.amazon.de/dp/B00AC7WIVA?ref_=ast_bbp_dp&amp;th=1","A")</f>
        <v>A</v>
      </c>
      <c r="I25">
        <v>30</v>
      </c>
      <c r="J25">
        <f>IF(K25&gt;0,K25*0.0625,IF(L25&gt;0,L25*2.204623,))</f>
        <v>1.3227735749999998</v>
      </c>
      <c r="K25">
        <f>IF(L25&gt;0,L25*35.273962,IF(J25&gt;0,J25*16,))</f>
        <v>21.164377199999997</v>
      </c>
      <c r="L25">
        <v>0.6</v>
      </c>
      <c r="M25">
        <v>0</v>
      </c>
      <c r="N25">
        <v>0</v>
      </c>
      <c r="O25">
        <f>I25+N25+M25</f>
        <v>30</v>
      </c>
      <c r="P25">
        <f>O25*B$3</f>
        <v>40500</v>
      </c>
      <c r="Q25">
        <f>ROUND(SUM(P25), -2)</f>
        <v>40500</v>
      </c>
      <c r="R25">
        <f>ROUNDUP(HLOOKUP(IF(CEILING(L25,0.5)&lt;1,0.5,CEILING(L25,0.5)),'배송비 조회'!A$44:AO$56,7,0)*B$3,-2)</f>
        <v>17900</v>
      </c>
      <c r="S25">
        <v>0</v>
      </c>
      <c r="T25">
        <f>ROUND((Q25+R25)*0.2,-2)</f>
        <v>11700</v>
      </c>
      <c r="U25">
        <f>ROUND((Q25+R25)*0.4,-2)</f>
        <v>23400</v>
      </c>
      <c r="V25">
        <f>SUM(Q25:R25)+T25</f>
        <v>70100</v>
      </c>
      <c r="W25">
        <f>SUM(Q25:S25)+U25</f>
        <v>81800</v>
      </c>
      <c r="X25">
        <v>0</v>
      </c>
      <c r="Y25">
        <f>V25*0.038</f>
        <v>2663.7999999999997</v>
      </c>
      <c r="Z25">
        <f>V25*0.02</f>
        <v>1402</v>
      </c>
      <c r="AA25">
        <f>W25*0.1</f>
        <v>8180</v>
      </c>
      <c r="AB25">
        <f>V25-Y25-Z25</f>
        <v>66034.2</v>
      </c>
      <c r="AC25">
        <f>W25-AA25</f>
        <v>73620</v>
      </c>
      <c r="AD25">
        <f>AB25*0.01</f>
        <v>660.342</v>
      </c>
      <c r="AE25">
        <f>AB25-Q25-AD25-R25</f>
        <v>6973.8579999999965</v>
      </c>
      <c r="AF25">
        <f>AC25-Q25-AD25-R25</f>
        <v>14559.658</v>
      </c>
      <c r="AG25">
        <f>AE25/V25</f>
        <v>0.09948442225392291</v>
      </c>
      <c r="AH25">
        <f>AF25/W25</f>
        <v>0.17799092909535452</v>
      </c>
    </row>
    <row r="26">
      <c r="G26" t="str">
        <f>HYPERLINK("https://www.amazon.de/SEVERIN-Raclette-Grill-Pf%C3%A4nnchen-RG-2686/dp/B00EFEZ4EY/ref=sr_1_4?__mk_de_DE=%C3%85M%C3%85%C5%BD%C3%95%C3%91&amp;keywords=Severin+Raclette+Grill&amp;qid=1571110498&amp;refinements=p_89%3ASEVERIN&amp;rnid=669059031&amp;sr=8-4","A")</f>
        <v>A</v>
      </c>
      <c r="I26">
        <v>19.99</v>
      </c>
      <c r="J26">
        <f>IF(K26&gt;0,K26*0.0625,IF(L26&gt;0,L26*2.204623,))</f>
        <v>3.5273962</v>
      </c>
      <c r="K26">
        <f>IF(L26&gt;0,L26*35.273962,IF(J26&gt;0,J26*16,))</f>
        <v>56.4383392</v>
      </c>
      <c r="L26">
        <v>1.6</v>
      </c>
      <c r="M26">
        <v>0</v>
      </c>
      <c r="N26">
        <v>0</v>
      </c>
      <c r="O26">
        <f>I26+N26+M26</f>
        <v>19.99</v>
      </c>
      <c r="P26">
        <f>O26*B$3</f>
        <v>26986.499999999996</v>
      </c>
      <c r="Q26">
        <f>ROUND(SUM(P26), -2)</f>
        <v>27000</v>
      </c>
      <c r="R26">
        <f>ROUNDUP(HLOOKUP(IF(CEILING(L26,0.5)&lt;1,0.5,CEILING(L26,0.5)),'배송비 조회'!A$44:AO$56,7,0)*B$3,-2)</f>
        <v>23800</v>
      </c>
      <c r="S26">
        <v>0</v>
      </c>
      <c r="T26">
        <f>ROUND((Q26+R26)*0.3,-2)</f>
        <v>15200</v>
      </c>
      <c r="U26">
        <f>ROUND((Q26+R26)*0.4,-2)</f>
        <v>20300</v>
      </c>
      <c r="V26">
        <f>SUM(Q26:R26)+T26</f>
        <v>66000</v>
      </c>
      <c r="W26">
        <f>SUM(Q26:S26)+U26</f>
        <v>71100</v>
      </c>
      <c r="X26">
        <v>0</v>
      </c>
      <c r="Y26">
        <f>V26*0.038</f>
        <v>2508</v>
      </c>
      <c r="Z26">
        <f>V26*0.02</f>
        <v>1320</v>
      </c>
      <c r="AA26">
        <f>W26*0.1</f>
        <v>7110</v>
      </c>
      <c r="AB26">
        <f>V26-Y26-Z26</f>
        <v>62172</v>
      </c>
      <c r="AC26">
        <f>W26-AA26</f>
        <v>63990</v>
      </c>
      <c r="AD26">
        <f>AB26*0.01</f>
        <v>621.72</v>
      </c>
      <c r="AE26">
        <f>AB26-Q26-AD26-R26</f>
        <v>10750.279999999999</v>
      </c>
      <c r="AF26">
        <f>AC26-Q26-AD26-R26</f>
        <v>12568.279999999999</v>
      </c>
      <c r="AG26">
        <f>AE26/V26</f>
        <v>0.16288303030303028</v>
      </c>
      <c r="AH26">
        <f>AF26/W26</f>
        <v>0.1767690576652602</v>
      </c>
    </row>
    <row r="27">
      <c r="G27" t="str">
        <v>A</v>
      </c>
      <c r="J27" t="str">
        <f>IF(K27&gt;0,K27*0.0625,IF(L27&gt;0,L27*2.204623,))</f>
        <v>#REF!</v>
      </c>
      <c r="K27" t="str">
        <f>IF(L27&gt;0,L27*35.273962,IF(J27&gt;0,J27*16,))</f>
        <v>#REF!</v>
      </c>
      <c r="L27" t="str">
        <f>IF(J27&gt;0,J27*0.453592,IF(K27&gt;0,K27*0.02835,))</f>
        <v>#REF!</v>
      </c>
      <c r="O27">
        <f>I27+N27+M27</f>
        <v>0</v>
      </c>
      <c r="P27">
        <f>O27*B$3</f>
        <v>0</v>
      </c>
      <c r="Q27">
        <f>ROUND(SUM(P27), -2)</f>
        <v>0</v>
      </c>
      <c r="R27" t="str">
        <f>ROUNDUP(HLOOKUP(IF(CEILING(L27,0.5)&lt;1,0.5,CEILING(L27,0.5)),'배송비 조회'!A$44:AO$56,7,0)*B$3,-2)</f>
        <v>#REF!</v>
      </c>
      <c r="S27">
        <v>0</v>
      </c>
      <c r="T27" t="str">
        <f>ROUND((Q27+R27)*0.3,-2)</f>
        <v>#REF!</v>
      </c>
      <c r="U27" t="str">
        <f>ROUND((Q27+R27)*0.4,-2)</f>
        <v>#REF!</v>
      </c>
      <c r="V27" t="str">
        <f>SUM(Q27:R27)+T27</f>
        <v>#REF!</v>
      </c>
      <c r="W27" t="str">
        <f>SUM(Q27:S27)+U27</f>
        <v>#REF!</v>
      </c>
      <c r="X27">
        <v>0</v>
      </c>
      <c r="Y27" t="str">
        <f>V27*0.038</f>
        <v>#REF!</v>
      </c>
      <c r="Z27" t="str">
        <f>V27*0.02</f>
        <v>#REF!</v>
      </c>
      <c r="AA27" t="str">
        <f>W27*0.1</f>
        <v>#REF!</v>
      </c>
      <c r="AB27" t="str">
        <f>V27-Y27-Z27</f>
        <v>#REF!</v>
      </c>
      <c r="AC27" t="str">
        <f>W27-AA27</f>
        <v>#REF!</v>
      </c>
      <c r="AD27" t="str">
        <f>AB27*0.01</f>
        <v>#REF!</v>
      </c>
      <c r="AE27" t="str">
        <f>AB27-Q27-AD27-R27</f>
        <v>#REF!</v>
      </c>
      <c r="AF27" t="str">
        <f>AC27-Q27-AD27-R27</f>
        <v>#REF!</v>
      </c>
      <c r="AG27" t="str">
        <f>AE27/V27</f>
        <v>#REF!</v>
      </c>
      <c r="AH27" t="str">
        <f>AF27/W27</f>
        <v>#REF!</v>
      </c>
    </row>
    <row r="28">
      <c r="G28" t="str">
        <v>A</v>
      </c>
      <c r="J28" t="str">
        <f>IF(K28&gt;0,K28*0.0625,IF(L28&gt;0,L28*2.204623,))</f>
        <v>#REF!</v>
      </c>
      <c r="K28" t="str">
        <f>IF(L28&gt;0,L28*35.273962,IF(J28&gt;0,J28*16,))</f>
        <v>#REF!</v>
      </c>
      <c r="L28" t="str">
        <f>IF(J28&gt;0,J28*0.453592,IF(K28&gt;0,K28*0.02835,))</f>
        <v>#REF!</v>
      </c>
      <c r="O28">
        <f>I28+N28+M28</f>
        <v>0</v>
      </c>
      <c r="P28">
        <f>O28*B$3</f>
        <v>0</v>
      </c>
      <c r="Q28">
        <f>ROUND(SUM(P28), -2)</f>
        <v>0</v>
      </c>
      <c r="R28" t="str">
        <f>ROUNDUP(HLOOKUP(IF(CEILING(L28,0.5)&lt;1,0.5,CEILING(L28,0.5)),'배송비 조회'!A$44:AO$56,7,0)*B$3,-2)</f>
        <v>#REF!</v>
      </c>
      <c r="S28">
        <v>0</v>
      </c>
      <c r="T28" t="str">
        <f>ROUND((Q28+R28)*0.3,-2)</f>
        <v>#REF!</v>
      </c>
      <c r="U28" t="str">
        <f>ROUND((Q28+R28)*0.4,-2)</f>
        <v>#REF!</v>
      </c>
      <c r="V28" t="str">
        <f>SUM(Q28:R28)+T28</f>
        <v>#REF!</v>
      </c>
      <c r="W28" t="str">
        <f>SUM(Q28:S28)+U28</f>
        <v>#REF!</v>
      </c>
      <c r="X28">
        <v>0</v>
      </c>
      <c r="Y28" t="str">
        <f>V28*0.038</f>
        <v>#REF!</v>
      </c>
      <c r="Z28" t="str">
        <f>V28*0.02</f>
        <v>#REF!</v>
      </c>
      <c r="AA28" t="str">
        <f>W28*0.1</f>
        <v>#REF!</v>
      </c>
      <c r="AB28" t="str">
        <f>V28-Y28-Z28</f>
        <v>#REF!</v>
      </c>
      <c r="AC28" t="str">
        <f>W28-AA28</f>
        <v>#REF!</v>
      </c>
      <c r="AD28" t="str">
        <f>AB28*0.01</f>
        <v>#REF!</v>
      </c>
      <c r="AE28" t="str">
        <f>AB28-Q28-AD28-R28</f>
        <v>#REF!</v>
      </c>
      <c r="AF28" t="str">
        <f>AC28-Q28-AD28-R28</f>
        <v>#REF!</v>
      </c>
      <c r="AG28" t="str">
        <f>AE28/V28</f>
        <v>#REF!</v>
      </c>
      <c r="AH28" t="str">
        <f>AF28/W28</f>
        <v>#REF!</v>
      </c>
    </row>
    <row r="29">
      <c r="G29" t="str">
        <v>A</v>
      </c>
      <c r="J29" t="str">
        <f>IF(K29&gt;0,K29*0.0625,IF(L29&gt;0,L29*2.204623,))</f>
        <v>#REF!</v>
      </c>
      <c r="K29" t="str">
        <f>IF(L29&gt;0,L29*35.273962,IF(J29&gt;0,J29*16,))</f>
        <v>#REF!</v>
      </c>
      <c r="L29" t="str">
        <f>IF(J29&gt;0,J29*0.453592,IF(K29&gt;0,K29*0.02835,))</f>
        <v>#REF!</v>
      </c>
      <c r="O29">
        <f>I29+N29+M29</f>
        <v>0</v>
      </c>
      <c r="P29">
        <f>O29*B$3</f>
        <v>0</v>
      </c>
      <c r="Q29">
        <f>ROUND(SUM(P29), -2)</f>
        <v>0</v>
      </c>
      <c r="R29" t="str">
        <f>ROUNDUP(HLOOKUP(IF(CEILING(L29,0.5)&lt;1,0.5,CEILING(L29,0.5)),'배송비 조회'!A$44:AO$56,7,0)*B$3,-2)</f>
        <v>#REF!</v>
      </c>
      <c r="S29">
        <v>0</v>
      </c>
      <c r="T29" t="str">
        <f>ROUND((Q29+R29)*0.3,-2)</f>
        <v>#REF!</v>
      </c>
      <c r="U29" t="str">
        <f>ROUND((Q29+R29)*0.4,-2)</f>
        <v>#REF!</v>
      </c>
      <c r="V29" t="str">
        <f>SUM(Q29:R29)+T29</f>
        <v>#REF!</v>
      </c>
      <c r="W29" t="str">
        <f>SUM(Q29:S29)+U29</f>
        <v>#REF!</v>
      </c>
      <c r="X29">
        <v>0</v>
      </c>
      <c r="Y29" t="str">
        <f>V29*0.038</f>
        <v>#REF!</v>
      </c>
      <c r="Z29" t="str">
        <f>V29*0.02</f>
        <v>#REF!</v>
      </c>
      <c r="AA29" t="str">
        <f>W29*0.1</f>
        <v>#REF!</v>
      </c>
      <c r="AB29" t="str">
        <f>V29-Y29-Z29</f>
        <v>#REF!</v>
      </c>
      <c r="AC29" t="str">
        <f>W29-AA29</f>
        <v>#REF!</v>
      </c>
      <c r="AD29" t="str">
        <f>AB29*0.01</f>
        <v>#REF!</v>
      </c>
      <c r="AE29" t="str">
        <f>AB29-Q29-AD29-R29</f>
        <v>#REF!</v>
      </c>
      <c r="AF29" t="str">
        <f>AC29-Q29-AD29-R29</f>
        <v>#REF!</v>
      </c>
      <c r="AG29" t="str">
        <f>AE29/V29</f>
        <v>#REF!</v>
      </c>
      <c r="AH29" t="str">
        <f>AF29/W29</f>
        <v>#REF!</v>
      </c>
    </row>
    <row r="30">
      <c r="G30" t="str">
        <v>A</v>
      </c>
      <c r="J30" t="str">
        <f>IF(K30&gt;0,K30*0.0625,IF(L30&gt;0,L30*2.204623,))</f>
        <v>#REF!</v>
      </c>
      <c r="K30" t="str">
        <f>IF(L30&gt;0,L30*35.273962,IF(J30&gt;0,J30*16,))</f>
        <v>#REF!</v>
      </c>
      <c r="L30" t="str">
        <f>IF(J30&gt;0,J30*0.453592,IF(K30&gt;0,K30*0.02835,))</f>
        <v>#REF!</v>
      </c>
      <c r="O30">
        <f>I30+N30+M30</f>
        <v>0</v>
      </c>
      <c r="P30">
        <f>O30*B$3</f>
        <v>0</v>
      </c>
      <c r="Q30">
        <f>ROUND(SUM(P30), -2)</f>
        <v>0</v>
      </c>
      <c r="R30" t="str">
        <f>ROUNDUP(HLOOKUP(IF(CEILING(L30,0.5)&lt;1,0.5,CEILING(L30,0.5)),'배송비 조회'!A$44:AO$56,7,0)*B$3,-2)</f>
        <v>#REF!</v>
      </c>
      <c r="S30">
        <v>0</v>
      </c>
      <c r="T30" t="str">
        <f>ROUND((Q30+R30)*0.3,-2)</f>
        <v>#REF!</v>
      </c>
      <c r="U30" t="str">
        <f>ROUND((Q30+R30)*0.4,-2)</f>
        <v>#REF!</v>
      </c>
      <c r="V30" t="str">
        <f>SUM(Q30:R30)+T30</f>
        <v>#REF!</v>
      </c>
      <c r="W30" t="str">
        <f>SUM(Q30:S30)+U30</f>
        <v>#REF!</v>
      </c>
      <c r="X30">
        <v>0</v>
      </c>
      <c r="Y30" t="str">
        <f>V30*0.038</f>
        <v>#REF!</v>
      </c>
      <c r="Z30" t="str">
        <f>V30*0.02</f>
        <v>#REF!</v>
      </c>
      <c r="AA30" t="str">
        <f>W30*0.1</f>
        <v>#REF!</v>
      </c>
      <c r="AB30" t="str">
        <f>V30-Y30-Z30</f>
        <v>#REF!</v>
      </c>
      <c r="AC30" t="str">
        <f>W30-AA30</f>
        <v>#REF!</v>
      </c>
      <c r="AD30" t="str">
        <f>AB30*0.01</f>
        <v>#REF!</v>
      </c>
      <c r="AE30" t="str">
        <f>AB30-Q30-AD30-R30</f>
        <v>#REF!</v>
      </c>
      <c r="AF30" t="str">
        <f>AC30-Q30-AD30-R30</f>
        <v>#REF!</v>
      </c>
      <c r="AG30" t="str">
        <f>AE30/V30</f>
        <v>#REF!</v>
      </c>
      <c r="AH30" t="str">
        <f>AF30/W30</f>
        <v>#REF!</v>
      </c>
    </row>
    <row r="31">
      <c r="G31" t="str">
        <v>A</v>
      </c>
      <c r="J31" t="str">
        <f>IF(K31&gt;0,K31*0.0625,IF(L31&gt;0,L31*2.204623,))</f>
        <v>#REF!</v>
      </c>
      <c r="K31" t="str">
        <f>IF(L31&gt;0,L31*35.273962,IF(J31&gt;0,J31*16,))</f>
        <v>#REF!</v>
      </c>
      <c r="L31" t="str">
        <f>IF(J31&gt;0,J31*0.453592,IF(K31&gt;0,K31*0.02835,))</f>
        <v>#REF!</v>
      </c>
      <c r="O31">
        <f>I31+N31+M31</f>
        <v>0</v>
      </c>
      <c r="P31">
        <f>O31*B$3</f>
        <v>0</v>
      </c>
      <c r="Q31">
        <f>ROUND(SUM(P31), -2)</f>
        <v>0</v>
      </c>
      <c r="R31" t="str">
        <f>ROUNDUP(HLOOKUP(IF(CEILING(L31,0.5)&lt;1,0.5,CEILING(L31,0.5)),'배송비 조회'!A$44:AO$56,7,0)*B$3,-2)</f>
        <v>#REF!</v>
      </c>
      <c r="S31">
        <v>0</v>
      </c>
      <c r="T31" t="str">
        <f>ROUND((Q31+R31)*0.3,-2)</f>
        <v>#REF!</v>
      </c>
      <c r="U31" t="str">
        <f>ROUND((Q31+R31)*0.4,-2)</f>
        <v>#REF!</v>
      </c>
      <c r="V31" t="str">
        <f>SUM(Q31:R31)+T31</f>
        <v>#REF!</v>
      </c>
      <c r="W31" t="str">
        <f>SUM(Q31:S31)+U31</f>
        <v>#REF!</v>
      </c>
      <c r="X31">
        <v>0</v>
      </c>
      <c r="Y31" t="str">
        <f>V31*0.038</f>
        <v>#REF!</v>
      </c>
      <c r="Z31" t="str">
        <f>V31*0.02</f>
        <v>#REF!</v>
      </c>
      <c r="AA31" t="str">
        <f>W31*0.1</f>
        <v>#REF!</v>
      </c>
      <c r="AB31" t="str">
        <f>V31-Y31-Z31</f>
        <v>#REF!</v>
      </c>
      <c r="AC31" t="str">
        <f>W31-AA31</f>
        <v>#REF!</v>
      </c>
      <c r="AD31" t="str">
        <f>AB31*0.01</f>
        <v>#REF!</v>
      </c>
      <c r="AE31" t="str">
        <f>AB31-Q31-AD31-R31</f>
        <v>#REF!</v>
      </c>
      <c r="AF31" t="str">
        <f>AC31-Q31-AD31-R31</f>
        <v>#REF!</v>
      </c>
      <c r="AG31" t="str">
        <f>AE31/V31</f>
        <v>#REF!</v>
      </c>
      <c r="AH31" t="str">
        <f>AF31/W31</f>
        <v>#REF!</v>
      </c>
    </row>
    <row r="32">
      <c r="G32" t="str">
        <v>A</v>
      </c>
      <c r="J32" t="str">
        <f>IF(K32&gt;0,K32*0.0625,IF(L32&gt;0,L32*2.204623,))</f>
        <v>#REF!</v>
      </c>
      <c r="K32" t="str">
        <f>IF(L32&gt;0,L32*35.273962,IF(J32&gt;0,J32*16,))</f>
        <v>#REF!</v>
      </c>
      <c r="L32" t="str">
        <f>IF(J32&gt;0,J32*0.453592,IF(K32&gt;0,K32*0.02835,))</f>
        <v>#REF!</v>
      </c>
      <c r="O32">
        <f>I32+N32+M32</f>
        <v>0</v>
      </c>
      <c r="P32">
        <f>O32*B$3</f>
        <v>0</v>
      </c>
      <c r="Q32">
        <f>ROUND(SUM(P32), -2)</f>
        <v>0</v>
      </c>
      <c r="R32" t="str">
        <f>ROUNDUP(HLOOKUP(IF(CEILING(L32,0.5)&lt;1,0.5,CEILING(L32,0.5)),'배송비 조회'!A$44:AO$56,7,0)*B$3,-2)</f>
        <v>#REF!</v>
      </c>
      <c r="S32">
        <v>0</v>
      </c>
      <c r="T32" t="str">
        <f>ROUND((Q32+R32)*0.3,-2)</f>
        <v>#REF!</v>
      </c>
      <c r="U32" t="str">
        <f>ROUND((Q32+R32)*0.4,-2)</f>
        <v>#REF!</v>
      </c>
      <c r="V32" t="str">
        <f>SUM(Q32:R32)+T32</f>
        <v>#REF!</v>
      </c>
      <c r="W32" t="str">
        <f>SUM(Q32:S32)+U32</f>
        <v>#REF!</v>
      </c>
      <c r="X32">
        <v>0</v>
      </c>
      <c r="Y32" t="str">
        <f>V32*0.038</f>
        <v>#REF!</v>
      </c>
      <c r="Z32" t="str">
        <f>V32*0.02</f>
        <v>#REF!</v>
      </c>
      <c r="AA32" t="str">
        <f>W32*0.1</f>
        <v>#REF!</v>
      </c>
      <c r="AB32" t="str">
        <f>V32-Y32-Z32</f>
        <v>#REF!</v>
      </c>
      <c r="AC32" t="str">
        <f>W32-AA32</f>
        <v>#REF!</v>
      </c>
      <c r="AD32" t="str">
        <f>AB32*0.01</f>
        <v>#REF!</v>
      </c>
      <c r="AE32" t="str">
        <f>AB32-Q32-AD32-R32</f>
        <v>#REF!</v>
      </c>
      <c r="AF32" t="str">
        <f>AC32-Q32-AD32-R32</f>
        <v>#REF!</v>
      </c>
      <c r="AG32" t="str">
        <f>AE32/V32</f>
        <v>#REF!</v>
      </c>
      <c r="AH32" t="str">
        <f>AF32/W32</f>
        <v>#REF!</v>
      </c>
    </row>
    <row r="33">
      <c r="G33" t="str">
        <v>A</v>
      </c>
      <c r="J33" t="str">
        <f>IF(K33&gt;0,K33*0.0625,IF(L33&gt;0,L33*2.204623,))</f>
        <v>#REF!</v>
      </c>
      <c r="K33" t="str">
        <f>IF(L33&gt;0,L33*35.273962,IF(J33&gt;0,J33*16,))</f>
        <v>#REF!</v>
      </c>
      <c r="L33" t="str">
        <f>IF(J33&gt;0,J33*0.453592,IF(K33&gt;0,K33*0.02835,))</f>
        <v>#REF!</v>
      </c>
      <c r="O33">
        <f>I33+N33+M33</f>
        <v>0</v>
      </c>
      <c r="P33">
        <f>O33*B$3</f>
        <v>0</v>
      </c>
      <c r="Q33">
        <f>ROUND(SUM(P33), -2)</f>
        <v>0</v>
      </c>
      <c r="R33" t="str">
        <f>ROUNDUP(HLOOKUP(IF(CEILING(L33,0.5)&lt;1,0.5,CEILING(L33,0.5)),'배송비 조회'!A$44:AO$56,7,0)*B$3,-2)</f>
        <v>#REF!</v>
      </c>
      <c r="S33">
        <v>0</v>
      </c>
      <c r="T33" t="str">
        <f>ROUND((Q33+R33)*0.3,-2)</f>
        <v>#REF!</v>
      </c>
      <c r="U33" t="str">
        <f>ROUND((Q33+R33)*0.4,-2)</f>
        <v>#REF!</v>
      </c>
      <c r="V33" t="str">
        <f>SUM(Q33:R33)+T33</f>
        <v>#REF!</v>
      </c>
      <c r="W33" t="str">
        <f>SUM(Q33:S33)+U33</f>
        <v>#REF!</v>
      </c>
      <c r="X33">
        <v>0</v>
      </c>
      <c r="Y33" t="str">
        <f>V33*0.038</f>
        <v>#REF!</v>
      </c>
      <c r="Z33" t="str">
        <f>V33*0.02</f>
        <v>#REF!</v>
      </c>
      <c r="AA33" t="str">
        <f>W33*0.1</f>
        <v>#REF!</v>
      </c>
      <c r="AB33" t="str">
        <f>V33-Y33-Z33</f>
        <v>#REF!</v>
      </c>
      <c r="AC33" t="str">
        <f>W33-AA33</f>
        <v>#REF!</v>
      </c>
      <c r="AD33" t="str">
        <f>AB33*0.01</f>
        <v>#REF!</v>
      </c>
      <c r="AE33" t="str">
        <f>AB33-Q33-AD33-R33</f>
        <v>#REF!</v>
      </c>
      <c r="AF33" t="str">
        <f>AC33-Q33-AD33-R33</f>
        <v>#REF!</v>
      </c>
      <c r="AG33" t="str">
        <f>AE33/V33</f>
        <v>#REF!</v>
      </c>
      <c r="AH33" t="str">
        <f>AF33/W33</f>
        <v>#REF!</v>
      </c>
    </row>
    <row r="34">
      <c r="G34" t="str">
        <v>A</v>
      </c>
      <c r="J34" t="str">
        <f>IF(K34&gt;0,K34*0.0625,IF(L34&gt;0,L34*2.204623,))</f>
        <v>#REF!</v>
      </c>
      <c r="K34" t="str">
        <f>IF(L34&gt;0,L34*35.273962,IF(J34&gt;0,J34*16,))</f>
        <v>#REF!</v>
      </c>
      <c r="L34" t="str">
        <f>IF(J34&gt;0,J34*0.453592,IF(K34&gt;0,K34*0.02835,))</f>
        <v>#REF!</v>
      </c>
      <c r="O34">
        <f>I34+N34+M34</f>
        <v>0</v>
      </c>
      <c r="P34">
        <f>O34*B$3</f>
        <v>0</v>
      </c>
      <c r="Q34">
        <f>ROUND(SUM(P34), -2)</f>
        <v>0</v>
      </c>
      <c r="R34" t="str">
        <f>ROUNDUP(HLOOKUP(IF(CEILING(L34,0.5)&lt;1,0.5,CEILING(L34,0.5)),'배송비 조회'!A$44:AO$56,7,0)*B$3,-2)</f>
        <v>#REF!</v>
      </c>
      <c r="S34">
        <v>0</v>
      </c>
      <c r="T34" t="str">
        <f>ROUND((Q34+R34)*0.3,-2)</f>
        <v>#REF!</v>
      </c>
      <c r="U34" t="str">
        <f>ROUND((Q34+R34)*0.4,-2)</f>
        <v>#REF!</v>
      </c>
      <c r="V34" t="str">
        <f>SUM(Q34:R34)+T34</f>
        <v>#REF!</v>
      </c>
      <c r="W34" t="str">
        <f>SUM(Q34:S34)+U34</f>
        <v>#REF!</v>
      </c>
      <c r="X34">
        <v>0</v>
      </c>
      <c r="Y34" t="str">
        <f>V34*0.038</f>
        <v>#REF!</v>
      </c>
      <c r="Z34" t="str">
        <f>V34*0.02</f>
        <v>#REF!</v>
      </c>
      <c r="AA34" t="str">
        <f>W34*0.1</f>
        <v>#REF!</v>
      </c>
      <c r="AB34" t="str">
        <f>V34-Y34-Z34</f>
        <v>#REF!</v>
      </c>
      <c r="AC34" t="str">
        <f>W34-AA34</f>
        <v>#REF!</v>
      </c>
      <c r="AD34" t="str">
        <f>AB34*0.01</f>
        <v>#REF!</v>
      </c>
      <c r="AE34" t="str">
        <f>AB34-Q34-AD34-R34</f>
        <v>#REF!</v>
      </c>
      <c r="AF34" t="str">
        <f>AC34-Q34-AD34-R34</f>
        <v>#REF!</v>
      </c>
      <c r="AG34" t="str">
        <f>AE34/V34</f>
        <v>#REF!</v>
      </c>
      <c r="AH34" t="str">
        <f>AF34/W34</f>
        <v>#REF!</v>
      </c>
    </row>
    <row r="35">
      <c r="G35" t="str">
        <v>A</v>
      </c>
      <c r="J35" t="str">
        <f>IF(K35&gt;0,K35*0.0625,IF(L35&gt;0,L35*2.204623,))</f>
        <v>#REF!</v>
      </c>
      <c r="K35" t="str">
        <f>IF(L35&gt;0,L35*35.273962,IF(J35&gt;0,J35*16,))</f>
        <v>#REF!</v>
      </c>
      <c r="L35" t="str">
        <f>IF(J35&gt;0,J35*0.453592,IF(K35&gt;0,K35*0.02835,))</f>
        <v>#REF!</v>
      </c>
      <c r="O35">
        <f>I35+N35+M35</f>
        <v>0</v>
      </c>
      <c r="P35">
        <f>O35*B$3</f>
        <v>0</v>
      </c>
      <c r="Q35">
        <f>ROUND(SUM(P35), -2)</f>
        <v>0</v>
      </c>
      <c r="R35" t="str">
        <f>ROUNDUP(HLOOKUP(IF(CEILING(L35,0.5)&lt;1,0.5,CEILING(L35,0.5)),'배송비 조회'!A$44:AO$56,7,0)*B$3,-2)</f>
        <v>#REF!</v>
      </c>
      <c r="S35">
        <v>0</v>
      </c>
      <c r="T35" t="str">
        <f>ROUND((Q35+R35)*0.3,-2)</f>
        <v>#REF!</v>
      </c>
      <c r="U35" t="str">
        <f>ROUND((Q35+R35)*0.4,-2)</f>
        <v>#REF!</v>
      </c>
      <c r="V35" t="str">
        <f>SUM(Q35:R35)+T35</f>
        <v>#REF!</v>
      </c>
      <c r="W35" t="str">
        <f>SUM(Q35:S35)+U35</f>
        <v>#REF!</v>
      </c>
      <c r="X35">
        <v>0</v>
      </c>
      <c r="Y35" t="str">
        <f>V35*0.038</f>
        <v>#REF!</v>
      </c>
      <c r="Z35" t="str">
        <f>V35*0.02</f>
        <v>#REF!</v>
      </c>
      <c r="AA35" t="str">
        <f>W35*0.1</f>
        <v>#REF!</v>
      </c>
      <c r="AB35" t="str">
        <f>V35-Y35-Z35</f>
        <v>#REF!</v>
      </c>
      <c r="AC35" t="str">
        <f>W35-AA35</f>
        <v>#REF!</v>
      </c>
      <c r="AD35" t="str">
        <f>AB35*0.01</f>
        <v>#REF!</v>
      </c>
      <c r="AE35" t="str">
        <f>AB35-Q35-AD35-R35</f>
        <v>#REF!</v>
      </c>
      <c r="AF35" t="str">
        <f>AC35-Q35-AD35-R35</f>
        <v>#REF!</v>
      </c>
      <c r="AG35" t="str">
        <f>AE35/V35</f>
        <v>#REF!</v>
      </c>
      <c r="AH35" t="str">
        <f>AF35/W35</f>
        <v>#REF!</v>
      </c>
    </row>
    <row r="36">
      <c r="G36" t="str">
        <v>A</v>
      </c>
      <c r="J36" t="str">
        <f>IF(K36&gt;0,K36*0.0625,IF(L36&gt;0,L36*2.204623,))</f>
        <v>#REF!</v>
      </c>
      <c r="K36" t="str">
        <f>IF(L36&gt;0,L36*35.273962,IF(J36&gt;0,J36*16,))</f>
        <v>#REF!</v>
      </c>
      <c r="L36" t="str">
        <f>IF(J36&gt;0,J36*0.453592,IF(K36&gt;0,K36*0.02835,))</f>
        <v>#REF!</v>
      </c>
      <c r="O36">
        <f>I36+N36+M36</f>
        <v>0</v>
      </c>
      <c r="P36">
        <f>O36*B$3</f>
        <v>0</v>
      </c>
      <c r="Q36">
        <f>ROUND(SUM(P36), -2)</f>
        <v>0</v>
      </c>
      <c r="R36" t="str">
        <f>ROUNDUP(HLOOKUP(IF(CEILING(L36,0.5)&lt;1,0.5,CEILING(L36,0.5)),'배송비 조회'!A$44:AO$56,7,0)*B$3,-2)</f>
        <v>#REF!</v>
      </c>
      <c r="S36">
        <v>0</v>
      </c>
      <c r="T36" t="str">
        <f>ROUND((Q36+R36)*0.3,-2)</f>
        <v>#REF!</v>
      </c>
      <c r="U36" t="str">
        <f>ROUND((Q36+R36)*0.4,-2)</f>
        <v>#REF!</v>
      </c>
      <c r="V36" t="str">
        <f>SUM(Q36:R36)+T36</f>
        <v>#REF!</v>
      </c>
      <c r="W36" t="str">
        <f>SUM(Q36:S36)+U36</f>
        <v>#REF!</v>
      </c>
      <c r="X36">
        <v>0</v>
      </c>
      <c r="Y36" t="str">
        <f>V36*0.038</f>
        <v>#REF!</v>
      </c>
      <c r="Z36" t="str">
        <f>V36*0.02</f>
        <v>#REF!</v>
      </c>
      <c r="AA36" t="str">
        <f>W36*0.1</f>
        <v>#REF!</v>
      </c>
      <c r="AB36" t="str">
        <f>V36-Y36-Z36</f>
        <v>#REF!</v>
      </c>
      <c r="AC36" t="str">
        <f>W36-AA36</f>
        <v>#REF!</v>
      </c>
      <c r="AD36" t="str">
        <f>AB36*0.01</f>
        <v>#REF!</v>
      </c>
      <c r="AE36" t="str">
        <f>AB36-Q36-AD36-R36</f>
        <v>#REF!</v>
      </c>
      <c r="AF36" t="str">
        <f>AC36-Q36-AD36-R36</f>
        <v>#REF!</v>
      </c>
      <c r="AG36" t="str">
        <f>AE36/V36</f>
        <v>#REF!</v>
      </c>
      <c r="AH36" t="str">
        <f>AF36/W36</f>
        <v>#REF!</v>
      </c>
    </row>
    <row r="37">
      <c r="G37" t="str">
        <v>A</v>
      </c>
      <c r="J37" t="str">
        <f>IF(K37&gt;0,K37*0.0625,IF(L37&gt;0,L37*2.204623,))</f>
        <v>#REF!</v>
      </c>
      <c r="K37" t="str">
        <f>IF(L37&gt;0,L37*35.273962,IF(J37&gt;0,J37*16,))</f>
        <v>#REF!</v>
      </c>
      <c r="L37" t="str">
        <f>IF(J37&gt;0,J37*0.453592,IF(K37&gt;0,K37*0.02835,))</f>
        <v>#REF!</v>
      </c>
      <c r="O37">
        <f>I37+N37+M37</f>
        <v>0</v>
      </c>
      <c r="P37">
        <f>O37*B$3</f>
        <v>0</v>
      </c>
      <c r="Q37">
        <f>ROUND(SUM(P37), -2)</f>
        <v>0</v>
      </c>
      <c r="R37" t="str">
        <f>ROUNDUP(HLOOKUP(IF(CEILING(L37,0.5)&lt;1,0.5,CEILING(L37,0.5)),'배송비 조회'!A$44:AO$56,7,0)*B$3,-2)</f>
        <v>#REF!</v>
      </c>
      <c r="S37">
        <v>0</v>
      </c>
      <c r="T37" t="str">
        <f>ROUND((Q37+R37)*0.3,-2)</f>
        <v>#REF!</v>
      </c>
      <c r="U37" t="str">
        <f>ROUND((Q37+R37)*0.4,-2)</f>
        <v>#REF!</v>
      </c>
      <c r="V37" t="str">
        <f>SUM(Q37:R37)+T37</f>
        <v>#REF!</v>
      </c>
      <c r="W37" t="str">
        <f>SUM(Q37:S37)+U37</f>
        <v>#REF!</v>
      </c>
      <c r="X37">
        <v>0</v>
      </c>
      <c r="Y37" t="str">
        <f>V37*0.038</f>
        <v>#REF!</v>
      </c>
      <c r="Z37" t="str">
        <f>V37*0.02</f>
        <v>#REF!</v>
      </c>
      <c r="AA37" t="str">
        <f>W37*0.1</f>
        <v>#REF!</v>
      </c>
      <c r="AB37" t="str">
        <f>V37-Y37-Z37</f>
        <v>#REF!</v>
      </c>
      <c r="AC37" t="str">
        <f>W37-AA37</f>
        <v>#REF!</v>
      </c>
      <c r="AD37" t="str">
        <f>AB37*0.01</f>
        <v>#REF!</v>
      </c>
      <c r="AE37" t="str">
        <f>AB37-Q37-AD37-R37</f>
        <v>#REF!</v>
      </c>
      <c r="AF37" t="str">
        <f>AC37-Q37-AD37-R37</f>
        <v>#REF!</v>
      </c>
      <c r="AG37" t="str">
        <f>AE37/V37</f>
        <v>#REF!</v>
      </c>
      <c r="AH37" t="str">
        <f>AF37/W37</f>
        <v>#REF!</v>
      </c>
    </row>
    <row r="38">
      <c r="G38" t="str">
        <v>A</v>
      </c>
      <c r="J38" t="str">
        <f>IF(K38&gt;0,K38*0.0625,IF(L38&gt;0,L38*2.204623,))</f>
        <v>#REF!</v>
      </c>
      <c r="K38" t="str">
        <f>IF(L38&gt;0,L38*35.273962,IF(J38&gt;0,J38*16,))</f>
        <v>#REF!</v>
      </c>
      <c r="L38" t="str">
        <f>IF(J38&gt;0,J38*0.453592,IF(K38&gt;0,K38*0.02835,))</f>
        <v>#REF!</v>
      </c>
      <c r="O38">
        <f>I38+N38+M38</f>
        <v>0</v>
      </c>
      <c r="P38">
        <f>O38*B$3</f>
        <v>0</v>
      </c>
      <c r="Q38">
        <f>ROUND(SUM(P38), -2)</f>
        <v>0</v>
      </c>
      <c r="R38" t="str">
        <f>ROUNDUP(HLOOKUP(IF(CEILING(L38,0.5)&lt;1,0.5,CEILING(L38,0.5)),'배송비 조회'!A$44:AO$56,7,0)*B$3,-2)</f>
        <v>#REF!</v>
      </c>
      <c r="S38">
        <v>0</v>
      </c>
      <c r="T38" t="str">
        <f>ROUND((Q38+R38)*0.3,-2)</f>
        <v>#REF!</v>
      </c>
      <c r="U38" t="str">
        <f>ROUND((Q38+R38)*0.4,-2)</f>
        <v>#REF!</v>
      </c>
      <c r="V38" t="str">
        <f>SUM(Q38:R38)+T38</f>
        <v>#REF!</v>
      </c>
      <c r="W38" t="str">
        <f>SUM(Q38:S38)+U38</f>
        <v>#REF!</v>
      </c>
      <c r="X38">
        <v>0</v>
      </c>
      <c r="Y38" t="str">
        <f>V38*0.038</f>
        <v>#REF!</v>
      </c>
      <c r="Z38" t="str">
        <f>V38*0.02</f>
        <v>#REF!</v>
      </c>
      <c r="AA38" t="str">
        <f>W38*0.1</f>
        <v>#REF!</v>
      </c>
      <c r="AB38" t="str">
        <f>V38-Y38-Z38</f>
        <v>#REF!</v>
      </c>
      <c r="AC38" t="str">
        <f>W38-AA38</f>
        <v>#REF!</v>
      </c>
      <c r="AD38" t="str">
        <f>AB38*0.01</f>
        <v>#REF!</v>
      </c>
      <c r="AE38" t="str">
        <f>AB38-Q38-AD38-R38</f>
        <v>#REF!</v>
      </c>
      <c r="AF38" t="str">
        <f>AC38-Q38-AD38-R38</f>
        <v>#REF!</v>
      </c>
      <c r="AG38" t="str">
        <f>AE38/V38</f>
        <v>#REF!</v>
      </c>
      <c r="AH38" t="str">
        <f>AF38/W38</f>
        <v>#REF!</v>
      </c>
    </row>
    <row r="39">
      <c r="G39" t="str">
        <v>A</v>
      </c>
      <c r="J39" t="str">
        <f>IF(K39&gt;0,K39*0.0625,IF(L39&gt;0,L39*2.204623,))</f>
        <v>#REF!</v>
      </c>
      <c r="K39" t="str">
        <f>IF(L39&gt;0,L39*35.273962,IF(J39&gt;0,J39*16,))</f>
        <v>#REF!</v>
      </c>
      <c r="L39" t="str">
        <f>IF(J39&gt;0,J39*0.453592,IF(K39&gt;0,K39*0.02835,))</f>
        <v>#REF!</v>
      </c>
      <c r="O39">
        <f>I39+N39+M39</f>
        <v>0</v>
      </c>
      <c r="P39">
        <f>O39*B$3</f>
        <v>0</v>
      </c>
      <c r="Q39">
        <f>ROUND(SUM(P39), -2)</f>
        <v>0</v>
      </c>
      <c r="R39" t="str">
        <f>ROUNDUP(HLOOKUP(IF(CEILING(L39,0.5)&lt;1,0.5,CEILING(L39,0.5)),'배송비 조회'!A$44:AO$56,7,0)*B$3,-2)</f>
        <v>#REF!</v>
      </c>
      <c r="S39">
        <v>0</v>
      </c>
      <c r="T39" t="str">
        <f>ROUND((Q39+R39)*0.3,-2)</f>
        <v>#REF!</v>
      </c>
      <c r="U39" t="str">
        <f>ROUND((Q39+R39)*0.4,-2)</f>
        <v>#REF!</v>
      </c>
      <c r="V39" t="str">
        <f>SUM(Q39:R39)+T39</f>
        <v>#REF!</v>
      </c>
      <c r="W39" t="str">
        <f>SUM(Q39:S39)+U39</f>
        <v>#REF!</v>
      </c>
      <c r="X39">
        <v>0</v>
      </c>
      <c r="Y39" t="str">
        <f>V39*0.038</f>
        <v>#REF!</v>
      </c>
      <c r="Z39" t="str">
        <f>V39*0.02</f>
        <v>#REF!</v>
      </c>
      <c r="AA39" t="str">
        <f>W39*0.1</f>
        <v>#REF!</v>
      </c>
      <c r="AB39" t="str">
        <f>V39-Y39-Z39</f>
        <v>#REF!</v>
      </c>
      <c r="AC39" t="str">
        <f>W39-AA39</f>
        <v>#REF!</v>
      </c>
      <c r="AD39" t="str">
        <f>AB39*0.01</f>
        <v>#REF!</v>
      </c>
      <c r="AE39" t="str">
        <f>AB39-Q39-AD39-R39</f>
        <v>#REF!</v>
      </c>
      <c r="AF39" t="str">
        <f>AC39-Q39-AD39-R39</f>
        <v>#REF!</v>
      </c>
      <c r="AG39" t="str">
        <f>AE39/V39</f>
        <v>#REF!</v>
      </c>
      <c r="AH39" t="str">
        <f>AF39/W39</f>
        <v>#REF!</v>
      </c>
    </row>
    <row r="40">
      <c r="G40" t="str">
        <v>A</v>
      </c>
      <c r="J40" t="str">
        <f>IF(K40&gt;0,K40*0.0625,IF(L40&gt;0,L40*2.204623,))</f>
        <v>#REF!</v>
      </c>
      <c r="K40" t="str">
        <f>IF(L40&gt;0,L40*35.273962,IF(J40&gt;0,J40*16,))</f>
        <v>#REF!</v>
      </c>
      <c r="L40" t="str">
        <f>IF(J40&gt;0,J40*0.453592,IF(K40&gt;0,K40*0.02835,))</f>
        <v>#REF!</v>
      </c>
      <c r="O40">
        <f>I40+N40+M40</f>
        <v>0</v>
      </c>
      <c r="P40">
        <f>O40*B$3</f>
        <v>0</v>
      </c>
      <c r="Q40">
        <f>ROUND(SUM(P40), -2)</f>
        <v>0</v>
      </c>
      <c r="R40" t="str">
        <f>ROUNDUP(HLOOKUP(IF(CEILING(L40,0.5)&lt;1,0.5,CEILING(L40,0.5)),'배송비 조회'!A$44:AO$56,7,0)*B$3,-2)</f>
        <v>#REF!</v>
      </c>
      <c r="S40">
        <v>0</v>
      </c>
      <c r="T40" t="str">
        <f>ROUND((Q40+R40)*0.3,-2)</f>
        <v>#REF!</v>
      </c>
      <c r="U40" t="str">
        <f>ROUND((Q40+R40)*0.4,-2)</f>
        <v>#REF!</v>
      </c>
      <c r="V40" t="str">
        <f>SUM(Q40:R40)+T40</f>
        <v>#REF!</v>
      </c>
      <c r="W40" t="str">
        <f>SUM(Q40:S40)+U40</f>
        <v>#REF!</v>
      </c>
      <c r="X40">
        <v>0</v>
      </c>
      <c r="Y40" t="str">
        <f>V40*0.038</f>
        <v>#REF!</v>
      </c>
      <c r="Z40" t="str">
        <f>V40*0.02</f>
        <v>#REF!</v>
      </c>
      <c r="AA40" t="str">
        <f>W40*0.1</f>
        <v>#REF!</v>
      </c>
      <c r="AB40" t="str">
        <f>V40-Y40-Z40</f>
        <v>#REF!</v>
      </c>
      <c r="AC40" t="str">
        <f>W40-AA40</f>
        <v>#REF!</v>
      </c>
      <c r="AD40" t="str">
        <f>AB40*0.01</f>
        <v>#REF!</v>
      </c>
      <c r="AE40" t="str">
        <f>AB40-Q40-AD40-R40</f>
        <v>#REF!</v>
      </c>
      <c r="AF40" t="str">
        <f>AC40-Q40-AD40-R40</f>
        <v>#REF!</v>
      </c>
      <c r="AG40" t="str">
        <f>AE40/V40</f>
        <v>#REF!</v>
      </c>
      <c r="AH40" t="str">
        <f>AF40/W40</f>
        <v>#REF!</v>
      </c>
    </row>
    <row r="41">
      <c r="G41" t="str">
        <v>A</v>
      </c>
      <c r="J41" t="str">
        <f>IF(K41&gt;0,K41*0.0625,IF(L41&gt;0,L41*2.204623,))</f>
        <v>#REF!</v>
      </c>
      <c r="K41" t="str">
        <f>IF(L41&gt;0,L41*35.273962,IF(J41&gt;0,J41*16,))</f>
        <v>#REF!</v>
      </c>
      <c r="L41" t="str">
        <f>IF(J41&gt;0,J41*0.453592,IF(K41&gt;0,K41*0.02835,))</f>
        <v>#REF!</v>
      </c>
      <c r="O41">
        <f>I41+N41+M41</f>
        <v>0</v>
      </c>
      <c r="P41">
        <f>O41*B$3</f>
        <v>0</v>
      </c>
      <c r="Q41">
        <f>ROUND(SUM(P41), -2)</f>
        <v>0</v>
      </c>
      <c r="R41" t="str">
        <f>ROUNDUP(HLOOKUP(IF(CEILING(L41,0.5)&lt;1,0.5,CEILING(L41,0.5)),'배송비 조회'!A$44:AO$56,7,0)*B$3,-2)</f>
        <v>#REF!</v>
      </c>
      <c r="S41">
        <v>0</v>
      </c>
      <c r="T41" t="str">
        <f>ROUND((Q41+R41)*0.3,-2)</f>
        <v>#REF!</v>
      </c>
      <c r="U41" t="str">
        <f>ROUND((Q41+R41)*0.4,-2)</f>
        <v>#REF!</v>
      </c>
      <c r="V41" t="str">
        <f>SUM(Q41:R41)+T41</f>
        <v>#REF!</v>
      </c>
      <c r="W41" t="str">
        <f>SUM(Q41:S41)+U41</f>
        <v>#REF!</v>
      </c>
      <c r="X41">
        <v>0</v>
      </c>
      <c r="Y41" t="str">
        <f>V41*0.038</f>
        <v>#REF!</v>
      </c>
      <c r="Z41" t="str">
        <f>V41*0.02</f>
        <v>#REF!</v>
      </c>
      <c r="AA41" t="str">
        <f>W41*0.1</f>
        <v>#REF!</v>
      </c>
      <c r="AB41" t="str">
        <f>V41-Y41-Z41</f>
        <v>#REF!</v>
      </c>
      <c r="AC41" t="str">
        <f>W41-AA41</f>
        <v>#REF!</v>
      </c>
      <c r="AD41" t="str">
        <f>AB41*0.01</f>
        <v>#REF!</v>
      </c>
      <c r="AE41" t="str">
        <f>AB41-Q41-AD41-R41</f>
        <v>#REF!</v>
      </c>
      <c r="AF41" t="str">
        <f>AC41-Q41-AD41-R41</f>
        <v>#REF!</v>
      </c>
      <c r="AG41" t="str">
        <f>AE41/V41</f>
        <v>#REF!</v>
      </c>
      <c r="AH41" t="str">
        <f>AF41/W41</f>
        <v>#REF!</v>
      </c>
    </row>
    <row r="42">
      <c r="G42" t="str">
        <v>A</v>
      </c>
      <c r="J42" t="str">
        <f>IF(K42&gt;0,K42*0.0625,IF(L42&gt;0,L42*2.204623,))</f>
        <v>#REF!</v>
      </c>
      <c r="K42" t="str">
        <f>IF(L42&gt;0,L42*35.273962,IF(J42&gt;0,J42*16,))</f>
        <v>#REF!</v>
      </c>
      <c r="L42" t="str">
        <f>IF(J42&gt;0,J42*0.453592,IF(K42&gt;0,K42*0.02835,))</f>
        <v>#REF!</v>
      </c>
      <c r="O42">
        <f>I42+N42+M42</f>
        <v>0</v>
      </c>
      <c r="P42">
        <f>O42*B$3</f>
        <v>0</v>
      </c>
      <c r="Q42">
        <f>ROUND(SUM(P42), -2)</f>
        <v>0</v>
      </c>
      <c r="R42" t="str">
        <f>ROUNDUP(HLOOKUP(IF(CEILING(L42,0.5)&lt;1,0.5,CEILING(L42,0.5)),'배송비 조회'!A$44:AO$56,7,0)*B$3,-2)</f>
        <v>#REF!</v>
      </c>
      <c r="S42">
        <v>0</v>
      </c>
      <c r="T42" t="str">
        <f>ROUND((Q42+R42)*0.3,-2)</f>
        <v>#REF!</v>
      </c>
      <c r="U42" t="str">
        <f>ROUND((Q42+R42)*0.4,-2)</f>
        <v>#REF!</v>
      </c>
      <c r="V42" t="str">
        <f>SUM(Q42:R42)+T42</f>
        <v>#REF!</v>
      </c>
      <c r="W42" t="str">
        <f>SUM(Q42:S42)+U42</f>
        <v>#REF!</v>
      </c>
      <c r="X42">
        <v>0</v>
      </c>
      <c r="Y42" t="str">
        <f>V42*0.038</f>
        <v>#REF!</v>
      </c>
      <c r="Z42" t="str">
        <f>V42*0.02</f>
        <v>#REF!</v>
      </c>
      <c r="AA42" t="str">
        <f>W42*0.1</f>
        <v>#REF!</v>
      </c>
      <c r="AB42" t="str">
        <f>V42-Y42-Z42</f>
        <v>#REF!</v>
      </c>
      <c r="AC42" t="str">
        <f>W42-AA42</f>
        <v>#REF!</v>
      </c>
      <c r="AD42" t="str">
        <f>AB42*0.01</f>
        <v>#REF!</v>
      </c>
      <c r="AE42" t="str">
        <f>AB42-Q42-AD42-R42</f>
        <v>#REF!</v>
      </c>
      <c r="AF42" t="str">
        <f>AC42-Q42-AD42-R42</f>
        <v>#REF!</v>
      </c>
      <c r="AG42" t="str">
        <f>AE42/V42</f>
        <v>#REF!</v>
      </c>
      <c r="AH42" t="str">
        <f>AF42/W42</f>
        <v>#REF!</v>
      </c>
    </row>
    <row r="43">
      <c r="G43" t="str">
        <v>A</v>
      </c>
      <c r="J43" t="str">
        <f>IF(K43&gt;0,K43*0.0625,IF(L43&gt;0,L43*2.204623,))</f>
        <v>#REF!</v>
      </c>
      <c r="K43" t="str">
        <f>IF(L43&gt;0,L43*35.273962,IF(J43&gt;0,J43*16,))</f>
        <v>#REF!</v>
      </c>
      <c r="L43" t="str">
        <f>IF(J43&gt;0,J43*0.453592,IF(K43&gt;0,K43*0.02835,))</f>
        <v>#REF!</v>
      </c>
      <c r="O43">
        <f>I43+N43+M43</f>
        <v>0</v>
      </c>
      <c r="P43">
        <f>O43*B$3</f>
        <v>0</v>
      </c>
      <c r="Q43">
        <f>ROUND(SUM(P43), -2)</f>
        <v>0</v>
      </c>
      <c r="R43" t="str">
        <f>ROUNDUP(HLOOKUP(IF(CEILING(L43,0.5)&lt;1,0.5,CEILING(L43,0.5)),'배송비 조회'!A$44:AO$56,7,0)*B$3,-2)</f>
        <v>#REF!</v>
      </c>
      <c r="S43">
        <v>0</v>
      </c>
      <c r="T43" t="str">
        <f>ROUND((Q43+R43)*0.3,-2)</f>
        <v>#REF!</v>
      </c>
      <c r="U43" t="str">
        <f>ROUND((Q43+R43)*0.4,-2)</f>
        <v>#REF!</v>
      </c>
      <c r="V43" t="str">
        <f>SUM(Q43:R43)+T43</f>
        <v>#REF!</v>
      </c>
      <c r="W43" t="str">
        <f>SUM(Q43:S43)+U43</f>
        <v>#REF!</v>
      </c>
      <c r="X43">
        <v>0</v>
      </c>
      <c r="Y43" t="str">
        <f>V43*0.038</f>
        <v>#REF!</v>
      </c>
      <c r="Z43" t="str">
        <f>V43*0.02</f>
        <v>#REF!</v>
      </c>
      <c r="AA43" t="str">
        <f>W43*0.1</f>
        <v>#REF!</v>
      </c>
      <c r="AB43" t="str">
        <f>V43-Y43-Z43</f>
        <v>#REF!</v>
      </c>
      <c r="AC43" t="str">
        <f>W43-AA43</f>
        <v>#REF!</v>
      </c>
      <c r="AD43" t="str">
        <f>AB43*0.01</f>
        <v>#REF!</v>
      </c>
      <c r="AE43" t="str">
        <f>AB43-Q43-AD43-R43</f>
        <v>#REF!</v>
      </c>
      <c r="AF43" t="str">
        <f>AC43-Q43-AD43-R43</f>
        <v>#REF!</v>
      </c>
      <c r="AG43" t="str">
        <f>AE43/V43</f>
        <v>#REF!</v>
      </c>
      <c r="AH43" t="str">
        <f>AF43/W43</f>
        <v>#REF!</v>
      </c>
    </row>
    <row r="44">
      <c r="G44" t="str">
        <v>A</v>
      </c>
      <c r="J44" t="str">
        <f>IF(K44&gt;0,K44*0.0625,IF(L44&gt;0,L44*2.204623,))</f>
        <v>#REF!</v>
      </c>
      <c r="K44" t="str">
        <f>IF(L44&gt;0,L44*35.273962,IF(J44&gt;0,J44*16,))</f>
        <v>#REF!</v>
      </c>
      <c r="L44" t="str">
        <f>IF(J44&gt;0,J44*0.453592,IF(K44&gt;0,K44*0.02835,))</f>
        <v>#REF!</v>
      </c>
      <c r="O44">
        <f>I44+N44+M44</f>
        <v>0</v>
      </c>
      <c r="P44">
        <f>O44*B$3</f>
        <v>0</v>
      </c>
      <c r="Q44">
        <f>ROUND(SUM(P44), -2)</f>
        <v>0</v>
      </c>
      <c r="R44" t="str">
        <f>ROUNDUP(HLOOKUP(IF(CEILING(L44,0.5)&lt;1,0.5,CEILING(L44,0.5)),'배송비 조회'!A$44:AO$56,7,0)*B$3,-2)</f>
        <v>#REF!</v>
      </c>
      <c r="S44">
        <v>0</v>
      </c>
      <c r="T44" t="str">
        <f>ROUND((Q44+R44)*0.3,-2)</f>
        <v>#REF!</v>
      </c>
      <c r="U44" t="str">
        <f>ROUND((Q44+R44)*0.4,-2)</f>
        <v>#REF!</v>
      </c>
      <c r="V44" t="str">
        <f>SUM(Q44:R44)+T44</f>
        <v>#REF!</v>
      </c>
      <c r="W44" t="str">
        <f>SUM(Q44:S44)+U44</f>
        <v>#REF!</v>
      </c>
      <c r="X44">
        <v>0</v>
      </c>
      <c r="Y44" t="str">
        <f>V44*0.038</f>
        <v>#REF!</v>
      </c>
      <c r="Z44" t="str">
        <f>V44*0.02</f>
        <v>#REF!</v>
      </c>
      <c r="AA44" t="str">
        <f>W44*0.1</f>
        <v>#REF!</v>
      </c>
      <c r="AB44" t="str">
        <f>V44-Y44-Z44</f>
        <v>#REF!</v>
      </c>
      <c r="AC44" t="str">
        <f>W44-AA44</f>
        <v>#REF!</v>
      </c>
      <c r="AD44" t="str">
        <f>AB44*0.01</f>
        <v>#REF!</v>
      </c>
      <c r="AE44" t="str">
        <f>AB44-Q44-AD44-R44</f>
        <v>#REF!</v>
      </c>
      <c r="AF44" t="str">
        <f>AC44-Q44-AD44-R44</f>
        <v>#REF!</v>
      </c>
      <c r="AG44" t="str">
        <f>AE44/V44</f>
        <v>#REF!</v>
      </c>
      <c r="AH44" t="str">
        <f>AF44/W44</f>
        <v>#REF!</v>
      </c>
    </row>
    <row r="45">
      <c r="G45" t="str">
        <v>A</v>
      </c>
      <c r="J45" t="str">
        <f>IF(K45&gt;0,K45*0.0625,IF(L45&gt;0,L45*2.204623,))</f>
        <v>#REF!</v>
      </c>
      <c r="K45" t="str">
        <f>IF(L45&gt;0,L45*35.273962,IF(J45&gt;0,J45*16,))</f>
        <v>#REF!</v>
      </c>
      <c r="L45" t="str">
        <f>IF(J45&gt;0,J45*0.453592,IF(K45&gt;0,K45*0.02835,))</f>
        <v>#REF!</v>
      </c>
      <c r="O45">
        <f>I45+N45+M45</f>
        <v>0</v>
      </c>
      <c r="P45">
        <f>O45*B$3</f>
        <v>0</v>
      </c>
      <c r="Q45">
        <f>ROUND(SUM(P45), -2)</f>
        <v>0</v>
      </c>
      <c r="R45" t="str">
        <f>ROUNDUP(HLOOKUP(IF(CEILING(L45,0.5)&lt;1,0.5,CEILING(L45,0.5)),'배송비 조회'!A$44:AO$56,7,0)*B$3,-2)</f>
        <v>#REF!</v>
      </c>
      <c r="S45">
        <v>0</v>
      </c>
      <c r="T45" t="str">
        <f>ROUND((Q45+R45)*0.3,-2)</f>
        <v>#REF!</v>
      </c>
      <c r="U45" t="str">
        <f>ROUND((Q45+R45)*0.4,-2)</f>
        <v>#REF!</v>
      </c>
      <c r="V45" t="str">
        <f>SUM(Q45:R45)+T45</f>
        <v>#REF!</v>
      </c>
      <c r="W45" t="str">
        <f>SUM(Q45:S45)+U45</f>
        <v>#REF!</v>
      </c>
      <c r="X45">
        <v>0</v>
      </c>
      <c r="Y45" t="str">
        <f>V45*0.038</f>
        <v>#REF!</v>
      </c>
      <c r="Z45" t="str">
        <f>V45*0.02</f>
        <v>#REF!</v>
      </c>
      <c r="AA45" t="str">
        <f>W45*0.1</f>
        <v>#REF!</v>
      </c>
      <c r="AB45" t="str">
        <f>V45-Y45-Z45</f>
        <v>#REF!</v>
      </c>
      <c r="AC45" t="str">
        <f>W45-AA45</f>
        <v>#REF!</v>
      </c>
      <c r="AD45" t="str">
        <f>AB45*0.01</f>
        <v>#REF!</v>
      </c>
      <c r="AE45" t="str">
        <f>AB45-Q45-AD45-R45</f>
        <v>#REF!</v>
      </c>
      <c r="AF45" t="str">
        <f>AC45-Q45-AD45-R45</f>
        <v>#REF!</v>
      </c>
      <c r="AG45" t="str">
        <f>AE45/V45</f>
        <v>#REF!</v>
      </c>
      <c r="AH45" t="str">
        <f>AF45/W45</f>
        <v>#REF!</v>
      </c>
    </row>
    <row r="46">
      <c r="G46" t="str">
        <v>A</v>
      </c>
      <c r="J46" t="str">
        <f>IF(K46&gt;0,K46*0.0625,IF(L46&gt;0,L46*2.204623,))</f>
        <v>#REF!</v>
      </c>
      <c r="K46" t="str">
        <f>IF(L46&gt;0,L46*35.273962,IF(J46&gt;0,J46*16,))</f>
        <v>#REF!</v>
      </c>
      <c r="L46" t="str">
        <f>IF(J46&gt;0,J46*0.453592,IF(K46&gt;0,K46*0.02835,))</f>
        <v>#REF!</v>
      </c>
      <c r="O46">
        <f>I46+N46+M46</f>
        <v>0</v>
      </c>
      <c r="P46">
        <f>O46*B$3</f>
        <v>0</v>
      </c>
      <c r="Q46">
        <f>ROUND(SUM(P46), -2)</f>
        <v>0</v>
      </c>
      <c r="R46" t="str">
        <f>ROUNDUP(HLOOKUP(IF(CEILING(L46,0.5)&lt;1,0.5,CEILING(L46,0.5)),'배송비 조회'!A$44:AO$56,7,0)*B$3,-2)</f>
        <v>#REF!</v>
      </c>
      <c r="S46">
        <v>0</v>
      </c>
      <c r="T46" t="str">
        <f>ROUND((Q46+R46)*0.3,-2)</f>
        <v>#REF!</v>
      </c>
      <c r="U46" t="str">
        <f>ROUND((Q46+R46)*0.4,-2)</f>
        <v>#REF!</v>
      </c>
      <c r="V46" t="str">
        <f>SUM(Q46:R46)+T46</f>
        <v>#REF!</v>
      </c>
      <c r="W46" t="str">
        <f>SUM(Q46:S46)+U46</f>
        <v>#REF!</v>
      </c>
      <c r="X46">
        <v>0</v>
      </c>
      <c r="Y46" t="str">
        <f>V46*0.038</f>
        <v>#REF!</v>
      </c>
      <c r="Z46" t="str">
        <f>V46*0.02</f>
        <v>#REF!</v>
      </c>
      <c r="AA46" t="str">
        <f>W46*0.1</f>
        <v>#REF!</v>
      </c>
      <c r="AB46" t="str">
        <f>V46-Y46-Z46</f>
        <v>#REF!</v>
      </c>
      <c r="AC46" t="str">
        <f>W46-AA46</f>
        <v>#REF!</v>
      </c>
      <c r="AD46" t="str">
        <f>AB46*0.01</f>
        <v>#REF!</v>
      </c>
      <c r="AE46" t="str">
        <f>AB46-Q46-AD46-R46</f>
        <v>#REF!</v>
      </c>
      <c r="AF46" t="str">
        <f>AC46-Q46-AD46-R46</f>
        <v>#REF!</v>
      </c>
      <c r="AG46" t="str">
        <f>AE46/V46</f>
        <v>#REF!</v>
      </c>
      <c r="AH46" t="str">
        <f>AF46/W46</f>
        <v>#REF!</v>
      </c>
    </row>
    <row r="47">
      <c r="G47" t="str">
        <v>A</v>
      </c>
      <c r="J47" t="str">
        <f>IF(K47&gt;0,K47*0.0625,IF(L47&gt;0,L47*2.204623,))</f>
        <v>#REF!</v>
      </c>
      <c r="K47" t="str">
        <f>IF(L47&gt;0,L47*35.273962,IF(J47&gt;0,J47*16,))</f>
        <v>#REF!</v>
      </c>
      <c r="L47" t="str">
        <f>IF(J47&gt;0,J47*0.453592,IF(K47&gt;0,K47*0.02835,))</f>
        <v>#REF!</v>
      </c>
      <c r="O47">
        <f>I47+N47+M47</f>
        <v>0</v>
      </c>
      <c r="P47">
        <f>O47*B$3</f>
        <v>0</v>
      </c>
      <c r="Q47">
        <f>ROUND(SUM(P47), -2)</f>
        <v>0</v>
      </c>
      <c r="R47" t="str">
        <f>ROUNDUP(HLOOKUP(IF(CEILING(L47,0.5)&lt;1,0.5,CEILING(L47,0.5)),'배송비 조회'!A$44:AO$56,7,0)*B$3,-2)</f>
        <v>#REF!</v>
      </c>
      <c r="S47">
        <v>0</v>
      </c>
      <c r="T47" t="str">
        <f>ROUND((Q47+R47)*0.3,-2)</f>
        <v>#REF!</v>
      </c>
      <c r="U47" t="str">
        <f>ROUND((Q47+R47)*0.4,-2)</f>
        <v>#REF!</v>
      </c>
      <c r="V47" t="str">
        <f>SUM(Q47:R47)+T47</f>
        <v>#REF!</v>
      </c>
      <c r="W47" t="str">
        <f>SUM(Q47:S47)+U47</f>
        <v>#REF!</v>
      </c>
      <c r="X47">
        <v>0</v>
      </c>
      <c r="Y47" t="str">
        <f>V47*0.038</f>
        <v>#REF!</v>
      </c>
      <c r="Z47" t="str">
        <f>V47*0.02</f>
        <v>#REF!</v>
      </c>
      <c r="AA47" t="str">
        <f>W47*0.1</f>
        <v>#REF!</v>
      </c>
      <c r="AB47" t="str">
        <f>V47-Y47-Z47</f>
        <v>#REF!</v>
      </c>
      <c r="AC47" t="str">
        <f>W47-AA47</f>
        <v>#REF!</v>
      </c>
      <c r="AD47" t="str">
        <f>AB47*0.01</f>
        <v>#REF!</v>
      </c>
      <c r="AE47" t="str">
        <f>AB47-Q47-AD47-R47</f>
        <v>#REF!</v>
      </c>
      <c r="AF47" t="str">
        <f>AC47-Q47-AD47-R47</f>
        <v>#REF!</v>
      </c>
      <c r="AG47" t="str">
        <f>AE47/V47</f>
        <v>#REF!</v>
      </c>
      <c r="AH47" t="str">
        <f>AF47/W47</f>
        <v>#REF!</v>
      </c>
    </row>
    <row r="48">
      <c r="G48" t="str">
        <v>A</v>
      </c>
      <c r="J48" t="str">
        <f>IF(K48&gt;0,K48*0.0625,IF(L48&gt;0,L48*2.204623,))</f>
        <v>#REF!</v>
      </c>
      <c r="K48" t="str">
        <f>IF(L48&gt;0,L48*35.273962,IF(J48&gt;0,J48*16,))</f>
        <v>#REF!</v>
      </c>
      <c r="L48" t="str">
        <f>IF(J48&gt;0,J48*0.453592,IF(K48&gt;0,K48*0.02835,))</f>
        <v>#REF!</v>
      </c>
      <c r="O48">
        <f>I48+N48+M48</f>
        <v>0</v>
      </c>
      <c r="P48">
        <f>O48*B$3</f>
        <v>0</v>
      </c>
      <c r="Q48">
        <f>ROUND(SUM(P48), -2)</f>
        <v>0</v>
      </c>
      <c r="R48" t="str">
        <f>ROUNDUP(HLOOKUP(IF(CEILING(L48,0.5)&lt;1,0.5,CEILING(L48,0.5)),'배송비 조회'!A$44:AO$56,7,0)*B$3,-2)</f>
        <v>#REF!</v>
      </c>
      <c r="S48">
        <v>0</v>
      </c>
      <c r="T48" t="str">
        <f>ROUND((Q48+R48)*0.3,-2)</f>
        <v>#REF!</v>
      </c>
      <c r="U48" t="str">
        <f>ROUND((Q48+R48)*0.4,-2)</f>
        <v>#REF!</v>
      </c>
      <c r="V48" t="str">
        <f>SUM(Q48:R48)+T48</f>
        <v>#REF!</v>
      </c>
      <c r="W48" t="str">
        <f>SUM(Q48:S48)+U48</f>
        <v>#REF!</v>
      </c>
      <c r="X48">
        <v>0</v>
      </c>
      <c r="Y48" t="str">
        <f>V48*0.038</f>
        <v>#REF!</v>
      </c>
      <c r="Z48" t="str">
        <f>V48*0.02</f>
        <v>#REF!</v>
      </c>
      <c r="AA48" t="str">
        <f>W48*0.1</f>
        <v>#REF!</v>
      </c>
      <c r="AB48" t="str">
        <f>V48-Y48-Z48</f>
        <v>#REF!</v>
      </c>
      <c r="AC48" t="str">
        <f>W48-AA48</f>
        <v>#REF!</v>
      </c>
      <c r="AD48" t="str">
        <f>AB48*0.01</f>
        <v>#REF!</v>
      </c>
      <c r="AE48" t="str">
        <f>AB48-Q48-AD48-R48</f>
        <v>#REF!</v>
      </c>
      <c r="AF48" t="str">
        <f>AC48-Q48-AD48-R48</f>
        <v>#REF!</v>
      </c>
      <c r="AG48" t="str">
        <f>AE48/V48</f>
        <v>#REF!</v>
      </c>
      <c r="AH48" t="str">
        <f>AF48/W48</f>
        <v>#REF!</v>
      </c>
    </row>
    <row r="49">
      <c r="G49" t="str">
        <v>A</v>
      </c>
      <c r="J49" t="str">
        <f>IF(K49&gt;0,K49*0.0625,IF(L49&gt;0,L49*2.204623,))</f>
        <v>#REF!</v>
      </c>
      <c r="K49" t="str">
        <f>IF(L49&gt;0,L49*35.273962,IF(J49&gt;0,J49*16,))</f>
        <v>#REF!</v>
      </c>
      <c r="L49" t="str">
        <f>IF(J49&gt;0,J49*0.453592,IF(K49&gt;0,K49*0.02835,))</f>
        <v>#REF!</v>
      </c>
      <c r="O49">
        <f>I49+N49+M49</f>
        <v>0</v>
      </c>
      <c r="P49">
        <f>O49*B$3</f>
        <v>0</v>
      </c>
      <c r="Q49">
        <f>ROUND(SUM(P49), -2)</f>
        <v>0</v>
      </c>
      <c r="R49" t="str">
        <f>ROUNDUP(HLOOKUP(IF(CEILING(L49,0.5)&lt;1,0.5,CEILING(L49,0.5)),'배송비 조회'!A$44:AO$56,7,0)*B$3,-2)</f>
        <v>#REF!</v>
      </c>
      <c r="S49">
        <v>0</v>
      </c>
      <c r="T49" t="str">
        <f>ROUND((Q49+R49)*0.3,-2)</f>
        <v>#REF!</v>
      </c>
      <c r="U49" t="str">
        <f>ROUND((Q49+R49)*0.4,-2)</f>
        <v>#REF!</v>
      </c>
      <c r="V49" t="str">
        <f>SUM(Q49:R49)+T49</f>
        <v>#REF!</v>
      </c>
      <c r="W49" t="str">
        <f>SUM(Q49:S49)+U49</f>
        <v>#REF!</v>
      </c>
      <c r="X49">
        <v>0</v>
      </c>
      <c r="Y49" t="str">
        <f>V49*0.038</f>
        <v>#REF!</v>
      </c>
      <c r="Z49" t="str">
        <f>V49*0.02</f>
        <v>#REF!</v>
      </c>
      <c r="AA49" t="str">
        <f>W49*0.1</f>
        <v>#REF!</v>
      </c>
      <c r="AB49" t="str">
        <f>V49-Y49-Z49</f>
        <v>#REF!</v>
      </c>
      <c r="AC49" t="str">
        <f>W49-AA49</f>
        <v>#REF!</v>
      </c>
      <c r="AD49" t="str">
        <f>AB49*0.01</f>
        <v>#REF!</v>
      </c>
      <c r="AE49" t="str">
        <f>AB49-Q49-AD49-R49</f>
        <v>#REF!</v>
      </c>
      <c r="AF49" t="str">
        <f>AC49-Q49-AD49-R49</f>
        <v>#REF!</v>
      </c>
      <c r="AG49" t="str">
        <f>AE49/V49</f>
        <v>#REF!</v>
      </c>
      <c r="AH49" t="str">
        <f>AF49/W49</f>
        <v>#REF!</v>
      </c>
    </row>
    <row r="50">
      <c r="G50" t="str">
        <v>A</v>
      </c>
      <c r="J50" t="str">
        <f>IF(K50&gt;0,K50*0.0625,IF(L50&gt;0,L50*2.204623,))</f>
        <v>#REF!</v>
      </c>
      <c r="K50" t="str">
        <f>IF(L50&gt;0,L50*35.273962,IF(J50&gt;0,J50*16,))</f>
        <v>#REF!</v>
      </c>
      <c r="L50" t="str">
        <f>IF(J50&gt;0,J50*0.453592,IF(K50&gt;0,K50*0.02835,))</f>
        <v>#REF!</v>
      </c>
      <c r="O50">
        <f>I50+N50+M50</f>
        <v>0</v>
      </c>
      <c r="P50">
        <f>O50*B$3</f>
        <v>0</v>
      </c>
      <c r="Q50">
        <f>ROUND(SUM(P50), -2)</f>
        <v>0</v>
      </c>
      <c r="R50" t="str">
        <f>ROUNDUP(HLOOKUP(IF(CEILING(L50,0.5)&lt;1,0.5,CEILING(L50,0.5)),'배송비 조회'!A$44:AO$56,7,0)*B$3,-2)</f>
        <v>#REF!</v>
      </c>
      <c r="S50">
        <v>0</v>
      </c>
      <c r="T50" t="str">
        <f>ROUND((Q50+R50)*0.3,-2)</f>
        <v>#REF!</v>
      </c>
      <c r="U50" t="str">
        <f>ROUND((Q50+R50)*0.4,-2)</f>
        <v>#REF!</v>
      </c>
      <c r="V50" t="str">
        <f>SUM(Q50:R50)+T50</f>
        <v>#REF!</v>
      </c>
      <c r="W50" t="str">
        <f>SUM(Q50:S50)+U50</f>
        <v>#REF!</v>
      </c>
      <c r="X50">
        <v>0</v>
      </c>
      <c r="Y50" t="str">
        <f>V50*0.038</f>
        <v>#REF!</v>
      </c>
      <c r="Z50" t="str">
        <f>V50*0.02</f>
        <v>#REF!</v>
      </c>
      <c r="AA50" t="str">
        <f>W50*0.1</f>
        <v>#REF!</v>
      </c>
      <c r="AB50" t="str">
        <f>V50-Y50-Z50</f>
        <v>#REF!</v>
      </c>
      <c r="AC50" t="str">
        <f>W50-AA50</f>
        <v>#REF!</v>
      </c>
      <c r="AD50" t="str">
        <f>AB50*0.01</f>
        <v>#REF!</v>
      </c>
      <c r="AE50" t="str">
        <f>AB50-Q50-AD50-R50</f>
        <v>#REF!</v>
      </c>
      <c r="AF50" t="str">
        <f>AC50-Q50-AD50-R50</f>
        <v>#REF!</v>
      </c>
      <c r="AG50" t="str">
        <f>AE50/V50</f>
        <v>#REF!</v>
      </c>
      <c r="AH50" t="str">
        <f>AF50/W50</f>
        <v>#REF!</v>
      </c>
    </row>
    <row r="51">
      <c r="G51" t="str">
        <v>A</v>
      </c>
      <c r="J51" t="str">
        <f>IF(K51&gt;0,K51*0.0625,IF(L51&gt;0,L51*2.204623,))</f>
        <v>#REF!</v>
      </c>
      <c r="K51" t="str">
        <f>IF(L51&gt;0,L51*35.273962,IF(J51&gt;0,J51*16,))</f>
        <v>#REF!</v>
      </c>
      <c r="L51" t="str">
        <f>IF(J51&gt;0,J51*0.453592,IF(K51&gt;0,K51*0.02835,))</f>
        <v>#REF!</v>
      </c>
      <c r="O51">
        <f>I51+N51+M51</f>
        <v>0</v>
      </c>
      <c r="P51">
        <f>O51*B$3</f>
        <v>0</v>
      </c>
      <c r="Q51">
        <f>ROUND(SUM(P51), -2)</f>
        <v>0</v>
      </c>
      <c r="R51" t="str">
        <f>ROUNDUP(HLOOKUP(IF(CEILING(L51,0.5)&lt;1,0.5,CEILING(L51,0.5)),'배송비 조회'!A$44:AO$56,7,0)*B$3,-2)</f>
        <v>#REF!</v>
      </c>
      <c r="S51">
        <v>0</v>
      </c>
      <c r="T51" t="str">
        <f>ROUND((Q51+R51)*0.3,-2)</f>
        <v>#REF!</v>
      </c>
      <c r="U51" t="str">
        <f>ROUND((Q51+R51)*0.4,-2)</f>
        <v>#REF!</v>
      </c>
      <c r="V51" t="str">
        <f>SUM(Q51:R51)+T51</f>
        <v>#REF!</v>
      </c>
      <c r="W51" t="str">
        <f>SUM(Q51:S51)+U51</f>
        <v>#REF!</v>
      </c>
      <c r="X51">
        <v>0</v>
      </c>
      <c r="Y51" t="str">
        <f>V51*0.038</f>
        <v>#REF!</v>
      </c>
      <c r="Z51" t="str">
        <f>V51*0.02</f>
        <v>#REF!</v>
      </c>
      <c r="AA51" t="str">
        <f>W51*0.1</f>
        <v>#REF!</v>
      </c>
      <c r="AB51" t="str">
        <f>V51-Y51-Z51</f>
        <v>#REF!</v>
      </c>
      <c r="AC51" t="str">
        <f>W51-AA51</f>
        <v>#REF!</v>
      </c>
      <c r="AD51" t="str">
        <f>AB51*0.01</f>
        <v>#REF!</v>
      </c>
      <c r="AE51" t="str">
        <f>AB51-Q51-AD51-R51</f>
        <v>#REF!</v>
      </c>
      <c r="AF51" t="str">
        <f>AC51-Q51-AD51-R51</f>
        <v>#REF!</v>
      </c>
      <c r="AG51" t="str">
        <f>AE51/V51</f>
        <v>#REF!</v>
      </c>
      <c r="AH51" t="str">
        <f>AF51/W51</f>
        <v>#REF!</v>
      </c>
    </row>
    <row r="52">
      <c r="G52" t="str">
        <v>A</v>
      </c>
      <c r="J52" t="str">
        <f>IF(K52&gt;0,K52*0.0625,IF(L52&gt;0,L52*2.204623,))</f>
        <v>#REF!</v>
      </c>
      <c r="K52" t="str">
        <f>IF(L52&gt;0,L52*35.273962,IF(J52&gt;0,J52*16,))</f>
        <v>#REF!</v>
      </c>
      <c r="L52" t="str">
        <f>IF(J52&gt;0,J52*0.453592,IF(K52&gt;0,K52*0.02835,))</f>
        <v>#REF!</v>
      </c>
      <c r="O52">
        <f>I52+N52+M52</f>
        <v>0</v>
      </c>
      <c r="P52">
        <f>O52*B$3</f>
        <v>0</v>
      </c>
      <c r="Q52">
        <f>ROUND(SUM(P52), -2)</f>
        <v>0</v>
      </c>
      <c r="R52" t="str">
        <f>ROUNDUP(HLOOKUP(IF(CEILING(L52,0.5)&lt;1,0.5,CEILING(L52,0.5)),'배송비 조회'!A$44:AO$56,7,0)*B$3,-2)</f>
        <v>#REF!</v>
      </c>
      <c r="S52">
        <v>0</v>
      </c>
      <c r="T52" t="str">
        <f>ROUND((Q52+R52)*0.3,-2)</f>
        <v>#REF!</v>
      </c>
      <c r="U52" t="str">
        <f>ROUND((Q52+R52)*0.4,-2)</f>
        <v>#REF!</v>
      </c>
      <c r="V52" t="str">
        <f>SUM(Q52:R52)+T52</f>
        <v>#REF!</v>
      </c>
      <c r="W52" t="str">
        <f>SUM(Q52:S52)+U52</f>
        <v>#REF!</v>
      </c>
      <c r="X52">
        <v>0</v>
      </c>
      <c r="Y52" t="str">
        <f>V52*0.038</f>
        <v>#REF!</v>
      </c>
      <c r="Z52" t="str">
        <f>V52*0.02</f>
        <v>#REF!</v>
      </c>
      <c r="AA52" t="str">
        <f>W52*0.1</f>
        <v>#REF!</v>
      </c>
      <c r="AB52" t="str">
        <f>V52-Y52-Z52</f>
        <v>#REF!</v>
      </c>
      <c r="AC52" t="str">
        <f>W52-AA52</f>
        <v>#REF!</v>
      </c>
      <c r="AD52" t="str">
        <f>AB52*0.01</f>
        <v>#REF!</v>
      </c>
      <c r="AE52" t="str">
        <f>AB52-Q52-AD52-R52</f>
        <v>#REF!</v>
      </c>
      <c r="AF52" t="str">
        <f>AC52-Q52-AD52-R52</f>
        <v>#REF!</v>
      </c>
      <c r="AG52" t="str">
        <f>AE52/V52</f>
        <v>#REF!</v>
      </c>
      <c r="AH52" t="str">
        <f>AF52/W52</f>
        <v>#REF!</v>
      </c>
    </row>
    <row r="53">
      <c r="G53" t="str">
        <v>A</v>
      </c>
      <c r="J53" t="str">
        <f>IF(K53&gt;0,K53*0.0625,IF(L53&gt;0,L53*2.204623,))</f>
        <v>#REF!</v>
      </c>
      <c r="K53" t="str">
        <f>IF(L53&gt;0,L53*35.273962,IF(J53&gt;0,J53*16,))</f>
        <v>#REF!</v>
      </c>
      <c r="L53" t="str">
        <f>IF(J53&gt;0,J53*0.453592,IF(K53&gt;0,K53*0.02835,))</f>
        <v>#REF!</v>
      </c>
      <c r="O53">
        <f>I53+N53+M53</f>
        <v>0</v>
      </c>
      <c r="P53">
        <f>O53*B$3</f>
        <v>0</v>
      </c>
      <c r="Q53">
        <f>ROUND(SUM(P53), -2)</f>
        <v>0</v>
      </c>
      <c r="R53" t="str">
        <f>ROUNDUP(HLOOKUP(IF(CEILING(L53,0.5)&lt;1,0.5,CEILING(L53,0.5)),'배송비 조회'!A$44:AO$56,7,0)*B$3,-2)</f>
        <v>#REF!</v>
      </c>
      <c r="S53">
        <v>0</v>
      </c>
      <c r="T53" t="str">
        <f>ROUND((Q53+R53)*0.3,-2)</f>
        <v>#REF!</v>
      </c>
      <c r="U53" t="str">
        <f>ROUND((Q53+R53)*0.4,-2)</f>
        <v>#REF!</v>
      </c>
      <c r="V53" t="str">
        <f>SUM(Q53:R53)+T53</f>
        <v>#REF!</v>
      </c>
      <c r="W53" t="str">
        <f>SUM(Q53:S53)+U53</f>
        <v>#REF!</v>
      </c>
      <c r="X53">
        <v>0</v>
      </c>
      <c r="Y53" t="str">
        <f>V53*0.038</f>
        <v>#REF!</v>
      </c>
      <c r="Z53" t="str">
        <f>V53*0.02</f>
        <v>#REF!</v>
      </c>
      <c r="AA53" t="str">
        <f>W53*0.1</f>
        <v>#REF!</v>
      </c>
      <c r="AB53" t="str">
        <f>V53-Y53-Z53</f>
        <v>#REF!</v>
      </c>
      <c r="AC53" t="str">
        <f>W53-AA53</f>
        <v>#REF!</v>
      </c>
      <c r="AD53" t="str">
        <f>AB53*0.01</f>
        <v>#REF!</v>
      </c>
      <c r="AE53" t="str">
        <f>AB53-Q53-AD53-R53</f>
        <v>#REF!</v>
      </c>
      <c r="AF53" t="str">
        <f>AC53-Q53-AD53-R53</f>
        <v>#REF!</v>
      </c>
      <c r="AG53" t="str">
        <f>AE53/V53</f>
        <v>#REF!</v>
      </c>
      <c r="AH53" t="str">
        <f>AF53/W53</f>
        <v>#REF!</v>
      </c>
    </row>
    <row r="54">
      <c r="G54" t="str">
        <v>A</v>
      </c>
      <c r="J54" t="str">
        <f>IF(K54&gt;0,K54*0.0625,IF(L54&gt;0,L54*2.204623,))</f>
        <v>#REF!</v>
      </c>
      <c r="K54" t="str">
        <f>IF(L54&gt;0,L54*35.273962,IF(J54&gt;0,J54*16,))</f>
        <v>#REF!</v>
      </c>
      <c r="L54" t="str">
        <f>IF(J54&gt;0,J54*0.453592,IF(K54&gt;0,K54*0.02835,))</f>
        <v>#REF!</v>
      </c>
      <c r="O54">
        <f>I54+N54+M54</f>
        <v>0</v>
      </c>
      <c r="P54">
        <f>O54*B$3</f>
        <v>0</v>
      </c>
      <c r="Q54">
        <f>ROUND(SUM(P54), -2)</f>
        <v>0</v>
      </c>
      <c r="R54" t="str">
        <f>ROUNDUP(HLOOKUP(IF(CEILING(L54,0.5)&lt;1,0.5,CEILING(L54,0.5)),'배송비 조회'!A$44:AO$56,7,0)*B$3,-2)</f>
        <v>#REF!</v>
      </c>
      <c r="S54">
        <v>0</v>
      </c>
      <c r="T54" t="str">
        <f>ROUND((Q54+R54)*0.3,-2)</f>
        <v>#REF!</v>
      </c>
      <c r="U54" t="str">
        <f>ROUND((Q54+R54)*0.4,-2)</f>
        <v>#REF!</v>
      </c>
      <c r="V54" t="str">
        <f>SUM(Q54:R54)+T54</f>
        <v>#REF!</v>
      </c>
      <c r="W54" t="str">
        <f>SUM(Q54:S54)+U54</f>
        <v>#REF!</v>
      </c>
      <c r="X54">
        <v>0</v>
      </c>
      <c r="Y54" t="str">
        <f>V54*0.038</f>
        <v>#REF!</v>
      </c>
      <c r="Z54" t="str">
        <f>V54*0.02</f>
        <v>#REF!</v>
      </c>
      <c r="AA54" t="str">
        <f>W54*0.1</f>
        <v>#REF!</v>
      </c>
      <c r="AB54" t="str">
        <f>V54-Y54-Z54</f>
        <v>#REF!</v>
      </c>
      <c r="AC54" t="str">
        <f>W54-AA54</f>
        <v>#REF!</v>
      </c>
      <c r="AD54" t="str">
        <f>AB54*0.01</f>
        <v>#REF!</v>
      </c>
      <c r="AE54" t="str">
        <f>AB54-Q54-AD54-R54</f>
        <v>#REF!</v>
      </c>
      <c r="AF54" t="str">
        <f>AC54-Q54-AD54-R54</f>
        <v>#REF!</v>
      </c>
      <c r="AG54" t="str">
        <f>AE54/V54</f>
        <v>#REF!</v>
      </c>
      <c r="AH54" t="str">
        <f>AF54/W54</f>
        <v>#REF!</v>
      </c>
    </row>
    <row r="55">
      <c r="G55" t="str">
        <v>A</v>
      </c>
      <c r="J55" t="str">
        <f>IF(K55&gt;0,K55*0.0625,IF(L55&gt;0,L55*2.204623,))</f>
        <v>#REF!</v>
      </c>
      <c r="K55" t="str">
        <f>IF(L55&gt;0,L55*35.273962,IF(J55&gt;0,J55*16,))</f>
        <v>#REF!</v>
      </c>
      <c r="L55" t="str">
        <f>IF(J55&gt;0,J55*0.453592,IF(K55&gt;0,K55*0.02835,))</f>
        <v>#REF!</v>
      </c>
      <c r="O55">
        <f>I55+N55+M55</f>
        <v>0</v>
      </c>
      <c r="P55">
        <f>O55*B$3</f>
        <v>0</v>
      </c>
      <c r="Q55">
        <f>ROUND(SUM(P55), -2)</f>
        <v>0</v>
      </c>
      <c r="R55" t="str">
        <f>ROUNDUP(HLOOKUP(IF(CEILING(L55,0.5)&lt;1,0.5,CEILING(L55,0.5)),'배송비 조회'!A$44:AO$56,7,0)*B$3,-2)</f>
        <v>#REF!</v>
      </c>
      <c r="S55">
        <v>0</v>
      </c>
      <c r="T55" t="str">
        <f>ROUND((Q55+R55)*0.3,-2)</f>
        <v>#REF!</v>
      </c>
      <c r="U55" t="str">
        <f>ROUND((Q55+R55)*0.4,-2)</f>
        <v>#REF!</v>
      </c>
      <c r="V55" t="str">
        <f>SUM(Q55:R55)+T55</f>
        <v>#REF!</v>
      </c>
      <c r="W55" t="str">
        <f>SUM(Q55:S55)+U55</f>
        <v>#REF!</v>
      </c>
      <c r="X55">
        <v>0</v>
      </c>
      <c r="Y55" t="str">
        <f>V55*0.038</f>
        <v>#REF!</v>
      </c>
      <c r="Z55" t="str">
        <f>V55*0.02</f>
        <v>#REF!</v>
      </c>
      <c r="AA55" t="str">
        <f>W55*0.1</f>
        <v>#REF!</v>
      </c>
      <c r="AB55" t="str">
        <f>V55-Y55-Z55</f>
        <v>#REF!</v>
      </c>
      <c r="AC55" t="str">
        <f>W55-AA55</f>
        <v>#REF!</v>
      </c>
      <c r="AD55" t="str">
        <f>AB55*0.01</f>
        <v>#REF!</v>
      </c>
      <c r="AE55" t="str">
        <f>AB55-Q55-AD55-R55</f>
        <v>#REF!</v>
      </c>
      <c r="AF55" t="str">
        <f>AC55-Q55-AD55-R55</f>
        <v>#REF!</v>
      </c>
      <c r="AG55" t="str">
        <f>AE55/V55</f>
        <v>#REF!</v>
      </c>
      <c r="AH55" t="str">
        <f>AF55/W55</f>
        <v>#REF!</v>
      </c>
    </row>
    <row r="56">
      <c r="G56" t="str">
        <v>A</v>
      </c>
      <c r="J56" t="str">
        <f>IF(K56&gt;0,K56*0.0625,IF(L56&gt;0,L56*2.204623,))</f>
        <v>#REF!</v>
      </c>
      <c r="K56" t="str">
        <f>IF(L56&gt;0,L56*35.273962,IF(J56&gt;0,J56*16,))</f>
        <v>#REF!</v>
      </c>
      <c r="L56" t="str">
        <f>IF(J56&gt;0,J56*0.453592,IF(K56&gt;0,K56*0.02835,))</f>
        <v>#REF!</v>
      </c>
      <c r="O56">
        <f>I56+N56+M56</f>
        <v>0</v>
      </c>
      <c r="P56">
        <f>O56*B$3</f>
        <v>0</v>
      </c>
      <c r="Q56">
        <f>ROUND(SUM(P56), -2)</f>
        <v>0</v>
      </c>
      <c r="R56" t="str">
        <f>ROUNDUP(HLOOKUP(IF(CEILING(L56,0.5)&lt;1,0.5,CEILING(L56,0.5)),'배송비 조회'!A$44:AO$56,7,0)*B$3,-2)</f>
        <v>#REF!</v>
      </c>
      <c r="S56">
        <v>0</v>
      </c>
      <c r="T56" t="str">
        <f>ROUND((Q56+R56)*0.3,-2)</f>
        <v>#REF!</v>
      </c>
      <c r="U56" t="str">
        <f>ROUND((Q56+R56)*0.4,-2)</f>
        <v>#REF!</v>
      </c>
      <c r="V56" t="str">
        <f>SUM(Q56:R56)+T56</f>
        <v>#REF!</v>
      </c>
      <c r="W56" t="str">
        <f>SUM(Q56:S56)+U56</f>
        <v>#REF!</v>
      </c>
      <c r="X56">
        <v>0</v>
      </c>
      <c r="Y56" t="str">
        <f>V56*0.038</f>
        <v>#REF!</v>
      </c>
      <c r="Z56" t="str">
        <f>V56*0.02</f>
        <v>#REF!</v>
      </c>
      <c r="AA56" t="str">
        <f>W56*0.1</f>
        <v>#REF!</v>
      </c>
      <c r="AB56" t="str">
        <f>V56-Y56-Z56</f>
        <v>#REF!</v>
      </c>
      <c r="AC56" t="str">
        <f>W56-AA56</f>
        <v>#REF!</v>
      </c>
      <c r="AD56" t="str">
        <f>AB56*0.01</f>
        <v>#REF!</v>
      </c>
      <c r="AE56" t="str">
        <f>AB56-Q56-AD56-R56</f>
        <v>#REF!</v>
      </c>
      <c r="AF56" t="str">
        <f>AC56-Q56-AD56-R56</f>
        <v>#REF!</v>
      </c>
      <c r="AG56" t="str">
        <f>AE56/V56</f>
        <v>#REF!</v>
      </c>
      <c r="AH56" t="str">
        <f>AF56/W56</f>
        <v>#REF!</v>
      </c>
    </row>
    <row r="57">
      <c r="G57" t="str">
        <v>A</v>
      </c>
      <c r="J57" t="str">
        <f>IF(K57&gt;0,K57*0.0625,IF(L57&gt;0,L57*2.204623,))</f>
        <v>#REF!</v>
      </c>
      <c r="K57" t="str">
        <f>IF(L57&gt;0,L57*35.273962,IF(J57&gt;0,J57*16,))</f>
        <v>#REF!</v>
      </c>
      <c r="L57" t="str">
        <f>IF(J57&gt;0,J57*0.453592,IF(K57&gt;0,K57*0.02835,))</f>
        <v>#REF!</v>
      </c>
      <c r="O57">
        <f>I57+N57+M57</f>
        <v>0</v>
      </c>
      <c r="P57">
        <f>O57*B$3</f>
        <v>0</v>
      </c>
      <c r="Q57">
        <f>ROUND(SUM(P57), -2)</f>
        <v>0</v>
      </c>
      <c r="R57" t="str">
        <f>ROUNDUP(HLOOKUP(IF(CEILING(L57,0.5)&lt;1,0.5,CEILING(L57,0.5)),'배송비 조회'!A$44:AO$56,7,0)*B$3,-2)</f>
        <v>#REF!</v>
      </c>
      <c r="S57">
        <v>0</v>
      </c>
      <c r="T57" t="str">
        <f>ROUND((Q57+R57)*0.3,-2)</f>
        <v>#REF!</v>
      </c>
      <c r="U57" t="str">
        <f>ROUND((Q57+R57)*0.4,-2)</f>
        <v>#REF!</v>
      </c>
      <c r="V57" t="str">
        <f>SUM(Q57:R57)+T57</f>
        <v>#REF!</v>
      </c>
      <c r="W57" t="str">
        <f>SUM(Q57:S57)+U57</f>
        <v>#REF!</v>
      </c>
      <c r="X57">
        <v>0</v>
      </c>
      <c r="Y57" t="str">
        <f>V57*0.038</f>
        <v>#REF!</v>
      </c>
      <c r="Z57" t="str">
        <f>V57*0.02</f>
        <v>#REF!</v>
      </c>
      <c r="AA57" t="str">
        <f>W57*0.1</f>
        <v>#REF!</v>
      </c>
      <c r="AB57" t="str">
        <f>V57-Y57-Z57</f>
        <v>#REF!</v>
      </c>
      <c r="AC57" t="str">
        <f>W57-AA57</f>
        <v>#REF!</v>
      </c>
      <c r="AD57" t="str">
        <f>AB57*0.01</f>
        <v>#REF!</v>
      </c>
      <c r="AE57" t="str">
        <f>AB57-Q57-AD57-R57</f>
        <v>#REF!</v>
      </c>
      <c r="AF57" t="str">
        <f>AC57-Q57-AD57-R57</f>
        <v>#REF!</v>
      </c>
      <c r="AG57" t="str">
        <f>AE57/V57</f>
        <v>#REF!</v>
      </c>
      <c r="AH57" t="str">
        <f>AF57/W57</f>
        <v>#REF!</v>
      </c>
    </row>
    <row r="58">
      <c r="G58" t="str">
        <v>A</v>
      </c>
      <c r="J58" t="str">
        <f>IF(K58&gt;0,K58*0.0625,IF(L58&gt;0,L58*2.204623,))</f>
        <v>#REF!</v>
      </c>
      <c r="K58" t="str">
        <f>IF(L58&gt;0,L58*35.273962,IF(J58&gt;0,J58*16,))</f>
        <v>#REF!</v>
      </c>
      <c r="L58" t="str">
        <f>IF(J58&gt;0,J58*0.453592,IF(K58&gt;0,K58*0.02835,))</f>
        <v>#REF!</v>
      </c>
      <c r="O58">
        <f>I58+N58+M58</f>
        <v>0</v>
      </c>
      <c r="P58">
        <f>O58*B$3</f>
        <v>0</v>
      </c>
      <c r="Q58">
        <f>ROUND(SUM(P58), -2)</f>
        <v>0</v>
      </c>
      <c r="R58" t="str">
        <f>ROUNDUP(HLOOKUP(IF(CEILING(L58,0.5)&lt;1,0.5,CEILING(L58,0.5)),'배송비 조회'!A$44:AO$56,7,0)*B$3,-2)</f>
        <v>#REF!</v>
      </c>
      <c r="S58">
        <v>0</v>
      </c>
      <c r="T58" t="str">
        <f>ROUND((Q58+R58)*0.3,-2)</f>
        <v>#REF!</v>
      </c>
      <c r="U58" t="str">
        <f>ROUND((Q58+R58)*0.4,-2)</f>
        <v>#REF!</v>
      </c>
      <c r="V58" t="str">
        <f>SUM(Q58:R58)+T58</f>
        <v>#REF!</v>
      </c>
      <c r="W58" t="str">
        <f>SUM(Q58:S58)+U58</f>
        <v>#REF!</v>
      </c>
      <c r="X58">
        <v>0</v>
      </c>
      <c r="Y58" t="str">
        <f>V58*0.038</f>
        <v>#REF!</v>
      </c>
      <c r="Z58" t="str">
        <f>V58*0.02</f>
        <v>#REF!</v>
      </c>
      <c r="AA58" t="str">
        <f>W58*0.1</f>
        <v>#REF!</v>
      </c>
      <c r="AB58" t="str">
        <f>V58-Y58-Z58</f>
        <v>#REF!</v>
      </c>
      <c r="AC58" t="str">
        <f>W58-AA58</f>
        <v>#REF!</v>
      </c>
      <c r="AD58" t="str">
        <f>AB58*0.01</f>
        <v>#REF!</v>
      </c>
      <c r="AE58" t="str">
        <f>AB58-Q58-AD58-R58</f>
        <v>#REF!</v>
      </c>
      <c r="AF58" t="str">
        <f>AC58-Q58-AD58-R58</f>
        <v>#REF!</v>
      </c>
      <c r="AG58" t="str">
        <f>AE58/V58</f>
        <v>#REF!</v>
      </c>
      <c r="AH58" t="str">
        <f>AF58/W58</f>
        <v>#REF!</v>
      </c>
    </row>
    <row r="59">
      <c r="G59" t="str">
        <v>A</v>
      </c>
      <c r="J59" t="str">
        <f>IF(K59&gt;0,K59*0.0625,IF(L59&gt;0,L59*2.204623,))</f>
        <v>#REF!</v>
      </c>
      <c r="K59" t="str">
        <f>IF(L59&gt;0,L59*35.273962,IF(J59&gt;0,J59*16,))</f>
        <v>#REF!</v>
      </c>
      <c r="L59" t="str">
        <f>IF(J59&gt;0,J59*0.453592,IF(K59&gt;0,K59*0.02835,))</f>
        <v>#REF!</v>
      </c>
      <c r="O59">
        <f>I59+N59+M59</f>
        <v>0</v>
      </c>
      <c r="P59">
        <f>O59*B$3</f>
        <v>0</v>
      </c>
      <c r="Q59">
        <f>ROUND(SUM(P59), -2)</f>
        <v>0</v>
      </c>
      <c r="R59" t="str">
        <f>ROUNDUP(HLOOKUP(IF(CEILING(L59,0.5)&lt;1,0.5,CEILING(L59,0.5)),'배송비 조회'!A$44:AO$56,7,0)*B$3,-2)</f>
        <v>#REF!</v>
      </c>
      <c r="S59">
        <v>0</v>
      </c>
      <c r="T59" t="str">
        <f>ROUND((Q59+R59)*0.3,-2)</f>
        <v>#REF!</v>
      </c>
      <c r="U59" t="str">
        <f>ROUND((Q59+R59)*0.4,-2)</f>
        <v>#REF!</v>
      </c>
      <c r="V59" t="str">
        <f>SUM(Q59:R59)+T59</f>
        <v>#REF!</v>
      </c>
      <c r="W59" t="str">
        <f>SUM(Q59:S59)+U59</f>
        <v>#REF!</v>
      </c>
      <c r="X59">
        <v>0</v>
      </c>
      <c r="Y59" t="str">
        <f>V59*0.038</f>
        <v>#REF!</v>
      </c>
      <c r="Z59" t="str">
        <f>V59*0.02</f>
        <v>#REF!</v>
      </c>
      <c r="AA59" t="str">
        <f>W59*0.1</f>
        <v>#REF!</v>
      </c>
      <c r="AB59" t="str">
        <f>V59-Y59-Z59</f>
        <v>#REF!</v>
      </c>
      <c r="AC59" t="str">
        <f>W59-AA59</f>
        <v>#REF!</v>
      </c>
      <c r="AD59" t="str">
        <f>AB59*0.01</f>
        <v>#REF!</v>
      </c>
      <c r="AE59" t="str">
        <f>AB59-Q59-AD59-R59</f>
        <v>#REF!</v>
      </c>
      <c r="AF59" t="str">
        <f>AC59-Q59-AD59-R59</f>
        <v>#REF!</v>
      </c>
      <c r="AG59" t="str">
        <f>AE59/V59</f>
        <v>#REF!</v>
      </c>
      <c r="AH59" t="str">
        <f>AF59/W59</f>
        <v>#REF!</v>
      </c>
    </row>
    <row r="60">
      <c r="G60" t="str">
        <v>A</v>
      </c>
      <c r="J60" t="str">
        <f>IF(K60&gt;0,K60*0.0625,IF(L60&gt;0,L60*2.204623,))</f>
        <v>#REF!</v>
      </c>
      <c r="K60" t="str">
        <f>IF(L60&gt;0,L60*35.273962,IF(J60&gt;0,J60*16,))</f>
        <v>#REF!</v>
      </c>
      <c r="L60" t="str">
        <f>IF(J60&gt;0,J60*0.453592,IF(K60&gt;0,K60*0.02835,))</f>
        <v>#REF!</v>
      </c>
      <c r="O60">
        <f>I60+N60+M60</f>
        <v>0</v>
      </c>
      <c r="P60">
        <f>O60*B$3</f>
        <v>0</v>
      </c>
      <c r="Q60">
        <f>ROUND(SUM(P60), -2)</f>
        <v>0</v>
      </c>
      <c r="R60" t="str">
        <f>ROUNDUP(HLOOKUP(IF(CEILING(L60,0.5)&lt;1,0.5,CEILING(L60,0.5)),'배송비 조회'!A$44:AO$56,7,0)*B$3,-2)</f>
        <v>#REF!</v>
      </c>
      <c r="S60">
        <v>0</v>
      </c>
      <c r="T60" t="str">
        <f>ROUND((Q60+R60)*0.3,-2)</f>
        <v>#REF!</v>
      </c>
      <c r="U60" t="str">
        <f>ROUND((Q60+R60)*0.4,-2)</f>
        <v>#REF!</v>
      </c>
      <c r="V60" t="str">
        <f>SUM(Q60:R60)+T60</f>
        <v>#REF!</v>
      </c>
      <c r="W60" t="str">
        <f>SUM(Q60:S60)+U60</f>
        <v>#REF!</v>
      </c>
      <c r="X60">
        <v>0</v>
      </c>
      <c r="Y60" t="str">
        <f>V60*0.038</f>
        <v>#REF!</v>
      </c>
      <c r="Z60" t="str">
        <f>V60*0.02</f>
        <v>#REF!</v>
      </c>
      <c r="AA60" t="str">
        <f>W60*0.1</f>
        <v>#REF!</v>
      </c>
      <c r="AB60" t="str">
        <f>V60-Y60-Z60</f>
        <v>#REF!</v>
      </c>
      <c r="AC60" t="str">
        <f>W60-AA60</f>
        <v>#REF!</v>
      </c>
      <c r="AD60" t="str">
        <f>AB60*0.01</f>
        <v>#REF!</v>
      </c>
      <c r="AE60" t="str">
        <f>AB60-Q60-AD60-R60</f>
        <v>#REF!</v>
      </c>
      <c r="AF60" t="str">
        <f>AC60-Q60-AD60-R60</f>
        <v>#REF!</v>
      </c>
      <c r="AG60" t="str">
        <f>AE60/V60</f>
        <v>#REF!</v>
      </c>
      <c r="AH60" t="str">
        <f>AF60/W60</f>
        <v>#REF!</v>
      </c>
    </row>
    <row r="61">
      <c r="G61" t="str">
        <v>A</v>
      </c>
      <c r="J61" t="str">
        <f>IF(K61&gt;0,K61*0.0625,IF(L61&gt;0,L61*2.204623,))</f>
        <v>#REF!</v>
      </c>
      <c r="K61" t="str">
        <f>IF(L61&gt;0,L61*35.273962,IF(J61&gt;0,J61*16,))</f>
        <v>#REF!</v>
      </c>
      <c r="L61" t="str">
        <f>IF(J61&gt;0,J61*0.453592,IF(K61&gt;0,K61*0.02835,))</f>
        <v>#REF!</v>
      </c>
      <c r="O61">
        <f>I61+N61+M61</f>
        <v>0</v>
      </c>
      <c r="P61">
        <f>O61*B$3</f>
        <v>0</v>
      </c>
      <c r="Q61">
        <f>ROUND(SUM(P61), -2)</f>
        <v>0</v>
      </c>
      <c r="R61" t="str">
        <f>ROUNDUP(HLOOKUP(IF(CEILING(L61,0.5)&lt;1,0.5,CEILING(L61,0.5)),'배송비 조회'!A$44:AO$56,7,0)*B$3,-2)</f>
        <v>#REF!</v>
      </c>
      <c r="S61">
        <v>0</v>
      </c>
      <c r="T61" t="str">
        <f>ROUND((Q61+R61)*0.3,-2)</f>
        <v>#REF!</v>
      </c>
      <c r="U61" t="str">
        <f>ROUND((Q61+R61)*0.4,-2)</f>
        <v>#REF!</v>
      </c>
      <c r="V61" t="str">
        <f>SUM(Q61:R61)+T61</f>
        <v>#REF!</v>
      </c>
      <c r="W61" t="str">
        <f>SUM(Q61:S61)+U61</f>
        <v>#REF!</v>
      </c>
      <c r="X61">
        <v>0</v>
      </c>
      <c r="Y61" t="str">
        <f>V61*0.038</f>
        <v>#REF!</v>
      </c>
      <c r="Z61" t="str">
        <f>V61*0.02</f>
        <v>#REF!</v>
      </c>
      <c r="AA61" t="str">
        <f>W61*0.1</f>
        <v>#REF!</v>
      </c>
      <c r="AB61" t="str">
        <f>V61-Y61-Z61</f>
        <v>#REF!</v>
      </c>
      <c r="AC61" t="str">
        <f>W61-AA61</f>
        <v>#REF!</v>
      </c>
      <c r="AD61" t="str">
        <f>AB61*0.01</f>
        <v>#REF!</v>
      </c>
      <c r="AE61" t="str">
        <f>AB61-Q61-AD61-R61</f>
        <v>#REF!</v>
      </c>
      <c r="AF61" t="str">
        <f>AC61-Q61-AD61-R61</f>
        <v>#REF!</v>
      </c>
      <c r="AG61" t="str">
        <f>AE61/V61</f>
        <v>#REF!</v>
      </c>
      <c r="AH61" t="str">
        <f>AF61/W61</f>
        <v>#REF!</v>
      </c>
    </row>
    <row r="62">
      <c r="G62" t="str">
        <v>A</v>
      </c>
      <c r="J62" t="str">
        <f>IF(K62&gt;0,K62*0.0625,IF(L62&gt;0,L62*2.204623,))</f>
        <v>#REF!</v>
      </c>
      <c r="K62" t="str">
        <f>IF(L62&gt;0,L62*35.273962,IF(J62&gt;0,J62*16,))</f>
        <v>#REF!</v>
      </c>
      <c r="L62" t="str">
        <f>IF(J62&gt;0,J62*0.453592,IF(K62&gt;0,K62*0.02835,))</f>
        <v>#REF!</v>
      </c>
      <c r="O62">
        <f>I62+N62+M62</f>
        <v>0</v>
      </c>
      <c r="P62">
        <f>O62*B$3</f>
        <v>0</v>
      </c>
      <c r="Q62">
        <f>ROUND(SUM(P62), -2)</f>
        <v>0</v>
      </c>
      <c r="R62" t="str">
        <f>ROUNDUP(HLOOKUP(IF(CEILING(L62,0.5)&lt;1,0.5,CEILING(L62,0.5)),'배송비 조회'!A$44:AO$56,7,0)*B$3,-2)</f>
        <v>#REF!</v>
      </c>
      <c r="S62">
        <v>0</v>
      </c>
      <c r="T62" t="str">
        <f>ROUND((Q62+R62)*0.3,-2)</f>
        <v>#REF!</v>
      </c>
      <c r="U62" t="str">
        <f>ROUND((Q62+R62)*0.4,-2)</f>
        <v>#REF!</v>
      </c>
      <c r="V62" t="str">
        <f>SUM(Q62:R62)+T62</f>
        <v>#REF!</v>
      </c>
      <c r="W62" t="str">
        <f>SUM(Q62:S62)+U62</f>
        <v>#REF!</v>
      </c>
      <c r="X62">
        <v>0</v>
      </c>
      <c r="Y62" t="str">
        <f>V62*0.038</f>
        <v>#REF!</v>
      </c>
      <c r="Z62" t="str">
        <f>V62*0.02</f>
        <v>#REF!</v>
      </c>
      <c r="AA62" t="str">
        <f>W62*0.1</f>
        <v>#REF!</v>
      </c>
      <c r="AB62" t="str">
        <f>V62-Y62-Z62</f>
        <v>#REF!</v>
      </c>
      <c r="AC62" t="str">
        <f>W62-AA62</f>
        <v>#REF!</v>
      </c>
      <c r="AD62" t="str">
        <f>AB62*0.01</f>
        <v>#REF!</v>
      </c>
      <c r="AE62" t="str">
        <f>AB62-Q62-AD62-R62</f>
        <v>#REF!</v>
      </c>
      <c r="AF62" t="str">
        <f>AC62-Q62-AD62-R62</f>
        <v>#REF!</v>
      </c>
      <c r="AG62" t="str">
        <f>AE62/V62</f>
        <v>#REF!</v>
      </c>
      <c r="AH62" t="str">
        <f>AF62/W62</f>
        <v>#REF!</v>
      </c>
    </row>
    <row r="63">
      <c r="G63" t="str">
        <v>A</v>
      </c>
      <c r="J63" t="str">
        <f>IF(K63&gt;0,K63*0.0625,IF(L63&gt;0,L63*2.204623,))</f>
        <v>#REF!</v>
      </c>
      <c r="K63" t="str">
        <f>IF(L63&gt;0,L63*35.273962,IF(J63&gt;0,J63*16,))</f>
        <v>#REF!</v>
      </c>
      <c r="L63" t="str">
        <f>IF(J63&gt;0,J63*0.453592,IF(K63&gt;0,K63*0.02835,))</f>
        <v>#REF!</v>
      </c>
      <c r="O63">
        <f>I63+N63+M63</f>
        <v>0</v>
      </c>
      <c r="P63">
        <f>O63*B$3</f>
        <v>0</v>
      </c>
      <c r="Q63">
        <f>ROUND(SUM(P63), -2)</f>
        <v>0</v>
      </c>
      <c r="R63" t="str">
        <f>ROUNDUP(HLOOKUP(IF(CEILING(L63,0.5)&lt;1,0.5,CEILING(L63,0.5)),'배송비 조회'!A$44:AO$56,7,0)*B$3,-2)</f>
        <v>#REF!</v>
      </c>
      <c r="S63">
        <v>0</v>
      </c>
      <c r="T63" t="str">
        <f>ROUND((Q63+R63)*0.3,-2)</f>
        <v>#REF!</v>
      </c>
      <c r="U63" t="str">
        <f>ROUND((Q63+R63)*0.4,-2)</f>
        <v>#REF!</v>
      </c>
      <c r="V63" t="str">
        <f>SUM(Q63:R63)+T63</f>
        <v>#REF!</v>
      </c>
      <c r="W63" t="str">
        <f>SUM(Q63:S63)+U63</f>
        <v>#REF!</v>
      </c>
      <c r="X63">
        <v>0</v>
      </c>
      <c r="Y63" t="str">
        <f>V63*0.038</f>
        <v>#REF!</v>
      </c>
      <c r="Z63" t="str">
        <f>V63*0.02</f>
        <v>#REF!</v>
      </c>
      <c r="AA63" t="str">
        <f>W63*0.1</f>
        <v>#REF!</v>
      </c>
      <c r="AB63" t="str">
        <f>V63-Y63-Z63</f>
        <v>#REF!</v>
      </c>
      <c r="AC63" t="str">
        <f>W63-AA63</f>
        <v>#REF!</v>
      </c>
      <c r="AD63" t="str">
        <f>AB63*0.01</f>
        <v>#REF!</v>
      </c>
      <c r="AE63" t="str">
        <f>AB63-Q63-AD63-R63</f>
        <v>#REF!</v>
      </c>
      <c r="AF63" t="str">
        <f>AC63-Q63-AD63-R63</f>
        <v>#REF!</v>
      </c>
      <c r="AG63" t="str">
        <f>AE63/V63</f>
        <v>#REF!</v>
      </c>
      <c r="AH63" t="str">
        <f>AF63/W63</f>
        <v>#REF!</v>
      </c>
    </row>
    <row r="64">
      <c r="G64" t="str">
        <v>A</v>
      </c>
      <c r="J64" t="str">
        <f>IF(K64&gt;0,K64*0.0625,IF(L64&gt;0,L64*2.204623,))</f>
        <v>#REF!</v>
      </c>
      <c r="K64" t="str">
        <f>IF(L64&gt;0,L64*35.273962,IF(J64&gt;0,J64*16,))</f>
        <v>#REF!</v>
      </c>
      <c r="L64" t="str">
        <f>IF(J64&gt;0,J64*0.453592,IF(K64&gt;0,K64*0.02835,))</f>
        <v>#REF!</v>
      </c>
      <c r="O64">
        <f>I64+N64+M64</f>
        <v>0</v>
      </c>
      <c r="P64">
        <f>O64*B$3</f>
        <v>0</v>
      </c>
      <c r="Q64">
        <f>ROUND(SUM(P64), -2)</f>
        <v>0</v>
      </c>
      <c r="R64" t="str">
        <f>ROUNDUP(HLOOKUP(IF(CEILING(L64,0.5)&lt;1,0.5,CEILING(L64,0.5)),'배송비 조회'!A$44:AO$56,7,0)*B$3,-2)</f>
        <v>#REF!</v>
      </c>
      <c r="S64">
        <v>0</v>
      </c>
      <c r="T64" t="str">
        <f>ROUND((Q64+R64)*0.3,-2)</f>
        <v>#REF!</v>
      </c>
      <c r="U64" t="str">
        <f>ROUND((Q64+R64)*0.4,-2)</f>
        <v>#REF!</v>
      </c>
      <c r="V64" t="str">
        <f>SUM(Q64:R64)+T64</f>
        <v>#REF!</v>
      </c>
      <c r="W64" t="str">
        <f>SUM(Q64:S64)+U64</f>
        <v>#REF!</v>
      </c>
      <c r="X64">
        <v>0</v>
      </c>
      <c r="Y64" t="str">
        <f>V64*0.038</f>
        <v>#REF!</v>
      </c>
      <c r="Z64" t="str">
        <f>V64*0.02</f>
        <v>#REF!</v>
      </c>
      <c r="AA64" t="str">
        <f>W64*0.1</f>
        <v>#REF!</v>
      </c>
      <c r="AB64" t="str">
        <f>V64-Y64-Z64</f>
        <v>#REF!</v>
      </c>
      <c r="AC64" t="str">
        <f>W64-AA64</f>
        <v>#REF!</v>
      </c>
      <c r="AD64" t="str">
        <f>AB64*0.01</f>
        <v>#REF!</v>
      </c>
      <c r="AE64" t="str">
        <f>AB64-Q64-AD64-R64</f>
        <v>#REF!</v>
      </c>
      <c r="AF64" t="str">
        <f>AC64-Q64-AD64-R64</f>
        <v>#REF!</v>
      </c>
      <c r="AG64" t="str">
        <f>AE64/V64</f>
        <v>#REF!</v>
      </c>
      <c r="AH64" t="str">
        <f>AF64/W64</f>
        <v>#REF!</v>
      </c>
    </row>
    <row r="65">
      <c r="G65" t="str">
        <v>A</v>
      </c>
      <c r="J65" t="str">
        <f>IF(K65&gt;0,K65*0.0625,IF(L65&gt;0,L65*2.204623,))</f>
        <v>#REF!</v>
      </c>
      <c r="K65" t="str">
        <f>IF(L65&gt;0,L65*35.273962,IF(J65&gt;0,J65*16,))</f>
        <v>#REF!</v>
      </c>
      <c r="L65" t="str">
        <f>IF(J65&gt;0,J65*0.453592,IF(K65&gt;0,K65*0.02835,))</f>
        <v>#REF!</v>
      </c>
      <c r="O65">
        <f>I65+N65+M65</f>
        <v>0</v>
      </c>
      <c r="P65">
        <f>O65*B$3</f>
        <v>0</v>
      </c>
      <c r="Q65">
        <f>ROUND(SUM(P65), -2)</f>
        <v>0</v>
      </c>
      <c r="R65" t="str">
        <f>ROUNDUP(HLOOKUP(IF(CEILING(L65,0.5)&lt;1,0.5,CEILING(L65,0.5)),'배송비 조회'!A$44:AO$56,7,0)*B$3,-2)</f>
        <v>#REF!</v>
      </c>
      <c r="S65">
        <v>0</v>
      </c>
      <c r="T65" t="str">
        <f>ROUND((Q65+R65)*0.3,-2)</f>
        <v>#REF!</v>
      </c>
      <c r="U65" t="str">
        <f>ROUND((Q65+R65)*0.4,-2)</f>
        <v>#REF!</v>
      </c>
      <c r="V65" t="str">
        <f>SUM(Q65:R65)+T65</f>
        <v>#REF!</v>
      </c>
      <c r="W65" t="str">
        <f>SUM(Q65:S65)+U65</f>
        <v>#REF!</v>
      </c>
      <c r="X65">
        <v>0</v>
      </c>
      <c r="Y65" t="str">
        <f>V65*0.038</f>
        <v>#REF!</v>
      </c>
      <c r="Z65" t="str">
        <f>V65*0.02</f>
        <v>#REF!</v>
      </c>
      <c r="AA65" t="str">
        <f>W65*0.1</f>
        <v>#REF!</v>
      </c>
      <c r="AB65" t="str">
        <f>V65-Y65-Z65</f>
        <v>#REF!</v>
      </c>
      <c r="AC65" t="str">
        <f>W65-AA65</f>
        <v>#REF!</v>
      </c>
      <c r="AD65" t="str">
        <f>AB65*0.01</f>
        <v>#REF!</v>
      </c>
      <c r="AE65" t="str">
        <f>AB65-Q65-AD65-R65</f>
        <v>#REF!</v>
      </c>
      <c r="AF65" t="str">
        <f>AC65-Q65-AD65-R65</f>
        <v>#REF!</v>
      </c>
      <c r="AG65" t="str">
        <f>AE65/V65</f>
        <v>#REF!</v>
      </c>
      <c r="AH65" t="str">
        <f>AF65/W65</f>
        <v>#REF!</v>
      </c>
    </row>
    <row r="66">
      <c r="G66" t="str">
        <v>A</v>
      </c>
      <c r="J66" t="str">
        <f>IF(K66&gt;0,K66*0.0625,IF(L66&gt;0,L66*2.204623,))</f>
        <v>#REF!</v>
      </c>
      <c r="K66" t="str">
        <f>IF(L66&gt;0,L66*35.273962,IF(J66&gt;0,J66*16,))</f>
        <v>#REF!</v>
      </c>
      <c r="L66" t="str">
        <f>IF(J66&gt;0,J66*0.453592,IF(K66&gt;0,K66*0.02835,))</f>
        <v>#REF!</v>
      </c>
      <c r="O66">
        <f>I66+N66+M66</f>
        <v>0</v>
      </c>
      <c r="P66">
        <f>O66*B$3</f>
        <v>0</v>
      </c>
      <c r="Q66">
        <f>ROUND(SUM(P66), -2)</f>
        <v>0</v>
      </c>
      <c r="R66" t="str">
        <f>ROUNDUP(HLOOKUP(IF(CEILING(L66,0.5)&lt;1,0.5,CEILING(L66,0.5)),'배송비 조회'!A$44:AO$56,7,0)*B$3,-2)</f>
        <v>#REF!</v>
      </c>
      <c r="S66">
        <v>0</v>
      </c>
      <c r="T66" t="str">
        <f>ROUND((Q66+R66)*0.3,-2)</f>
        <v>#REF!</v>
      </c>
      <c r="U66" t="str">
        <f>ROUND((Q66+R66)*0.4,-2)</f>
        <v>#REF!</v>
      </c>
      <c r="V66" t="str">
        <f>SUM(Q66:R66)+T66</f>
        <v>#REF!</v>
      </c>
      <c r="W66" t="str">
        <f>SUM(Q66:S66)+U66</f>
        <v>#REF!</v>
      </c>
      <c r="X66">
        <v>0</v>
      </c>
      <c r="Y66" t="str">
        <f>V66*0.038</f>
        <v>#REF!</v>
      </c>
      <c r="Z66" t="str">
        <f>V66*0.02</f>
        <v>#REF!</v>
      </c>
      <c r="AA66" t="str">
        <f>W66*0.1</f>
        <v>#REF!</v>
      </c>
      <c r="AB66" t="str">
        <f>V66-Y66-Z66</f>
        <v>#REF!</v>
      </c>
      <c r="AC66" t="str">
        <f>W66-AA66</f>
        <v>#REF!</v>
      </c>
      <c r="AD66" t="str">
        <f>AB66*0.01</f>
        <v>#REF!</v>
      </c>
      <c r="AE66" t="str">
        <f>AB66-Q66-AD66-R66</f>
        <v>#REF!</v>
      </c>
      <c r="AF66" t="str">
        <f>AC66-Q66-AD66-R66</f>
        <v>#REF!</v>
      </c>
      <c r="AG66" t="str">
        <f>AE66/V66</f>
        <v>#REF!</v>
      </c>
      <c r="AH66" t="str">
        <f>AF66/W66</f>
        <v>#REF!</v>
      </c>
    </row>
    <row r="67">
      <c r="G67" t="str">
        <v>A</v>
      </c>
      <c r="J67" t="str">
        <f>IF(K67&gt;0,K67*0.0625,IF(L67&gt;0,L67*2.204623,))</f>
        <v>#REF!</v>
      </c>
      <c r="K67" t="str">
        <f>IF(L67&gt;0,L67*35.273962,IF(J67&gt;0,J67*16,))</f>
        <v>#REF!</v>
      </c>
      <c r="L67" t="str">
        <f>IF(J67&gt;0,J67*0.453592,IF(K67&gt;0,K67*0.02835,))</f>
        <v>#REF!</v>
      </c>
      <c r="O67">
        <f>I67+N67+M67</f>
        <v>0</v>
      </c>
      <c r="P67">
        <f>O67*B$3</f>
        <v>0</v>
      </c>
      <c r="Q67">
        <f>ROUND(SUM(P67), -2)</f>
        <v>0</v>
      </c>
      <c r="R67" t="str">
        <f>ROUNDUP(HLOOKUP(IF(CEILING(L67,0.5)&lt;1,0.5,CEILING(L67,0.5)),'배송비 조회'!A$44:AO$56,7,0)*B$3,-2)</f>
        <v>#REF!</v>
      </c>
      <c r="S67">
        <v>0</v>
      </c>
      <c r="T67" t="str">
        <f>ROUND((Q67+R67)*0.3,-2)</f>
        <v>#REF!</v>
      </c>
      <c r="U67" t="str">
        <f>ROUND((Q67+R67)*0.4,-2)</f>
        <v>#REF!</v>
      </c>
      <c r="V67" t="str">
        <f>SUM(Q67:R67)+T67</f>
        <v>#REF!</v>
      </c>
      <c r="W67" t="str">
        <f>SUM(Q67:S67)+U67</f>
        <v>#REF!</v>
      </c>
      <c r="X67">
        <v>0</v>
      </c>
      <c r="Y67" t="str">
        <f>V67*0.038</f>
        <v>#REF!</v>
      </c>
      <c r="Z67" t="str">
        <f>V67*0.02</f>
        <v>#REF!</v>
      </c>
      <c r="AA67" t="str">
        <f>W67*0.1</f>
        <v>#REF!</v>
      </c>
      <c r="AB67" t="str">
        <f>V67-Y67-Z67</f>
        <v>#REF!</v>
      </c>
      <c r="AC67" t="str">
        <f>W67-AA67</f>
        <v>#REF!</v>
      </c>
      <c r="AD67" t="str">
        <f>AB67*0.01</f>
        <v>#REF!</v>
      </c>
      <c r="AE67" t="str">
        <f>AB67-Q67-AD67-R67</f>
        <v>#REF!</v>
      </c>
      <c r="AF67" t="str">
        <f>AC67-Q67-AD67-R67</f>
        <v>#REF!</v>
      </c>
      <c r="AG67" t="str">
        <f>AE67/V67</f>
        <v>#REF!</v>
      </c>
      <c r="AH67" t="str">
        <f>AF67/W67</f>
        <v>#REF!</v>
      </c>
    </row>
    <row r="68">
      <c r="G68" t="str">
        <v>A</v>
      </c>
      <c r="J68" t="str">
        <f>IF(K68&gt;0,K68*0.0625,IF(L68&gt;0,L68*2.204623,))</f>
        <v>#REF!</v>
      </c>
      <c r="K68" t="str">
        <f>IF(L68&gt;0,L68*35.273962,IF(J68&gt;0,J68*16,))</f>
        <v>#REF!</v>
      </c>
      <c r="L68" t="str">
        <f>IF(J68&gt;0,J68*0.453592,IF(K68&gt;0,K68*0.02835,))</f>
        <v>#REF!</v>
      </c>
      <c r="O68">
        <f>I68+N68+M68</f>
        <v>0</v>
      </c>
      <c r="P68">
        <f>O68*B$3</f>
        <v>0</v>
      </c>
      <c r="Q68">
        <f>ROUND(SUM(P68), -2)</f>
        <v>0</v>
      </c>
      <c r="R68" t="str">
        <f>ROUNDUP(HLOOKUP(IF(CEILING(L68,0.5)&lt;1,0.5,CEILING(L68,0.5)),'배송비 조회'!A$44:AO$56,7,0)*B$3,-2)</f>
        <v>#REF!</v>
      </c>
      <c r="S68">
        <v>0</v>
      </c>
      <c r="T68" t="str">
        <f>ROUND((Q68+R68)*0.3,-2)</f>
        <v>#REF!</v>
      </c>
      <c r="U68" t="str">
        <f>ROUND((Q68+R68)*0.4,-2)</f>
        <v>#REF!</v>
      </c>
      <c r="V68" t="str">
        <f>SUM(Q68:R68)+T68</f>
        <v>#REF!</v>
      </c>
      <c r="W68" t="str">
        <f>SUM(Q68:S68)+U68</f>
        <v>#REF!</v>
      </c>
      <c r="X68">
        <v>0</v>
      </c>
      <c r="Y68" t="str">
        <f>V68*0.038</f>
        <v>#REF!</v>
      </c>
      <c r="Z68" t="str">
        <f>V68*0.02</f>
        <v>#REF!</v>
      </c>
      <c r="AA68" t="str">
        <f>W68*0.1</f>
        <v>#REF!</v>
      </c>
      <c r="AB68" t="str">
        <f>V68-Y68-Z68</f>
        <v>#REF!</v>
      </c>
      <c r="AC68" t="str">
        <f>W68-AA68</f>
        <v>#REF!</v>
      </c>
      <c r="AD68" t="str">
        <f>AB68*0.01</f>
        <v>#REF!</v>
      </c>
      <c r="AE68" t="str">
        <f>AB68-Q68-AD68-R68</f>
        <v>#REF!</v>
      </c>
      <c r="AF68" t="str">
        <f>AC68-Q68-AD68-R68</f>
        <v>#REF!</v>
      </c>
      <c r="AG68" t="str">
        <f>AE68/V68</f>
        <v>#REF!</v>
      </c>
      <c r="AH68" t="str">
        <f>AF68/W68</f>
        <v>#REF!</v>
      </c>
    </row>
    <row r="69">
      <c r="G69" t="str">
        <v>A</v>
      </c>
      <c r="J69" t="str">
        <f>IF(K69&gt;0,K69*0.0625,IF(L69&gt;0,L69*2.204623,))</f>
        <v>#REF!</v>
      </c>
      <c r="K69" t="str">
        <f>IF(L69&gt;0,L69*35.273962,IF(J69&gt;0,J69*16,))</f>
        <v>#REF!</v>
      </c>
      <c r="L69" t="str">
        <f>IF(J69&gt;0,J69*0.453592,IF(K69&gt;0,K69*0.02835,))</f>
        <v>#REF!</v>
      </c>
      <c r="O69">
        <f>I69+N69+M69</f>
        <v>0</v>
      </c>
      <c r="P69">
        <f>O69*B$3</f>
        <v>0</v>
      </c>
      <c r="Q69">
        <f>ROUND(SUM(P69), -2)</f>
        <v>0</v>
      </c>
      <c r="R69" t="str">
        <f>ROUNDUP(HLOOKUP(IF(CEILING(L69,0.5)&lt;1,0.5,CEILING(L69,0.5)),'배송비 조회'!A$44:AO$56,7,0)*B$3,-2)</f>
        <v>#REF!</v>
      </c>
      <c r="S69">
        <v>0</v>
      </c>
      <c r="T69" t="str">
        <f>ROUND((Q69+R69)*0.3,-2)</f>
        <v>#REF!</v>
      </c>
      <c r="U69" t="str">
        <f>ROUND((Q69+R69)*0.4,-2)</f>
        <v>#REF!</v>
      </c>
      <c r="V69" t="str">
        <f>SUM(Q69:R69)+T69</f>
        <v>#REF!</v>
      </c>
      <c r="W69" t="str">
        <f>SUM(Q69:S69)+U69</f>
        <v>#REF!</v>
      </c>
      <c r="X69">
        <v>0</v>
      </c>
      <c r="Y69" t="str">
        <f>V69*0.038</f>
        <v>#REF!</v>
      </c>
      <c r="Z69" t="str">
        <f>V69*0.02</f>
        <v>#REF!</v>
      </c>
      <c r="AA69" t="str">
        <f>W69*0.1</f>
        <v>#REF!</v>
      </c>
      <c r="AB69" t="str">
        <f>V69-Y69-Z69</f>
        <v>#REF!</v>
      </c>
      <c r="AC69" t="str">
        <f>W69-AA69</f>
        <v>#REF!</v>
      </c>
      <c r="AD69" t="str">
        <f>AB69*0.01</f>
        <v>#REF!</v>
      </c>
      <c r="AE69" t="str">
        <f>AB69-Q69-AD69-R69</f>
        <v>#REF!</v>
      </c>
      <c r="AF69" t="str">
        <f>AC69-Q69-AD69-R69</f>
        <v>#REF!</v>
      </c>
      <c r="AG69" t="str">
        <f>AE69/V69</f>
        <v>#REF!</v>
      </c>
      <c r="AH69" t="str">
        <f>AF69/W69</f>
        <v>#REF!</v>
      </c>
    </row>
    <row r="70">
      <c r="G70" t="str">
        <v>A</v>
      </c>
      <c r="J70" t="str">
        <f>IF(K70&gt;0,K70*0.0625,IF(L70&gt;0,L70*2.204623,))</f>
        <v>#REF!</v>
      </c>
      <c r="K70" t="str">
        <f>IF(L70&gt;0,L70*35.273962,IF(J70&gt;0,J70*16,))</f>
        <v>#REF!</v>
      </c>
      <c r="L70" t="str">
        <f>IF(J70&gt;0,J70*0.453592,IF(K70&gt;0,K70*0.02835,))</f>
        <v>#REF!</v>
      </c>
      <c r="O70">
        <f>I70+N70+M70</f>
        <v>0</v>
      </c>
      <c r="P70">
        <f>O70*B$3</f>
        <v>0</v>
      </c>
      <c r="Q70">
        <f>ROUND(SUM(P70), -2)</f>
        <v>0</v>
      </c>
      <c r="R70" t="str">
        <f>ROUNDUP(HLOOKUP(IF(CEILING(L70,0.5)&lt;1,0.5,CEILING(L70,0.5)),'배송비 조회'!A$44:AO$56,7,0)*B$3,-2)</f>
        <v>#REF!</v>
      </c>
      <c r="S70">
        <v>0</v>
      </c>
      <c r="T70" t="str">
        <f>ROUND((Q70+R70)*0.3,-2)</f>
        <v>#REF!</v>
      </c>
      <c r="U70" t="str">
        <f>ROUND((Q70+R70)*0.4,-2)</f>
        <v>#REF!</v>
      </c>
      <c r="V70" t="str">
        <f>SUM(Q70:R70)+T70</f>
        <v>#REF!</v>
      </c>
      <c r="W70" t="str">
        <f>SUM(Q70:S70)+U70</f>
        <v>#REF!</v>
      </c>
      <c r="X70">
        <v>0</v>
      </c>
      <c r="Y70" t="str">
        <f>V70*0.038</f>
        <v>#REF!</v>
      </c>
      <c r="Z70" t="str">
        <f>V70*0.02</f>
        <v>#REF!</v>
      </c>
      <c r="AA70" t="str">
        <f>W70*0.1</f>
        <v>#REF!</v>
      </c>
      <c r="AB70" t="str">
        <f>V70-Y70-Z70</f>
        <v>#REF!</v>
      </c>
      <c r="AC70" t="str">
        <f>W70-AA70</f>
        <v>#REF!</v>
      </c>
      <c r="AD70" t="str">
        <f>AB70*0.01</f>
        <v>#REF!</v>
      </c>
      <c r="AE70" t="str">
        <f>AB70-Q70-AD70-R70</f>
        <v>#REF!</v>
      </c>
      <c r="AF70" t="str">
        <f>AC70-Q70-AD70-R70</f>
        <v>#REF!</v>
      </c>
      <c r="AG70" t="str">
        <f>AE70/V70</f>
        <v>#REF!</v>
      </c>
      <c r="AH70" t="str">
        <f>AF70/W70</f>
        <v>#REF!</v>
      </c>
    </row>
    <row r="71">
      <c r="G71" t="str">
        <v>A</v>
      </c>
      <c r="J71" t="str">
        <f>IF(K71&gt;0,K71*0.0625,IF(L71&gt;0,L71*2.204623,))</f>
        <v>#REF!</v>
      </c>
      <c r="K71" t="str">
        <f>IF(L71&gt;0,L71*35.273962,IF(J71&gt;0,J71*16,))</f>
        <v>#REF!</v>
      </c>
      <c r="L71" t="str">
        <f>IF(J71&gt;0,J71*0.453592,IF(K71&gt;0,K71*0.02835,))</f>
        <v>#REF!</v>
      </c>
      <c r="O71">
        <f>I71+N71+M71</f>
        <v>0</v>
      </c>
      <c r="P71">
        <f>O71*B$3</f>
        <v>0</v>
      </c>
      <c r="Q71">
        <f>ROUND(SUM(P71), -2)</f>
        <v>0</v>
      </c>
      <c r="R71" t="str">
        <f>ROUNDUP(HLOOKUP(IF(CEILING(L71,0.5)&lt;1,0.5,CEILING(L71,0.5)),'배송비 조회'!A$44:AO$56,7,0)*B$3,-2)</f>
        <v>#REF!</v>
      </c>
      <c r="S71">
        <v>0</v>
      </c>
      <c r="T71" t="str">
        <f>ROUND((Q71+R71)*0.3,-2)</f>
        <v>#REF!</v>
      </c>
      <c r="U71" t="str">
        <f>ROUND((Q71+R71)*0.4,-2)</f>
        <v>#REF!</v>
      </c>
      <c r="V71" t="str">
        <f>SUM(Q71:R71)+T71</f>
        <v>#REF!</v>
      </c>
      <c r="W71" t="str">
        <f>SUM(Q71:S71)+U71</f>
        <v>#REF!</v>
      </c>
      <c r="X71">
        <v>0</v>
      </c>
      <c r="Y71" t="str">
        <f>V71*0.038</f>
        <v>#REF!</v>
      </c>
      <c r="Z71" t="str">
        <f>V71*0.02</f>
        <v>#REF!</v>
      </c>
      <c r="AA71" t="str">
        <f>W71*0.1</f>
        <v>#REF!</v>
      </c>
      <c r="AB71" t="str">
        <f>V71-Y71-Z71</f>
        <v>#REF!</v>
      </c>
      <c r="AC71" t="str">
        <f>W71-AA71</f>
        <v>#REF!</v>
      </c>
      <c r="AD71" t="str">
        <f>AB71*0.01</f>
        <v>#REF!</v>
      </c>
      <c r="AE71" t="str">
        <f>AB71-Q71-AD71-R71</f>
        <v>#REF!</v>
      </c>
      <c r="AF71" t="str">
        <f>AC71-Q71-AD71-R71</f>
        <v>#REF!</v>
      </c>
      <c r="AG71" t="str">
        <f>AE71/V71</f>
        <v>#REF!</v>
      </c>
      <c r="AH71" t="str">
        <f>AF71/W71</f>
        <v>#REF!</v>
      </c>
    </row>
    <row r="72">
      <c r="G72" t="str">
        <v>A</v>
      </c>
      <c r="J72" t="str">
        <f>IF(K72&gt;0,K72*0.0625,IF(L72&gt;0,L72*2.204623,))</f>
        <v>#REF!</v>
      </c>
      <c r="K72" t="str">
        <f>IF(L72&gt;0,L72*35.273962,IF(J72&gt;0,J72*16,))</f>
        <v>#REF!</v>
      </c>
      <c r="L72" t="str">
        <f>IF(J72&gt;0,J72*0.453592,IF(K72&gt;0,K72*0.02835,))</f>
        <v>#REF!</v>
      </c>
      <c r="O72">
        <f>I72+N72+M72</f>
        <v>0</v>
      </c>
      <c r="P72">
        <f>O72*B$3</f>
        <v>0</v>
      </c>
      <c r="Q72">
        <f>ROUND(SUM(P72), -2)</f>
        <v>0</v>
      </c>
      <c r="R72" t="str">
        <f>ROUNDUP(HLOOKUP(IF(CEILING(L72,0.5)&lt;1,0.5,CEILING(L72,0.5)),'배송비 조회'!A$44:AO$56,7,0)*B$3,-2)</f>
        <v>#REF!</v>
      </c>
      <c r="S72">
        <v>0</v>
      </c>
      <c r="T72" t="str">
        <f>ROUND((Q72+R72)*0.3,-2)</f>
        <v>#REF!</v>
      </c>
      <c r="U72" t="str">
        <f>ROUND((Q72+R72)*0.4,-2)</f>
        <v>#REF!</v>
      </c>
      <c r="V72" t="str">
        <f>SUM(Q72:R72)+T72</f>
        <v>#REF!</v>
      </c>
      <c r="W72" t="str">
        <f>SUM(Q72:S72)+U72</f>
        <v>#REF!</v>
      </c>
      <c r="X72">
        <v>0</v>
      </c>
      <c r="Y72" t="str">
        <f>V72*0.038</f>
        <v>#REF!</v>
      </c>
      <c r="Z72" t="str">
        <f>V72*0.02</f>
        <v>#REF!</v>
      </c>
      <c r="AA72" t="str">
        <f>W72*0.1</f>
        <v>#REF!</v>
      </c>
      <c r="AB72" t="str">
        <f>V72-Y72-Z72</f>
        <v>#REF!</v>
      </c>
      <c r="AC72" t="str">
        <f>W72-AA72</f>
        <v>#REF!</v>
      </c>
      <c r="AD72" t="str">
        <f>AB72*0.01</f>
        <v>#REF!</v>
      </c>
      <c r="AE72" t="str">
        <f>AB72-Q72-AD72-R72</f>
        <v>#REF!</v>
      </c>
      <c r="AF72" t="str">
        <f>AC72-Q72-AD72-R72</f>
        <v>#REF!</v>
      </c>
      <c r="AG72" t="str">
        <f>AE72/V72</f>
        <v>#REF!</v>
      </c>
      <c r="AH72" t="str">
        <f>AF72/W72</f>
        <v>#REF!</v>
      </c>
    </row>
    <row r="73">
      <c r="G73" t="str">
        <v>A</v>
      </c>
      <c r="J73" t="str">
        <f>IF(K73&gt;0,K73*0.0625,IF(L73&gt;0,L73*2.204623,))</f>
        <v>#REF!</v>
      </c>
      <c r="K73" t="str">
        <f>IF(L73&gt;0,L73*35.273962,IF(J73&gt;0,J73*16,))</f>
        <v>#REF!</v>
      </c>
      <c r="L73" t="str">
        <f>IF(J73&gt;0,J73*0.453592,IF(K73&gt;0,K73*0.02835,))</f>
        <v>#REF!</v>
      </c>
      <c r="O73">
        <f>I73+N73+M73</f>
        <v>0</v>
      </c>
      <c r="P73">
        <f>O73*B$3</f>
        <v>0</v>
      </c>
      <c r="Q73">
        <f>ROUND(SUM(P73), -2)</f>
        <v>0</v>
      </c>
      <c r="R73" t="str">
        <f>ROUNDUP(HLOOKUP(IF(CEILING(L73,0.5)&lt;1,0.5,CEILING(L73,0.5)),'배송비 조회'!A$44:AO$56,7,0)*B$3,-2)</f>
        <v>#REF!</v>
      </c>
      <c r="S73">
        <v>0</v>
      </c>
      <c r="T73" t="str">
        <f>ROUND((Q73+R73)*0.3,-2)</f>
        <v>#REF!</v>
      </c>
      <c r="U73" t="str">
        <f>ROUND((Q73+R73)*0.4,-2)</f>
        <v>#REF!</v>
      </c>
      <c r="V73" t="str">
        <f>SUM(Q73:R73)+T73</f>
        <v>#REF!</v>
      </c>
      <c r="W73" t="str">
        <f>SUM(Q73:S73)+U73</f>
        <v>#REF!</v>
      </c>
      <c r="X73">
        <v>0</v>
      </c>
      <c r="Y73" t="str">
        <f>V73*0.038</f>
        <v>#REF!</v>
      </c>
      <c r="Z73" t="str">
        <f>V73*0.02</f>
        <v>#REF!</v>
      </c>
      <c r="AA73" t="str">
        <f>W73*0.1</f>
        <v>#REF!</v>
      </c>
      <c r="AB73" t="str">
        <f>V73-Y73-Z73</f>
        <v>#REF!</v>
      </c>
      <c r="AC73" t="str">
        <f>W73-AA73</f>
        <v>#REF!</v>
      </c>
      <c r="AD73" t="str">
        <f>AB73*0.01</f>
        <v>#REF!</v>
      </c>
      <c r="AE73" t="str">
        <f>AB73-Q73-AD73-R73</f>
        <v>#REF!</v>
      </c>
      <c r="AF73" t="str">
        <f>AC73-Q73-AD73-R73</f>
        <v>#REF!</v>
      </c>
      <c r="AG73" t="str">
        <f>AE73/V73</f>
        <v>#REF!</v>
      </c>
      <c r="AH73" t="str">
        <f>AF73/W73</f>
        <v>#REF!</v>
      </c>
    </row>
    <row r="74">
      <c r="G74" t="str">
        <v>A</v>
      </c>
      <c r="J74" t="str">
        <f>IF(K74&gt;0,K74*0.0625,IF(L74&gt;0,L74*2.204623,))</f>
        <v>#REF!</v>
      </c>
      <c r="K74" t="str">
        <f>IF(L74&gt;0,L74*35.273962,IF(J74&gt;0,J74*16,))</f>
        <v>#REF!</v>
      </c>
      <c r="L74" t="str">
        <f>IF(J74&gt;0,J74*0.453592,IF(K74&gt;0,K74*0.02835,))</f>
        <v>#REF!</v>
      </c>
      <c r="O74">
        <f>I74+N74+M74</f>
        <v>0</v>
      </c>
      <c r="P74">
        <f>O74*B$3</f>
        <v>0</v>
      </c>
      <c r="Q74">
        <f>ROUND(SUM(P74), -2)</f>
        <v>0</v>
      </c>
      <c r="R74" t="str">
        <f>ROUNDUP(HLOOKUP(IF(CEILING(L74,0.5)&lt;1,0.5,CEILING(L74,0.5)),'배송비 조회'!A$44:AO$56,7,0)*B$3,-2)</f>
        <v>#REF!</v>
      </c>
      <c r="S74">
        <v>0</v>
      </c>
      <c r="T74" t="str">
        <f>ROUND((Q74+R74)*0.3,-2)</f>
        <v>#REF!</v>
      </c>
      <c r="U74" t="str">
        <f>ROUND((Q74+R74)*0.4,-2)</f>
        <v>#REF!</v>
      </c>
      <c r="V74" t="str">
        <f>SUM(Q74:R74)+T74</f>
        <v>#REF!</v>
      </c>
      <c r="W74" t="str">
        <f>SUM(Q74:S74)+U74</f>
        <v>#REF!</v>
      </c>
      <c r="X74">
        <v>0</v>
      </c>
      <c r="Y74" t="str">
        <f>V74*0.038</f>
        <v>#REF!</v>
      </c>
      <c r="Z74" t="str">
        <f>V74*0.02</f>
        <v>#REF!</v>
      </c>
      <c r="AA74" t="str">
        <f>W74*0.1</f>
        <v>#REF!</v>
      </c>
      <c r="AB74" t="str">
        <f>V74-Y74-Z74</f>
        <v>#REF!</v>
      </c>
      <c r="AC74" t="str">
        <f>W74-AA74</f>
        <v>#REF!</v>
      </c>
      <c r="AD74" t="str">
        <f>AB74*0.01</f>
        <v>#REF!</v>
      </c>
      <c r="AE74" t="str">
        <f>AB74-Q74-AD74-R74</f>
        <v>#REF!</v>
      </c>
      <c r="AF74" t="str">
        <f>AC74-Q74-AD74-R74</f>
        <v>#REF!</v>
      </c>
      <c r="AG74" t="str">
        <f>AE74/V74</f>
        <v>#REF!</v>
      </c>
      <c r="AH74" t="str">
        <f>AF74/W74</f>
        <v>#REF!</v>
      </c>
    </row>
    <row r="75">
      <c r="G75" t="str">
        <v>A</v>
      </c>
      <c r="J75" t="str">
        <f>IF(K75&gt;0,K75*0.0625,IF(L75&gt;0,L75*2.204623,))</f>
        <v>#REF!</v>
      </c>
      <c r="K75" t="str">
        <f>IF(L75&gt;0,L75*35.273962,IF(J75&gt;0,J75*16,))</f>
        <v>#REF!</v>
      </c>
      <c r="L75" t="str">
        <f>IF(J75&gt;0,J75*0.453592,IF(K75&gt;0,K75*0.02835,))</f>
        <v>#REF!</v>
      </c>
      <c r="O75">
        <f>I75+N75+M75</f>
        <v>0</v>
      </c>
      <c r="P75">
        <f>O75*B$3</f>
        <v>0</v>
      </c>
      <c r="Q75">
        <f>ROUND(SUM(P75), -2)</f>
        <v>0</v>
      </c>
      <c r="R75" t="str">
        <f>ROUNDUP(HLOOKUP(IF(CEILING(L75,0.5)&lt;1,0.5,CEILING(L75,0.5)),'배송비 조회'!A$44:AO$56,7,0)*B$3,-2)</f>
        <v>#REF!</v>
      </c>
      <c r="S75">
        <v>0</v>
      </c>
      <c r="T75" t="str">
        <f>ROUND((Q75+R75)*0.3,-2)</f>
        <v>#REF!</v>
      </c>
      <c r="U75" t="str">
        <f>ROUND((Q75+R75)*0.4,-2)</f>
        <v>#REF!</v>
      </c>
      <c r="V75" t="str">
        <f>SUM(Q75:R75)+T75</f>
        <v>#REF!</v>
      </c>
      <c r="W75" t="str">
        <f>SUM(Q75:S75)+U75</f>
        <v>#REF!</v>
      </c>
      <c r="X75">
        <v>0</v>
      </c>
      <c r="Y75" t="str">
        <f>V75*0.038</f>
        <v>#REF!</v>
      </c>
      <c r="Z75" t="str">
        <f>V75*0.02</f>
        <v>#REF!</v>
      </c>
      <c r="AA75" t="str">
        <f>W75*0.1</f>
        <v>#REF!</v>
      </c>
      <c r="AB75" t="str">
        <f>V75-Y75-Z75</f>
        <v>#REF!</v>
      </c>
      <c r="AC75" t="str">
        <f>W75-AA75</f>
        <v>#REF!</v>
      </c>
      <c r="AD75" t="str">
        <f>AB75*0.01</f>
        <v>#REF!</v>
      </c>
      <c r="AE75" t="str">
        <f>AB75-Q75-AD75-R75</f>
        <v>#REF!</v>
      </c>
      <c r="AF75" t="str">
        <f>AC75-Q75-AD75-R75</f>
        <v>#REF!</v>
      </c>
      <c r="AG75" t="str">
        <f>AE75/V75</f>
        <v>#REF!</v>
      </c>
      <c r="AH75" t="str">
        <f>AF75/W75</f>
        <v>#REF!</v>
      </c>
    </row>
    <row r="76">
      <c r="G76" t="str">
        <v>A</v>
      </c>
      <c r="J76" t="str">
        <f>IF(K76&gt;0,K76*0.0625,IF(L76&gt;0,L76*2.204623,))</f>
        <v>#REF!</v>
      </c>
      <c r="K76" t="str">
        <f>IF(L76&gt;0,L76*35.273962,IF(J76&gt;0,J76*16,))</f>
        <v>#REF!</v>
      </c>
      <c r="L76" t="str">
        <f>IF(J76&gt;0,J76*0.453592,IF(K76&gt;0,K76*0.02835,))</f>
        <v>#REF!</v>
      </c>
      <c r="O76">
        <f>I76+N76+M76</f>
        <v>0</v>
      </c>
      <c r="P76">
        <f>O76*B$3</f>
        <v>0</v>
      </c>
      <c r="Q76">
        <f>ROUND(SUM(P76), -2)</f>
        <v>0</v>
      </c>
      <c r="R76" t="str">
        <f>ROUNDUP(HLOOKUP(IF(CEILING(L76,0.5)&lt;1,0.5,CEILING(L76,0.5)),'배송비 조회'!A$44:AO$56,7,0)*B$3,-2)</f>
        <v>#REF!</v>
      </c>
      <c r="S76">
        <v>0</v>
      </c>
      <c r="T76" t="str">
        <f>ROUND((Q76+R76)*0.3,-2)</f>
        <v>#REF!</v>
      </c>
      <c r="U76" t="str">
        <f>ROUND((Q76+R76)*0.4,-2)</f>
        <v>#REF!</v>
      </c>
      <c r="V76" t="str">
        <f>SUM(Q76:R76)+T76</f>
        <v>#REF!</v>
      </c>
      <c r="W76" t="str">
        <f>SUM(Q76:S76)+U76</f>
        <v>#REF!</v>
      </c>
      <c r="X76">
        <v>0</v>
      </c>
      <c r="Y76" t="str">
        <f>V76*0.038</f>
        <v>#REF!</v>
      </c>
      <c r="Z76" t="str">
        <f>V76*0.02</f>
        <v>#REF!</v>
      </c>
      <c r="AA76" t="str">
        <f>W76*0.1</f>
        <v>#REF!</v>
      </c>
      <c r="AB76" t="str">
        <f>V76-Y76-Z76</f>
        <v>#REF!</v>
      </c>
      <c r="AC76" t="str">
        <f>W76-AA76</f>
        <v>#REF!</v>
      </c>
      <c r="AD76" t="str">
        <f>AB76*0.01</f>
        <v>#REF!</v>
      </c>
      <c r="AE76" t="str">
        <f>AB76-Q76-AD76-R76</f>
        <v>#REF!</v>
      </c>
      <c r="AF76" t="str">
        <f>AC76-Q76-AD76-R76</f>
        <v>#REF!</v>
      </c>
      <c r="AG76" t="str">
        <f>AE76/V76</f>
        <v>#REF!</v>
      </c>
      <c r="AH76" t="str">
        <f>AF76/W76</f>
        <v>#REF!</v>
      </c>
    </row>
    <row r="77">
      <c r="G77" t="str">
        <v>A</v>
      </c>
      <c r="J77" t="str">
        <f>IF(K77&gt;0,K77*0.0625,IF(L77&gt;0,L77*2.204623,))</f>
        <v>#REF!</v>
      </c>
      <c r="K77" t="str">
        <f>IF(L77&gt;0,L77*35.273962,IF(J77&gt;0,J77*16,))</f>
        <v>#REF!</v>
      </c>
      <c r="L77" t="str">
        <f>IF(J77&gt;0,J77*0.453592,IF(K77&gt;0,K77*0.02835,))</f>
        <v>#REF!</v>
      </c>
      <c r="O77">
        <f>I77+N77+M77</f>
        <v>0</v>
      </c>
      <c r="P77">
        <f>O77*B$3</f>
        <v>0</v>
      </c>
      <c r="Q77">
        <f>ROUND(SUM(P77), -2)</f>
        <v>0</v>
      </c>
      <c r="R77" t="str">
        <f>ROUNDUP(HLOOKUP(IF(CEILING(L77,0.5)&lt;1,0.5,CEILING(L77,0.5)),'배송비 조회'!A$44:AO$56,7,0)*B$3,-2)</f>
        <v>#REF!</v>
      </c>
      <c r="S77">
        <v>0</v>
      </c>
      <c r="T77" t="str">
        <f>ROUND((Q77+R77)*0.3,-2)</f>
        <v>#REF!</v>
      </c>
      <c r="U77" t="str">
        <f>ROUND((Q77+R77)*0.4,-2)</f>
        <v>#REF!</v>
      </c>
      <c r="V77" t="str">
        <f>SUM(Q77:R77)+T77</f>
        <v>#REF!</v>
      </c>
      <c r="W77" t="str">
        <f>SUM(Q77:S77)+U77</f>
        <v>#REF!</v>
      </c>
      <c r="X77">
        <v>0</v>
      </c>
      <c r="Y77" t="str">
        <f>V77*0.038</f>
        <v>#REF!</v>
      </c>
      <c r="Z77" t="str">
        <f>V77*0.02</f>
        <v>#REF!</v>
      </c>
      <c r="AA77" t="str">
        <f>W77*0.1</f>
        <v>#REF!</v>
      </c>
      <c r="AB77" t="str">
        <f>V77-Y77-Z77</f>
        <v>#REF!</v>
      </c>
      <c r="AC77" t="str">
        <f>W77-AA77</f>
        <v>#REF!</v>
      </c>
      <c r="AD77" t="str">
        <f>AB77*0.01</f>
        <v>#REF!</v>
      </c>
      <c r="AE77" t="str">
        <f>AB77-Q77-AD77-R77</f>
        <v>#REF!</v>
      </c>
      <c r="AF77" t="str">
        <f>AC77-Q77-AD77-R77</f>
        <v>#REF!</v>
      </c>
      <c r="AG77" t="str">
        <f>AE77/V77</f>
        <v>#REF!</v>
      </c>
      <c r="AH77" t="str">
        <f>AF77/W77</f>
        <v>#REF!</v>
      </c>
    </row>
    <row r="78">
      <c r="G78" t="str">
        <v>A</v>
      </c>
      <c r="J78" t="str">
        <f>IF(K78&gt;0,K78*0.0625,IF(L78&gt;0,L78*2.204623,))</f>
        <v>#REF!</v>
      </c>
      <c r="K78" t="str">
        <f>IF(L78&gt;0,L78*35.273962,IF(J78&gt;0,J78*16,))</f>
        <v>#REF!</v>
      </c>
      <c r="L78" t="str">
        <f>IF(J78&gt;0,J78*0.453592,IF(K78&gt;0,K78*0.02835,))</f>
        <v>#REF!</v>
      </c>
      <c r="O78">
        <f>I78+N78+M78</f>
        <v>0</v>
      </c>
      <c r="P78">
        <f>O78*B$3</f>
        <v>0</v>
      </c>
      <c r="Q78">
        <f>ROUND(SUM(P78), -2)</f>
        <v>0</v>
      </c>
      <c r="R78" t="str">
        <f>ROUNDUP(HLOOKUP(IF(CEILING(L78,0.5)&lt;1,0.5,CEILING(L78,0.5)),'배송비 조회'!A$44:AO$56,7,0)*B$3,-2)</f>
        <v>#REF!</v>
      </c>
      <c r="S78">
        <v>0</v>
      </c>
      <c r="T78" t="str">
        <f>ROUND((Q78+R78)*0.3,-2)</f>
        <v>#REF!</v>
      </c>
      <c r="U78" t="str">
        <f>ROUND((Q78+R78)*0.4,-2)</f>
        <v>#REF!</v>
      </c>
      <c r="V78" t="str">
        <f>SUM(Q78:R78)+T78</f>
        <v>#REF!</v>
      </c>
      <c r="W78" t="str">
        <f>SUM(Q78:S78)+U78</f>
        <v>#REF!</v>
      </c>
      <c r="X78">
        <v>0</v>
      </c>
      <c r="Y78" t="str">
        <f>V78*0.038</f>
        <v>#REF!</v>
      </c>
      <c r="Z78" t="str">
        <f>V78*0.02</f>
        <v>#REF!</v>
      </c>
      <c r="AA78" t="str">
        <f>W78*0.1</f>
        <v>#REF!</v>
      </c>
      <c r="AB78" t="str">
        <f>V78-Y78-Z78</f>
        <v>#REF!</v>
      </c>
      <c r="AC78" t="str">
        <f>W78-AA78</f>
        <v>#REF!</v>
      </c>
      <c r="AD78" t="str">
        <f>AB78*0.01</f>
        <v>#REF!</v>
      </c>
      <c r="AE78" t="str">
        <f>AB78-Q78-AD78-R78</f>
        <v>#REF!</v>
      </c>
      <c r="AF78" t="str">
        <f>AC78-Q78-AD78-R78</f>
        <v>#REF!</v>
      </c>
      <c r="AG78" t="str">
        <f>AE78/V78</f>
        <v>#REF!</v>
      </c>
      <c r="AH78" t="str">
        <f>AF78/W78</f>
        <v>#REF!</v>
      </c>
    </row>
    <row r="79">
      <c r="G79" t="str">
        <v>A</v>
      </c>
      <c r="J79" t="str">
        <f>IF(K79&gt;0,K79*0.0625,IF(L79&gt;0,L79*2.204623,))</f>
        <v>#REF!</v>
      </c>
      <c r="K79" t="str">
        <f>IF(L79&gt;0,L79*35.273962,IF(J79&gt;0,J79*16,))</f>
        <v>#REF!</v>
      </c>
      <c r="L79" t="str">
        <f>IF(J79&gt;0,J79*0.453592,IF(K79&gt;0,K79*0.02835,))</f>
        <v>#REF!</v>
      </c>
      <c r="O79">
        <f>I79+N79+M79</f>
        <v>0</v>
      </c>
      <c r="P79">
        <f>O79*B$3</f>
        <v>0</v>
      </c>
      <c r="Q79">
        <f>ROUND(SUM(P79), -2)</f>
        <v>0</v>
      </c>
      <c r="R79" t="str">
        <f>ROUNDUP(HLOOKUP(IF(CEILING(L79,0.5)&lt;1,0.5,CEILING(L79,0.5)),'배송비 조회'!A$44:AO$56,7,0)*B$3,-2)</f>
        <v>#REF!</v>
      </c>
      <c r="S79">
        <v>0</v>
      </c>
      <c r="T79" t="str">
        <f>ROUND((Q79+R79)*0.3,-2)</f>
        <v>#REF!</v>
      </c>
      <c r="U79" t="str">
        <f>ROUND((Q79+R79)*0.4,-2)</f>
        <v>#REF!</v>
      </c>
      <c r="V79" t="str">
        <f>SUM(Q79:R79)+T79</f>
        <v>#REF!</v>
      </c>
      <c r="W79" t="str">
        <f>SUM(Q79:S79)+U79</f>
        <v>#REF!</v>
      </c>
      <c r="X79">
        <v>0</v>
      </c>
      <c r="Y79" t="str">
        <f>V79*0.038</f>
        <v>#REF!</v>
      </c>
      <c r="Z79" t="str">
        <f>V79*0.02</f>
        <v>#REF!</v>
      </c>
      <c r="AA79" t="str">
        <f>W79*0.1</f>
        <v>#REF!</v>
      </c>
      <c r="AB79" t="str">
        <f>V79-Y79-Z79</f>
        <v>#REF!</v>
      </c>
      <c r="AC79" t="str">
        <f>W79-AA79</f>
        <v>#REF!</v>
      </c>
      <c r="AD79" t="str">
        <f>AB79*0.01</f>
        <v>#REF!</v>
      </c>
      <c r="AE79" t="str">
        <f>AB79-Q79-AD79-R79</f>
        <v>#REF!</v>
      </c>
      <c r="AF79" t="str">
        <f>AC79-Q79-AD79-R79</f>
        <v>#REF!</v>
      </c>
      <c r="AG79" t="str">
        <f>AE79/V79</f>
        <v>#REF!</v>
      </c>
      <c r="AH79" t="str">
        <f>AF79/W79</f>
        <v>#REF!</v>
      </c>
    </row>
    <row r="80">
      <c r="G80" t="str">
        <v>A</v>
      </c>
      <c r="J80" t="str">
        <f>IF(K80&gt;0,K80*0.0625,IF(L80&gt;0,L80*2.204623,))</f>
        <v>#REF!</v>
      </c>
      <c r="K80" t="str">
        <f>IF(L80&gt;0,L80*35.273962,IF(J80&gt;0,J80*16,))</f>
        <v>#REF!</v>
      </c>
      <c r="L80" t="str">
        <f>IF(J80&gt;0,J80*0.453592,IF(K80&gt;0,K80*0.02835,))</f>
        <v>#REF!</v>
      </c>
      <c r="O80">
        <f>I80+N80+M80</f>
        <v>0</v>
      </c>
      <c r="P80">
        <f>O80*B$3</f>
        <v>0</v>
      </c>
      <c r="Q80">
        <f>ROUND(SUM(P80), -2)</f>
        <v>0</v>
      </c>
      <c r="R80" t="str">
        <f>ROUNDUP(HLOOKUP(IF(CEILING(L80,0.5)&lt;1,0.5,CEILING(L80,0.5)),'배송비 조회'!A$44:AO$56,7,0)*B$3,-2)</f>
        <v>#REF!</v>
      </c>
      <c r="S80">
        <v>0</v>
      </c>
      <c r="T80" t="str">
        <f>ROUND((Q80+R80)*0.3,-2)</f>
        <v>#REF!</v>
      </c>
      <c r="U80" t="str">
        <f>ROUND((Q80+R80)*0.4,-2)</f>
        <v>#REF!</v>
      </c>
      <c r="V80" t="str">
        <f>SUM(Q80:R80)+T80</f>
        <v>#REF!</v>
      </c>
      <c r="W80" t="str">
        <f>SUM(Q80:S80)+U80</f>
        <v>#REF!</v>
      </c>
      <c r="X80">
        <v>0</v>
      </c>
      <c r="Y80" t="str">
        <f>V80*0.038</f>
        <v>#REF!</v>
      </c>
      <c r="Z80" t="str">
        <f>V80*0.02</f>
        <v>#REF!</v>
      </c>
      <c r="AA80" t="str">
        <f>W80*0.1</f>
        <v>#REF!</v>
      </c>
      <c r="AB80" t="str">
        <f>V80-Y80-Z80</f>
        <v>#REF!</v>
      </c>
      <c r="AC80" t="str">
        <f>W80-AA80</f>
        <v>#REF!</v>
      </c>
      <c r="AD80" t="str">
        <f>AB80*0.01</f>
        <v>#REF!</v>
      </c>
      <c r="AE80" t="str">
        <f>AB80-Q80-AD80-R80</f>
        <v>#REF!</v>
      </c>
      <c r="AF80" t="str">
        <f>AC80-Q80-AD80-R80</f>
        <v>#REF!</v>
      </c>
      <c r="AG80" t="str">
        <f>AE80/V80</f>
        <v>#REF!</v>
      </c>
      <c r="AH80" t="str">
        <f>AF80/W80</f>
        <v>#REF!</v>
      </c>
    </row>
    <row r="81">
      <c r="G81" t="str">
        <v>A</v>
      </c>
      <c r="J81" t="str">
        <f>IF(K81&gt;0,K81*0.0625,IF(L81&gt;0,L81*2.204623,))</f>
        <v>#REF!</v>
      </c>
      <c r="K81" t="str">
        <f>IF(L81&gt;0,L81*35.273962,IF(J81&gt;0,J81*16,))</f>
        <v>#REF!</v>
      </c>
      <c r="L81" t="str">
        <f>IF(J81&gt;0,J81*0.453592,IF(K81&gt;0,K81*0.02835,))</f>
        <v>#REF!</v>
      </c>
      <c r="O81">
        <f>I81+N81+M81</f>
        <v>0</v>
      </c>
      <c r="P81">
        <f>O81*B$3</f>
        <v>0</v>
      </c>
      <c r="Q81">
        <f>ROUND(SUM(P81), -2)</f>
        <v>0</v>
      </c>
      <c r="R81" t="str">
        <f>ROUNDUP(HLOOKUP(IF(CEILING(L81,0.5)&lt;1,0.5,CEILING(L81,0.5)),'배송비 조회'!A$44:AO$56,7,0)*B$3,-2)</f>
        <v>#REF!</v>
      </c>
      <c r="S81">
        <v>0</v>
      </c>
      <c r="T81" t="str">
        <f>ROUND((Q81+R81)*0.3,-2)</f>
        <v>#REF!</v>
      </c>
      <c r="U81" t="str">
        <f>ROUND((Q81+R81)*0.4,-2)</f>
        <v>#REF!</v>
      </c>
      <c r="V81" t="str">
        <f>SUM(Q81:R81)+T81</f>
        <v>#REF!</v>
      </c>
      <c r="W81" t="str">
        <f>SUM(Q81:S81)+U81</f>
        <v>#REF!</v>
      </c>
      <c r="X81">
        <v>0</v>
      </c>
      <c r="Y81" t="str">
        <f>V81*0.038</f>
        <v>#REF!</v>
      </c>
      <c r="Z81" t="str">
        <f>V81*0.02</f>
        <v>#REF!</v>
      </c>
      <c r="AA81" t="str">
        <f>W81*0.1</f>
        <v>#REF!</v>
      </c>
      <c r="AB81" t="str">
        <f>V81-Y81-Z81</f>
        <v>#REF!</v>
      </c>
      <c r="AC81" t="str">
        <f>W81-AA81</f>
        <v>#REF!</v>
      </c>
      <c r="AD81" t="str">
        <f>AB81*0.01</f>
        <v>#REF!</v>
      </c>
      <c r="AE81" t="str">
        <f>AB81-Q81-AD81-R81</f>
        <v>#REF!</v>
      </c>
      <c r="AF81" t="str">
        <f>AC81-Q81-AD81-R81</f>
        <v>#REF!</v>
      </c>
      <c r="AG81" t="str">
        <f>AE81/V81</f>
        <v>#REF!</v>
      </c>
      <c r="AH81" t="str">
        <f>AF81/W81</f>
        <v>#REF!</v>
      </c>
    </row>
    <row r="82">
      <c r="G82" t="str">
        <v>A</v>
      </c>
      <c r="J82" t="str">
        <f>IF(K82&gt;0,K82*0.0625,IF(L82&gt;0,L82*2.204623,))</f>
        <v>#REF!</v>
      </c>
      <c r="K82" t="str">
        <f>IF(L82&gt;0,L82*35.273962,IF(J82&gt;0,J82*16,))</f>
        <v>#REF!</v>
      </c>
      <c r="L82" t="str">
        <f>IF(J82&gt;0,J82*0.453592,IF(K82&gt;0,K82*0.02835,))</f>
        <v>#REF!</v>
      </c>
      <c r="O82">
        <f>I82+N82+M82</f>
        <v>0</v>
      </c>
      <c r="P82">
        <f>O82*B$3</f>
        <v>0</v>
      </c>
      <c r="Q82">
        <f>ROUND(SUM(P82), -2)</f>
        <v>0</v>
      </c>
      <c r="R82" t="str">
        <f>ROUNDUP(HLOOKUP(IF(CEILING(L82,0.5)&lt;1,0.5,CEILING(L82,0.5)),'배송비 조회'!A$44:AO$56,7,0)*B$3,-2)</f>
        <v>#REF!</v>
      </c>
      <c r="S82">
        <v>0</v>
      </c>
      <c r="T82" t="str">
        <f>ROUND((Q82+R82)*0.3,-2)</f>
        <v>#REF!</v>
      </c>
      <c r="U82" t="str">
        <f>ROUND((Q82+R82)*0.4,-2)</f>
        <v>#REF!</v>
      </c>
      <c r="V82" t="str">
        <f>SUM(Q82:R82)+T82</f>
        <v>#REF!</v>
      </c>
      <c r="W82" t="str">
        <f>SUM(Q82:S82)+U82</f>
        <v>#REF!</v>
      </c>
      <c r="X82">
        <v>0</v>
      </c>
      <c r="Y82" t="str">
        <f>V82*0.038</f>
        <v>#REF!</v>
      </c>
      <c r="Z82" t="str">
        <f>V82*0.02</f>
        <v>#REF!</v>
      </c>
      <c r="AA82" t="str">
        <f>W82*0.1</f>
        <v>#REF!</v>
      </c>
      <c r="AB82" t="str">
        <f>V82-Y82-Z82</f>
        <v>#REF!</v>
      </c>
      <c r="AC82" t="str">
        <f>W82-AA82</f>
        <v>#REF!</v>
      </c>
      <c r="AD82" t="str">
        <f>AB82*0.01</f>
        <v>#REF!</v>
      </c>
      <c r="AE82" t="str">
        <f>AB82-Q82-AD82-R82</f>
        <v>#REF!</v>
      </c>
      <c r="AF82" t="str">
        <f>AC82-Q82-AD82-R82</f>
        <v>#REF!</v>
      </c>
      <c r="AG82" t="str">
        <f>AE82/V82</f>
        <v>#REF!</v>
      </c>
      <c r="AH82" t="str">
        <f>AF82/W82</f>
        <v>#REF!</v>
      </c>
    </row>
    <row r="83">
      <c r="G83" t="str">
        <v>A</v>
      </c>
      <c r="J83" t="str">
        <f>IF(K83&gt;0,K83*0.0625,IF(L83&gt;0,L83*2.204623,))</f>
        <v>#REF!</v>
      </c>
      <c r="K83" t="str">
        <f>IF(L83&gt;0,L83*35.273962,IF(J83&gt;0,J83*16,))</f>
        <v>#REF!</v>
      </c>
      <c r="L83" t="str">
        <f>IF(J83&gt;0,J83*0.453592,IF(K83&gt;0,K83*0.02835,))</f>
        <v>#REF!</v>
      </c>
      <c r="O83">
        <f>I83+N83+M83</f>
        <v>0</v>
      </c>
      <c r="P83">
        <f>O83*B$3</f>
        <v>0</v>
      </c>
      <c r="Q83">
        <f>ROUND(SUM(P83), -2)</f>
        <v>0</v>
      </c>
      <c r="R83" t="str">
        <f>ROUNDUP(HLOOKUP(IF(CEILING(L83,0.5)&lt;1,0.5,CEILING(L83,0.5)),'배송비 조회'!A$44:AO$56,7,0)*B$3,-2)</f>
        <v>#REF!</v>
      </c>
      <c r="S83">
        <v>0</v>
      </c>
      <c r="T83" t="str">
        <f>ROUND((Q83+R83)*0.3,-2)</f>
        <v>#REF!</v>
      </c>
      <c r="U83" t="str">
        <f>ROUND((Q83+R83)*0.4,-2)</f>
        <v>#REF!</v>
      </c>
      <c r="V83" t="str">
        <f>SUM(Q83:R83)+T83</f>
        <v>#REF!</v>
      </c>
      <c r="W83" t="str">
        <f>SUM(Q83:S83)+U83</f>
        <v>#REF!</v>
      </c>
      <c r="X83">
        <v>0</v>
      </c>
      <c r="Y83" t="str">
        <f>V83*0.038</f>
        <v>#REF!</v>
      </c>
      <c r="Z83" t="str">
        <f>V83*0.02</f>
        <v>#REF!</v>
      </c>
      <c r="AA83" t="str">
        <f>W83*0.1</f>
        <v>#REF!</v>
      </c>
      <c r="AB83" t="str">
        <f>V83-Y83-Z83</f>
        <v>#REF!</v>
      </c>
      <c r="AC83" t="str">
        <f>W83-AA83</f>
        <v>#REF!</v>
      </c>
      <c r="AD83" t="str">
        <f>AB83*0.01</f>
        <v>#REF!</v>
      </c>
      <c r="AE83" t="str">
        <f>AB83-Q83-AD83-R83</f>
        <v>#REF!</v>
      </c>
      <c r="AF83" t="str">
        <f>AC83-Q83-AD83-R83</f>
        <v>#REF!</v>
      </c>
      <c r="AG83" t="str">
        <f>AE83/V83</f>
        <v>#REF!</v>
      </c>
      <c r="AH83" t="str">
        <f>AF83/W83</f>
        <v>#REF!</v>
      </c>
    </row>
    <row r="84">
      <c r="G84" t="str">
        <v>A</v>
      </c>
      <c r="J84" t="str">
        <f>IF(K84&gt;0,K84*0.0625,IF(L84&gt;0,L84*2.204623,))</f>
        <v>#REF!</v>
      </c>
      <c r="K84" t="str">
        <f>IF(L84&gt;0,L84*35.273962,IF(J84&gt;0,J84*16,))</f>
        <v>#REF!</v>
      </c>
      <c r="L84" t="str">
        <f>IF(J84&gt;0,J84*0.453592,IF(K84&gt;0,K84*0.02835,))</f>
        <v>#REF!</v>
      </c>
      <c r="O84">
        <f>I84+N84+M84</f>
        <v>0</v>
      </c>
      <c r="P84">
        <f>O84*B$3</f>
        <v>0</v>
      </c>
      <c r="Q84">
        <f>ROUND(SUM(P84), -2)</f>
        <v>0</v>
      </c>
      <c r="R84" t="str">
        <f>ROUNDUP(HLOOKUP(IF(CEILING(L84,0.5)&lt;1,0.5,CEILING(L84,0.5)),'배송비 조회'!A$44:AO$56,7,0)*B$3,-2)</f>
        <v>#REF!</v>
      </c>
      <c r="S84">
        <v>0</v>
      </c>
      <c r="T84" t="str">
        <f>ROUND((Q84+R84)*0.3,-2)</f>
        <v>#REF!</v>
      </c>
      <c r="U84" t="str">
        <f>ROUND((Q84+R84)*0.4,-2)</f>
        <v>#REF!</v>
      </c>
      <c r="V84" t="str">
        <f>SUM(Q84:R84)+T84</f>
        <v>#REF!</v>
      </c>
      <c r="W84" t="str">
        <f>SUM(Q84:S84)+U84</f>
        <v>#REF!</v>
      </c>
      <c r="X84">
        <v>0</v>
      </c>
      <c r="Y84" t="str">
        <f>V84*0.038</f>
        <v>#REF!</v>
      </c>
      <c r="Z84" t="str">
        <f>V84*0.02</f>
        <v>#REF!</v>
      </c>
      <c r="AA84" t="str">
        <f>W84*0.1</f>
        <v>#REF!</v>
      </c>
      <c r="AB84" t="str">
        <f>V84-Y84-Z84</f>
        <v>#REF!</v>
      </c>
      <c r="AC84" t="str">
        <f>W84-AA84</f>
        <v>#REF!</v>
      </c>
      <c r="AD84" t="str">
        <f>AB84*0.01</f>
        <v>#REF!</v>
      </c>
      <c r="AE84" t="str">
        <f>AB84-Q84-AD84-R84</f>
        <v>#REF!</v>
      </c>
      <c r="AF84" t="str">
        <f>AC84-Q84-AD84-R84</f>
        <v>#REF!</v>
      </c>
      <c r="AG84" t="str">
        <f>AE84/V84</f>
        <v>#REF!</v>
      </c>
      <c r="AH84" t="str">
        <f>AF84/W84</f>
        <v>#REF!</v>
      </c>
    </row>
    <row r="85">
      <c r="G85" t="str">
        <v>A</v>
      </c>
      <c r="J85" t="str">
        <f>IF(K85&gt;0,K85*0.0625,IF(L85&gt;0,L85*2.204623,))</f>
        <v>#REF!</v>
      </c>
      <c r="K85" t="str">
        <f>IF(L85&gt;0,L85*35.273962,IF(J85&gt;0,J85*16,))</f>
        <v>#REF!</v>
      </c>
      <c r="L85" t="str">
        <f>IF(J85&gt;0,J85*0.453592,IF(K85&gt;0,K85*0.02835,))</f>
        <v>#REF!</v>
      </c>
      <c r="O85">
        <f>I85+N85+M85</f>
        <v>0</v>
      </c>
      <c r="P85">
        <f>O85*B$3</f>
        <v>0</v>
      </c>
      <c r="Q85">
        <f>ROUND(SUM(P85), -2)</f>
        <v>0</v>
      </c>
      <c r="R85" t="str">
        <f>ROUNDUP(HLOOKUP(IF(CEILING(L85,0.5)&lt;1,0.5,CEILING(L85,0.5)),'배송비 조회'!A$44:AO$56,7,0)*B$3,-2)</f>
        <v>#REF!</v>
      </c>
      <c r="S85">
        <v>0</v>
      </c>
      <c r="T85" t="str">
        <f>ROUND((Q85+R85)*0.3,-2)</f>
        <v>#REF!</v>
      </c>
      <c r="U85" t="str">
        <f>ROUND((Q85+R85)*0.4,-2)</f>
        <v>#REF!</v>
      </c>
      <c r="V85" t="str">
        <f>SUM(Q85:R85)+T85</f>
        <v>#REF!</v>
      </c>
      <c r="W85" t="str">
        <f>SUM(Q85:S85)+U85</f>
        <v>#REF!</v>
      </c>
      <c r="X85">
        <v>0</v>
      </c>
      <c r="Y85" t="str">
        <f>V85*0.038</f>
        <v>#REF!</v>
      </c>
      <c r="Z85" t="str">
        <f>V85*0.02</f>
        <v>#REF!</v>
      </c>
      <c r="AA85" t="str">
        <f>W85*0.1</f>
        <v>#REF!</v>
      </c>
      <c r="AB85" t="str">
        <f>V85-Y85-Z85</f>
        <v>#REF!</v>
      </c>
      <c r="AC85" t="str">
        <f>W85-AA85</f>
        <v>#REF!</v>
      </c>
      <c r="AD85" t="str">
        <f>AB85*0.01</f>
        <v>#REF!</v>
      </c>
      <c r="AE85" t="str">
        <f>AB85-Q85-AD85-R85</f>
        <v>#REF!</v>
      </c>
      <c r="AF85" t="str">
        <f>AC85-Q85-AD85-R85</f>
        <v>#REF!</v>
      </c>
      <c r="AG85" t="str">
        <f>AE85/V85</f>
        <v>#REF!</v>
      </c>
      <c r="AH85" t="str">
        <f>AF85/W85</f>
        <v>#REF!</v>
      </c>
    </row>
    <row r="86">
      <c r="G86" t="str">
        <v>A</v>
      </c>
      <c r="J86" t="str">
        <f>IF(K86&gt;0,K86*0.0625,IF(L86&gt;0,L86*2.204623,))</f>
        <v>#REF!</v>
      </c>
      <c r="K86" t="str">
        <f>IF(L86&gt;0,L86*35.273962,IF(J86&gt;0,J86*16,))</f>
        <v>#REF!</v>
      </c>
      <c r="L86" t="str">
        <f>IF(J86&gt;0,J86*0.453592,IF(K86&gt;0,K86*0.02835,))</f>
        <v>#REF!</v>
      </c>
      <c r="O86">
        <f>I86+N86+M86</f>
        <v>0</v>
      </c>
      <c r="P86">
        <f>O86*B$3</f>
        <v>0</v>
      </c>
      <c r="Q86">
        <f>ROUND(SUM(P86), -2)</f>
        <v>0</v>
      </c>
      <c r="R86" t="str">
        <f>ROUNDUP(HLOOKUP(IF(CEILING(L86,0.5)&lt;1,0.5,CEILING(L86,0.5)),'배송비 조회'!A$44:AO$56,7,0)*B$3,-2)</f>
        <v>#REF!</v>
      </c>
      <c r="S86">
        <v>0</v>
      </c>
      <c r="T86" t="str">
        <f>ROUND((Q86+R86)*0.3,-2)</f>
        <v>#REF!</v>
      </c>
      <c r="U86" t="str">
        <f>ROUND((Q86+R86)*0.4,-2)</f>
        <v>#REF!</v>
      </c>
      <c r="V86" t="str">
        <f>SUM(Q86:R86)+T86</f>
        <v>#REF!</v>
      </c>
      <c r="W86" t="str">
        <f>SUM(Q86:S86)+U86</f>
        <v>#REF!</v>
      </c>
      <c r="X86">
        <v>0</v>
      </c>
      <c r="Y86" t="str">
        <f>V86*0.038</f>
        <v>#REF!</v>
      </c>
      <c r="Z86" t="str">
        <f>V86*0.02</f>
        <v>#REF!</v>
      </c>
      <c r="AA86" t="str">
        <f>W86*0.1</f>
        <v>#REF!</v>
      </c>
      <c r="AB86" t="str">
        <f>V86-Y86-Z86</f>
        <v>#REF!</v>
      </c>
      <c r="AC86" t="str">
        <f>W86-AA86</f>
        <v>#REF!</v>
      </c>
      <c r="AD86" t="str">
        <f>AB86*0.01</f>
        <v>#REF!</v>
      </c>
      <c r="AE86" t="str">
        <f>AB86-Q86-AD86-R86</f>
        <v>#REF!</v>
      </c>
      <c r="AF86" t="str">
        <f>AC86-Q86-AD86-R86</f>
        <v>#REF!</v>
      </c>
      <c r="AG86" t="str">
        <f>AE86/V86</f>
        <v>#REF!</v>
      </c>
      <c r="AH86" t="str">
        <f>AF86/W86</f>
        <v>#REF!</v>
      </c>
    </row>
    <row r="87">
      <c r="G87" t="str">
        <v>A</v>
      </c>
      <c r="J87" t="str">
        <f>IF(K87&gt;0,K87*0.0625,IF(L87&gt;0,L87*2.204623,))</f>
        <v>#REF!</v>
      </c>
      <c r="K87" t="str">
        <f>IF(L87&gt;0,L87*35.273962,IF(J87&gt;0,J87*16,))</f>
        <v>#REF!</v>
      </c>
      <c r="L87" t="str">
        <f>IF(J87&gt;0,J87*0.453592,IF(K87&gt;0,K87*0.02835,))</f>
        <v>#REF!</v>
      </c>
      <c r="O87">
        <f>I87+N87+M87</f>
        <v>0</v>
      </c>
      <c r="P87">
        <f>O87*B$3</f>
        <v>0</v>
      </c>
      <c r="Q87">
        <f>ROUND(SUM(P87), -2)</f>
        <v>0</v>
      </c>
      <c r="R87" t="str">
        <f>ROUNDUP(HLOOKUP(IF(CEILING(L87,0.5)&lt;1,0.5,CEILING(L87,0.5)),'배송비 조회'!A$44:AO$56,7,0)*B$3,-2)</f>
        <v>#REF!</v>
      </c>
      <c r="S87">
        <v>0</v>
      </c>
      <c r="T87" t="str">
        <f>ROUND((Q87+R87)*0.3,-2)</f>
        <v>#REF!</v>
      </c>
      <c r="U87" t="str">
        <f>ROUND((Q87+R87)*0.4,-2)</f>
        <v>#REF!</v>
      </c>
      <c r="V87" t="str">
        <f>SUM(Q87:R87)+T87</f>
        <v>#REF!</v>
      </c>
      <c r="W87" t="str">
        <f>SUM(Q87:S87)+U87</f>
        <v>#REF!</v>
      </c>
      <c r="X87">
        <v>0</v>
      </c>
      <c r="Y87" t="str">
        <f>V87*0.038</f>
        <v>#REF!</v>
      </c>
      <c r="Z87" t="str">
        <f>V87*0.02</f>
        <v>#REF!</v>
      </c>
      <c r="AA87" t="str">
        <f>W87*0.1</f>
        <v>#REF!</v>
      </c>
      <c r="AB87" t="str">
        <f>V87-Y87-Z87</f>
        <v>#REF!</v>
      </c>
      <c r="AC87" t="str">
        <f>W87-AA87</f>
        <v>#REF!</v>
      </c>
      <c r="AD87" t="str">
        <f>AB87*0.01</f>
        <v>#REF!</v>
      </c>
      <c r="AE87" t="str">
        <f>AB87-Q87-AD87-R87</f>
        <v>#REF!</v>
      </c>
      <c r="AF87" t="str">
        <f>AC87-Q87-AD87-R87</f>
        <v>#REF!</v>
      </c>
      <c r="AG87" t="str">
        <f>AE87/V87</f>
        <v>#REF!</v>
      </c>
      <c r="AH87" t="str">
        <f>AF87/W87</f>
        <v>#REF!</v>
      </c>
    </row>
    <row r="88">
      <c r="G88" t="str">
        <v>A</v>
      </c>
      <c r="J88" t="str">
        <f>IF(K88&gt;0,K88*0.0625,IF(L88&gt;0,L88*2.204623,))</f>
        <v>#REF!</v>
      </c>
      <c r="K88" t="str">
        <f>IF(L88&gt;0,L88*35.273962,IF(J88&gt;0,J88*16,))</f>
        <v>#REF!</v>
      </c>
      <c r="L88" t="str">
        <f>IF(J88&gt;0,J88*0.453592,IF(K88&gt;0,K88*0.02835,))</f>
        <v>#REF!</v>
      </c>
      <c r="O88">
        <f>I88+N88+M88</f>
        <v>0</v>
      </c>
      <c r="P88">
        <f>O88*B$3</f>
        <v>0</v>
      </c>
      <c r="Q88">
        <f>ROUND(SUM(P88), -2)</f>
        <v>0</v>
      </c>
      <c r="R88" t="str">
        <f>ROUNDUP(HLOOKUP(IF(CEILING(L88,0.5)&lt;1,0.5,CEILING(L88,0.5)),'배송비 조회'!A$44:AO$56,7,0)*B$3,-2)</f>
        <v>#REF!</v>
      </c>
      <c r="S88">
        <v>0</v>
      </c>
      <c r="T88" t="str">
        <f>ROUND((Q88+R88)*0.3,-2)</f>
        <v>#REF!</v>
      </c>
      <c r="U88" t="str">
        <f>ROUND((Q88+R88)*0.4,-2)</f>
        <v>#REF!</v>
      </c>
      <c r="V88" t="str">
        <f>SUM(Q88:R88)+T88</f>
        <v>#REF!</v>
      </c>
      <c r="W88" t="str">
        <f>SUM(Q88:S88)+U88</f>
        <v>#REF!</v>
      </c>
      <c r="X88">
        <v>0</v>
      </c>
      <c r="Y88" t="str">
        <f>V88*0.038</f>
        <v>#REF!</v>
      </c>
      <c r="Z88" t="str">
        <f>V88*0.02</f>
        <v>#REF!</v>
      </c>
      <c r="AA88" t="str">
        <f>W88*0.1</f>
        <v>#REF!</v>
      </c>
      <c r="AB88" t="str">
        <f>V88-Y88-Z88</f>
        <v>#REF!</v>
      </c>
      <c r="AC88" t="str">
        <f>W88-AA88</f>
        <v>#REF!</v>
      </c>
      <c r="AD88" t="str">
        <f>AB88*0.01</f>
        <v>#REF!</v>
      </c>
      <c r="AE88" t="str">
        <f>AB88-Q88-AD88-R88</f>
        <v>#REF!</v>
      </c>
      <c r="AF88" t="str">
        <f>AC88-Q88-AD88-R88</f>
        <v>#REF!</v>
      </c>
      <c r="AG88" t="str">
        <f>AE88/V88</f>
        <v>#REF!</v>
      </c>
      <c r="AH88" t="str">
        <f>AF88/W88</f>
        <v>#REF!</v>
      </c>
    </row>
    <row r="89">
      <c r="G89" t="str">
        <v>A</v>
      </c>
      <c r="J89" t="str">
        <f>IF(K89&gt;0,K89*0.0625,IF(L89&gt;0,L89*2.204623,))</f>
        <v>#REF!</v>
      </c>
      <c r="K89" t="str">
        <f>IF(L89&gt;0,L89*35.273962,IF(J89&gt;0,J89*16,))</f>
        <v>#REF!</v>
      </c>
      <c r="L89" t="str">
        <f>IF(J89&gt;0,J89*0.453592,IF(K89&gt;0,K89*0.02835,))</f>
        <v>#REF!</v>
      </c>
      <c r="O89">
        <f>I89+N89+M89</f>
        <v>0</v>
      </c>
      <c r="P89">
        <f>O89*B$3</f>
        <v>0</v>
      </c>
      <c r="Q89">
        <f>ROUND(SUM(P89), -2)</f>
        <v>0</v>
      </c>
      <c r="R89" t="str">
        <f>ROUNDUP(HLOOKUP(IF(CEILING(L89,0.5)&lt;1,0.5,CEILING(L89,0.5)),'배송비 조회'!A$44:AO$56,7,0)*B$3,-2)</f>
        <v>#REF!</v>
      </c>
      <c r="S89">
        <v>0</v>
      </c>
      <c r="T89" t="str">
        <f>ROUND((Q89+R89)*0.3,-2)</f>
        <v>#REF!</v>
      </c>
      <c r="U89" t="str">
        <f>ROUND((Q89+R89)*0.4,-2)</f>
        <v>#REF!</v>
      </c>
      <c r="V89" t="str">
        <f>SUM(Q89:R89)+T89</f>
        <v>#REF!</v>
      </c>
      <c r="W89" t="str">
        <f>SUM(Q89:S89)+U89</f>
        <v>#REF!</v>
      </c>
      <c r="X89">
        <v>0</v>
      </c>
      <c r="Y89" t="str">
        <f>V89*0.038</f>
        <v>#REF!</v>
      </c>
      <c r="Z89" t="str">
        <f>V89*0.02</f>
        <v>#REF!</v>
      </c>
      <c r="AA89" t="str">
        <f>W89*0.1</f>
        <v>#REF!</v>
      </c>
      <c r="AB89" t="str">
        <f>V89-Y89-Z89</f>
        <v>#REF!</v>
      </c>
      <c r="AC89" t="str">
        <f>W89-AA89</f>
        <v>#REF!</v>
      </c>
      <c r="AD89" t="str">
        <f>AB89*0.01</f>
        <v>#REF!</v>
      </c>
      <c r="AE89" t="str">
        <f>AB89-Q89-AD89-R89</f>
        <v>#REF!</v>
      </c>
      <c r="AF89" t="str">
        <f>AC89-Q89-AD89-R89</f>
        <v>#REF!</v>
      </c>
      <c r="AG89" t="str">
        <f>AE89/V89</f>
        <v>#REF!</v>
      </c>
      <c r="AH89" t="str">
        <f>AF89/W89</f>
        <v>#REF!</v>
      </c>
    </row>
    <row r="90">
      <c r="G90" t="str">
        <v>A</v>
      </c>
      <c r="J90" t="str">
        <f>IF(K90&gt;0,K90*0.0625,IF(L90&gt;0,L90*2.204623,))</f>
        <v>#REF!</v>
      </c>
      <c r="K90" t="str">
        <f>IF(L90&gt;0,L90*35.273962,IF(J90&gt;0,J90*16,))</f>
        <v>#REF!</v>
      </c>
      <c r="L90" t="str">
        <f>IF(J90&gt;0,J90*0.453592,IF(K90&gt;0,K90*0.02835,))</f>
        <v>#REF!</v>
      </c>
      <c r="O90">
        <f>I90+N90+M90</f>
        <v>0</v>
      </c>
      <c r="P90">
        <f>O90*B$3</f>
        <v>0</v>
      </c>
      <c r="Q90">
        <f>ROUND(SUM(P90), -2)</f>
        <v>0</v>
      </c>
      <c r="R90" t="str">
        <f>ROUNDUP(HLOOKUP(IF(CEILING(L90,0.5)&lt;1,0.5,CEILING(L90,0.5)),'배송비 조회'!A$44:AO$56,7,0)*B$3,-2)</f>
        <v>#REF!</v>
      </c>
      <c r="S90">
        <v>0</v>
      </c>
      <c r="T90" t="str">
        <f>ROUND((Q90+R90)*0.3,-2)</f>
        <v>#REF!</v>
      </c>
      <c r="U90" t="str">
        <f>ROUND((Q90+R90)*0.4,-2)</f>
        <v>#REF!</v>
      </c>
      <c r="V90" t="str">
        <f>SUM(Q90:R90)+T90</f>
        <v>#REF!</v>
      </c>
      <c r="W90" t="str">
        <f>SUM(Q90:S90)+U90</f>
        <v>#REF!</v>
      </c>
      <c r="X90">
        <v>0</v>
      </c>
      <c r="Y90" t="str">
        <f>V90*0.038</f>
        <v>#REF!</v>
      </c>
      <c r="Z90" t="str">
        <f>V90*0.02</f>
        <v>#REF!</v>
      </c>
      <c r="AA90" t="str">
        <f>W90*0.1</f>
        <v>#REF!</v>
      </c>
      <c r="AB90" t="str">
        <f>V90-Y90-Z90</f>
        <v>#REF!</v>
      </c>
      <c r="AC90" t="str">
        <f>W90-AA90</f>
        <v>#REF!</v>
      </c>
      <c r="AD90" t="str">
        <f>AB90*0.01</f>
        <v>#REF!</v>
      </c>
      <c r="AE90" t="str">
        <f>AB90-Q90-AD90-R90</f>
        <v>#REF!</v>
      </c>
      <c r="AF90" t="str">
        <f>AC90-Q90-AD90-R90</f>
        <v>#REF!</v>
      </c>
      <c r="AG90" t="str">
        <f>AE90/V90</f>
        <v>#REF!</v>
      </c>
      <c r="AH90" t="str">
        <f>AF90/W90</f>
        <v>#REF!</v>
      </c>
    </row>
    <row r="91">
      <c r="G91" t="str">
        <v>A</v>
      </c>
      <c r="J91" t="str">
        <f>IF(K91&gt;0,K91*0.0625,IF(L91&gt;0,L91*2.204623,))</f>
        <v>#REF!</v>
      </c>
      <c r="K91" t="str">
        <f>IF(L91&gt;0,L91*35.273962,IF(J91&gt;0,J91*16,))</f>
        <v>#REF!</v>
      </c>
      <c r="L91" t="str">
        <f>IF(J91&gt;0,J91*0.453592,IF(K91&gt;0,K91*0.02835,))</f>
        <v>#REF!</v>
      </c>
      <c r="O91">
        <f>I91+N91+M91</f>
        <v>0</v>
      </c>
      <c r="P91">
        <f>O91*B$3</f>
        <v>0</v>
      </c>
      <c r="Q91">
        <f>ROUND(SUM(P91), -2)</f>
        <v>0</v>
      </c>
      <c r="R91" t="str">
        <f>ROUNDUP(HLOOKUP(IF(CEILING(L91,0.5)&lt;1,0.5,CEILING(L91,0.5)),'배송비 조회'!A$44:AO$56,7,0)*B$3,-2)</f>
        <v>#REF!</v>
      </c>
      <c r="S91">
        <v>0</v>
      </c>
      <c r="T91" t="str">
        <f>ROUND((Q91+R91)*0.3,-2)</f>
        <v>#REF!</v>
      </c>
      <c r="U91" t="str">
        <f>ROUND((Q91+R91)*0.4,-2)</f>
        <v>#REF!</v>
      </c>
      <c r="V91" t="str">
        <f>SUM(Q91:R91)+T91</f>
        <v>#REF!</v>
      </c>
      <c r="W91" t="str">
        <f>SUM(Q91:S91)+U91</f>
        <v>#REF!</v>
      </c>
      <c r="X91">
        <v>0</v>
      </c>
      <c r="Y91" t="str">
        <f>V91*0.038</f>
        <v>#REF!</v>
      </c>
      <c r="Z91" t="str">
        <f>V91*0.02</f>
        <v>#REF!</v>
      </c>
      <c r="AA91" t="str">
        <f>W91*0.1</f>
        <v>#REF!</v>
      </c>
      <c r="AB91" t="str">
        <f>V91-Y91-Z91</f>
        <v>#REF!</v>
      </c>
      <c r="AC91" t="str">
        <f>W91-AA91</f>
        <v>#REF!</v>
      </c>
      <c r="AD91" t="str">
        <f>AB91*0.01</f>
        <v>#REF!</v>
      </c>
      <c r="AE91" t="str">
        <f>AB91-Q91-AD91-R91</f>
        <v>#REF!</v>
      </c>
      <c r="AF91" t="str">
        <f>AC91-Q91-AD91-R91</f>
        <v>#REF!</v>
      </c>
      <c r="AG91" t="str">
        <f>AE91/V91</f>
        <v>#REF!</v>
      </c>
      <c r="AH91" t="str">
        <f>AF91/W91</f>
        <v>#REF!</v>
      </c>
    </row>
    <row r="92">
      <c r="G92" t="str">
        <v>A</v>
      </c>
      <c r="J92" t="str">
        <f>IF(K92&gt;0,K92*0.0625,IF(L92&gt;0,L92*2.204623,))</f>
        <v>#REF!</v>
      </c>
      <c r="K92" t="str">
        <f>IF(L92&gt;0,L92*35.273962,IF(J92&gt;0,J92*16,))</f>
        <v>#REF!</v>
      </c>
      <c r="L92" t="str">
        <f>IF(J92&gt;0,J92*0.453592,IF(K92&gt;0,K92*0.02835,))</f>
        <v>#REF!</v>
      </c>
      <c r="O92">
        <f>I92+N92+M92</f>
        <v>0</v>
      </c>
      <c r="P92">
        <f>O92*B$3</f>
        <v>0</v>
      </c>
      <c r="Q92">
        <f>ROUND(SUM(P92), -2)</f>
        <v>0</v>
      </c>
      <c r="R92" t="str">
        <f>ROUNDUP(HLOOKUP(IF(CEILING(L92,0.5)&lt;1,0.5,CEILING(L92,0.5)),'배송비 조회'!A$44:AO$56,7,0)*B$3,-2)</f>
        <v>#REF!</v>
      </c>
      <c r="S92">
        <v>0</v>
      </c>
      <c r="T92" t="str">
        <f>ROUND((Q92+R92)*0.3,-2)</f>
        <v>#REF!</v>
      </c>
      <c r="U92" t="str">
        <f>ROUND((Q92+R92)*0.4,-2)</f>
        <v>#REF!</v>
      </c>
      <c r="V92" t="str">
        <f>SUM(Q92:R92)+T92</f>
        <v>#REF!</v>
      </c>
      <c r="W92" t="str">
        <f>SUM(Q92:S92)+U92</f>
        <v>#REF!</v>
      </c>
      <c r="X92">
        <v>0</v>
      </c>
      <c r="Y92" t="str">
        <f>V92*0.038</f>
        <v>#REF!</v>
      </c>
      <c r="Z92" t="str">
        <f>V92*0.02</f>
        <v>#REF!</v>
      </c>
      <c r="AA92" t="str">
        <f>W92*0.1</f>
        <v>#REF!</v>
      </c>
      <c r="AB92" t="str">
        <f>V92-Y92-Z92</f>
        <v>#REF!</v>
      </c>
      <c r="AC92" t="str">
        <f>W92-AA92</f>
        <v>#REF!</v>
      </c>
      <c r="AD92" t="str">
        <f>AB92*0.01</f>
        <v>#REF!</v>
      </c>
      <c r="AE92" t="str">
        <f>AB92-Q92-AD92-R92</f>
        <v>#REF!</v>
      </c>
      <c r="AF92" t="str">
        <f>AC92-Q92-AD92-R92</f>
        <v>#REF!</v>
      </c>
      <c r="AG92" t="str">
        <f>AE92/V92</f>
        <v>#REF!</v>
      </c>
      <c r="AH92" t="str">
        <f>AF92/W92</f>
        <v>#REF!</v>
      </c>
    </row>
    <row r="93">
      <c r="G93" t="str">
        <v>A</v>
      </c>
      <c r="J93" t="str">
        <f>IF(K93&gt;0,K93*0.0625,IF(L93&gt;0,L93*2.204623,))</f>
        <v>#REF!</v>
      </c>
      <c r="K93" t="str">
        <f>IF(L93&gt;0,L93*35.273962,IF(J93&gt;0,J93*16,))</f>
        <v>#REF!</v>
      </c>
      <c r="L93" t="str">
        <f>IF(J93&gt;0,J93*0.453592,IF(K93&gt;0,K93*0.02835,))</f>
        <v>#REF!</v>
      </c>
      <c r="O93">
        <f>I93+N93+M93</f>
        <v>0</v>
      </c>
      <c r="P93">
        <f>O93*B$3</f>
        <v>0</v>
      </c>
      <c r="Q93">
        <f>ROUND(SUM(P93), -2)</f>
        <v>0</v>
      </c>
      <c r="R93" t="str">
        <f>ROUNDUP(HLOOKUP(IF(CEILING(L93,0.5)&lt;1,0.5,CEILING(L93,0.5)),'배송비 조회'!A$44:AO$56,7,0)*B$3,-2)</f>
        <v>#REF!</v>
      </c>
      <c r="S93">
        <v>0</v>
      </c>
      <c r="T93" t="str">
        <f>ROUND((Q93+R93)*0.3,-2)</f>
        <v>#REF!</v>
      </c>
      <c r="U93" t="str">
        <f>ROUND((Q93+R93)*0.4,-2)</f>
        <v>#REF!</v>
      </c>
      <c r="V93" t="str">
        <f>SUM(Q93:R93)+T93</f>
        <v>#REF!</v>
      </c>
      <c r="W93" t="str">
        <f>SUM(Q93:S93)+U93</f>
        <v>#REF!</v>
      </c>
      <c r="X93">
        <v>0</v>
      </c>
      <c r="Y93" t="str">
        <f>V93*0.038</f>
        <v>#REF!</v>
      </c>
      <c r="Z93" t="str">
        <f>V93*0.02</f>
        <v>#REF!</v>
      </c>
      <c r="AA93" t="str">
        <f>W93*0.1</f>
        <v>#REF!</v>
      </c>
      <c r="AB93" t="str">
        <f>V93-Y93-Z93</f>
        <v>#REF!</v>
      </c>
      <c r="AC93" t="str">
        <f>W93-AA93</f>
        <v>#REF!</v>
      </c>
      <c r="AD93" t="str">
        <f>AB93*0.01</f>
        <v>#REF!</v>
      </c>
      <c r="AE93" t="str">
        <f>AB93-Q93-AD93-R93</f>
        <v>#REF!</v>
      </c>
      <c r="AF93" t="str">
        <f>AC93-Q93-AD93-R93</f>
        <v>#REF!</v>
      </c>
      <c r="AG93" t="str">
        <f>AE93/V93</f>
        <v>#REF!</v>
      </c>
      <c r="AH93" t="str">
        <f>AF93/W93</f>
        <v>#REF!</v>
      </c>
    </row>
    <row r="94">
      <c r="G94" t="str">
        <v>A</v>
      </c>
      <c r="J94" t="str">
        <f>IF(K94&gt;0,K94*0.0625,IF(L94&gt;0,L94*2.204623,))</f>
        <v>#REF!</v>
      </c>
      <c r="K94" t="str">
        <f>IF(L94&gt;0,L94*35.273962,IF(J94&gt;0,J94*16,))</f>
        <v>#REF!</v>
      </c>
      <c r="L94" t="str">
        <f>IF(J94&gt;0,J94*0.453592,IF(K94&gt;0,K94*0.02835,))</f>
        <v>#REF!</v>
      </c>
      <c r="O94">
        <f>I94+N94+M94</f>
        <v>0</v>
      </c>
      <c r="P94">
        <f>O94*B$3</f>
        <v>0</v>
      </c>
      <c r="Q94">
        <f>ROUND(SUM(P94), -2)</f>
        <v>0</v>
      </c>
      <c r="R94" t="str">
        <f>ROUNDUP(HLOOKUP(IF(CEILING(L94,0.5)&lt;1,0.5,CEILING(L94,0.5)),'배송비 조회'!A$44:AO$56,7,0)*B$3,-2)</f>
        <v>#REF!</v>
      </c>
      <c r="S94">
        <v>0</v>
      </c>
      <c r="T94" t="str">
        <f>ROUND((Q94+R94)*0.3,-2)</f>
        <v>#REF!</v>
      </c>
      <c r="U94" t="str">
        <f>ROUND((Q94+R94)*0.4,-2)</f>
        <v>#REF!</v>
      </c>
      <c r="V94" t="str">
        <f>SUM(Q94:R94)+T94</f>
        <v>#REF!</v>
      </c>
      <c r="W94" t="str">
        <f>SUM(Q94:S94)+U94</f>
        <v>#REF!</v>
      </c>
      <c r="X94">
        <v>0</v>
      </c>
      <c r="Y94" t="str">
        <f>V94*0.038</f>
        <v>#REF!</v>
      </c>
      <c r="Z94" t="str">
        <f>V94*0.02</f>
        <v>#REF!</v>
      </c>
      <c r="AA94" t="str">
        <f>W94*0.1</f>
        <v>#REF!</v>
      </c>
      <c r="AB94" t="str">
        <f>V94-Y94-Z94</f>
        <v>#REF!</v>
      </c>
      <c r="AC94" t="str">
        <f>W94-AA94</f>
        <v>#REF!</v>
      </c>
      <c r="AD94" t="str">
        <f>AB94*0.01</f>
        <v>#REF!</v>
      </c>
      <c r="AE94" t="str">
        <f>AB94-Q94-AD94-R94</f>
        <v>#REF!</v>
      </c>
      <c r="AF94" t="str">
        <f>AC94-Q94-AD94-R94</f>
        <v>#REF!</v>
      </c>
      <c r="AG94" t="str">
        <f>AE94/V94</f>
        <v>#REF!</v>
      </c>
      <c r="AH94" t="str">
        <f>AF94/W94</f>
        <v>#REF!</v>
      </c>
    </row>
    <row r="95">
      <c r="G95" t="str">
        <v>A</v>
      </c>
      <c r="J95" t="str">
        <f>IF(K95&gt;0,K95*0.0625,IF(L95&gt;0,L95*2.204623,))</f>
        <v>#REF!</v>
      </c>
      <c r="K95" t="str">
        <f>IF(L95&gt;0,L95*35.273962,IF(J95&gt;0,J95*16,))</f>
        <v>#REF!</v>
      </c>
      <c r="L95" t="str">
        <f>IF(J95&gt;0,J95*0.453592,IF(K95&gt;0,K95*0.02835,))</f>
        <v>#REF!</v>
      </c>
      <c r="O95">
        <f>I95+N95+M95</f>
        <v>0</v>
      </c>
      <c r="P95">
        <f>O95*B$3</f>
        <v>0</v>
      </c>
      <c r="Q95">
        <f>ROUND(SUM(P95), -2)</f>
        <v>0</v>
      </c>
      <c r="R95" t="str">
        <f>ROUNDUP(HLOOKUP(IF(CEILING(L95,0.5)&lt;1,0.5,CEILING(L95,0.5)),'배송비 조회'!A$44:AO$56,7,0)*B$3,-2)</f>
        <v>#REF!</v>
      </c>
      <c r="S95">
        <v>0</v>
      </c>
      <c r="T95" t="str">
        <f>ROUND((Q95+R95)*0.3,-2)</f>
        <v>#REF!</v>
      </c>
      <c r="U95" t="str">
        <f>ROUND((Q95+R95)*0.4,-2)</f>
        <v>#REF!</v>
      </c>
      <c r="V95" t="str">
        <f>SUM(Q95:R95)+T95</f>
        <v>#REF!</v>
      </c>
      <c r="W95" t="str">
        <f>SUM(Q95:S95)+U95</f>
        <v>#REF!</v>
      </c>
      <c r="X95">
        <v>0</v>
      </c>
      <c r="Y95" t="str">
        <f>V95*0.038</f>
        <v>#REF!</v>
      </c>
      <c r="Z95" t="str">
        <f>V95*0.02</f>
        <v>#REF!</v>
      </c>
      <c r="AA95" t="str">
        <f>W95*0.1</f>
        <v>#REF!</v>
      </c>
      <c r="AB95" t="str">
        <f>V95-Y95-Z95</f>
        <v>#REF!</v>
      </c>
      <c r="AC95" t="str">
        <f>W95-AA95</f>
        <v>#REF!</v>
      </c>
      <c r="AD95" t="str">
        <f>AB95*0.01</f>
        <v>#REF!</v>
      </c>
      <c r="AE95" t="str">
        <f>AB95-Q95-AD95-R95</f>
        <v>#REF!</v>
      </c>
      <c r="AF95" t="str">
        <f>AC95-Q95-AD95-R95</f>
        <v>#REF!</v>
      </c>
      <c r="AG95" t="str">
        <f>AE95/V95</f>
        <v>#REF!</v>
      </c>
      <c r="AH95" t="str">
        <f>AF95/W95</f>
        <v>#REF!</v>
      </c>
    </row>
    <row r="96">
      <c r="G96" t="str">
        <v>A</v>
      </c>
      <c r="J96" t="str">
        <f>IF(K96&gt;0,K96*0.0625,IF(L96&gt;0,L96*2.204623,))</f>
        <v>#REF!</v>
      </c>
      <c r="K96" t="str">
        <f>IF(L96&gt;0,L96*35.273962,IF(J96&gt;0,J96*16,))</f>
        <v>#REF!</v>
      </c>
      <c r="L96" t="str">
        <f>IF(J96&gt;0,J96*0.453592,IF(K96&gt;0,K96*0.02835,))</f>
        <v>#REF!</v>
      </c>
      <c r="O96">
        <f>I96+N96+M96</f>
        <v>0</v>
      </c>
      <c r="P96">
        <f>O96*B$3</f>
        <v>0</v>
      </c>
      <c r="Q96">
        <f>ROUND(SUM(P96), -2)</f>
        <v>0</v>
      </c>
      <c r="R96" t="str">
        <f>ROUNDUP(HLOOKUP(IF(CEILING(L96,0.5)&lt;1,0.5,CEILING(L96,0.5)),'배송비 조회'!A$44:AO$56,7,0)*B$3,-2)</f>
        <v>#REF!</v>
      </c>
      <c r="S96">
        <v>0</v>
      </c>
      <c r="T96" t="str">
        <f>ROUND((Q96+R96)*0.3,-2)</f>
        <v>#REF!</v>
      </c>
      <c r="U96" t="str">
        <f>ROUND((Q96+R96)*0.4,-2)</f>
        <v>#REF!</v>
      </c>
      <c r="V96" t="str">
        <f>SUM(Q96:R96)+T96</f>
        <v>#REF!</v>
      </c>
      <c r="W96" t="str">
        <f>SUM(Q96:S96)+U96</f>
        <v>#REF!</v>
      </c>
      <c r="X96">
        <v>0</v>
      </c>
      <c r="Y96" t="str">
        <f>V96*0.038</f>
        <v>#REF!</v>
      </c>
      <c r="Z96" t="str">
        <f>V96*0.02</f>
        <v>#REF!</v>
      </c>
      <c r="AA96" t="str">
        <f>W96*0.1</f>
        <v>#REF!</v>
      </c>
      <c r="AB96" t="str">
        <f>V96-Y96-Z96</f>
        <v>#REF!</v>
      </c>
      <c r="AC96" t="str">
        <f>W96-AA96</f>
        <v>#REF!</v>
      </c>
      <c r="AD96" t="str">
        <f>AB96*0.01</f>
        <v>#REF!</v>
      </c>
      <c r="AE96" t="str">
        <f>AB96-Q96-AD96-R96</f>
        <v>#REF!</v>
      </c>
      <c r="AF96" t="str">
        <f>AC96-Q96-AD96-R96</f>
        <v>#REF!</v>
      </c>
      <c r="AG96" t="str">
        <f>AE96/V96</f>
        <v>#REF!</v>
      </c>
      <c r="AH96" t="str">
        <f>AF96/W96</f>
        <v>#REF!</v>
      </c>
    </row>
    <row r="97">
      <c r="G97" t="str">
        <v>A</v>
      </c>
      <c r="J97" t="str">
        <f>IF(K97&gt;0,K97*0.0625,IF(L97&gt;0,L97*2.204623,))</f>
        <v>#REF!</v>
      </c>
      <c r="K97" t="str">
        <f>IF(L97&gt;0,L97*35.273962,IF(J97&gt;0,J97*16,))</f>
        <v>#REF!</v>
      </c>
      <c r="L97" t="str">
        <f>IF(J97&gt;0,J97*0.453592,IF(K97&gt;0,K97*0.02835,))</f>
        <v>#REF!</v>
      </c>
      <c r="O97">
        <f>I97+N97+M97</f>
        <v>0</v>
      </c>
      <c r="P97">
        <f>O97*B$3</f>
        <v>0</v>
      </c>
      <c r="Q97">
        <f>ROUND(SUM(P97), -2)</f>
        <v>0</v>
      </c>
      <c r="R97" t="str">
        <f>ROUNDUP(HLOOKUP(IF(CEILING(L97,0.5)&lt;1,0.5,CEILING(L97,0.5)),'배송비 조회'!A$44:AO$56,7,0)*B$3,-2)</f>
        <v>#REF!</v>
      </c>
      <c r="S97">
        <v>0</v>
      </c>
      <c r="T97" t="str">
        <f>ROUND((Q97+R97)*0.3,-2)</f>
        <v>#REF!</v>
      </c>
      <c r="U97" t="str">
        <f>ROUND((Q97+R97)*0.4,-2)</f>
        <v>#REF!</v>
      </c>
      <c r="V97" t="str">
        <f>SUM(Q97:R97)+T97</f>
        <v>#REF!</v>
      </c>
      <c r="W97" t="str">
        <f>SUM(Q97:S97)+U97</f>
        <v>#REF!</v>
      </c>
      <c r="X97">
        <v>0</v>
      </c>
      <c r="Y97" t="str">
        <f>V97*0.038</f>
        <v>#REF!</v>
      </c>
      <c r="Z97" t="str">
        <f>V97*0.02</f>
        <v>#REF!</v>
      </c>
      <c r="AA97" t="str">
        <f>W97*0.1</f>
        <v>#REF!</v>
      </c>
      <c r="AB97" t="str">
        <f>V97-Y97-Z97</f>
        <v>#REF!</v>
      </c>
      <c r="AC97" t="str">
        <f>W97-AA97</f>
        <v>#REF!</v>
      </c>
      <c r="AD97" t="str">
        <f>AB97*0.01</f>
        <v>#REF!</v>
      </c>
      <c r="AE97" t="str">
        <f>AB97-Q97-AD97-R97</f>
        <v>#REF!</v>
      </c>
      <c r="AF97" t="str">
        <f>AC97-Q97-AD97-R97</f>
        <v>#REF!</v>
      </c>
      <c r="AG97" t="str">
        <f>AE97/V97</f>
        <v>#REF!</v>
      </c>
      <c r="AH97" t="str">
        <f>AF97/W97</f>
        <v>#REF!</v>
      </c>
    </row>
    <row r="98">
      <c r="G98" t="str">
        <v>A</v>
      </c>
      <c r="J98" t="str">
        <f>IF(K98&gt;0,K98*0.0625,IF(L98&gt;0,L98*2.204623,))</f>
        <v>#REF!</v>
      </c>
      <c r="K98" t="str">
        <f>IF(L98&gt;0,L98*35.273962,IF(J98&gt;0,J98*16,))</f>
        <v>#REF!</v>
      </c>
      <c r="L98" t="str">
        <f>IF(J98&gt;0,J98*0.453592,IF(K98&gt;0,K98*0.02835,))</f>
        <v>#REF!</v>
      </c>
      <c r="O98">
        <f>I98+N98+M98</f>
        <v>0</v>
      </c>
      <c r="P98">
        <f>O98*B$3</f>
        <v>0</v>
      </c>
      <c r="Q98">
        <f>ROUND(SUM(P98), -2)</f>
        <v>0</v>
      </c>
      <c r="R98" t="str">
        <f>ROUNDUP(HLOOKUP(IF(CEILING(L98,0.5)&lt;1,0.5,CEILING(L98,0.5)),'배송비 조회'!A$44:AO$56,7,0)*B$3,-2)</f>
        <v>#REF!</v>
      </c>
      <c r="S98">
        <v>0</v>
      </c>
      <c r="T98" t="str">
        <f>ROUND((Q98+R98)*0.3,-2)</f>
        <v>#REF!</v>
      </c>
      <c r="U98" t="str">
        <f>ROUND((Q98+R98)*0.4,-2)</f>
        <v>#REF!</v>
      </c>
      <c r="V98" t="str">
        <f>SUM(Q98:R98)+T98</f>
        <v>#REF!</v>
      </c>
      <c r="W98" t="str">
        <f>SUM(Q98:S98)+U98</f>
        <v>#REF!</v>
      </c>
      <c r="X98">
        <v>0</v>
      </c>
      <c r="Y98" t="str">
        <f>V98*0.038</f>
        <v>#REF!</v>
      </c>
      <c r="Z98" t="str">
        <f>V98*0.02</f>
        <v>#REF!</v>
      </c>
      <c r="AA98" t="str">
        <f>W98*0.1</f>
        <v>#REF!</v>
      </c>
      <c r="AB98" t="str">
        <f>V98-Y98-Z98</f>
        <v>#REF!</v>
      </c>
      <c r="AC98" t="str">
        <f>W98-AA98</f>
        <v>#REF!</v>
      </c>
      <c r="AD98" t="str">
        <f>AB98*0.01</f>
        <v>#REF!</v>
      </c>
      <c r="AE98" t="str">
        <f>AB98-Q98-AD98-R98</f>
        <v>#REF!</v>
      </c>
      <c r="AF98" t="str">
        <f>AC98-Q98-AD98-R98</f>
        <v>#REF!</v>
      </c>
      <c r="AG98" t="str">
        <f>AE98/V98</f>
        <v>#REF!</v>
      </c>
      <c r="AH98" t="str">
        <f>AF98/W98</f>
        <v>#REF!</v>
      </c>
    </row>
    <row r="99">
      <c r="G99" t="str">
        <v>A</v>
      </c>
      <c r="J99" t="str">
        <f>IF(K99&gt;0,K99*0.0625,IF(L99&gt;0,L99*2.204623,))</f>
        <v>#REF!</v>
      </c>
      <c r="K99" t="str">
        <f>IF(L99&gt;0,L99*35.273962,IF(J99&gt;0,J99*16,))</f>
        <v>#REF!</v>
      </c>
      <c r="L99" t="str">
        <f>IF(J99&gt;0,J99*0.453592,IF(K99&gt;0,K99*0.02835,))</f>
        <v>#REF!</v>
      </c>
      <c r="O99">
        <f>I99+N99+M99</f>
        <v>0</v>
      </c>
      <c r="P99">
        <f>O99*B$3</f>
        <v>0</v>
      </c>
      <c r="Q99">
        <f>ROUND(SUM(P99), -2)</f>
        <v>0</v>
      </c>
      <c r="R99" t="str">
        <f>ROUNDUP(HLOOKUP(IF(CEILING(L99,0.5)&lt;1,0.5,CEILING(L99,0.5)),'배송비 조회'!A$44:AO$56,7,0)*B$3,-2)</f>
        <v>#REF!</v>
      </c>
      <c r="S99">
        <v>0</v>
      </c>
      <c r="T99" t="str">
        <f>ROUND((Q99+R99)*0.3,-2)</f>
        <v>#REF!</v>
      </c>
      <c r="U99" t="str">
        <f>ROUND((Q99+R99)*0.4,-2)</f>
        <v>#REF!</v>
      </c>
      <c r="V99" t="str">
        <f>SUM(Q99:R99)+T99</f>
        <v>#REF!</v>
      </c>
      <c r="W99" t="str">
        <f>SUM(Q99:S99)+U99</f>
        <v>#REF!</v>
      </c>
      <c r="X99">
        <v>0</v>
      </c>
      <c r="Y99" t="str">
        <f>V99*0.038</f>
        <v>#REF!</v>
      </c>
      <c r="Z99" t="str">
        <f>V99*0.02</f>
        <v>#REF!</v>
      </c>
      <c r="AA99" t="str">
        <f>W99*0.1</f>
        <v>#REF!</v>
      </c>
      <c r="AB99" t="str">
        <f>V99-Y99-Z99</f>
        <v>#REF!</v>
      </c>
      <c r="AC99" t="str">
        <f>W99-AA99</f>
        <v>#REF!</v>
      </c>
      <c r="AD99" t="str">
        <f>AB99*0.01</f>
        <v>#REF!</v>
      </c>
      <c r="AE99" t="str">
        <f>AB99-Q99-AD99-R99</f>
        <v>#REF!</v>
      </c>
      <c r="AF99" t="str">
        <f>AC99-Q99-AD99-R99</f>
        <v>#REF!</v>
      </c>
      <c r="AG99" t="str">
        <f>AE99/V99</f>
        <v>#REF!</v>
      </c>
      <c r="AH99" t="str">
        <f>AF99/W99</f>
        <v>#REF!</v>
      </c>
    </row>
    <row r="100">
      <c r="G100" t="str">
        <v>A</v>
      </c>
      <c r="J100" t="str">
        <f>IF(K100&gt;0,K100*0.0625,IF(L100&gt;0,L100*2.204623,))</f>
        <v>#REF!</v>
      </c>
      <c r="K100" t="str">
        <f>IF(L100&gt;0,L100*35.273962,IF(J100&gt;0,J100*16,))</f>
        <v>#REF!</v>
      </c>
      <c r="L100" t="str">
        <f>IF(J100&gt;0,J100*0.453592,IF(K100&gt;0,K100*0.02835,))</f>
        <v>#REF!</v>
      </c>
      <c r="O100">
        <f>I100+N100+M100</f>
        <v>0</v>
      </c>
      <c r="P100">
        <f>O100*B$3</f>
        <v>0</v>
      </c>
      <c r="Q100">
        <f>ROUND(SUM(P100), -2)</f>
        <v>0</v>
      </c>
      <c r="R100" t="str">
        <f>ROUNDUP(HLOOKUP(IF(CEILING(L100,0.5)&lt;1,0.5,CEILING(L100,0.5)),'배송비 조회'!A$44:AO$56,7,0)*B$3,-2)</f>
        <v>#REF!</v>
      </c>
      <c r="S100">
        <v>0</v>
      </c>
      <c r="T100" t="str">
        <f>ROUND((Q100+R100)*0.3,-2)</f>
        <v>#REF!</v>
      </c>
      <c r="U100" t="str">
        <f>ROUND((Q100+R100)*0.4,-2)</f>
        <v>#REF!</v>
      </c>
      <c r="V100" t="str">
        <f>SUM(Q100:R100)+T100</f>
        <v>#REF!</v>
      </c>
      <c r="W100" t="str">
        <f>SUM(Q100:S100)+U100</f>
        <v>#REF!</v>
      </c>
      <c r="X100">
        <v>0</v>
      </c>
      <c r="Y100" t="str">
        <f>V100*0.038</f>
        <v>#REF!</v>
      </c>
      <c r="Z100" t="str">
        <f>V100*0.02</f>
        <v>#REF!</v>
      </c>
      <c r="AA100" t="str">
        <f>W100*0.1</f>
        <v>#REF!</v>
      </c>
      <c r="AB100" t="str">
        <f>V100-Y100-Z100</f>
        <v>#REF!</v>
      </c>
      <c r="AC100" t="str">
        <f>W100-AA100</f>
        <v>#REF!</v>
      </c>
      <c r="AD100" t="str">
        <f>AB100*0.01</f>
        <v>#REF!</v>
      </c>
      <c r="AE100" t="str">
        <f>AB100-Q100-AD100-R100</f>
        <v>#REF!</v>
      </c>
      <c r="AF100" t="str">
        <f>AC100-Q100-AD100-R100</f>
        <v>#REF!</v>
      </c>
      <c r="AG100" t="str">
        <f>AE100/V100</f>
        <v>#REF!</v>
      </c>
      <c r="AH100" t="str">
        <f>AF100/W100</f>
        <v>#REF!</v>
      </c>
    </row>
    <row r="101">
      <c r="G101" t="str">
        <v>A</v>
      </c>
      <c r="J101" t="str">
        <f>IF(K101&gt;0,K101*0.0625,IF(L101&gt;0,L101*2.204623,))</f>
        <v>#REF!</v>
      </c>
      <c r="K101" t="str">
        <f>IF(L101&gt;0,L101*35.273962,IF(J101&gt;0,J101*16,))</f>
        <v>#REF!</v>
      </c>
      <c r="L101" t="str">
        <f>IF(J101&gt;0,J101*0.453592,IF(K101&gt;0,K101*0.02835,))</f>
        <v>#REF!</v>
      </c>
      <c r="O101">
        <f>I101+N101+M101</f>
        <v>0</v>
      </c>
      <c r="P101">
        <f>O101*B$3</f>
        <v>0</v>
      </c>
      <c r="Q101">
        <f>ROUND(SUM(P101), -2)</f>
        <v>0</v>
      </c>
      <c r="R101" t="str">
        <f>ROUNDUP(HLOOKUP(IF(CEILING(L101,0.5)&lt;1,0.5,CEILING(L101,0.5)),'배송비 조회'!A$44:AO$56,7,0)*B$3,-2)</f>
        <v>#REF!</v>
      </c>
      <c r="S101">
        <v>0</v>
      </c>
      <c r="T101" t="str">
        <f>ROUND((Q101+R101)*0.3,-2)</f>
        <v>#REF!</v>
      </c>
      <c r="U101" t="str">
        <f>ROUND((Q101+R101)*0.4,-2)</f>
        <v>#REF!</v>
      </c>
      <c r="V101" t="str">
        <f>SUM(Q101:R101)+T101</f>
        <v>#REF!</v>
      </c>
      <c r="W101" t="str">
        <f>SUM(Q101:S101)+U101</f>
        <v>#REF!</v>
      </c>
      <c r="X101">
        <v>0</v>
      </c>
      <c r="Y101" t="str">
        <f>V101*0.038</f>
        <v>#REF!</v>
      </c>
      <c r="Z101" t="str">
        <f>V101*0.02</f>
        <v>#REF!</v>
      </c>
      <c r="AA101" t="str">
        <f>W101*0.1</f>
        <v>#REF!</v>
      </c>
      <c r="AB101" t="str">
        <f>V101-Y101-Z101</f>
        <v>#REF!</v>
      </c>
      <c r="AC101" t="str">
        <f>W101-AA101</f>
        <v>#REF!</v>
      </c>
      <c r="AD101" t="str">
        <f>AB101*0.01</f>
        <v>#REF!</v>
      </c>
      <c r="AE101" t="str">
        <f>AB101-Q101-AD101-R101</f>
        <v>#REF!</v>
      </c>
      <c r="AF101" t="str">
        <f>AC101-Q101-AD101-R101</f>
        <v>#REF!</v>
      </c>
      <c r="AG101" t="str">
        <f>AE101/V101</f>
        <v>#REF!</v>
      </c>
      <c r="AH101" t="str">
        <f>AF101/W101</f>
        <v>#REF!</v>
      </c>
    </row>
    <row r="102">
      <c r="G102" t="str">
        <v>A</v>
      </c>
      <c r="J102" t="str">
        <f>IF(K102&gt;0,K102*0.0625,IF(L102&gt;0,L102*2.204623,))</f>
        <v>#REF!</v>
      </c>
      <c r="K102" t="str">
        <f>IF(L102&gt;0,L102*35.273962,IF(J102&gt;0,J102*16,))</f>
        <v>#REF!</v>
      </c>
      <c r="L102" t="str">
        <f>IF(J102&gt;0,J102*0.453592,IF(K102&gt;0,K102*0.02835,))</f>
        <v>#REF!</v>
      </c>
      <c r="O102">
        <f>I102+N102+M102</f>
        <v>0</v>
      </c>
      <c r="P102">
        <f>O102*B$3</f>
        <v>0</v>
      </c>
      <c r="Q102">
        <f>ROUND(SUM(P102), -2)</f>
        <v>0</v>
      </c>
      <c r="R102" t="str">
        <f>ROUNDUP(HLOOKUP(IF(CEILING(L102,0.5)&lt;1,0.5,CEILING(L102,0.5)),'배송비 조회'!A$44:AO$56,7,0)*B$3,-2)</f>
        <v>#REF!</v>
      </c>
      <c r="S102">
        <v>0</v>
      </c>
      <c r="T102" t="str">
        <f>ROUND((Q102+R102)*0.3,-2)</f>
        <v>#REF!</v>
      </c>
      <c r="U102" t="str">
        <f>ROUND((Q102+R102)*0.4,-2)</f>
        <v>#REF!</v>
      </c>
      <c r="V102" t="str">
        <f>SUM(Q102:R102)+T102</f>
        <v>#REF!</v>
      </c>
      <c r="W102" t="str">
        <f>SUM(Q102:S102)+U102</f>
        <v>#REF!</v>
      </c>
      <c r="X102">
        <v>0</v>
      </c>
      <c r="Y102" t="str">
        <f>V102*0.038</f>
        <v>#REF!</v>
      </c>
      <c r="Z102" t="str">
        <f>V102*0.02</f>
        <v>#REF!</v>
      </c>
      <c r="AA102" t="str">
        <f>W102*0.1</f>
        <v>#REF!</v>
      </c>
      <c r="AB102" t="str">
        <f>V102-Y102-Z102</f>
        <v>#REF!</v>
      </c>
      <c r="AC102" t="str">
        <f>W102-AA102</f>
        <v>#REF!</v>
      </c>
      <c r="AD102" t="str">
        <f>AB102*0.01</f>
        <v>#REF!</v>
      </c>
      <c r="AE102" t="str">
        <f>AB102-Q102-AD102-R102</f>
        <v>#REF!</v>
      </c>
      <c r="AF102" t="str">
        <f>AC102-Q102-AD102-R102</f>
        <v>#REF!</v>
      </c>
      <c r="AG102" t="str">
        <f>AE102/V102</f>
        <v>#REF!</v>
      </c>
      <c r="AH102" t="str">
        <f>AF102/W102</f>
        <v>#REF!</v>
      </c>
    </row>
    <row r="103">
      <c r="G103" t="str">
        <v>A</v>
      </c>
      <c r="J103" t="str">
        <f>IF(K103&gt;0,K103*0.0625,IF(L103&gt;0,L103*2.204623,))</f>
        <v>#REF!</v>
      </c>
      <c r="K103" t="str">
        <f>IF(L103&gt;0,L103*35.273962,IF(J103&gt;0,J103*16,))</f>
        <v>#REF!</v>
      </c>
      <c r="L103" t="str">
        <f>IF(J103&gt;0,J103*0.453592,IF(K103&gt;0,K103*0.02835,))</f>
        <v>#REF!</v>
      </c>
      <c r="O103">
        <f>I103+N103+M103</f>
        <v>0</v>
      </c>
      <c r="P103">
        <f>O103*B$3</f>
        <v>0</v>
      </c>
      <c r="Q103">
        <f>ROUND(SUM(P103), -2)</f>
        <v>0</v>
      </c>
      <c r="R103" t="str">
        <f>ROUNDUP(HLOOKUP(IF(CEILING(L103,0.5)&lt;1,0.5,CEILING(L103,0.5)),'배송비 조회'!A$44:AO$56,7,0)*B$3,-2)</f>
        <v>#REF!</v>
      </c>
      <c r="S103">
        <v>0</v>
      </c>
      <c r="T103" t="str">
        <f>ROUND((Q103+R103)*0.3,-2)</f>
        <v>#REF!</v>
      </c>
      <c r="U103" t="str">
        <f>ROUND((Q103+R103)*0.4,-2)</f>
        <v>#REF!</v>
      </c>
      <c r="V103" t="str">
        <f>SUM(Q103:R103)+T103</f>
        <v>#REF!</v>
      </c>
      <c r="W103" t="str">
        <f>SUM(Q103:S103)+U103</f>
        <v>#REF!</v>
      </c>
      <c r="X103">
        <v>0</v>
      </c>
      <c r="Y103" t="str">
        <f>V103*0.038</f>
        <v>#REF!</v>
      </c>
      <c r="Z103" t="str">
        <f>V103*0.02</f>
        <v>#REF!</v>
      </c>
      <c r="AA103" t="str">
        <f>W103*0.1</f>
        <v>#REF!</v>
      </c>
      <c r="AB103" t="str">
        <f>V103-Y103-Z103</f>
        <v>#REF!</v>
      </c>
      <c r="AC103" t="str">
        <f>W103-AA103</f>
        <v>#REF!</v>
      </c>
      <c r="AD103" t="str">
        <f>AB103*0.01</f>
        <v>#REF!</v>
      </c>
      <c r="AE103" t="str">
        <f>AB103-Q103-AD103-R103</f>
        <v>#REF!</v>
      </c>
      <c r="AF103" t="str">
        <f>AC103-Q103-AD103-R103</f>
        <v>#REF!</v>
      </c>
      <c r="AG103" t="str">
        <f>AE103/V103</f>
        <v>#REF!</v>
      </c>
      <c r="AH103" t="str">
        <f>AF103/W103</f>
        <v>#REF!</v>
      </c>
    </row>
    <row r="104">
      <c r="G104" t="str">
        <v>A</v>
      </c>
      <c r="J104" t="str">
        <f>IF(K104&gt;0,K104*0.0625,IF(L104&gt;0,L104*2.204623,))</f>
        <v>#REF!</v>
      </c>
      <c r="K104" t="str">
        <f>IF(L104&gt;0,L104*35.273962,IF(J104&gt;0,J104*16,))</f>
        <v>#REF!</v>
      </c>
      <c r="L104" t="str">
        <f>IF(J104&gt;0,J104*0.453592,IF(K104&gt;0,K104*0.02835,))</f>
        <v>#REF!</v>
      </c>
      <c r="O104">
        <f>I104+N104+M104</f>
        <v>0</v>
      </c>
      <c r="P104">
        <f>O104*B$3</f>
        <v>0</v>
      </c>
      <c r="Q104">
        <f>ROUND(SUM(P104), -2)</f>
        <v>0</v>
      </c>
      <c r="R104" t="str">
        <f>ROUNDUP(HLOOKUP(IF(CEILING(L104,0.5)&lt;1,0.5,CEILING(L104,0.5)),'배송비 조회'!A$44:AO$56,7,0)*B$3,-2)</f>
        <v>#REF!</v>
      </c>
      <c r="S104">
        <v>0</v>
      </c>
      <c r="T104" t="str">
        <f>ROUND((Q104+R104)*0.3,-2)</f>
        <v>#REF!</v>
      </c>
      <c r="U104" t="str">
        <f>ROUND((Q104+R104)*0.4,-2)</f>
        <v>#REF!</v>
      </c>
      <c r="V104" t="str">
        <f>SUM(Q104:R104)+T104</f>
        <v>#REF!</v>
      </c>
      <c r="W104" t="str">
        <f>SUM(Q104:S104)+U104</f>
        <v>#REF!</v>
      </c>
      <c r="X104">
        <v>0</v>
      </c>
      <c r="Y104" t="str">
        <f>V104*0.038</f>
        <v>#REF!</v>
      </c>
      <c r="Z104" t="str">
        <f>V104*0.02</f>
        <v>#REF!</v>
      </c>
      <c r="AA104" t="str">
        <f>W104*0.1</f>
        <v>#REF!</v>
      </c>
      <c r="AB104" t="str">
        <f>V104-Y104-Z104</f>
        <v>#REF!</v>
      </c>
      <c r="AC104" t="str">
        <f>W104-AA104</f>
        <v>#REF!</v>
      </c>
      <c r="AD104" t="str">
        <f>AB104*0.01</f>
        <v>#REF!</v>
      </c>
      <c r="AE104" t="str">
        <f>AB104-Q104-AD104-R104</f>
        <v>#REF!</v>
      </c>
      <c r="AF104" t="str">
        <f>AC104-Q104-AD104-R104</f>
        <v>#REF!</v>
      </c>
      <c r="AG104" t="str">
        <f>AE104/V104</f>
        <v>#REF!</v>
      </c>
      <c r="AH104" t="str">
        <f>AF104/W104</f>
        <v>#REF!</v>
      </c>
    </row>
    <row r="105">
      <c r="G105" t="str">
        <v>A</v>
      </c>
      <c r="J105" t="str">
        <f>IF(K105&gt;0,K105*0.0625,IF(L105&gt;0,L105*2.204623,))</f>
        <v>#REF!</v>
      </c>
      <c r="K105" t="str">
        <f>IF(L105&gt;0,L105*35.273962,IF(J105&gt;0,J105*16,))</f>
        <v>#REF!</v>
      </c>
      <c r="L105" t="str">
        <f>IF(J105&gt;0,J105*0.453592,IF(K105&gt;0,K105*0.02835,))</f>
        <v>#REF!</v>
      </c>
      <c r="O105">
        <f>I105+N105+M105</f>
        <v>0</v>
      </c>
      <c r="P105">
        <f>O105*B$3</f>
        <v>0</v>
      </c>
      <c r="Q105">
        <f>ROUND(SUM(P105), -2)</f>
        <v>0</v>
      </c>
      <c r="R105" t="str">
        <f>ROUNDUP(HLOOKUP(IF(CEILING(L105,0.5)&lt;1,0.5,CEILING(L105,0.5)),'배송비 조회'!A$44:AO$56,7,0)*B$3,-2)</f>
        <v>#REF!</v>
      </c>
      <c r="S105">
        <v>0</v>
      </c>
      <c r="T105" t="str">
        <f>ROUND((Q105+R105)*0.3,-2)</f>
        <v>#REF!</v>
      </c>
      <c r="U105" t="str">
        <f>ROUND((Q105+R105)*0.4,-2)</f>
        <v>#REF!</v>
      </c>
      <c r="V105" t="str">
        <f>SUM(Q105:R105)+T105</f>
        <v>#REF!</v>
      </c>
      <c r="W105" t="str">
        <f>SUM(Q105:S105)+U105</f>
        <v>#REF!</v>
      </c>
      <c r="X105">
        <v>0</v>
      </c>
      <c r="Y105" t="str">
        <f>V105*0.038</f>
        <v>#REF!</v>
      </c>
      <c r="Z105" t="str">
        <f>V105*0.02</f>
        <v>#REF!</v>
      </c>
      <c r="AA105" t="str">
        <f>W105*0.1</f>
        <v>#REF!</v>
      </c>
      <c r="AB105" t="str">
        <f>V105-Y105-Z105</f>
        <v>#REF!</v>
      </c>
      <c r="AC105" t="str">
        <f>W105-AA105</f>
        <v>#REF!</v>
      </c>
      <c r="AD105" t="str">
        <f>AB105*0.01</f>
        <v>#REF!</v>
      </c>
      <c r="AE105" t="str">
        <f>AB105-Q105-AD105-R105</f>
        <v>#REF!</v>
      </c>
      <c r="AF105" t="str">
        <f>AC105-Q105-AD105-R105</f>
        <v>#REF!</v>
      </c>
      <c r="AG105" t="str">
        <f>AE105/V105</f>
        <v>#REF!</v>
      </c>
      <c r="AH105" t="str">
        <f>AF105/W105</f>
        <v>#REF!</v>
      </c>
    </row>
    <row r="106">
      <c r="G106" t="str">
        <v>A</v>
      </c>
      <c r="J106" t="str">
        <f>IF(K106&gt;0,K106*0.0625,IF(L106&gt;0,L106*2.204623,))</f>
        <v>#REF!</v>
      </c>
      <c r="K106" t="str">
        <f>IF(L106&gt;0,L106*35.273962,IF(J106&gt;0,J106*16,))</f>
        <v>#REF!</v>
      </c>
      <c r="L106" t="str">
        <f>IF(J106&gt;0,J106*0.453592,IF(K106&gt;0,K106*0.02835,))</f>
        <v>#REF!</v>
      </c>
      <c r="O106">
        <f>I106+N106+M106</f>
        <v>0</v>
      </c>
      <c r="P106">
        <f>O106*B$3</f>
        <v>0</v>
      </c>
      <c r="Q106">
        <f>ROUND(SUM(P106), -2)</f>
        <v>0</v>
      </c>
      <c r="R106" t="str">
        <f>ROUNDUP(HLOOKUP(IF(CEILING(L106,0.5)&lt;1,0.5,CEILING(L106,0.5)),'배송비 조회'!A$44:AO$56,7,0)*B$3,-2)</f>
        <v>#REF!</v>
      </c>
      <c r="S106">
        <v>0</v>
      </c>
      <c r="T106" t="str">
        <f>ROUND((Q106+R106)*0.3,-2)</f>
        <v>#REF!</v>
      </c>
      <c r="U106" t="str">
        <f>ROUND((Q106+R106)*0.4,-2)</f>
        <v>#REF!</v>
      </c>
      <c r="V106" t="str">
        <f>SUM(Q106:R106)+T106</f>
        <v>#REF!</v>
      </c>
      <c r="W106" t="str">
        <f>SUM(Q106:S106)+U106</f>
        <v>#REF!</v>
      </c>
      <c r="X106">
        <v>0</v>
      </c>
      <c r="Y106" t="str">
        <f>V106*0.038</f>
        <v>#REF!</v>
      </c>
      <c r="Z106" t="str">
        <f>V106*0.02</f>
        <v>#REF!</v>
      </c>
      <c r="AA106" t="str">
        <f>W106*0.1</f>
        <v>#REF!</v>
      </c>
      <c r="AB106" t="str">
        <f>V106-Y106-Z106</f>
        <v>#REF!</v>
      </c>
      <c r="AC106" t="str">
        <f>W106-AA106</f>
        <v>#REF!</v>
      </c>
      <c r="AD106" t="str">
        <f>AB106*0.01</f>
        <v>#REF!</v>
      </c>
      <c r="AE106" t="str">
        <f>AB106-Q106-AD106-R106</f>
        <v>#REF!</v>
      </c>
      <c r="AF106" t="str">
        <f>AC106-Q106-AD106-R106</f>
        <v>#REF!</v>
      </c>
      <c r="AG106" t="str">
        <f>AE106/V106</f>
        <v>#REF!</v>
      </c>
      <c r="AH106" t="str">
        <f>AF106/W106</f>
        <v>#REF!</v>
      </c>
    </row>
    <row r="107">
      <c r="G107" t="str">
        <v>A</v>
      </c>
      <c r="J107" t="str">
        <f>IF(K107&gt;0,K107*0.0625,IF(L107&gt;0,L107*2.204623,))</f>
        <v>#REF!</v>
      </c>
      <c r="K107" t="str">
        <f>IF(L107&gt;0,L107*35.273962,IF(J107&gt;0,J107*16,))</f>
        <v>#REF!</v>
      </c>
      <c r="L107" t="str">
        <f>IF(J107&gt;0,J107*0.453592,IF(K107&gt;0,K107*0.02835,))</f>
        <v>#REF!</v>
      </c>
      <c r="O107">
        <f>I107+N107+M107</f>
        <v>0</v>
      </c>
      <c r="P107">
        <f>O107*B$3</f>
        <v>0</v>
      </c>
      <c r="Q107">
        <f>ROUND(SUM(P107), -2)</f>
        <v>0</v>
      </c>
      <c r="R107" t="str">
        <f>ROUNDUP(HLOOKUP(IF(CEILING(L107,0.5)&lt;1,0.5,CEILING(L107,0.5)),'배송비 조회'!A$44:AO$56,7,0)*B$3,-2)</f>
        <v>#REF!</v>
      </c>
      <c r="S107">
        <v>0</v>
      </c>
      <c r="T107" t="str">
        <f>ROUND((Q107+R107)*0.3,-2)</f>
        <v>#REF!</v>
      </c>
      <c r="U107" t="str">
        <f>ROUND((Q107+R107)*0.4,-2)</f>
        <v>#REF!</v>
      </c>
      <c r="V107" t="str">
        <f>SUM(Q107:R107)+T107</f>
        <v>#REF!</v>
      </c>
      <c r="W107" t="str">
        <f>SUM(Q107:S107)+U107</f>
        <v>#REF!</v>
      </c>
      <c r="X107">
        <v>0</v>
      </c>
      <c r="Y107" t="str">
        <f>V107*0.038</f>
        <v>#REF!</v>
      </c>
      <c r="Z107" t="str">
        <f>V107*0.02</f>
        <v>#REF!</v>
      </c>
      <c r="AA107" t="str">
        <f>W107*0.1</f>
        <v>#REF!</v>
      </c>
      <c r="AB107" t="str">
        <f>V107-Y107-Z107</f>
        <v>#REF!</v>
      </c>
      <c r="AC107" t="str">
        <f>W107-AA107</f>
        <v>#REF!</v>
      </c>
      <c r="AD107" t="str">
        <f>AB107*0.01</f>
        <v>#REF!</v>
      </c>
      <c r="AE107" t="str">
        <f>AB107-Q107-AD107-R107</f>
        <v>#REF!</v>
      </c>
      <c r="AF107" t="str">
        <f>AC107-Q107-AD107-R107</f>
        <v>#REF!</v>
      </c>
      <c r="AG107" t="str">
        <f>AE107/V107</f>
        <v>#REF!</v>
      </c>
      <c r="AH107" t="str">
        <f>AF107/W107</f>
        <v>#REF!</v>
      </c>
    </row>
    <row r="108">
      <c r="G108" t="str">
        <v>A</v>
      </c>
      <c r="J108" t="str">
        <f>IF(K108&gt;0,K108*0.0625,IF(L108&gt;0,L108*2.204623,))</f>
        <v>#REF!</v>
      </c>
      <c r="K108" t="str">
        <f>IF(L108&gt;0,L108*35.273962,IF(J108&gt;0,J108*16,))</f>
        <v>#REF!</v>
      </c>
      <c r="L108" t="str">
        <f>IF(J108&gt;0,J108*0.453592,IF(K108&gt;0,K108*0.02835,))</f>
        <v>#REF!</v>
      </c>
      <c r="O108">
        <f>I108+N108+M108</f>
        <v>0</v>
      </c>
      <c r="P108">
        <f>O108*B$3</f>
        <v>0</v>
      </c>
      <c r="Q108">
        <f>ROUND(SUM(P108), -2)</f>
        <v>0</v>
      </c>
      <c r="R108" t="str">
        <f>ROUNDUP(HLOOKUP(IF(CEILING(L108,0.5)&lt;1,0.5,CEILING(L108,0.5)),'배송비 조회'!A$44:AO$56,7,0)*B$3,-2)</f>
        <v>#REF!</v>
      </c>
      <c r="S108">
        <v>0</v>
      </c>
      <c r="T108" t="str">
        <f>ROUND((Q108+R108)*0.3,-2)</f>
        <v>#REF!</v>
      </c>
      <c r="U108" t="str">
        <f>ROUND((Q108+R108)*0.4,-2)</f>
        <v>#REF!</v>
      </c>
      <c r="V108" t="str">
        <f>SUM(Q108:R108)+T108</f>
        <v>#REF!</v>
      </c>
      <c r="W108" t="str">
        <f>SUM(Q108:S108)+U108</f>
        <v>#REF!</v>
      </c>
      <c r="X108">
        <v>0</v>
      </c>
      <c r="Y108" t="str">
        <f>V108*0.038</f>
        <v>#REF!</v>
      </c>
      <c r="Z108" t="str">
        <f>V108*0.02</f>
        <v>#REF!</v>
      </c>
      <c r="AA108" t="str">
        <f>W108*0.1</f>
        <v>#REF!</v>
      </c>
      <c r="AB108" t="str">
        <f>V108-Y108-Z108</f>
        <v>#REF!</v>
      </c>
      <c r="AC108" t="str">
        <f>W108-AA108</f>
        <v>#REF!</v>
      </c>
      <c r="AD108" t="str">
        <f>AB108*0.01</f>
        <v>#REF!</v>
      </c>
      <c r="AE108" t="str">
        <f>AB108-Q108-AD108-R108</f>
        <v>#REF!</v>
      </c>
      <c r="AF108" t="str">
        <f>AC108-Q108-AD108-R108</f>
        <v>#REF!</v>
      </c>
      <c r="AG108" t="str">
        <f>AE108/V108</f>
        <v>#REF!</v>
      </c>
      <c r="AH108" t="str">
        <f>AF108/W108</f>
        <v>#REF!</v>
      </c>
    </row>
    <row r="109">
      <c r="G109" t="str">
        <v>A</v>
      </c>
      <c r="J109" t="str">
        <f>IF(K109&gt;0,K109*0.0625,IF(L109&gt;0,L109*2.204623,))</f>
        <v>#REF!</v>
      </c>
      <c r="K109" t="str">
        <f>IF(L109&gt;0,L109*35.273962,IF(J109&gt;0,J109*16,))</f>
        <v>#REF!</v>
      </c>
      <c r="L109" t="str">
        <f>IF(J109&gt;0,J109*0.453592,IF(K109&gt;0,K109*0.02835,))</f>
        <v>#REF!</v>
      </c>
      <c r="O109">
        <f>I109+N109+M109</f>
        <v>0</v>
      </c>
      <c r="P109">
        <f>O109*B$3</f>
        <v>0</v>
      </c>
      <c r="Q109">
        <f>ROUND(SUM(P109), -2)</f>
        <v>0</v>
      </c>
      <c r="R109" t="str">
        <f>ROUNDUP(HLOOKUP(IF(CEILING(L109,0.5)&lt;1,0.5,CEILING(L109,0.5)),'배송비 조회'!A$44:AO$56,7,0)*B$3,-2)</f>
        <v>#REF!</v>
      </c>
      <c r="S109">
        <v>0</v>
      </c>
      <c r="T109" t="str">
        <f>ROUND((Q109+R109)*0.3,-2)</f>
        <v>#REF!</v>
      </c>
      <c r="U109" t="str">
        <f>ROUND((Q109+R109)*0.4,-2)</f>
        <v>#REF!</v>
      </c>
      <c r="V109" t="str">
        <f>SUM(Q109:R109)+T109</f>
        <v>#REF!</v>
      </c>
      <c r="W109" t="str">
        <f>SUM(Q109:S109)+U109</f>
        <v>#REF!</v>
      </c>
      <c r="X109">
        <v>0</v>
      </c>
      <c r="Y109" t="str">
        <f>V109*0.038</f>
        <v>#REF!</v>
      </c>
      <c r="Z109" t="str">
        <f>V109*0.02</f>
        <v>#REF!</v>
      </c>
      <c r="AA109" t="str">
        <f>W109*0.1</f>
        <v>#REF!</v>
      </c>
      <c r="AB109" t="str">
        <f>V109-Y109-Z109</f>
        <v>#REF!</v>
      </c>
      <c r="AC109" t="str">
        <f>W109-AA109</f>
        <v>#REF!</v>
      </c>
      <c r="AD109" t="str">
        <f>AB109*0.01</f>
        <v>#REF!</v>
      </c>
      <c r="AE109" t="str">
        <f>AB109-Q109-AD109-R109</f>
        <v>#REF!</v>
      </c>
      <c r="AF109" t="str">
        <f>AC109-Q109-AD109-R109</f>
        <v>#REF!</v>
      </c>
      <c r="AG109" t="str">
        <f>AE109/V109</f>
        <v>#REF!</v>
      </c>
      <c r="AH109" t="str">
        <f>AF109/W109</f>
        <v>#REF!</v>
      </c>
    </row>
    <row r="110">
      <c r="G110" t="str">
        <v>A</v>
      </c>
      <c r="J110" t="str">
        <f>IF(K110&gt;0,K110*0.0625,IF(L110&gt;0,L110*2.204623,))</f>
        <v>#REF!</v>
      </c>
      <c r="K110" t="str">
        <f>IF(L110&gt;0,L110*35.273962,IF(J110&gt;0,J110*16,))</f>
        <v>#REF!</v>
      </c>
      <c r="L110" t="str">
        <f>IF(J110&gt;0,J110*0.453592,IF(K110&gt;0,K110*0.02835,))</f>
        <v>#REF!</v>
      </c>
      <c r="O110">
        <f>I110+N110+M110</f>
        <v>0</v>
      </c>
      <c r="P110">
        <f>O110*B$3</f>
        <v>0</v>
      </c>
      <c r="Q110">
        <f>ROUND(SUM(P110), -2)</f>
        <v>0</v>
      </c>
      <c r="R110" t="str">
        <f>ROUNDUP(HLOOKUP(IF(CEILING(L110,0.5)&lt;1,0.5,CEILING(L110,0.5)),'배송비 조회'!A$44:AO$56,7,0)*B$3,-2)</f>
        <v>#REF!</v>
      </c>
      <c r="S110">
        <v>0</v>
      </c>
      <c r="T110" t="str">
        <f>ROUND((Q110+R110)*0.3,-2)</f>
        <v>#REF!</v>
      </c>
      <c r="U110" t="str">
        <f>ROUND((Q110+R110)*0.4,-2)</f>
        <v>#REF!</v>
      </c>
      <c r="V110" t="str">
        <f>SUM(Q110:R110)+T110</f>
        <v>#REF!</v>
      </c>
      <c r="W110" t="str">
        <f>SUM(Q110:S110)+U110</f>
        <v>#REF!</v>
      </c>
      <c r="X110">
        <v>0</v>
      </c>
      <c r="Y110" t="str">
        <f>V110*0.038</f>
        <v>#REF!</v>
      </c>
      <c r="Z110" t="str">
        <f>V110*0.02</f>
        <v>#REF!</v>
      </c>
      <c r="AA110" t="str">
        <f>W110*0.1</f>
        <v>#REF!</v>
      </c>
      <c r="AB110" t="str">
        <f>V110-Y110-Z110</f>
        <v>#REF!</v>
      </c>
      <c r="AC110" t="str">
        <f>W110-AA110</f>
        <v>#REF!</v>
      </c>
      <c r="AD110" t="str">
        <f>AB110*0.01</f>
        <v>#REF!</v>
      </c>
      <c r="AE110" t="str">
        <f>AB110-Q110-AD110-R110</f>
        <v>#REF!</v>
      </c>
      <c r="AF110" t="str">
        <f>AC110-Q110-AD110-R110</f>
        <v>#REF!</v>
      </c>
      <c r="AG110" t="str">
        <f>AE110/V110</f>
        <v>#REF!</v>
      </c>
      <c r="AH110" t="str">
        <f>AF110/W110</f>
        <v>#REF!</v>
      </c>
    </row>
    <row r="111">
      <c r="G111" t="str">
        <v>A</v>
      </c>
      <c r="J111" t="str">
        <f>IF(K111&gt;0,K111*0.0625,IF(L111&gt;0,L111*2.204623,))</f>
        <v>#REF!</v>
      </c>
      <c r="K111" t="str">
        <f>IF(L111&gt;0,L111*35.273962,IF(J111&gt;0,J111*16,))</f>
        <v>#REF!</v>
      </c>
      <c r="L111" t="str">
        <f>IF(J111&gt;0,J111*0.453592,IF(K111&gt;0,K111*0.02835,))</f>
        <v>#REF!</v>
      </c>
      <c r="O111">
        <f>I111+N111+M111</f>
        <v>0</v>
      </c>
      <c r="P111">
        <f>O111*B$3</f>
        <v>0</v>
      </c>
      <c r="Q111">
        <f>ROUND(SUM(P111), -2)</f>
        <v>0</v>
      </c>
      <c r="R111" t="str">
        <f>ROUNDUP(HLOOKUP(IF(CEILING(L111,0.5)&lt;1,0.5,CEILING(L111,0.5)),'배송비 조회'!A$44:AO$56,7,0)*B$3,-2)</f>
        <v>#REF!</v>
      </c>
      <c r="S111">
        <v>0</v>
      </c>
      <c r="T111" t="str">
        <f>ROUND((Q111+R111)*0.3,-2)</f>
        <v>#REF!</v>
      </c>
      <c r="U111" t="str">
        <f>ROUND((Q111+R111)*0.4,-2)</f>
        <v>#REF!</v>
      </c>
      <c r="V111" t="str">
        <f>SUM(Q111:R111)+T111</f>
        <v>#REF!</v>
      </c>
      <c r="W111" t="str">
        <f>SUM(Q111:S111)+U111</f>
        <v>#REF!</v>
      </c>
      <c r="X111">
        <v>0</v>
      </c>
      <c r="Y111" t="str">
        <f>V111*0.038</f>
        <v>#REF!</v>
      </c>
      <c r="Z111" t="str">
        <f>V111*0.02</f>
        <v>#REF!</v>
      </c>
      <c r="AA111" t="str">
        <f>W111*0.1</f>
        <v>#REF!</v>
      </c>
      <c r="AB111" t="str">
        <f>V111-Y111-Z111</f>
        <v>#REF!</v>
      </c>
      <c r="AC111" t="str">
        <f>W111-AA111</f>
        <v>#REF!</v>
      </c>
      <c r="AD111" t="str">
        <f>AB111*0.01</f>
        <v>#REF!</v>
      </c>
      <c r="AE111" t="str">
        <f>AB111-Q111-AD111-R111</f>
        <v>#REF!</v>
      </c>
      <c r="AF111" t="str">
        <f>AC111-Q111-AD111-R111</f>
        <v>#REF!</v>
      </c>
      <c r="AG111" t="str">
        <f>AE111/V111</f>
        <v>#REF!</v>
      </c>
      <c r="AH111" t="str">
        <f>AF111/W111</f>
        <v>#REF!</v>
      </c>
    </row>
    <row r="112">
      <c r="G112" t="str">
        <v>A</v>
      </c>
      <c r="J112" t="str">
        <f>IF(K112&gt;0,K112*0.0625,IF(L112&gt;0,L112*2.204623,))</f>
        <v>#REF!</v>
      </c>
      <c r="K112" t="str">
        <f>IF(L112&gt;0,L112*35.273962,IF(J112&gt;0,J112*16,))</f>
        <v>#REF!</v>
      </c>
      <c r="L112" t="str">
        <f>IF(J112&gt;0,J112*0.453592,IF(K112&gt;0,K112*0.02835,))</f>
        <v>#REF!</v>
      </c>
      <c r="O112">
        <f>I112+N112+M112</f>
        <v>0</v>
      </c>
      <c r="P112">
        <f>O112*B$3</f>
        <v>0</v>
      </c>
      <c r="Q112">
        <f>ROUND(SUM(P112), -2)</f>
        <v>0</v>
      </c>
      <c r="R112" t="str">
        <f>ROUNDUP(HLOOKUP(IF(CEILING(L112,0.5)&lt;1,0.5,CEILING(L112,0.5)),'배송비 조회'!A$44:AO$56,7,0)*B$3,-2)</f>
        <v>#REF!</v>
      </c>
      <c r="S112">
        <v>0</v>
      </c>
      <c r="T112" t="str">
        <f>ROUND((Q112+R112)*0.3,-2)</f>
        <v>#REF!</v>
      </c>
      <c r="U112" t="str">
        <f>ROUND((Q112+R112)*0.4,-2)</f>
        <v>#REF!</v>
      </c>
      <c r="V112" t="str">
        <f>SUM(Q112:R112)+T112</f>
        <v>#REF!</v>
      </c>
      <c r="W112" t="str">
        <f>SUM(Q112:S112)+U112</f>
        <v>#REF!</v>
      </c>
      <c r="X112">
        <v>0</v>
      </c>
      <c r="Y112" t="str">
        <f>V112*0.038</f>
        <v>#REF!</v>
      </c>
      <c r="Z112" t="str">
        <f>V112*0.02</f>
        <v>#REF!</v>
      </c>
      <c r="AA112" t="str">
        <f>W112*0.1</f>
        <v>#REF!</v>
      </c>
      <c r="AB112" t="str">
        <f>V112-Y112-Z112</f>
        <v>#REF!</v>
      </c>
      <c r="AC112" t="str">
        <f>W112-AA112</f>
        <v>#REF!</v>
      </c>
      <c r="AD112" t="str">
        <f>AB112*0.01</f>
        <v>#REF!</v>
      </c>
      <c r="AE112" t="str">
        <f>AB112-Q112-AD112-R112</f>
        <v>#REF!</v>
      </c>
      <c r="AF112" t="str">
        <f>AC112-Q112-AD112-R112</f>
        <v>#REF!</v>
      </c>
      <c r="AG112" t="str">
        <f>AE112/V112</f>
        <v>#REF!</v>
      </c>
      <c r="AH112" t="str">
        <f>AF112/W112</f>
        <v>#REF!</v>
      </c>
    </row>
    <row r="113">
      <c r="G113" t="str">
        <v>A</v>
      </c>
      <c r="J113" t="str">
        <f>IF(K113&gt;0,K113*0.0625,IF(L113&gt;0,L113*2.204623,))</f>
        <v>#REF!</v>
      </c>
      <c r="K113" t="str">
        <f>IF(L113&gt;0,L113*35.273962,IF(J113&gt;0,J113*16,))</f>
        <v>#REF!</v>
      </c>
      <c r="L113" t="str">
        <f>IF(J113&gt;0,J113*0.453592,IF(K113&gt;0,K113*0.02835,))</f>
        <v>#REF!</v>
      </c>
      <c r="O113">
        <f>I113+N113+M113</f>
        <v>0</v>
      </c>
      <c r="P113">
        <f>O113*B$3</f>
        <v>0</v>
      </c>
      <c r="Q113">
        <f>ROUND(SUM(P113), -2)</f>
        <v>0</v>
      </c>
      <c r="R113" t="str">
        <f>ROUNDUP(HLOOKUP(IF(CEILING(L113,0.5)&lt;1,0.5,CEILING(L113,0.5)),'배송비 조회'!A$44:AO$56,7,0)*B$3,-2)</f>
        <v>#REF!</v>
      </c>
      <c r="S113">
        <v>0</v>
      </c>
      <c r="T113" t="str">
        <f>ROUND((Q113+R113)*0.3,-2)</f>
        <v>#REF!</v>
      </c>
      <c r="U113" t="str">
        <f>ROUND((Q113+R113)*0.4,-2)</f>
        <v>#REF!</v>
      </c>
      <c r="V113" t="str">
        <f>SUM(Q113:R113)+T113</f>
        <v>#REF!</v>
      </c>
      <c r="W113" t="str">
        <f>SUM(Q113:S113)+U113</f>
        <v>#REF!</v>
      </c>
      <c r="X113">
        <v>0</v>
      </c>
      <c r="Y113" t="str">
        <f>V113*0.038</f>
        <v>#REF!</v>
      </c>
      <c r="Z113" t="str">
        <f>V113*0.02</f>
        <v>#REF!</v>
      </c>
      <c r="AA113" t="str">
        <f>W113*0.1</f>
        <v>#REF!</v>
      </c>
      <c r="AB113" t="str">
        <f>V113-Y113-Z113</f>
        <v>#REF!</v>
      </c>
      <c r="AC113" t="str">
        <f>W113-AA113</f>
        <v>#REF!</v>
      </c>
      <c r="AD113" t="str">
        <f>AB113*0.01</f>
        <v>#REF!</v>
      </c>
      <c r="AE113" t="str">
        <f>AB113-Q113-AD113-R113</f>
        <v>#REF!</v>
      </c>
      <c r="AF113" t="str">
        <f>AC113-Q113-AD113-R113</f>
        <v>#REF!</v>
      </c>
      <c r="AG113" t="str">
        <f>AE113/V113</f>
        <v>#REF!</v>
      </c>
      <c r="AH113" t="str">
        <f>AF113/W113</f>
        <v>#REF!</v>
      </c>
    </row>
    <row r="114">
      <c r="G114" t="str">
        <v>A</v>
      </c>
      <c r="J114" t="str">
        <f>IF(K114&gt;0,K114*0.0625,IF(L114&gt;0,L114*2.204623,))</f>
        <v>#REF!</v>
      </c>
      <c r="K114" t="str">
        <f>IF(L114&gt;0,L114*35.273962,IF(J114&gt;0,J114*16,))</f>
        <v>#REF!</v>
      </c>
      <c r="L114" t="str">
        <f>IF(J114&gt;0,J114*0.453592,IF(K114&gt;0,K114*0.02835,))</f>
        <v>#REF!</v>
      </c>
      <c r="O114">
        <f>I114+N114+M114</f>
        <v>0</v>
      </c>
      <c r="P114">
        <f>O114*B$3</f>
        <v>0</v>
      </c>
      <c r="Q114">
        <f>ROUND(SUM(P114), -2)</f>
        <v>0</v>
      </c>
      <c r="R114" t="str">
        <f>ROUNDUP(HLOOKUP(IF(CEILING(L114,0.5)&lt;1,0.5,CEILING(L114,0.5)),'배송비 조회'!A$44:AO$56,7,0)*B$3,-2)</f>
        <v>#REF!</v>
      </c>
      <c r="S114">
        <v>0</v>
      </c>
      <c r="T114" t="str">
        <f>ROUND((Q114+R114)*0.3,-2)</f>
        <v>#REF!</v>
      </c>
      <c r="U114" t="str">
        <f>ROUND((Q114+R114)*0.4,-2)</f>
        <v>#REF!</v>
      </c>
      <c r="V114" t="str">
        <f>SUM(Q114:R114)+T114</f>
        <v>#REF!</v>
      </c>
      <c r="W114" t="str">
        <f>SUM(Q114:S114)+U114</f>
        <v>#REF!</v>
      </c>
      <c r="X114">
        <v>0</v>
      </c>
      <c r="Y114" t="str">
        <f>V114*0.038</f>
        <v>#REF!</v>
      </c>
      <c r="Z114" t="str">
        <f>V114*0.02</f>
        <v>#REF!</v>
      </c>
      <c r="AA114" t="str">
        <f>W114*0.1</f>
        <v>#REF!</v>
      </c>
      <c r="AB114" t="str">
        <f>V114-Y114-Z114</f>
        <v>#REF!</v>
      </c>
      <c r="AC114" t="str">
        <f>W114-AA114</f>
        <v>#REF!</v>
      </c>
      <c r="AD114" t="str">
        <f>AB114*0.01</f>
        <v>#REF!</v>
      </c>
      <c r="AE114" t="str">
        <f>AB114-Q114-AD114-R114</f>
        <v>#REF!</v>
      </c>
      <c r="AF114" t="str">
        <f>AC114-Q114-AD114-R114</f>
        <v>#REF!</v>
      </c>
      <c r="AG114" t="str">
        <f>AE114/V114</f>
        <v>#REF!</v>
      </c>
      <c r="AH114" t="str">
        <f>AF114/W114</f>
        <v>#REF!</v>
      </c>
    </row>
    <row r="115">
      <c r="G115" t="str">
        <v>A</v>
      </c>
      <c r="J115" t="str">
        <f>IF(K115&gt;0,K115*0.0625,IF(L115&gt;0,L115*2.204623,))</f>
        <v>#REF!</v>
      </c>
      <c r="K115" t="str">
        <f>IF(L115&gt;0,L115*35.273962,IF(J115&gt;0,J115*16,))</f>
        <v>#REF!</v>
      </c>
      <c r="L115" t="str">
        <f>IF(J115&gt;0,J115*0.453592,IF(K115&gt;0,K115*0.02835,))</f>
        <v>#REF!</v>
      </c>
      <c r="O115">
        <f>I115+N115+M115</f>
        <v>0</v>
      </c>
      <c r="P115">
        <f>O115*B$3</f>
        <v>0</v>
      </c>
      <c r="Q115">
        <f>ROUND(SUM(P115), -2)</f>
        <v>0</v>
      </c>
      <c r="R115" t="str">
        <f>ROUNDUP(HLOOKUP(IF(CEILING(L115,0.5)&lt;1,0.5,CEILING(L115,0.5)),'배송비 조회'!A$44:AO$56,7,0)*B$3,-2)</f>
        <v>#REF!</v>
      </c>
      <c r="S115">
        <v>0</v>
      </c>
      <c r="T115" t="str">
        <f>ROUND((Q115+R115)*0.3,-2)</f>
        <v>#REF!</v>
      </c>
      <c r="U115" t="str">
        <f>ROUND((Q115+R115)*0.4,-2)</f>
        <v>#REF!</v>
      </c>
      <c r="V115" t="str">
        <f>SUM(Q115:R115)+T115</f>
        <v>#REF!</v>
      </c>
      <c r="W115" t="str">
        <f>SUM(Q115:S115)+U115</f>
        <v>#REF!</v>
      </c>
      <c r="X115">
        <v>0</v>
      </c>
      <c r="Y115" t="str">
        <f>V115*0.038</f>
        <v>#REF!</v>
      </c>
      <c r="Z115" t="str">
        <f>V115*0.02</f>
        <v>#REF!</v>
      </c>
      <c r="AA115" t="str">
        <f>W115*0.1</f>
        <v>#REF!</v>
      </c>
      <c r="AB115" t="str">
        <f>V115-Y115-Z115</f>
        <v>#REF!</v>
      </c>
      <c r="AC115" t="str">
        <f>W115-AA115</f>
        <v>#REF!</v>
      </c>
      <c r="AD115" t="str">
        <f>AB115*0.01</f>
        <v>#REF!</v>
      </c>
      <c r="AE115" t="str">
        <f>AB115-Q115-AD115-R115</f>
        <v>#REF!</v>
      </c>
      <c r="AF115" t="str">
        <f>AC115-Q115-AD115-R115</f>
        <v>#REF!</v>
      </c>
      <c r="AG115" t="str">
        <f>AE115/V115</f>
        <v>#REF!</v>
      </c>
      <c r="AH115" t="str">
        <f>AF115/W115</f>
        <v>#REF!</v>
      </c>
    </row>
    <row r="116">
      <c r="G116" t="str">
        <v>A</v>
      </c>
      <c r="J116" t="str">
        <f>IF(K116&gt;0,K116*0.0625,IF(L116&gt;0,L116*2.204623,))</f>
        <v>#REF!</v>
      </c>
      <c r="K116" t="str">
        <f>IF(L116&gt;0,L116*35.273962,IF(J116&gt;0,J116*16,))</f>
        <v>#REF!</v>
      </c>
      <c r="L116" t="str">
        <f>IF(J116&gt;0,J116*0.453592,IF(K116&gt;0,K116*0.02835,))</f>
        <v>#REF!</v>
      </c>
      <c r="O116">
        <f>I116+N116+M116</f>
        <v>0</v>
      </c>
      <c r="P116">
        <f>O116*B$3</f>
        <v>0</v>
      </c>
      <c r="Q116">
        <f>ROUND(SUM(P116), -2)</f>
        <v>0</v>
      </c>
      <c r="R116" t="str">
        <f>ROUNDUP(HLOOKUP(IF(CEILING(L116,0.5)&lt;1,0.5,CEILING(L116,0.5)),'배송비 조회'!A$44:AO$56,7,0)*B$3,-2)</f>
        <v>#REF!</v>
      </c>
      <c r="S116">
        <v>0</v>
      </c>
      <c r="T116" t="str">
        <f>ROUND((Q116+R116)*0.3,-2)</f>
        <v>#REF!</v>
      </c>
      <c r="U116" t="str">
        <f>ROUND((Q116+R116)*0.4,-2)</f>
        <v>#REF!</v>
      </c>
      <c r="V116" t="str">
        <f>SUM(Q116:R116)+T116</f>
        <v>#REF!</v>
      </c>
      <c r="W116" t="str">
        <f>SUM(Q116:S116)+U116</f>
        <v>#REF!</v>
      </c>
      <c r="X116">
        <v>0</v>
      </c>
      <c r="Y116" t="str">
        <f>V116*0.038</f>
        <v>#REF!</v>
      </c>
      <c r="Z116" t="str">
        <f>V116*0.02</f>
        <v>#REF!</v>
      </c>
      <c r="AA116" t="str">
        <f>W116*0.1</f>
        <v>#REF!</v>
      </c>
      <c r="AB116" t="str">
        <f>V116-Y116-Z116</f>
        <v>#REF!</v>
      </c>
      <c r="AC116" t="str">
        <f>W116-AA116</f>
        <v>#REF!</v>
      </c>
      <c r="AD116" t="str">
        <f>AB116*0.01</f>
        <v>#REF!</v>
      </c>
      <c r="AE116" t="str">
        <f>AB116-Q116-AD116-R116</f>
        <v>#REF!</v>
      </c>
      <c r="AF116" t="str">
        <f>AC116-Q116-AD116-R116</f>
        <v>#REF!</v>
      </c>
      <c r="AG116" t="str">
        <f>AE116/V116</f>
        <v>#REF!</v>
      </c>
      <c r="AH116" t="str">
        <f>AF116/W116</f>
        <v>#REF!</v>
      </c>
    </row>
    <row r="117">
      <c r="G117" t="str">
        <v>A</v>
      </c>
      <c r="J117" t="str">
        <f>IF(K117&gt;0,K117*0.0625,IF(L117&gt;0,L117*2.204623,))</f>
        <v>#REF!</v>
      </c>
      <c r="K117" t="str">
        <f>IF(L117&gt;0,L117*35.273962,IF(J117&gt;0,J117*16,))</f>
        <v>#REF!</v>
      </c>
      <c r="L117" t="str">
        <f>IF(J117&gt;0,J117*0.453592,IF(K117&gt;0,K117*0.02835,))</f>
        <v>#REF!</v>
      </c>
      <c r="O117">
        <f>I117+N117+M117</f>
        <v>0</v>
      </c>
      <c r="P117">
        <f>O117*B$3</f>
        <v>0</v>
      </c>
      <c r="Q117">
        <f>ROUND(SUM(P117), -2)</f>
        <v>0</v>
      </c>
      <c r="R117" t="str">
        <f>ROUNDUP(HLOOKUP(IF(CEILING(L117,0.5)&lt;1,0.5,CEILING(L117,0.5)),'배송비 조회'!A$44:AO$56,7,0)*B$3,-2)</f>
        <v>#REF!</v>
      </c>
      <c r="S117">
        <v>0</v>
      </c>
      <c r="T117" t="str">
        <f>ROUND((Q117+R117)*0.3,-2)</f>
        <v>#REF!</v>
      </c>
      <c r="U117" t="str">
        <f>ROUND((Q117+R117)*0.4,-2)</f>
        <v>#REF!</v>
      </c>
      <c r="V117" t="str">
        <f>SUM(Q117:R117)+T117</f>
        <v>#REF!</v>
      </c>
      <c r="W117" t="str">
        <f>SUM(Q117:S117)+U117</f>
        <v>#REF!</v>
      </c>
      <c r="X117">
        <v>0</v>
      </c>
      <c r="Y117" t="str">
        <f>V117*0.038</f>
        <v>#REF!</v>
      </c>
      <c r="Z117" t="str">
        <f>V117*0.02</f>
        <v>#REF!</v>
      </c>
      <c r="AA117" t="str">
        <f>W117*0.1</f>
        <v>#REF!</v>
      </c>
      <c r="AB117" t="str">
        <f>V117-Y117-Z117</f>
        <v>#REF!</v>
      </c>
      <c r="AC117" t="str">
        <f>W117-AA117</f>
        <v>#REF!</v>
      </c>
      <c r="AD117" t="str">
        <f>AB117*0.01</f>
        <v>#REF!</v>
      </c>
      <c r="AE117" t="str">
        <f>AB117-Q117-AD117-R117</f>
        <v>#REF!</v>
      </c>
      <c r="AF117" t="str">
        <f>AC117-Q117-AD117-R117</f>
        <v>#REF!</v>
      </c>
      <c r="AG117" t="str">
        <f>AE117/V117</f>
        <v>#REF!</v>
      </c>
      <c r="AH117" t="str">
        <f>AF117/W117</f>
        <v>#REF!</v>
      </c>
    </row>
    <row r="118">
      <c r="G118" t="str">
        <v>A</v>
      </c>
      <c r="J118" t="str">
        <f>IF(K118&gt;0,K118*0.0625,IF(L118&gt;0,L118*2.204623,))</f>
        <v>#REF!</v>
      </c>
      <c r="K118" t="str">
        <f>IF(L118&gt;0,L118*35.273962,IF(J118&gt;0,J118*16,))</f>
        <v>#REF!</v>
      </c>
      <c r="L118" t="str">
        <f>IF(J118&gt;0,J118*0.453592,IF(K118&gt;0,K118*0.02835,))</f>
        <v>#REF!</v>
      </c>
      <c r="O118">
        <f>I118+N118+M118</f>
        <v>0</v>
      </c>
      <c r="P118">
        <f>O118*B$3</f>
        <v>0</v>
      </c>
      <c r="Q118">
        <f>ROUND(SUM(P118), -2)</f>
        <v>0</v>
      </c>
      <c r="R118" t="str">
        <f>ROUNDUP(HLOOKUP(IF(CEILING(L118,0.5)&lt;1,0.5,CEILING(L118,0.5)),'배송비 조회'!A$44:AO$56,7,0)*B$3,-2)</f>
        <v>#REF!</v>
      </c>
      <c r="S118">
        <v>0</v>
      </c>
      <c r="T118" t="str">
        <f>ROUND((Q118+R118)*0.3,-2)</f>
        <v>#REF!</v>
      </c>
      <c r="U118" t="str">
        <f>ROUND((Q118+R118)*0.4,-2)</f>
        <v>#REF!</v>
      </c>
      <c r="V118" t="str">
        <f>SUM(Q118:R118)+T118</f>
        <v>#REF!</v>
      </c>
      <c r="W118" t="str">
        <f>SUM(Q118:S118)+U118</f>
        <v>#REF!</v>
      </c>
      <c r="X118">
        <v>0</v>
      </c>
      <c r="Y118" t="str">
        <f>V118*0.038</f>
        <v>#REF!</v>
      </c>
      <c r="Z118" t="str">
        <f>V118*0.02</f>
        <v>#REF!</v>
      </c>
      <c r="AA118" t="str">
        <f>W118*0.1</f>
        <v>#REF!</v>
      </c>
      <c r="AB118" t="str">
        <f>V118-Y118-Z118</f>
        <v>#REF!</v>
      </c>
      <c r="AC118" t="str">
        <f>W118-AA118</f>
        <v>#REF!</v>
      </c>
      <c r="AD118" t="str">
        <f>AB118*0.01</f>
        <v>#REF!</v>
      </c>
      <c r="AE118" t="str">
        <f>AB118-Q118-AD118-R118</f>
        <v>#REF!</v>
      </c>
      <c r="AF118" t="str">
        <f>AC118-Q118-AD118-R118</f>
        <v>#REF!</v>
      </c>
      <c r="AG118" t="str">
        <f>AE118/V118</f>
        <v>#REF!</v>
      </c>
      <c r="AH118" t="str">
        <f>AF118/W118</f>
        <v>#REF!</v>
      </c>
    </row>
    <row r="119">
      <c r="G119" t="str">
        <v>A</v>
      </c>
      <c r="J119" t="str">
        <f>IF(K119&gt;0,K119*0.0625,IF(L119&gt;0,L119*2.204623,))</f>
        <v>#REF!</v>
      </c>
      <c r="K119" t="str">
        <f>IF(L119&gt;0,L119*35.273962,IF(J119&gt;0,J119*16,))</f>
        <v>#REF!</v>
      </c>
      <c r="L119" t="str">
        <f>IF(J119&gt;0,J119*0.453592,IF(K119&gt;0,K119*0.02835,))</f>
        <v>#REF!</v>
      </c>
      <c r="O119">
        <f>I119+N119+M119</f>
        <v>0</v>
      </c>
      <c r="P119">
        <f>O119*B$3</f>
        <v>0</v>
      </c>
      <c r="Q119">
        <f>ROUND(SUM(P119), -2)</f>
        <v>0</v>
      </c>
      <c r="R119" t="str">
        <f>ROUNDUP(HLOOKUP(IF(CEILING(L119,0.5)&lt;1,0.5,CEILING(L119,0.5)),'배송비 조회'!A$44:AO$56,7,0)*B$3,-2)</f>
        <v>#REF!</v>
      </c>
      <c r="S119">
        <v>0</v>
      </c>
      <c r="T119" t="str">
        <f>ROUND((Q119+R119)*0.3,-2)</f>
        <v>#REF!</v>
      </c>
      <c r="U119" t="str">
        <f>ROUND((Q119+R119)*0.4,-2)</f>
        <v>#REF!</v>
      </c>
      <c r="V119" t="str">
        <f>SUM(Q119:R119)+T119</f>
        <v>#REF!</v>
      </c>
      <c r="W119" t="str">
        <f>SUM(Q119:S119)+U119</f>
        <v>#REF!</v>
      </c>
      <c r="X119">
        <v>0</v>
      </c>
      <c r="Y119" t="str">
        <f>V119*0.038</f>
        <v>#REF!</v>
      </c>
      <c r="Z119" t="str">
        <f>V119*0.02</f>
        <v>#REF!</v>
      </c>
      <c r="AA119" t="str">
        <f>W119*0.1</f>
        <v>#REF!</v>
      </c>
      <c r="AB119" t="str">
        <f>V119-Y119-Z119</f>
        <v>#REF!</v>
      </c>
      <c r="AC119" t="str">
        <f>W119-AA119</f>
        <v>#REF!</v>
      </c>
      <c r="AD119" t="str">
        <f>AB119*0.01</f>
        <v>#REF!</v>
      </c>
      <c r="AE119" t="str">
        <f>AB119-Q119-AD119-R119</f>
        <v>#REF!</v>
      </c>
      <c r="AF119" t="str">
        <f>AC119-Q119-AD119-R119</f>
        <v>#REF!</v>
      </c>
      <c r="AG119" t="str">
        <f>AE119/V119</f>
        <v>#REF!</v>
      </c>
      <c r="AH119" t="str">
        <f>AF119/W119</f>
        <v>#REF!</v>
      </c>
    </row>
    <row r="120">
      <c r="G120" t="str">
        <v>A</v>
      </c>
      <c r="J120" t="str">
        <f>IF(K120&gt;0,K120*0.0625,IF(L120&gt;0,L120*2.204623,))</f>
        <v>#REF!</v>
      </c>
      <c r="K120" t="str">
        <f>IF(L120&gt;0,L120*35.273962,IF(J120&gt;0,J120*16,))</f>
        <v>#REF!</v>
      </c>
      <c r="L120" t="str">
        <f>IF(J120&gt;0,J120*0.453592,IF(K120&gt;0,K120*0.02835,))</f>
        <v>#REF!</v>
      </c>
      <c r="O120">
        <f>I120+N120+M120</f>
        <v>0</v>
      </c>
      <c r="P120">
        <f>O120*B$3</f>
        <v>0</v>
      </c>
      <c r="Q120">
        <f>ROUND(SUM(P120), -2)</f>
        <v>0</v>
      </c>
      <c r="R120" t="str">
        <f>ROUNDUP(HLOOKUP(IF(CEILING(L120,0.5)&lt;1,0.5,CEILING(L120,0.5)),'배송비 조회'!A$44:AO$56,7,0)*B$3,-2)</f>
        <v>#REF!</v>
      </c>
      <c r="S120">
        <v>0</v>
      </c>
      <c r="T120" t="str">
        <f>ROUND((Q120+R120)*0.3,-2)</f>
        <v>#REF!</v>
      </c>
      <c r="U120" t="str">
        <f>ROUND((Q120+R120)*0.4,-2)</f>
        <v>#REF!</v>
      </c>
      <c r="V120" t="str">
        <f>SUM(Q120:R120)+T120</f>
        <v>#REF!</v>
      </c>
      <c r="W120" t="str">
        <f>SUM(Q120:S120)+U120</f>
        <v>#REF!</v>
      </c>
      <c r="X120">
        <v>0</v>
      </c>
      <c r="Y120" t="str">
        <f>V120*0.038</f>
        <v>#REF!</v>
      </c>
      <c r="Z120" t="str">
        <f>V120*0.02</f>
        <v>#REF!</v>
      </c>
      <c r="AA120" t="str">
        <f>W120*0.1</f>
        <v>#REF!</v>
      </c>
      <c r="AB120" t="str">
        <f>V120-Y120-Z120</f>
        <v>#REF!</v>
      </c>
      <c r="AC120" t="str">
        <f>W120-AA120</f>
        <v>#REF!</v>
      </c>
      <c r="AD120" t="str">
        <f>AB120*0.01</f>
        <v>#REF!</v>
      </c>
      <c r="AE120" t="str">
        <f>AB120-Q120-AD120-R120</f>
        <v>#REF!</v>
      </c>
      <c r="AF120" t="str">
        <f>AC120-Q120-AD120-R120</f>
        <v>#REF!</v>
      </c>
      <c r="AG120" t="str">
        <f>AE120/V120</f>
        <v>#REF!</v>
      </c>
      <c r="AH120" t="str">
        <f>AF120/W120</f>
        <v>#REF!</v>
      </c>
    </row>
    <row r="121">
      <c r="G121" t="str">
        <v>A</v>
      </c>
      <c r="J121" t="str">
        <f>IF(K121&gt;0,K121*0.0625,IF(L121&gt;0,L121*2.204623,))</f>
        <v>#REF!</v>
      </c>
      <c r="K121" t="str">
        <f>IF(L121&gt;0,L121*35.273962,IF(J121&gt;0,J121*16,))</f>
        <v>#REF!</v>
      </c>
      <c r="L121" t="str">
        <f>IF(J121&gt;0,J121*0.453592,IF(K121&gt;0,K121*0.02835,))</f>
        <v>#REF!</v>
      </c>
      <c r="O121">
        <f>I121+N121+M121</f>
        <v>0</v>
      </c>
      <c r="P121">
        <f>O121*B$3</f>
        <v>0</v>
      </c>
      <c r="Q121">
        <f>ROUND(SUM(P121), -2)</f>
        <v>0</v>
      </c>
      <c r="R121" t="str">
        <f>ROUNDUP(HLOOKUP(IF(CEILING(L121,0.5)&lt;1,0.5,CEILING(L121,0.5)),'배송비 조회'!A$44:AO$56,7,0)*B$3,-2)</f>
        <v>#REF!</v>
      </c>
      <c r="S121">
        <v>0</v>
      </c>
      <c r="T121" t="str">
        <f>ROUND((Q121+R121)*0.3,-2)</f>
        <v>#REF!</v>
      </c>
      <c r="U121" t="str">
        <f>ROUND((Q121+R121)*0.4,-2)</f>
        <v>#REF!</v>
      </c>
      <c r="V121" t="str">
        <f>SUM(Q121:R121)+T121</f>
        <v>#REF!</v>
      </c>
      <c r="W121" t="str">
        <f>SUM(Q121:S121)+U121</f>
        <v>#REF!</v>
      </c>
      <c r="X121">
        <v>0</v>
      </c>
      <c r="Y121" t="str">
        <f>V121*0.038</f>
        <v>#REF!</v>
      </c>
      <c r="Z121" t="str">
        <f>V121*0.02</f>
        <v>#REF!</v>
      </c>
      <c r="AA121" t="str">
        <f>W121*0.1</f>
        <v>#REF!</v>
      </c>
      <c r="AB121" t="str">
        <f>V121-Y121-Z121</f>
        <v>#REF!</v>
      </c>
      <c r="AC121" t="str">
        <f>W121-AA121</f>
        <v>#REF!</v>
      </c>
      <c r="AD121" t="str">
        <f>AB121*0.01</f>
        <v>#REF!</v>
      </c>
      <c r="AE121" t="str">
        <f>AB121-Q121-AD121-R121</f>
        <v>#REF!</v>
      </c>
      <c r="AF121" t="str">
        <f>AC121-Q121-AD121-R121</f>
        <v>#REF!</v>
      </c>
      <c r="AG121" t="str">
        <f>AE121/V121</f>
        <v>#REF!</v>
      </c>
      <c r="AH121" t="str">
        <f>AF121/W121</f>
        <v>#REF!</v>
      </c>
    </row>
    <row r="122">
      <c r="G122" t="str">
        <v>A</v>
      </c>
      <c r="J122" t="str">
        <f>IF(K122&gt;0,K122*0.0625,IF(L122&gt;0,L122*2.204623,))</f>
        <v>#REF!</v>
      </c>
      <c r="K122" t="str">
        <f>IF(L122&gt;0,L122*35.273962,IF(J122&gt;0,J122*16,))</f>
        <v>#REF!</v>
      </c>
      <c r="L122" t="str">
        <f>IF(J122&gt;0,J122*0.453592,IF(K122&gt;0,K122*0.02835,))</f>
        <v>#REF!</v>
      </c>
      <c r="O122">
        <f>I122+N122+M122</f>
        <v>0</v>
      </c>
      <c r="P122">
        <f>O122*B$3</f>
        <v>0</v>
      </c>
      <c r="Q122">
        <f>ROUND(SUM(P122), -2)</f>
        <v>0</v>
      </c>
      <c r="R122" t="str">
        <f>ROUNDUP(HLOOKUP(IF(CEILING(L122,0.5)&lt;1,0.5,CEILING(L122,0.5)),'배송비 조회'!A$44:AO$56,7,0)*B$3,-2)</f>
        <v>#REF!</v>
      </c>
      <c r="S122">
        <v>0</v>
      </c>
      <c r="T122" t="str">
        <f>ROUND((Q122+R122)*0.3,-2)</f>
        <v>#REF!</v>
      </c>
      <c r="U122" t="str">
        <f>ROUND((Q122+R122)*0.4,-2)</f>
        <v>#REF!</v>
      </c>
      <c r="V122" t="str">
        <f>SUM(Q122:R122)+T122</f>
        <v>#REF!</v>
      </c>
      <c r="W122" t="str">
        <f>SUM(Q122:S122)+U122</f>
        <v>#REF!</v>
      </c>
      <c r="X122">
        <v>0</v>
      </c>
      <c r="Y122" t="str">
        <f>V122*0.038</f>
        <v>#REF!</v>
      </c>
      <c r="Z122" t="str">
        <f>V122*0.02</f>
        <v>#REF!</v>
      </c>
      <c r="AA122" t="str">
        <f>W122*0.1</f>
        <v>#REF!</v>
      </c>
      <c r="AB122" t="str">
        <f>V122-Y122-Z122</f>
        <v>#REF!</v>
      </c>
      <c r="AC122" t="str">
        <f>W122-AA122</f>
        <v>#REF!</v>
      </c>
      <c r="AD122" t="str">
        <f>AB122*0.01</f>
        <v>#REF!</v>
      </c>
      <c r="AE122" t="str">
        <f>AB122-Q122-AD122-R122</f>
        <v>#REF!</v>
      </c>
      <c r="AF122" t="str">
        <f>AC122-Q122-AD122-R122</f>
        <v>#REF!</v>
      </c>
      <c r="AG122" t="str">
        <f>AE122/V122</f>
        <v>#REF!</v>
      </c>
      <c r="AH122" t="str">
        <f>AF122/W122</f>
        <v>#REF!</v>
      </c>
    </row>
    <row r="123">
      <c r="G123" t="str">
        <v>A</v>
      </c>
      <c r="J123" t="str">
        <f>IF(K123&gt;0,K123*0.0625,IF(L123&gt;0,L123*2.204623,))</f>
        <v>#REF!</v>
      </c>
      <c r="K123" t="str">
        <f>IF(L123&gt;0,L123*35.273962,IF(J123&gt;0,J123*16,))</f>
        <v>#REF!</v>
      </c>
      <c r="L123" t="str">
        <f>IF(J123&gt;0,J123*0.453592,IF(K123&gt;0,K123*0.02835,))</f>
        <v>#REF!</v>
      </c>
      <c r="O123">
        <f>I123+N123+M123</f>
        <v>0</v>
      </c>
      <c r="P123">
        <f>O123*B$3</f>
        <v>0</v>
      </c>
      <c r="Q123">
        <f>ROUND(SUM(P123), -2)</f>
        <v>0</v>
      </c>
      <c r="R123" t="str">
        <f>ROUNDUP(HLOOKUP(IF(CEILING(L123,0.5)&lt;1,0.5,CEILING(L123,0.5)),'배송비 조회'!A$44:AO$56,7,0)*B$3,-2)</f>
        <v>#REF!</v>
      </c>
      <c r="S123">
        <v>0</v>
      </c>
      <c r="T123" t="str">
        <f>ROUND((Q123+R123)*0.3,-2)</f>
        <v>#REF!</v>
      </c>
      <c r="U123" t="str">
        <f>ROUND((Q123+R123)*0.4,-2)</f>
        <v>#REF!</v>
      </c>
      <c r="V123" t="str">
        <f>SUM(Q123:R123)+T123</f>
        <v>#REF!</v>
      </c>
      <c r="W123" t="str">
        <f>SUM(Q123:S123)+U123</f>
        <v>#REF!</v>
      </c>
      <c r="X123">
        <v>0</v>
      </c>
      <c r="Y123" t="str">
        <f>V123*0.038</f>
        <v>#REF!</v>
      </c>
      <c r="Z123" t="str">
        <f>V123*0.02</f>
        <v>#REF!</v>
      </c>
      <c r="AA123" t="str">
        <f>W123*0.1</f>
        <v>#REF!</v>
      </c>
      <c r="AB123" t="str">
        <f>V123-Y123-Z123</f>
        <v>#REF!</v>
      </c>
      <c r="AC123" t="str">
        <f>W123-AA123</f>
        <v>#REF!</v>
      </c>
      <c r="AD123" t="str">
        <f>AB123*0.01</f>
        <v>#REF!</v>
      </c>
      <c r="AE123" t="str">
        <f>AB123-Q123-AD123-R123</f>
        <v>#REF!</v>
      </c>
      <c r="AF123" t="str">
        <f>AC123-Q123-AD123-R123</f>
        <v>#REF!</v>
      </c>
      <c r="AG123" t="str">
        <f>AE123/V123</f>
        <v>#REF!</v>
      </c>
      <c r="AH123" t="str">
        <f>AF123/W123</f>
        <v>#REF!</v>
      </c>
    </row>
    <row r="124">
      <c r="G124" t="str">
        <v>A</v>
      </c>
      <c r="J124" t="str">
        <f>IF(K124&gt;0,K124*0.0625,IF(L124&gt;0,L124*2.204623,))</f>
        <v>#REF!</v>
      </c>
      <c r="K124" t="str">
        <f>IF(L124&gt;0,L124*35.273962,IF(J124&gt;0,J124*16,))</f>
        <v>#REF!</v>
      </c>
      <c r="L124" t="str">
        <f>IF(J124&gt;0,J124*0.453592,IF(K124&gt;0,K124*0.02835,))</f>
        <v>#REF!</v>
      </c>
      <c r="O124">
        <f>I124+N124+M124</f>
        <v>0</v>
      </c>
      <c r="P124">
        <f>O124*B$3</f>
        <v>0</v>
      </c>
      <c r="Q124">
        <f>ROUND(SUM(P124), -2)</f>
        <v>0</v>
      </c>
      <c r="R124" t="str">
        <f>ROUNDUP(HLOOKUP(IF(CEILING(L124,0.5)&lt;1,0.5,CEILING(L124,0.5)),'배송비 조회'!A$44:AO$56,7,0)*B$3,-2)</f>
        <v>#REF!</v>
      </c>
      <c r="S124">
        <v>0</v>
      </c>
      <c r="T124" t="str">
        <f>ROUND((Q124+R124)*0.3,-2)</f>
        <v>#REF!</v>
      </c>
      <c r="U124" t="str">
        <f>ROUND((Q124+R124)*0.4,-2)</f>
        <v>#REF!</v>
      </c>
      <c r="V124" t="str">
        <f>SUM(Q124:R124)+T124</f>
        <v>#REF!</v>
      </c>
      <c r="W124" t="str">
        <f>SUM(Q124:S124)+U124</f>
        <v>#REF!</v>
      </c>
      <c r="X124">
        <v>0</v>
      </c>
      <c r="Y124" t="str">
        <f>V124*0.038</f>
        <v>#REF!</v>
      </c>
      <c r="Z124" t="str">
        <f>V124*0.02</f>
        <v>#REF!</v>
      </c>
      <c r="AA124" t="str">
        <f>W124*0.1</f>
        <v>#REF!</v>
      </c>
      <c r="AB124" t="str">
        <f>V124-Y124-Z124</f>
        <v>#REF!</v>
      </c>
      <c r="AC124" t="str">
        <f>W124-AA124</f>
        <v>#REF!</v>
      </c>
      <c r="AD124" t="str">
        <f>AB124*0.01</f>
        <v>#REF!</v>
      </c>
      <c r="AE124" t="str">
        <f>AB124-Q124-AD124-R124</f>
        <v>#REF!</v>
      </c>
      <c r="AF124" t="str">
        <f>AC124-Q124-AD124-R124</f>
        <v>#REF!</v>
      </c>
      <c r="AG124" t="str">
        <f>AE124/V124</f>
        <v>#REF!</v>
      </c>
      <c r="AH124" t="str">
        <f>AF124/W124</f>
        <v>#REF!</v>
      </c>
    </row>
    <row r="125">
      <c r="G125" t="str">
        <v>A</v>
      </c>
      <c r="J125" t="str">
        <f>IF(K125&gt;0,K125*0.0625,IF(L125&gt;0,L125*2.204623,))</f>
        <v>#REF!</v>
      </c>
      <c r="K125" t="str">
        <f>IF(L125&gt;0,L125*35.273962,IF(J125&gt;0,J125*16,))</f>
        <v>#REF!</v>
      </c>
      <c r="L125" t="str">
        <f>IF(J125&gt;0,J125*0.453592,IF(K125&gt;0,K125*0.02835,))</f>
        <v>#REF!</v>
      </c>
      <c r="O125">
        <f>I125+N125+M125</f>
        <v>0</v>
      </c>
      <c r="P125">
        <f>O125*B$3</f>
        <v>0</v>
      </c>
      <c r="Q125">
        <f>ROUND(SUM(P125), -2)</f>
        <v>0</v>
      </c>
      <c r="R125" t="str">
        <f>ROUNDUP(HLOOKUP(IF(CEILING(L125,0.5)&lt;1,0.5,CEILING(L125,0.5)),'배송비 조회'!A$44:AO$56,7,0)*B$3,-2)</f>
        <v>#REF!</v>
      </c>
      <c r="S125">
        <v>0</v>
      </c>
      <c r="T125" t="str">
        <f>ROUND((Q125+R125)*0.3,-2)</f>
        <v>#REF!</v>
      </c>
      <c r="U125" t="str">
        <f>ROUND((Q125+R125)*0.4,-2)</f>
        <v>#REF!</v>
      </c>
      <c r="V125" t="str">
        <f>SUM(Q125:R125)+T125</f>
        <v>#REF!</v>
      </c>
      <c r="W125" t="str">
        <f>SUM(Q125:S125)+U125</f>
        <v>#REF!</v>
      </c>
      <c r="X125">
        <v>0</v>
      </c>
      <c r="Y125" t="str">
        <f>V125*0.038</f>
        <v>#REF!</v>
      </c>
      <c r="Z125" t="str">
        <f>V125*0.02</f>
        <v>#REF!</v>
      </c>
      <c r="AA125" t="str">
        <f>W125*0.1</f>
        <v>#REF!</v>
      </c>
      <c r="AB125" t="str">
        <f>V125-Y125-Z125</f>
        <v>#REF!</v>
      </c>
      <c r="AC125" t="str">
        <f>W125-AA125</f>
        <v>#REF!</v>
      </c>
      <c r="AD125" t="str">
        <f>AB125*0.01</f>
        <v>#REF!</v>
      </c>
      <c r="AE125" t="str">
        <f>AB125-Q125-AD125-R125</f>
        <v>#REF!</v>
      </c>
      <c r="AF125" t="str">
        <f>AC125-Q125-AD125-R125</f>
        <v>#REF!</v>
      </c>
      <c r="AG125" t="str">
        <f>AE125/V125</f>
        <v>#REF!</v>
      </c>
      <c r="AH125" t="str">
        <f>AF125/W125</f>
        <v>#REF!</v>
      </c>
    </row>
    <row r="126">
      <c r="G126" t="str">
        <v>A</v>
      </c>
      <c r="J126" t="str">
        <f>IF(K126&gt;0,K126*0.0625,IF(L126&gt;0,L126*2.204623,))</f>
        <v>#REF!</v>
      </c>
      <c r="K126" t="str">
        <f>IF(L126&gt;0,L126*35.273962,IF(J126&gt;0,J126*16,))</f>
        <v>#REF!</v>
      </c>
      <c r="L126" t="str">
        <f>IF(J126&gt;0,J126*0.453592,IF(K126&gt;0,K126*0.02835,))</f>
        <v>#REF!</v>
      </c>
      <c r="O126">
        <f>I126+N126+M126</f>
        <v>0</v>
      </c>
      <c r="P126">
        <f>O126*B$3</f>
        <v>0</v>
      </c>
      <c r="Q126">
        <f>ROUND(SUM(P126), -2)</f>
        <v>0</v>
      </c>
      <c r="R126" t="str">
        <f>ROUNDUP(HLOOKUP(IF(CEILING(L126,0.5)&lt;1,0.5,CEILING(L126,0.5)),'배송비 조회'!A$44:AO$56,7,0)*B$3,-2)</f>
        <v>#REF!</v>
      </c>
      <c r="S126">
        <v>0</v>
      </c>
      <c r="T126" t="str">
        <f>ROUND((Q126+R126)*0.3,-2)</f>
        <v>#REF!</v>
      </c>
      <c r="U126" t="str">
        <f>ROUND((Q126+R126)*0.4,-2)</f>
        <v>#REF!</v>
      </c>
      <c r="V126" t="str">
        <f>SUM(Q126:R126)+T126</f>
        <v>#REF!</v>
      </c>
      <c r="W126" t="str">
        <f>SUM(Q126:S126)+U126</f>
        <v>#REF!</v>
      </c>
      <c r="X126">
        <v>0</v>
      </c>
      <c r="Y126" t="str">
        <f>V126*0.038</f>
        <v>#REF!</v>
      </c>
      <c r="Z126" t="str">
        <f>V126*0.02</f>
        <v>#REF!</v>
      </c>
      <c r="AA126" t="str">
        <f>W126*0.1</f>
        <v>#REF!</v>
      </c>
      <c r="AB126" t="str">
        <f>V126-Y126-Z126</f>
        <v>#REF!</v>
      </c>
      <c r="AC126" t="str">
        <f>W126-AA126</f>
        <v>#REF!</v>
      </c>
      <c r="AD126" t="str">
        <f>AB126*0.01</f>
        <v>#REF!</v>
      </c>
      <c r="AE126" t="str">
        <f>AB126-Q126-AD126-R126</f>
        <v>#REF!</v>
      </c>
      <c r="AF126" t="str">
        <f>AC126-Q126-AD126-R126</f>
        <v>#REF!</v>
      </c>
      <c r="AG126" t="str">
        <f>AE126/V126</f>
        <v>#REF!</v>
      </c>
      <c r="AH126" t="str">
        <f>AF126/W126</f>
        <v>#REF!</v>
      </c>
    </row>
    <row r="127">
      <c r="G127" t="str">
        <v>A</v>
      </c>
      <c r="J127" t="str">
        <f>IF(K127&gt;0,K127*0.0625,IF(L127&gt;0,L127*2.204623,))</f>
        <v>#REF!</v>
      </c>
      <c r="K127" t="str">
        <f>IF(L127&gt;0,L127*35.273962,IF(J127&gt;0,J127*16,))</f>
        <v>#REF!</v>
      </c>
      <c r="L127" t="str">
        <f>IF(J127&gt;0,J127*0.453592,IF(K127&gt;0,K127*0.02835,))</f>
        <v>#REF!</v>
      </c>
      <c r="O127">
        <f>I127+N127+M127</f>
        <v>0</v>
      </c>
      <c r="P127">
        <f>O127*B$3</f>
        <v>0</v>
      </c>
      <c r="Q127">
        <f>ROUND(SUM(P127), -2)</f>
        <v>0</v>
      </c>
      <c r="R127" t="str">
        <f>ROUNDUP(HLOOKUP(IF(CEILING(L127,0.5)&lt;1,0.5,CEILING(L127,0.5)),'배송비 조회'!A$44:AO$56,7,0)*B$3,-2)</f>
        <v>#REF!</v>
      </c>
      <c r="S127">
        <v>0</v>
      </c>
      <c r="T127" t="str">
        <f>ROUND((Q127+R127)*0.3,-2)</f>
        <v>#REF!</v>
      </c>
      <c r="U127" t="str">
        <f>ROUND((Q127+R127)*0.4,-2)</f>
        <v>#REF!</v>
      </c>
      <c r="V127" t="str">
        <f>SUM(Q127:R127)+T127</f>
        <v>#REF!</v>
      </c>
      <c r="W127" t="str">
        <f>SUM(Q127:S127)+U127</f>
        <v>#REF!</v>
      </c>
      <c r="X127">
        <v>0</v>
      </c>
      <c r="Y127" t="str">
        <f>V127*0.038</f>
        <v>#REF!</v>
      </c>
      <c r="Z127" t="str">
        <f>V127*0.02</f>
        <v>#REF!</v>
      </c>
      <c r="AA127" t="str">
        <f>W127*0.1</f>
        <v>#REF!</v>
      </c>
      <c r="AB127" t="str">
        <f>V127-Y127-Z127</f>
        <v>#REF!</v>
      </c>
      <c r="AC127" t="str">
        <f>W127-AA127</f>
        <v>#REF!</v>
      </c>
      <c r="AD127" t="str">
        <f>AB127*0.01</f>
        <v>#REF!</v>
      </c>
      <c r="AE127" t="str">
        <f>AB127-Q127-AD127-R127</f>
        <v>#REF!</v>
      </c>
      <c r="AF127" t="str">
        <f>AC127-Q127-AD127-R127</f>
        <v>#REF!</v>
      </c>
      <c r="AG127" t="str">
        <f>AE127/V127</f>
        <v>#REF!</v>
      </c>
      <c r="AH127" t="str">
        <f>AF127/W127</f>
        <v>#REF!</v>
      </c>
    </row>
    <row r="128">
      <c r="G128" t="str">
        <v>A</v>
      </c>
      <c r="J128" t="str">
        <f>IF(K128&gt;0,K128*0.0625,IF(L128&gt;0,L128*2.204623,))</f>
        <v>#REF!</v>
      </c>
      <c r="K128" t="str">
        <f>IF(L128&gt;0,L128*35.273962,IF(J128&gt;0,J128*16,))</f>
        <v>#REF!</v>
      </c>
      <c r="L128" t="str">
        <f>IF(J128&gt;0,J128*0.453592,IF(K128&gt;0,K128*0.02835,))</f>
        <v>#REF!</v>
      </c>
      <c r="O128">
        <f>I128+N128+M128</f>
        <v>0</v>
      </c>
      <c r="P128">
        <f>O128*B$3</f>
        <v>0</v>
      </c>
      <c r="Q128">
        <f>ROUND(SUM(P128), -2)</f>
        <v>0</v>
      </c>
      <c r="R128" t="str">
        <f>ROUNDUP(HLOOKUP(IF(CEILING(L128,0.5)&lt;1,0.5,CEILING(L128,0.5)),'배송비 조회'!A$44:AO$56,7,0)*B$3,-2)</f>
        <v>#REF!</v>
      </c>
      <c r="S128">
        <v>0</v>
      </c>
      <c r="T128" t="str">
        <f>ROUND((Q128+R128)*0.3,-2)</f>
        <v>#REF!</v>
      </c>
      <c r="U128" t="str">
        <f>ROUND((Q128+R128)*0.4,-2)</f>
        <v>#REF!</v>
      </c>
      <c r="V128" t="str">
        <f>SUM(Q128:R128)+T128</f>
        <v>#REF!</v>
      </c>
      <c r="W128" t="str">
        <f>SUM(Q128:S128)+U128</f>
        <v>#REF!</v>
      </c>
      <c r="X128">
        <v>0</v>
      </c>
      <c r="Y128" t="str">
        <f>V128*0.038</f>
        <v>#REF!</v>
      </c>
      <c r="Z128" t="str">
        <f>V128*0.02</f>
        <v>#REF!</v>
      </c>
      <c r="AA128" t="str">
        <f>W128*0.1</f>
        <v>#REF!</v>
      </c>
      <c r="AB128" t="str">
        <f>V128-Y128-Z128</f>
        <v>#REF!</v>
      </c>
      <c r="AC128" t="str">
        <f>W128-AA128</f>
        <v>#REF!</v>
      </c>
      <c r="AD128" t="str">
        <f>AB128*0.01</f>
        <v>#REF!</v>
      </c>
      <c r="AE128" t="str">
        <f>AB128-Q128-AD128-R128</f>
        <v>#REF!</v>
      </c>
      <c r="AF128" t="str">
        <f>AC128-Q128-AD128-R128</f>
        <v>#REF!</v>
      </c>
      <c r="AG128" t="str">
        <f>AE128/V128</f>
        <v>#REF!</v>
      </c>
      <c r="AH128" t="str">
        <f>AF128/W128</f>
        <v>#REF!</v>
      </c>
    </row>
    <row r="129">
      <c r="G129" t="str">
        <v>A</v>
      </c>
      <c r="J129" t="str">
        <f>IF(K129&gt;0,K129*0.0625,IF(L129&gt;0,L129*2.204623,))</f>
        <v>#REF!</v>
      </c>
      <c r="K129" t="str">
        <f>IF(L129&gt;0,L129*35.273962,IF(J129&gt;0,J129*16,))</f>
        <v>#REF!</v>
      </c>
      <c r="L129" t="str">
        <f>IF(J129&gt;0,J129*0.453592,IF(K129&gt;0,K129*0.02835,))</f>
        <v>#REF!</v>
      </c>
      <c r="O129">
        <f>I129+N129+M129</f>
        <v>0</v>
      </c>
      <c r="P129">
        <f>O129*B$3</f>
        <v>0</v>
      </c>
      <c r="Q129">
        <f>ROUND(SUM(P129), -2)</f>
        <v>0</v>
      </c>
      <c r="R129" t="str">
        <f>ROUNDUP(HLOOKUP(IF(CEILING(L129,0.5)&lt;1,0.5,CEILING(L129,0.5)),'배송비 조회'!A$44:AO$56,7,0)*B$3,-2)</f>
        <v>#REF!</v>
      </c>
      <c r="S129">
        <v>0</v>
      </c>
      <c r="T129" t="str">
        <f>ROUND((Q129+R129)*0.3,-2)</f>
        <v>#REF!</v>
      </c>
      <c r="U129" t="str">
        <f>ROUND((Q129+R129)*0.4,-2)</f>
        <v>#REF!</v>
      </c>
      <c r="V129" t="str">
        <f>SUM(Q129:R129)+T129</f>
        <v>#REF!</v>
      </c>
      <c r="W129" t="str">
        <f>SUM(Q129:S129)+U129</f>
        <v>#REF!</v>
      </c>
      <c r="X129">
        <v>0</v>
      </c>
      <c r="Y129" t="str">
        <f>V129*0.038</f>
        <v>#REF!</v>
      </c>
      <c r="Z129" t="str">
        <f>V129*0.02</f>
        <v>#REF!</v>
      </c>
      <c r="AA129" t="str">
        <f>W129*0.1</f>
        <v>#REF!</v>
      </c>
      <c r="AB129" t="str">
        <f>V129-Y129-Z129</f>
        <v>#REF!</v>
      </c>
      <c r="AC129" t="str">
        <f>W129-AA129</f>
        <v>#REF!</v>
      </c>
      <c r="AD129" t="str">
        <f>AB129*0.01</f>
        <v>#REF!</v>
      </c>
      <c r="AE129" t="str">
        <f>AB129-Q129-AD129-R129</f>
        <v>#REF!</v>
      </c>
      <c r="AF129" t="str">
        <f>AC129-Q129-AD129-R129</f>
        <v>#REF!</v>
      </c>
      <c r="AG129" t="str">
        <f>AE129/V129</f>
        <v>#REF!</v>
      </c>
      <c r="AH129" t="str">
        <f>AF129/W129</f>
        <v>#REF!</v>
      </c>
    </row>
    <row r="130">
      <c r="G130" t="str">
        <v>A</v>
      </c>
      <c r="J130" t="str">
        <f>IF(K130&gt;0,K130*0.0625,IF(L130&gt;0,L130*2.204623,))</f>
        <v>#REF!</v>
      </c>
      <c r="K130" t="str">
        <f>IF(L130&gt;0,L130*35.273962,IF(J130&gt;0,J130*16,))</f>
        <v>#REF!</v>
      </c>
      <c r="L130" t="str">
        <f>IF(J130&gt;0,J130*0.453592,IF(K130&gt;0,K130*0.02835,))</f>
        <v>#REF!</v>
      </c>
      <c r="O130">
        <f>I130+N130+M130</f>
        <v>0</v>
      </c>
      <c r="P130">
        <f>O130*B$3</f>
        <v>0</v>
      </c>
      <c r="Q130">
        <f>ROUND(SUM(P130), -2)</f>
        <v>0</v>
      </c>
      <c r="R130" t="str">
        <f>ROUNDUP(HLOOKUP(IF(CEILING(L130,0.5)&lt;1,0.5,CEILING(L130,0.5)),'배송비 조회'!A$44:AO$56,7,0)*B$3,-2)</f>
        <v>#REF!</v>
      </c>
      <c r="S130">
        <v>0</v>
      </c>
      <c r="T130" t="str">
        <f>ROUND((Q130+R130)*0.3,-2)</f>
        <v>#REF!</v>
      </c>
      <c r="U130" t="str">
        <f>ROUND((Q130+R130)*0.4,-2)</f>
        <v>#REF!</v>
      </c>
      <c r="V130" t="str">
        <f>SUM(Q130:R130)+T130</f>
        <v>#REF!</v>
      </c>
      <c r="W130" t="str">
        <f>SUM(Q130:S130)+U130</f>
        <v>#REF!</v>
      </c>
      <c r="X130">
        <v>0</v>
      </c>
      <c r="Y130" t="str">
        <f>V130*0.038</f>
        <v>#REF!</v>
      </c>
      <c r="Z130" t="str">
        <f>V130*0.02</f>
        <v>#REF!</v>
      </c>
      <c r="AA130" t="str">
        <f>W130*0.1</f>
        <v>#REF!</v>
      </c>
      <c r="AB130" t="str">
        <f>V130-Y130-Z130</f>
        <v>#REF!</v>
      </c>
      <c r="AC130" t="str">
        <f>W130-AA130</f>
        <v>#REF!</v>
      </c>
      <c r="AD130" t="str">
        <f>AB130*0.01</f>
        <v>#REF!</v>
      </c>
      <c r="AE130" t="str">
        <f>AB130-Q130-AD130-R130</f>
        <v>#REF!</v>
      </c>
      <c r="AF130" t="str">
        <f>AC130-Q130-AD130-R130</f>
        <v>#REF!</v>
      </c>
      <c r="AG130" t="str">
        <f>AE130/V130</f>
        <v>#REF!</v>
      </c>
      <c r="AH130" t="str">
        <f>AF130/W130</f>
        <v>#REF!</v>
      </c>
    </row>
    <row r="131">
      <c r="G131" t="str">
        <v>A</v>
      </c>
      <c r="J131" t="str">
        <f>IF(K131&gt;0,K131*0.0625,IF(L131&gt;0,L131*2.204623,))</f>
        <v>#REF!</v>
      </c>
      <c r="K131" t="str">
        <f>IF(L131&gt;0,L131*35.273962,IF(J131&gt;0,J131*16,))</f>
        <v>#REF!</v>
      </c>
      <c r="L131" t="str">
        <f>IF(J131&gt;0,J131*0.453592,IF(K131&gt;0,K131*0.02835,))</f>
        <v>#REF!</v>
      </c>
      <c r="O131">
        <f>I131+N131+M131</f>
        <v>0</v>
      </c>
      <c r="P131">
        <f>O131*B$3</f>
        <v>0</v>
      </c>
      <c r="Q131">
        <f>ROUND(SUM(P131), -2)</f>
        <v>0</v>
      </c>
      <c r="R131" t="str">
        <f>ROUNDUP(HLOOKUP(IF(CEILING(L131,0.5)&lt;1,0.5,CEILING(L131,0.5)),'배송비 조회'!A$44:AO$56,7,0)*B$3,-2)</f>
        <v>#REF!</v>
      </c>
      <c r="S131">
        <v>0</v>
      </c>
      <c r="T131" t="str">
        <f>ROUND((Q131+R131)*0.3,-2)</f>
        <v>#REF!</v>
      </c>
      <c r="U131" t="str">
        <f>ROUND((Q131+R131)*0.4,-2)</f>
        <v>#REF!</v>
      </c>
      <c r="V131" t="str">
        <f>SUM(Q131:R131)+T131</f>
        <v>#REF!</v>
      </c>
      <c r="W131" t="str">
        <f>SUM(Q131:S131)+U131</f>
        <v>#REF!</v>
      </c>
      <c r="X131">
        <v>0</v>
      </c>
      <c r="Y131" t="str">
        <f>V131*0.038</f>
        <v>#REF!</v>
      </c>
      <c r="Z131" t="str">
        <f>V131*0.02</f>
        <v>#REF!</v>
      </c>
      <c r="AA131" t="str">
        <f>W131*0.1</f>
        <v>#REF!</v>
      </c>
      <c r="AB131" t="str">
        <f>V131-Y131-Z131</f>
        <v>#REF!</v>
      </c>
      <c r="AC131" t="str">
        <f>W131-AA131</f>
        <v>#REF!</v>
      </c>
      <c r="AD131" t="str">
        <f>AB131*0.01</f>
        <v>#REF!</v>
      </c>
      <c r="AE131" t="str">
        <f>AB131-Q131-AD131-R131</f>
        <v>#REF!</v>
      </c>
      <c r="AF131" t="str">
        <f>AC131-Q131-AD131-R131</f>
        <v>#REF!</v>
      </c>
      <c r="AG131" t="str">
        <f>AE131/V131</f>
        <v>#REF!</v>
      </c>
      <c r="AH131" t="str">
        <f>AF131/W131</f>
        <v>#REF!</v>
      </c>
    </row>
    <row r="132">
      <c r="G132" t="str">
        <v>A</v>
      </c>
      <c r="J132" t="str">
        <f>IF(K132&gt;0,K132*0.0625,IF(L132&gt;0,L132*2.204623,))</f>
        <v>#REF!</v>
      </c>
      <c r="K132" t="str">
        <f>IF(L132&gt;0,L132*35.273962,IF(J132&gt;0,J132*16,))</f>
        <v>#REF!</v>
      </c>
      <c r="L132" t="str">
        <f>IF(J132&gt;0,J132*0.453592,IF(K132&gt;0,K132*0.02835,))</f>
        <v>#REF!</v>
      </c>
      <c r="O132">
        <f>I132+N132+M132</f>
        <v>0</v>
      </c>
      <c r="P132">
        <f>O132*B$3</f>
        <v>0</v>
      </c>
      <c r="Q132">
        <f>ROUND(SUM(P132), -2)</f>
        <v>0</v>
      </c>
      <c r="R132" t="str">
        <f>ROUNDUP(HLOOKUP(IF(CEILING(L132,0.5)&lt;1,0.5,CEILING(L132,0.5)),'배송비 조회'!A$44:AO$56,7,0)*B$3,-2)</f>
        <v>#REF!</v>
      </c>
      <c r="S132">
        <v>0</v>
      </c>
      <c r="T132" t="str">
        <f>ROUND((Q132+R132)*0.3,-2)</f>
        <v>#REF!</v>
      </c>
      <c r="U132" t="str">
        <f>ROUND((Q132+R132)*0.4,-2)</f>
        <v>#REF!</v>
      </c>
      <c r="V132" t="str">
        <f>SUM(Q132:R132)+T132</f>
        <v>#REF!</v>
      </c>
      <c r="W132" t="str">
        <f>SUM(Q132:S132)+U132</f>
        <v>#REF!</v>
      </c>
      <c r="X132">
        <v>0</v>
      </c>
      <c r="Y132" t="str">
        <f>V132*0.038</f>
        <v>#REF!</v>
      </c>
      <c r="Z132" t="str">
        <f>V132*0.02</f>
        <v>#REF!</v>
      </c>
      <c r="AA132" t="str">
        <f>W132*0.1</f>
        <v>#REF!</v>
      </c>
      <c r="AB132" t="str">
        <f>V132-Y132-Z132</f>
        <v>#REF!</v>
      </c>
      <c r="AC132" t="str">
        <f>W132-AA132</f>
        <v>#REF!</v>
      </c>
      <c r="AD132" t="str">
        <f>AB132*0.01</f>
        <v>#REF!</v>
      </c>
      <c r="AE132" t="str">
        <f>AB132-Q132-AD132-R132</f>
        <v>#REF!</v>
      </c>
      <c r="AF132" t="str">
        <f>AC132-Q132-AD132-R132</f>
        <v>#REF!</v>
      </c>
      <c r="AG132" t="str">
        <f>AE132/V132</f>
        <v>#REF!</v>
      </c>
      <c r="AH132" t="str">
        <f>AF132/W132</f>
        <v>#REF!</v>
      </c>
    </row>
    <row r="133">
      <c r="G133" t="str">
        <v>A</v>
      </c>
      <c r="J133" t="str">
        <f>IF(K133&gt;0,K133*0.0625,IF(L133&gt;0,L133*2.204623,))</f>
        <v>#REF!</v>
      </c>
      <c r="K133" t="str">
        <f>IF(L133&gt;0,L133*35.273962,IF(J133&gt;0,J133*16,))</f>
        <v>#REF!</v>
      </c>
      <c r="L133" t="str">
        <f>IF(J133&gt;0,J133*0.453592,IF(K133&gt;0,K133*0.02835,))</f>
        <v>#REF!</v>
      </c>
      <c r="O133">
        <f>I133+N133+M133</f>
        <v>0</v>
      </c>
      <c r="P133">
        <f>O133*B$3</f>
        <v>0</v>
      </c>
      <c r="Q133">
        <f>ROUND(SUM(P133), -2)</f>
        <v>0</v>
      </c>
      <c r="R133" t="str">
        <f>ROUNDUP(HLOOKUP(IF(CEILING(L133,0.5)&lt;1,0.5,CEILING(L133,0.5)),'배송비 조회'!A$44:AO$56,7,0)*B$3,-2)</f>
        <v>#REF!</v>
      </c>
      <c r="S133">
        <v>0</v>
      </c>
      <c r="T133" t="str">
        <f>ROUND((Q133+R133)*0.3,-2)</f>
        <v>#REF!</v>
      </c>
      <c r="U133" t="str">
        <f>ROUND((Q133+R133)*0.4,-2)</f>
        <v>#REF!</v>
      </c>
      <c r="V133" t="str">
        <f>SUM(Q133:R133)+T133</f>
        <v>#REF!</v>
      </c>
      <c r="W133" t="str">
        <f>SUM(Q133:S133)+U133</f>
        <v>#REF!</v>
      </c>
      <c r="X133">
        <v>0</v>
      </c>
      <c r="Y133" t="str">
        <f>V133*0.038</f>
        <v>#REF!</v>
      </c>
      <c r="Z133" t="str">
        <f>V133*0.02</f>
        <v>#REF!</v>
      </c>
      <c r="AA133" t="str">
        <f>W133*0.1</f>
        <v>#REF!</v>
      </c>
      <c r="AB133" t="str">
        <f>V133-Y133-Z133</f>
        <v>#REF!</v>
      </c>
      <c r="AC133" t="str">
        <f>W133-AA133</f>
        <v>#REF!</v>
      </c>
      <c r="AD133" t="str">
        <f>AB133*0.01</f>
        <v>#REF!</v>
      </c>
      <c r="AE133" t="str">
        <f>AB133-Q133-AD133-R133</f>
        <v>#REF!</v>
      </c>
      <c r="AF133" t="str">
        <f>AC133-Q133-AD133-R133</f>
        <v>#REF!</v>
      </c>
      <c r="AG133" t="str">
        <f>AE133/V133</f>
        <v>#REF!</v>
      </c>
      <c r="AH133" t="str">
        <f>AF133/W133</f>
        <v>#REF!</v>
      </c>
    </row>
    <row r="134">
      <c r="G134" t="str">
        <v>A</v>
      </c>
      <c r="J134" t="str">
        <f>IF(K134&gt;0,K134*0.0625,IF(L134&gt;0,L134*2.204623,))</f>
        <v>#REF!</v>
      </c>
      <c r="K134" t="str">
        <f>IF(L134&gt;0,L134*35.273962,IF(J134&gt;0,J134*16,))</f>
        <v>#REF!</v>
      </c>
      <c r="L134" t="str">
        <f>IF(J134&gt;0,J134*0.453592,IF(K134&gt;0,K134*0.02835,))</f>
        <v>#REF!</v>
      </c>
      <c r="O134">
        <f>I134+N134+M134</f>
        <v>0</v>
      </c>
      <c r="P134">
        <f>O134*B$3</f>
        <v>0</v>
      </c>
      <c r="Q134">
        <f>ROUND(SUM(P134), -2)</f>
        <v>0</v>
      </c>
      <c r="R134" t="str">
        <f>ROUNDUP(HLOOKUP(IF(CEILING(L134,0.5)&lt;1,0.5,CEILING(L134,0.5)),'배송비 조회'!A$44:AO$56,7,0)*B$3,-2)</f>
        <v>#REF!</v>
      </c>
      <c r="S134">
        <v>0</v>
      </c>
      <c r="T134" t="str">
        <f>ROUND((Q134+R134)*0.3,-2)</f>
        <v>#REF!</v>
      </c>
      <c r="U134" t="str">
        <f>ROUND((Q134+R134)*0.4,-2)</f>
        <v>#REF!</v>
      </c>
      <c r="V134" t="str">
        <f>SUM(Q134:R134)+T134</f>
        <v>#REF!</v>
      </c>
      <c r="W134" t="str">
        <f>SUM(Q134:S134)+U134</f>
        <v>#REF!</v>
      </c>
      <c r="X134">
        <v>0</v>
      </c>
      <c r="Y134" t="str">
        <f>V134*0.038</f>
        <v>#REF!</v>
      </c>
      <c r="Z134" t="str">
        <f>V134*0.02</f>
        <v>#REF!</v>
      </c>
      <c r="AA134" t="str">
        <f>W134*0.1</f>
        <v>#REF!</v>
      </c>
      <c r="AB134" t="str">
        <f>V134-Y134-Z134</f>
        <v>#REF!</v>
      </c>
      <c r="AC134" t="str">
        <f>W134-AA134</f>
        <v>#REF!</v>
      </c>
      <c r="AD134" t="str">
        <f>AB134*0.01</f>
        <v>#REF!</v>
      </c>
      <c r="AE134" t="str">
        <f>AB134-Q134-AD134-R134</f>
        <v>#REF!</v>
      </c>
      <c r="AF134" t="str">
        <f>AC134-Q134-AD134-R134</f>
        <v>#REF!</v>
      </c>
      <c r="AG134" t="str">
        <f>AE134/V134</f>
        <v>#REF!</v>
      </c>
      <c r="AH134" t="str">
        <f>AF134/W134</f>
        <v>#REF!</v>
      </c>
    </row>
    <row r="135">
      <c r="G135" t="str">
        <v>A</v>
      </c>
      <c r="J135" t="str">
        <f>IF(K135&gt;0,K135*0.0625,IF(L135&gt;0,L135*2.204623,))</f>
        <v>#REF!</v>
      </c>
      <c r="K135" t="str">
        <f>IF(L135&gt;0,L135*35.273962,IF(J135&gt;0,J135*16,))</f>
        <v>#REF!</v>
      </c>
      <c r="L135" t="str">
        <f>IF(J135&gt;0,J135*0.453592,IF(K135&gt;0,K135*0.02835,))</f>
        <v>#REF!</v>
      </c>
      <c r="O135">
        <f>I135+N135+M135</f>
        <v>0</v>
      </c>
      <c r="P135">
        <f>O135*B$3</f>
        <v>0</v>
      </c>
      <c r="Q135">
        <f>ROUND(SUM(P135), -2)</f>
        <v>0</v>
      </c>
      <c r="R135" t="str">
        <f>ROUNDUP(HLOOKUP(IF(CEILING(L135,0.5)&lt;1,0.5,CEILING(L135,0.5)),'배송비 조회'!A$44:AO$56,7,0)*B$3,-2)</f>
        <v>#REF!</v>
      </c>
      <c r="S135">
        <v>0</v>
      </c>
      <c r="T135" t="str">
        <f>ROUND((Q135+R135)*0.3,-2)</f>
        <v>#REF!</v>
      </c>
      <c r="U135" t="str">
        <f>ROUND((Q135+R135)*0.4,-2)</f>
        <v>#REF!</v>
      </c>
      <c r="V135" t="str">
        <f>SUM(Q135:R135)+T135</f>
        <v>#REF!</v>
      </c>
      <c r="W135" t="str">
        <f>SUM(Q135:S135)+U135</f>
        <v>#REF!</v>
      </c>
      <c r="X135">
        <v>0</v>
      </c>
      <c r="Y135" t="str">
        <f>V135*0.038</f>
        <v>#REF!</v>
      </c>
      <c r="Z135" t="str">
        <f>V135*0.02</f>
        <v>#REF!</v>
      </c>
      <c r="AA135" t="str">
        <f>W135*0.1</f>
        <v>#REF!</v>
      </c>
      <c r="AB135" t="str">
        <f>V135-Y135-Z135</f>
        <v>#REF!</v>
      </c>
      <c r="AC135" t="str">
        <f>W135-AA135</f>
        <v>#REF!</v>
      </c>
      <c r="AD135" t="str">
        <f>AB135*0.01</f>
        <v>#REF!</v>
      </c>
      <c r="AE135" t="str">
        <f>AB135-Q135-AD135-R135</f>
        <v>#REF!</v>
      </c>
      <c r="AF135" t="str">
        <f>AC135-Q135-AD135-R135</f>
        <v>#REF!</v>
      </c>
      <c r="AG135" t="str">
        <f>AE135/V135</f>
        <v>#REF!</v>
      </c>
      <c r="AH135" t="str">
        <f>AF135/W135</f>
        <v>#REF!</v>
      </c>
    </row>
    <row r="136">
      <c r="G136" t="str">
        <v>A</v>
      </c>
      <c r="J136" t="str">
        <f>IF(K136&gt;0,K136*0.0625,IF(L136&gt;0,L136*2.204623,))</f>
        <v>#REF!</v>
      </c>
      <c r="K136" t="str">
        <f>IF(L136&gt;0,L136*35.273962,IF(J136&gt;0,J136*16,))</f>
        <v>#REF!</v>
      </c>
      <c r="L136" t="str">
        <f>IF(J136&gt;0,J136*0.453592,IF(K136&gt;0,K136*0.02835,))</f>
        <v>#REF!</v>
      </c>
      <c r="O136">
        <f>I136+N136+M136</f>
        <v>0</v>
      </c>
      <c r="P136">
        <f>O136*B$3</f>
        <v>0</v>
      </c>
      <c r="Q136">
        <f>ROUND(SUM(P136), -2)</f>
        <v>0</v>
      </c>
      <c r="R136" t="str">
        <f>ROUNDUP(HLOOKUP(IF(CEILING(L136,0.5)&lt;1,0.5,CEILING(L136,0.5)),'배송비 조회'!A$44:AO$56,7,0)*B$3,-2)</f>
        <v>#REF!</v>
      </c>
      <c r="S136">
        <v>0</v>
      </c>
      <c r="T136" t="str">
        <f>ROUND((Q136+R136)*0.3,-2)</f>
        <v>#REF!</v>
      </c>
      <c r="U136" t="str">
        <f>ROUND((Q136+R136)*0.4,-2)</f>
        <v>#REF!</v>
      </c>
      <c r="V136" t="str">
        <f>SUM(Q136:R136)+T136</f>
        <v>#REF!</v>
      </c>
      <c r="W136" t="str">
        <f>SUM(Q136:S136)+U136</f>
        <v>#REF!</v>
      </c>
      <c r="X136">
        <v>0</v>
      </c>
      <c r="Y136" t="str">
        <f>V136*0.038</f>
        <v>#REF!</v>
      </c>
      <c r="Z136" t="str">
        <f>V136*0.02</f>
        <v>#REF!</v>
      </c>
      <c r="AA136" t="str">
        <f>W136*0.1</f>
        <v>#REF!</v>
      </c>
      <c r="AB136" t="str">
        <f>V136-Y136-Z136</f>
        <v>#REF!</v>
      </c>
      <c r="AC136" t="str">
        <f>W136-AA136</f>
        <v>#REF!</v>
      </c>
      <c r="AD136" t="str">
        <f>AB136*0.01</f>
        <v>#REF!</v>
      </c>
      <c r="AE136" t="str">
        <f>AB136-Q136-AD136-R136</f>
        <v>#REF!</v>
      </c>
      <c r="AF136" t="str">
        <f>AC136-Q136-AD136-R136</f>
        <v>#REF!</v>
      </c>
      <c r="AG136" t="str">
        <f>AE136/V136</f>
        <v>#REF!</v>
      </c>
      <c r="AH136" t="str">
        <f>AF136/W136</f>
        <v>#REF!</v>
      </c>
    </row>
    <row r="137">
      <c r="G137" t="str">
        <v>A</v>
      </c>
      <c r="J137" t="str">
        <f>IF(K137&gt;0,K137*0.0625,IF(L137&gt;0,L137*2.204623,))</f>
        <v>#REF!</v>
      </c>
      <c r="K137" t="str">
        <f>IF(L137&gt;0,L137*35.273962,IF(J137&gt;0,J137*16,))</f>
        <v>#REF!</v>
      </c>
      <c r="L137" t="str">
        <f>IF(J137&gt;0,J137*0.453592,IF(K137&gt;0,K137*0.02835,))</f>
        <v>#REF!</v>
      </c>
      <c r="O137">
        <f>I137+N137+M137</f>
        <v>0</v>
      </c>
      <c r="P137">
        <f>O137*B$3</f>
        <v>0</v>
      </c>
      <c r="Q137">
        <f>ROUND(SUM(P137), -2)</f>
        <v>0</v>
      </c>
      <c r="R137" t="str">
        <f>ROUNDUP(HLOOKUP(IF(CEILING(L137,0.5)&lt;1,0.5,CEILING(L137,0.5)),'배송비 조회'!A$44:AO$56,7,0)*B$3,-2)</f>
        <v>#REF!</v>
      </c>
      <c r="S137">
        <v>0</v>
      </c>
      <c r="T137" t="str">
        <f>ROUND((Q137+R137)*0.3,-2)</f>
        <v>#REF!</v>
      </c>
      <c r="U137" t="str">
        <f>ROUND((Q137+R137)*0.4,-2)</f>
        <v>#REF!</v>
      </c>
      <c r="V137" t="str">
        <f>SUM(Q137:R137)+T137</f>
        <v>#REF!</v>
      </c>
      <c r="W137" t="str">
        <f>SUM(Q137:S137)+U137</f>
        <v>#REF!</v>
      </c>
      <c r="X137">
        <v>0</v>
      </c>
      <c r="Y137" t="str">
        <f>V137*0.038</f>
        <v>#REF!</v>
      </c>
      <c r="Z137" t="str">
        <f>V137*0.02</f>
        <v>#REF!</v>
      </c>
      <c r="AA137" t="str">
        <f>W137*0.1</f>
        <v>#REF!</v>
      </c>
      <c r="AB137" t="str">
        <f>V137-Y137-Z137</f>
        <v>#REF!</v>
      </c>
      <c r="AC137" t="str">
        <f>W137-AA137</f>
        <v>#REF!</v>
      </c>
      <c r="AD137" t="str">
        <f>AB137*0.01</f>
        <v>#REF!</v>
      </c>
      <c r="AE137" t="str">
        <f>AB137-Q137-AD137-R137</f>
        <v>#REF!</v>
      </c>
      <c r="AF137" t="str">
        <f>AC137-Q137-AD137-R137</f>
        <v>#REF!</v>
      </c>
      <c r="AG137" t="str">
        <f>AE137/V137</f>
        <v>#REF!</v>
      </c>
      <c r="AH137" t="str">
        <f>AF137/W137</f>
        <v>#REF!</v>
      </c>
    </row>
    <row r="138">
      <c r="G138" t="str">
        <v>A</v>
      </c>
      <c r="J138" t="str">
        <f>IF(K138&gt;0,K138*0.0625,IF(L138&gt;0,L138*2.204623,))</f>
        <v>#REF!</v>
      </c>
      <c r="K138" t="str">
        <f>IF(L138&gt;0,L138*35.273962,IF(J138&gt;0,J138*16,))</f>
        <v>#REF!</v>
      </c>
      <c r="L138" t="str">
        <f>IF(J138&gt;0,J138*0.453592,IF(K138&gt;0,K138*0.02835,))</f>
        <v>#REF!</v>
      </c>
      <c r="O138">
        <f>I138+N138+M138</f>
        <v>0</v>
      </c>
      <c r="P138">
        <f>O138*B$3</f>
        <v>0</v>
      </c>
      <c r="Q138">
        <f>ROUND(SUM(P138), -2)</f>
        <v>0</v>
      </c>
      <c r="R138" t="str">
        <f>ROUNDUP(HLOOKUP(IF(CEILING(L138,0.5)&lt;1,0.5,CEILING(L138,0.5)),'배송비 조회'!A$44:AO$56,7,0)*B$3,-2)</f>
        <v>#REF!</v>
      </c>
      <c r="S138">
        <v>0</v>
      </c>
      <c r="T138" t="str">
        <f>ROUND((Q138+R138)*0.3,-2)</f>
        <v>#REF!</v>
      </c>
      <c r="U138" t="str">
        <f>ROUND((Q138+R138)*0.4,-2)</f>
        <v>#REF!</v>
      </c>
      <c r="V138" t="str">
        <f>SUM(Q138:R138)+T138</f>
        <v>#REF!</v>
      </c>
      <c r="W138" t="str">
        <f>SUM(Q138:S138)+U138</f>
        <v>#REF!</v>
      </c>
      <c r="X138">
        <v>0</v>
      </c>
      <c r="Y138" t="str">
        <f>V138*0.038</f>
        <v>#REF!</v>
      </c>
      <c r="Z138" t="str">
        <f>V138*0.02</f>
        <v>#REF!</v>
      </c>
      <c r="AA138" t="str">
        <f>W138*0.1</f>
        <v>#REF!</v>
      </c>
      <c r="AB138" t="str">
        <f>V138-Y138-Z138</f>
        <v>#REF!</v>
      </c>
      <c r="AC138" t="str">
        <f>W138-AA138</f>
        <v>#REF!</v>
      </c>
      <c r="AD138" t="str">
        <f>AB138*0.01</f>
        <v>#REF!</v>
      </c>
      <c r="AE138" t="str">
        <f>AB138-Q138-AD138-R138</f>
        <v>#REF!</v>
      </c>
      <c r="AF138" t="str">
        <f>AC138-Q138-AD138-R138</f>
        <v>#REF!</v>
      </c>
      <c r="AG138" t="str">
        <f>AE138/V138</f>
        <v>#REF!</v>
      </c>
      <c r="AH138" t="str">
        <f>AF138/W138</f>
        <v>#REF!</v>
      </c>
    </row>
    <row r="139">
      <c r="G139" t="str">
        <v>A</v>
      </c>
      <c r="J139" t="str">
        <f>IF(K139&gt;0,K139*0.0625,IF(L139&gt;0,L139*2.204623,))</f>
        <v>#REF!</v>
      </c>
      <c r="K139" t="str">
        <f>IF(L139&gt;0,L139*35.273962,IF(J139&gt;0,J139*16,))</f>
        <v>#REF!</v>
      </c>
      <c r="L139" t="str">
        <f>IF(J139&gt;0,J139*0.453592,IF(K139&gt;0,K139*0.02835,))</f>
        <v>#REF!</v>
      </c>
      <c r="O139">
        <f>I139+N139+M139</f>
        <v>0</v>
      </c>
      <c r="P139">
        <f>O139*B$3</f>
        <v>0</v>
      </c>
      <c r="Q139">
        <f>ROUND(SUM(P139), -2)</f>
        <v>0</v>
      </c>
      <c r="R139" t="str">
        <f>ROUNDUP(HLOOKUP(IF(CEILING(L139,0.5)&lt;1,0.5,CEILING(L139,0.5)),'배송비 조회'!A$44:AO$56,7,0)*B$3,-2)</f>
        <v>#REF!</v>
      </c>
      <c r="S139">
        <v>0</v>
      </c>
      <c r="T139" t="str">
        <f>ROUND((Q139+R139)*0.3,-2)</f>
        <v>#REF!</v>
      </c>
      <c r="U139" t="str">
        <f>ROUND((Q139+R139)*0.4,-2)</f>
        <v>#REF!</v>
      </c>
      <c r="V139" t="str">
        <f>SUM(Q139:R139)+T139</f>
        <v>#REF!</v>
      </c>
      <c r="W139" t="str">
        <f>SUM(Q139:S139)+U139</f>
        <v>#REF!</v>
      </c>
      <c r="X139">
        <v>0</v>
      </c>
      <c r="Y139" t="str">
        <f>V139*0.038</f>
        <v>#REF!</v>
      </c>
      <c r="Z139" t="str">
        <f>V139*0.02</f>
        <v>#REF!</v>
      </c>
      <c r="AA139" t="str">
        <f>W139*0.1</f>
        <v>#REF!</v>
      </c>
      <c r="AB139" t="str">
        <f>V139-Y139-Z139</f>
        <v>#REF!</v>
      </c>
      <c r="AC139" t="str">
        <f>W139-AA139</f>
        <v>#REF!</v>
      </c>
      <c r="AD139" t="str">
        <f>AB139*0.01</f>
        <v>#REF!</v>
      </c>
      <c r="AE139" t="str">
        <f>AB139-Q139-AD139-R139</f>
        <v>#REF!</v>
      </c>
      <c r="AF139" t="str">
        <f>AC139-Q139-AD139-R139</f>
        <v>#REF!</v>
      </c>
      <c r="AG139" t="str">
        <f>AE139/V139</f>
        <v>#REF!</v>
      </c>
      <c r="AH139" t="str">
        <f>AF139/W139</f>
        <v>#REF!</v>
      </c>
    </row>
    <row r="140">
      <c r="G140" t="str">
        <v>A</v>
      </c>
      <c r="J140" t="str">
        <f>IF(K140&gt;0,K140*0.0625,IF(L140&gt;0,L140*2.204623,))</f>
        <v>#REF!</v>
      </c>
      <c r="K140" t="str">
        <f>IF(L140&gt;0,L140*35.273962,IF(J140&gt;0,J140*16,))</f>
        <v>#REF!</v>
      </c>
      <c r="L140" t="str">
        <f>IF(J140&gt;0,J140*0.453592,IF(K140&gt;0,K140*0.02835,))</f>
        <v>#REF!</v>
      </c>
      <c r="O140">
        <f>I140+N140+M140</f>
        <v>0</v>
      </c>
      <c r="P140">
        <f>O140*B$3</f>
        <v>0</v>
      </c>
      <c r="Q140">
        <f>ROUND(SUM(P140), -2)</f>
        <v>0</v>
      </c>
      <c r="R140" t="str">
        <f>ROUNDUP(HLOOKUP(IF(CEILING(L140,0.5)&lt;1,0.5,CEILING(L140,0.5)),'배송비 조회'!A$44:AO$56,7,0)*B$3,-2)</f>
        <v>#REF!</v>
      </c>
      <c r="S140">
        <v>0</v>
      </c>
      <c r="T140" t="str">
        <f>ROUND((Q140+R140)*0.3,-2)</f>
        <v>#REF!</v>
      </c>
      <c r="U140" t="str">
        <f>ROUND((Q140+R140)*0.4,-2)</f>
        <v>#REF!</v>
      </c>
      <c r="V140" t="str">
        <f>SUM(Q140:R140)+T140</f>
        <v>#REF!</v>
      </c>
      <c r="W140" t="str">
        <f>SUM(Q140:S140)+U140</f>
        <v>#REF!</v>
      </c>
      <c r="X140">
        <v>0</v>
      </c>
      <c r="Y140" t="str">
        <f>V140*0.038</f>
        <v>#REF!</v>
      </c>
      <c r="Z140" t="str">
        <f>V140*0.02</f>
        <v>#REF!</v>
      </c>
      <c r="AA140" t="str">
        <f>W140*0.1</f>
        <v>#REF!</v>
      </c>
      <c r="AB140" t="str">
        <f>V140-Y140-Z140</f>
        <v>#REF!</v>
      </c>
      <c r="AC140" t="str">
        <f>W140-AA140</f>
        <v>#REF!</v>
      </c>
      <c r="AD140" t="str">
        <f>AB140*0.01</f>
        <v>#REF!</v>
      </c>
      <c r="AE140" t="str">
        <f>AB140-Q140-AD140-R140</f>
        <v>#REF!</v>
      </c>
      <c r="AF140" t="str">
        <f>AC140-Q140-AD140-R140</f>
        <v>#REF!</v>
      </c>
      <c r="AG140" t="str">
        <f>AE140/V140</f>
        <v>#REF!</v>
      </c>
      <c r="AH140" t="str">
        <f>AF140/W140</f>
        <v>#REF!</v>
      </c>
    </row>
    <row r="141">
      <c r="G141" t="str">
        <v>A</v>
      </c>
      <c r="J141" t="str">
        <f>IF(K141&gt;0,K141*0.0625,IF(L141&gt;0,L141*2.204623,))</f>
        <v>#REF!</v>
      </c>
      <c r="K141" t="str">
        <f>IF(L141&gt;0,L141*35.273962,IF(J141&gt;0,J141*16,))</f>
        <v>#REF!</v>
      </c>
      <c r="L141" t="str">
        <f>IF(J141&gt;0,J141*0.453592,IF(K141&gt;0,K141*0.02835,))</f>
        <v>#REF!</v>
      </c>
      <c r="O141">
        <f>I141+N141+M141</f>
        <v>0</v>
      </c>
      <c r="P141">
        <f>O141*B$3</f>
        <v>0</v>
      </c>
      <c r="Q141">
        <f>ROUND(SUM(P141), -2)</f>
        <v>0</v>
      </c>
      <c r="R141" t="str">
        <f>ROUNDUP(HLOOKUP(IF(CEILING(L141,0.5)&lt;1,0.5,CEILING(L141,0.5)),'배송비 조회'!A$44:AO$56,7,0)*B$3,-2)</f>
        <v>#REF!</v>
      </c>
      <c r="S141">
        <v>0</v>
      </c>
      <c r="T141" t="str">
        <f>ROUND((Q141+R141)*0.3,-2)</f>
        <v>#REF!</v>
      </c>
      <c r="U141" t="str">
        <f>ROUND((Q141+R141)*0.4,-2)</f>
        <v>#REF!</v>
      </c>
      <c r="V141" t="str">
        <f>SUM(Q141:R141)+T141</f>
        <v>#REF!</v>
      </c>
      <c r="W141" t="str">
        <f>SUM(Q141:S141)+U141</f>
        <v>#REF!</v>
      </c>
      <c r="X141">
        <v>0</v>
      </c>
      <c r="Y141" t="str">
        <f>V141*0.038</f>
        <v>#REF!</v>
      </c>
      <c r="Z141" t="str">
        <f>V141*0.02</f>
        <v>#REF!</v>
      </c>
      <c r="AA141" t="str">
        <f>W141*0.1</f>
        <v>#REF!</v>
      </c>
      <c r="AB141" t="str">
        <f>V141-Y141-Z141</f>
        <v>#REF!</v>
      </c>
      <c r="AC141" t="str">
        <f>W141-AA141</f>
        <v>#REF!</v>
      </c>
      <c r="AD141" t="str">
        <f>AB141*0.01</f>
        <v>#REF!</v>
      </c>
      <c r="AE141" t="str">
        <f>AB141-Q141-AD141-R141</f>
        <v>#REF!</v>
      </c>
      <c r="AF141" t="str">
        <f>AC141-Q141-AD141-R141</f>
        <v>#REF!</v>
      </c>
      <c r="AG141" t="str">
        <f>AE141/V141</f>
        <v>#REF!</v>
      </c>
      <c r="AH141" t="str">
        <f>AF141/W141</f>
        <v>#REF!</v>
      </c>
    </row>
    <row r="142">
      <c r="G142" t="str">
        <v>A</v>
      </c>
      <c r="J142" t="str">
        <f>IF(K142&gt;0,K142*0.0625,IF(L142&gt;0,L142*2.204623,))</f>
        <v>#REF!</v>
      </c>
      <c r="K142" t="str">
        <f>IF(L142&gt;0,L142*35.273962,IF(J142&gt;0,J142*16,))</f>
        <v>#REF!</v>
      </c>
      <c r="L142" t="str">
        <f>IF(J142&gt;0,J142*0.453592,IF(K142&gt;0,K142*0.02835,))</f>
        <v>#REF!</v>
      </c>
      <c r="O142">
        <f>I142+N142+M142</f>
        <v>0</v>
      </c>
      <c r="P142">
        <f>O142*B$3</f>
        <v>0</v>
      </c>
      <c r="Q142">
        <f>ROUND(SUM(P142), -2)</f>
        <v>0</v>
      </c>
      <c r="R142" t="str">
        <f>ROUNDUP(HLOOKUP(IF(CEILING(L142,0.5)&lt;1,0.5,CEILING(L142,0.5)),'배송비 조회'!A$44:AO$56,7,0)*B$3,-2)</f>
        <v>#REF!</v>
      </c>
      <c r="S142">
        <v>0</v>
      </c>
      <c r="T142" t="str">
        <f>ROUND((Q142+R142)*0.3,-2)</f>
        <v>#REF!</v>
      </c>
      <c r="U142" t="str">
        <f>ROUND((Q142+R142)*0.4,-2)</f>
        <v>#REF!</v>
      </c>
      <c r="V142" t="str">
        <f>SUM(Q142:R142)+T142</f>
        <v>#REF!</v>
      </c>
      <c r="W142" t="str">
        <f>SUM(Q142:S142)+U142</f>
        <v>#REF!</v>
      </c>
      <c r="X142">
        <v>0</v>
      </c>
      <c r="Y142" t="str">
        <f>V142*0.038</f>
        <v>#REF!</v>
      </c>
      <c r="Z142" t="str">
        <f>V142*0.02</f>
        <v>#REF!</v>
      </c>
      <c r="AA142" t="str">
        <f>W142*0.1</f>
        <v>#REF!</v>
      </c>
      <c r="AB142" t="str">
        <f>V142-Y142-Z142</f>
        <v>#REF!</v>
      </c>
      <c r="AC142" t="str">
        <f>W142-AA142</f>
        <v>#REF!</v>
      </c>
      <c r="AD142" t="str">
        <f>AB142*0.01</f>
        <v>#REF!</v>
      </c>
      <c r="AE142" t="str">
        <f>AB142-Q142-AD142-R142</f>
        <v>#REF!</v>
      </c>
      <c r="AF142" t="str">
        <f>AC142-Q142-AD142-R142</f>
        <v>#REF!</v>
      </c>
      <c r="AG142" t="str">
        <f>AE142/V142</f>
        <v>#REF!</v>
      </c>
      <c r="AH142" t="str">
        <f>AF142/W142</f>
        <v>#REF!</v>
      </c>
    </row>
    <row r="143">
      <c r="G143" t="str">
        <v>A</v>
      </c>
      <c r="J143" t="str">
        <f>IF(K143&gt;0,K143*0.0625,IF(L143&gt;0,L143*2.204623,))</f>
        <v>#REF!</v>
      </c>
      <c r="K143" t="str">
        <f>IF(L143&gt;0,L143*35.273962,IF(J143&gt;0,J143*16,))</f>
        <v>#REF!</v>
      </c>
      <c r="L143" t="str">
        <f>IF(J143&gt;0,J143*0.453592,IF(K143&gt;0,K143*0.02835,))</f>
        <v>#REF!</v>
      </c>
      <c r="O143">
        <f>I143+N143+M143</f>
        <v>0</v>
      </c>
      <c r="P143">
        <f>O143*B$3</f>
        <v>0</v>
      </c>
      <c r="Q143">
        <f>ROUND(SUM(P143), -2)</f>
        <v>0</v>
      </c>
      <c r="R143" t="str">
        <f>ROUNDUP(HLOOKUP(IF(CEILING(L143,0.5)&lt;1,0.5,CEILING(L143,0.5)),'배송비 조회'!A$44:AO$56,7,0)*B$3,-2)</f>
        <v>#REF!</v>
      </c>
      <c r="S143">
        <v>0</v>
      </c>
      <c r="T143" t="str">
        <f>ROUND((Q143+R143)*0.3,-2)</f>
        <v>#REF!</v>
      </c>
      <c r="U143" t="str">
        <f>ROUND((Q143+R143)*0.4,-2)</f>
        <v>#REF!</v>
      </c>
      <c r="V143" t="str">
        <f>SUM(Q143:R143)+T143</f>
        <v>#REF!</v>
      </c>
      <c r="W143" t="str">
        <f>SUM(Q143:S143)+U143</f>
        <v>#REF!</v>
      </c>
      <c r="X143">
        <v>0</v>
      </c>
      <c r="Y143" t="str">
        <f>V143*0.038</f>
        <v>#REF!</v>
      </c>
      <c r="Z143" t="str">
        <f>V143*0.02</f>
        <v>#REF!</v>
      </c>
      <c r="AA143" t="str">
        <f>W143*0.1</f>
        <v>#REF!</v>
      </c>
      <c r="AB143" t="str">
        <f>V143-Y143-Z143</f>
        <v>#REF!</v>
      </c>
      <c r="AC143" t="str">
        <f>W143-AA143</f>
        <v>#REF!</v>
      </c>
      <c r="AD143" t="str">
        <f>AB143*0.01</f>
        <v>#REF!</v>
      </c>
      <c r="AE143" t="str">
        <f>AB143-Q143-AD143-R143</f>
        <v>#REF!</v>
      </c>
      <c r="AF143" t="str">
        <f>AC143-Q143-AD143-R143</f>
        <v>#REF!</v>
      </c>
      <c r="AG143" t="str">
        <f>AE143/V143</f>
        <v>#REF!</v>
      </c>
      <c r="AH143" t="str">
        <f>AF143/W143</f>
        <v>#REF!</v>
      </c>
    </row>
    <row r="144">
      <c r="G144" t="str">
        <v>A</v>
      </c>
      <c r="J144" t="str">
        <f>IF(K144&gt;0,K144*0.0625,IF(L144&gt;0,L144*2.204623,))</f>
        <v>#REF!</v>
      </c>
      <c r="K144" t="str">
        <f>IF(L144&gt;0,L144*35.273962,IF(J144&gt;0,J144*16,))</f>
        <v>#REF!</v>
      </c>
      <c r="L144" t="str">
        <f>IF(J144&gt;0,J144*0.453592,IF(K144&gt;0,K144*0.02835,))</f>
        <v>#REF!</v>
      </c>
      <c r="O144">
        <f>I144+N144+M144</f>
        <v>0</v>
      </c>
      <c r="P144">
        <f>O144*B$3</f>
        <v>0</v>
      </c>
      <c r="Q144">
        <f>ROUND(SUM(P144), -2)</f>
        <v>0</v>
      </c>
      <c r="R144" t="str">
        <f>ROUNDUP(HLOOKUP(IF(CEILING(L144,0.5)&lt;1,0.5,CEILING(L144,0.5)),'배송비 조회'!A$44:AO$56,7,0)*B$3,-2)</f>
        <v>#REF!</v>
      </c>
      <c r="S144">
        <v>0</v>
      </c>
      <c r="T144" t="str">
        <f>ROUND((Q144+R144)*0.3,-2)</f>
        <v>#REF!</v>
      </c>
      <c r="U144" t="str">
        <f>ROUND((Q144+R144)*0.4,-2)</f>
        <v>#REF!</v>
      </c>
      <c r="V144" t="str">
        <f>SUM(Q144:R144)+T144</f>
        <v>#REF!</v>
      </c>
      <c r="W144" t="str">
        <f>SUM(Q144:S144)+U144</f>
        <v>#REF!</v>
      </c>
      <c r="X144">
        <v>0</v>
      </c>
      <c r="Y144" t="str">
        <f>V144*0.038</f>
        <v>#REF!</v>
      </c>
      <c r="Z144" t="str">
        <f>V144*0.02</f>
        <v>#REF!</v>
      </c>
      <c r="AA144" t="str">
        <f>W144*0.1</f>
        <v>#REF!</v>
      </c>
      <c r="AB144" t="str">
        <f>V144-Y144-Z144</f>
        <v>#REF!</v>
      </c>
      <c r="AC144" t="str">
        <f>W144-AA144</f>
        <v>#REF!</v>
      </c>
      <c r="AD144" t="str">
        <f>AB144*0.01</f>
        <v>#REF!</v>
      </c>
      <c r="AE144" t="str">
        <f>AB144-Q144-AD144-R144</f>
        <v>#REF!</v>
      </c>
      <c r="AF144" t="str">
        <f>AC144-Q144-AD144-R144</f>
        <v>#REF!</v>
      </c>
      <c r="AG144" t="str">
        <f>AE144/V144</f>
        <v>#REF!</v>
      </c>
      <c r="AH144" t="str">
        <f>AF144/W144</f>
        <v>#REF!</v>
      </c>
    </row>
    <row r="145">
      <c r="G145" t="str">
        <v>A</v>
      </c>
      <c r="J145" t="str">
        <f>IF(K145&gt;0,K145*0.0625,IF(L145&gt;0,L145*2.204623,))</f>
        <v>#REF!</v>
      </c>
      <c r="K145" t="str">
        <f>IF(L145&gt;0,L145*35.273962,IF(J145&gt;0,J145*16,))</f>
        <v>#REF!</v>
      </c>
      <c r="L145" t="str">
        <f>IF(J145&gt;0,J145*0.453592,IF(K145&gt;0,K145*0.02835,))</f>
        <v>#REF!</v>
      </c>
      <c r="O145">
        <f>I145+N145+M145</f>
        <v>0</v>
      </c>
      <c r="P145">
        <f>O145*B$3</f>
        <v>0</v>
      </c>
      <c r="Q145">
        <f>ROUND(SUM(P145), -2)</f>
        <v>0</v>
      </c>
      <c r="R145" t="str">
        <f>ROUNDUP(HLOOKUP(IF(CEILING(L145,0.5)&lt;1,0.5,CEILING(L145,0.5)),'배송비 조회'!A$44:AO$56,7,0)*B$3,-2)</f>
        <v>#REF!</v>
      </c>
      <c r="S145">
        <v>0</v>
      </c>
      <c r="T145" t="str">
        <f>ROUND((Q145+R145)*0.3,-2)</f>
        <v>#REF!</v>
      </c>
      <c r="U145" t="str">
        <f>ROUND((Q145+R145)*0.4,-2)</f>
        <v>#REF!</v>
      </c>
      <c r="V145" t="str">
        <f>SUM(Q145:R145)+T145</f>
        <v>#REF!</v>
      </c>
      <c r="W145" t="str">
        <f>SUM(Q145:S145)+U145</f>
        <v>#REF!</v>
      </c>
      <c r="X145">
        <v>0</v>
      </c>
      <c r="Y145" t="str">
        <f>V145*0.038</f>
        <v>#REF!</v>
      </c>
      <c r="Z145" t="str">
        <f>V145*0.02</f>
        <v>#REF!</v>
      </c>
      <c r="AA145" t="str">
        <f>W145*0.1</f>
        <v>#REF!</v>
      </c>
      <c r="AB145" t="str">
        <f>V145-Y145-Z145</f>
        <v>#REF!</v>
      </c>
      <c r="AC145" t="str">
        <f>W145-AA145</f>
        <v>#REF!</v>
      </c>
      <c r="AD145" t="str">
        <f>AB145*0.01</f>
        <v>#REF!</v>
      </c>
      <c r="AE145" t="str">
        <f>AB145-Q145-AD145-R145</f>
        <v>#REF!</v>
      </c>
      <c r="AF145" t="str">
        <f>AC145-Q145-AD145-R145</f>
        <v>#REF!</v>
      </c>
      <c r="AG145" t="str">
        <f>AE145/V145</f>
        <v>#REF!</v>
      </c>
      <c r="AH145" t="str">
        <f>AF145/W145</f>
        <v>#REF!</v>
      </c>
    </row>
    <row r="146">
      <c r="G146" t="str">
        <v>A</v>
      </c>
      <c r="J146" t="str">
        <f>IF(K146&gt;0,K146*0.0625,IF(L146&gt;0,L146*2.204623,))</f>
        <v>#REF!</v>
      </c>
      <c r="K146" t="str">
        <f>IF(L146&gt;0,L146*35.273962,IF(J146&gt;0,J146*16,))</f>
        <v>#REF!</v>
      </c>
      <c r="L146" t="str">
        <f>IF(J146&gt;0,J146*0.453592,IF(K146&gt;0,K146*0.02835,))</f>
        <v>#REF!</v>
      </c>
      <c r="O146">
        <f>I146+N146+M146</f>
        <v>0</v>
      </c>
      <c r="P146">
        <f>O146*B$3</f>
        <v>0</v>
      </c>
      <c r="Q146">
        <f>ROUND(SUM(P146), -2)</f>
        <v>0</v>
      </c>
      <c r="R146" t="str">
        <f>ROUNDUP(HLOOKUP(IF(CEILING(L146,0.5)&lt;1,0.5,CEILING(L146,0.5)),'배송비 조회'!A$44:AO$56,7,0)*B$3,-2)</f>
        <v>#REF!</v>
      </c>
      <c r="S146">
        <v>0</v>
      </c>
      <c r="T146" t="str">
        <f>ROUND((Q146+R146)*0.3,-2)</f>
        <v>#REF!</v>
      </c>
      <c r="U146" t="str">
        <f>ROUND((Q146+R146)*0.4,-2)</f>
        <v>#REF!</v>
      </c>
      <c r="V146" t="str">
        <f>SUM(Q146:R146)+T146</f>
        <v>#REF!</v>
      </c>
      <c r="W146" t="str">
        <f>SUM(Q146:S146)+U146</f>
        <v>#REF!</v>
      </c>
      <c r="X146">
        <v>0</v>
      </c>
      <c r="Y146" t="str">
        <f>V146*0.038</f>
        <v>#REF!</v>
      </c>
      <c r="Z146" t="str">
        <f>V146*0.02</f>
        <v>#REF!</v>
      </c>
      <c r="AA146" t="str">
        <f>W146*0.1</f>
        <v>#REF!</v>
      </c>
      <c r="AB146" t="str">
        <f>V146-Y146-Z146</f>
        <v>#REF!</v>
      </c>
      <c r="AC146" t="str">
        <f>W146-AA146</f>
        <v>#REF!</v>
      </c>
      <c r="AD146" t="str">
        <f>AB146*0.01</f>
        <v>#REF!</v>
      </c>
      <c r="AE146" t="str">
        <f>AB146-Q146-AD146-R146</f>
        <v>#REF!</v>
      </c>
      <c r="AF146" t="str">
        <f>AC146-Q146-AD146-R146</f>
        <v>#REF!</v>
      </c>
      <c r="AG146" t="str">
        <f>AE146/V146</f>
        <v>#REF!</v>
      </c>
      <c r="AH146" t="str">
        <f>AF146/W146</f>
        <v>#REF!</v>
      </c>
    </row>
    <row r="147">
      <c r="G147" t="str">
        <v>A</v>
      </c>
      <c r="J147" t="str">
        <f>IF(K147&gt;0,K147*0.0625,IF(L147&gt;0,L147*2.204623,))</f>
        <v>#REF!</v>
      </c>
      <c r="K147" t="str">
        <f>IF(L147&gt;0,L147*35.273962,IF(J147&gt;0,J147*16,))</f>
        <v>#REF!</v>
      </c>
      <c r="L147" t="str">
        <f>IF(J147&gt;0,J147*0.453592,IF(K147&gt;0,K147*0.02835,))</f>
        <v>#REF!</v>
      </c>
      <c r="O147">
        <f>I147+N147+M147</f>
        <v>0</v>
      </c>
      <c r="P147">
        <f>O147*B$3</f>
        <v>0</v>
      </c>
      <c r="Q147">
        <f>ROUND(SUM(P147), -2)</f>
        <v>0</v>
      </c>
      <c r="R147" t="str">
        <f>ROUNDUP(HLOOKUP(IF(CEILING(L147,0.5)&lt;1,0.5,CEILING(L147,0.5)),'배송비 조회'!A$44:AO$56,7,0)*B$3,-2)</f>
        <v>#REF!</v>
      </c>
      <c r="S147">
        <v>0</v>
      </c>
      <c r="T147" t="str">
        <f>ROUND((Q147+R147)*0.3,-2)</f>
        <v>#REF!</v>
      </c>
      <c r="U147" t="str">
        <f>ROUND((Q147+R147)*0.4,-2)</f>
        <v>#REF!</v>
      </c>
      <c r="V147" t="str">
        <f>SUM(Q147:R147)+T147</f>
        <v>#REF!</v>
      </c>
      <c r="W147" t="str">
        <f>SUM(Q147:S147)+U147</f>
        <v>#REF!</v>
      </c>
      <c r="X147">
        <v>0</v>
      </c>
      <c r="Y147" t="str">
        <f>V147*0.038</f>
        <v>#REF!</v>
      </c>
      <c r="Z147" t="str">
        <f>V147*0.02</f>
        <v>#REF!</v>
      </c>
      <c r="AA147" t="str">
        <f>W147*0.1</f>
        <v>#REF!</v>
      </c>
      <c r="AB147" t="str">
        <f>V147-Y147-Z147</f>
        <v>#REF!</v>
      </c>
      <c r="AC147" t="str">
        <f>W147-AA147</f>
        <v>#REF!</v>
      </c>
      <c r="AD147" t="str">
        <f>AB147*0.01</f>
        <v>#REF!</v>
      </c>
      <c r="AE147" t="str">
        <f>AB147-Q147-AD147-R147</f>
        <v>#REF!</v>
      </c>
      <c r="AF147" t="str">
        <f>AC147-Q147-AD147-R147</f>
        <v>#REF!</v>
      </c>
      <c r="AG147" t="str">
        <f>AE147/V147</f>
        <v>#REF!</v>
      </c>
      <c r="AH147" t="str">
        <f>AF147/W147</f>
        <v>#REF!</v>
      </c>
    </row>
    <row r="148">
      <c r="G148" t="str">
        <v>A</v>
      </c>
      <c r="J148" t="str">
        <f>IF(K148&gt;0,K148*0.0625,IF(L148&gt;0,L148*2.204623,))</f>
        <v>#REF!</v>
      </c>
      <c r="K148" t="str">
        <f>IF(L148&gt;0,L148*35.273962,IF(J148&gt;0,J148*16,))</f>
        <v>#REF!</v>
      </c>
      <c r="L148" t="str">
        <f>IF(J148&gt;0,J148*0.453592,IF(K148&gt;0,K148*0.02835,))</f>
        <v>#REF!</v>
      </c>
      <c r="O148">
        <f>I148+N148+M148</f>
        <v>0</v>
      </c>
      <c r="P148">
        <f>O148*B$3</f>
        <v>0</v>
      </c>
      <c r="Q148">
        <f>ROUND(SUM(P148), -2)</f>
        <v>0</v>
      </c>
      <c r="R148" t="str">
        <f>ROUNDUP(HLOOKUP(IF(CEILING(L148,0.5)&lt;1,0.5,CEILING(L148,0.5)),'배송비 조회'!A$44:AO$56,7,0)*B$3,-2)</f>
        <v>#REF!</v>
      </c>
      <c r="S148">
        <v>0</v>
      </c>
      <c r="T148" t="str">
        <f>ROUND((Q148+R148)*0.3,-2)</f>
        <v>#REF!</v>
      </c>
      <c r="U148" t="str">
        <f>ROUND((Q148+R148)*0.4,-2)</f>
        <v>#REF!</v>
      </c>
      <c r="V148" t="str">
        <f>SUM(Q148:R148)+T148</f>
        <v>#REF!</v>
      </c>
      <c r="W148" t="str">
        <f>SUM(Q148:S148)+U148</f>
        <v>#REF!</v>
      </c>
      <c r="X148">
        <v>0</v>
      </c>
      <c r="Y148" t="str">
        <f>V148*0.038</f>
        <v>#REF!</v>
      </c>
      <c r="Z148" t="str">
        <f>V148*0.02</f>
        <v>#REF!</v>
      </c>
      <c r="AA148" t="str">
        <f>W148*0.1</f>
        <v>#REF!</v>
      </c>
      <c r="AB148" t="str">
        <f>V148-Y148-Z148</f>
        <v>#REF!</v>
      </c>
      <c r="AC148" t="str">
        <f>W148-AA148</f>
        <v>#REF!</v>
      </c>
      <c r="AD148" t="str">
        <f>AB148*0.01</f>
        <v>#REF!</v>
      </c>
      <c r="AE148" t="str">
        <f>AB148-Q148-AD148-R148</f>
        <v>#REF!</v>
      </c>
      <c r="AF148" t="str">
        <f>AC148-Q148-AD148-R148</f>
        <v>#REF!</v>
      </c>
      <c r="AG148" t="str">
        <f>AE148/V148</f>
        <v>#REF!</v>
      </c>
      <c r="AH148" t="str">
        <f>AF148/W148</f>
        <v>#REF!</v>
      </c>
    </row>
    <row r="149">
      <c r="G149" t="str">
        <v>A</v>
      </c>
      <c r="J149" t="str">
        <f>IF(K149&gt;0,K149*0.0625,IF(L149&gt;0,L149*2.204623,))</f>
        <v>#REF!</v>
      </c>
      <c r="K149" t="str">
        <f>IF(L149&gt;0,L149*35.273962,IF(J149&gt;0,J149*16,))</f>
        <v>#REF!</v>
      </c>
      <c r="L149" t="str">
        <f>IF(J149&gt;0,J149*0.453592,IF(K149&gt;0,K149*0.02835,))</f>
        <v>#REF!</v>
      </c>
      <c r="O149">
        <f>I149+N149+M149</f>
        <v>0</v>
      </c>
      <c r="P149">
        <f>O149*B$3</f>
        <v>0</v>
      </c>
      <c r="Q149">
        <f>ROUND(SUM(P149), -2)</f>
        <v>0</v>
      </c>
      <c r="R149" t="str">
        <f>ROUNDUP(HLOOKUP(IF(CEILING(L149,0.5)&lt;1,0.5,CEILING(L149,0.5)),'배송비 조회'!A$44:AO$56,7,0)*B$3,-2)</f>
        <v>#REF!</v>
      </c>
      <c r="S149">
        <v>0</v>
      </c>
      <c r="T149" t="str">
        <f>ROUND((Q149+R149)*0.3,-2)</f>
        <v>#REF!</v>
      </c>
      <c r="U149" t="str">
        <f>ROUND((Q149+R149)*0.4,-2)</f>
        <v>#REF!</v>
      </c>
      <c r="V149" t="str">
        <f>SUM(Q149:R149)+T149</f>
        <v>#REF!</v>
      </c>
      <c r="W149" t="str">
        <f>SUM(Q149:S149)+U149</f>
        <v>#REF!</v>
      </c>
      <c r="X149">
        <v>0</v>
      </c>
      <c r="Y149" t="str">
        <f>V149*0.038</f>
        <v>#REF!</v>
      </c>
      <c r="Z149" t="str">
        <f>V149*0.02</f>
        <v>#REF!</v>
      </c>
      <c r="AA149" t="str">
        <f>W149*0.1</f>
        <v>#REF!</v>
      </c>
      <c r="AB149" t="str">
        <f>V149-Y149-Z149</f>
        <v>#REF!</v>
      </c>
      <c r="AC149" t="str">
        <f>W149-AA149</f>
        <v>#REF!</v>
      </c>
      <c r="AD149" t="str">
        <f>AB149*0.01</f>
        <v>#REF!</v>
      </c>
      <c r="AE149" t="str">
        <f>AB149-Q149-AD149-R149</f>
        <v>#REF!</v>
      </c>
      <c r="AF149" t="str">
        <f>AC149-Q149-AD149-R149</f>
        <v>#REF!</v>
      </c>
      <c r="AG149" t="str">
        <f>AE149/V149</f>
        <v>#REF!</v>
      </c>
      <c r="AH149" t="str">
        <f>AF149/W149</f>
        <v>#REF!</v>
      </c>
    </row>
    <row r="150">
      <c r="G150" t="str">
        <v>A</v>
      </c>
      <c r="J150" t="str">
        <f>IF(K150&gt;0,K150*0.0625,IF(L150&gt;0,L150*2.204623,))</f>
        <v>#REF!</v>
      </c>
      <c r="K150" t="str">
        <f>IF(L150&gt;0,L150*35.273962,IF(J150&gt;0,J150*16,))</f>
        <v>#REF!</v>
      </c>
      <c r="L150" t="str">
        <f>IF(J150&gt;0,J150*0.453592,IF(K150&gt;0,K150*0.02835,))</f>
        <v>#REF!</v>
      </c>
      <c r="O150">
        <f>I150+N150+M150</f>
        <v>0</v>
      </c>
      <c r="P150">
        <f>O150*B$3</f>
        <v>0</v>
      </c>
      <c r="Q150">
        <f>ROUND(SUM(P150), -2)</f>
        <v>0</v>
      </c>
      <c r="R150" t="str">
        <f>ROUNDUP(HLOOKUP(IF(CEILING(L150,0.5)&lt;1,0.5,CEILING(L150,0.5)),'배송비 조회'!A$44:AO$56,7,0)*B$3,-2)</f>
        <v>#REF!</v>
      </c>
      <c r="S150">
        <v>0</v>
      </c>
      <c r="T150" t="str">
        <f>ROUND((Q150+R150)*0.3,-2)</f>
        <v>#REF!</v>
      </c>
      <c r="U150" t="str">
        <f>ROUND((Q150+R150)*0.4,-2)</f>
        <v>#REF!</v>
      </c>
      <c r="V150" t="str">
        <f>SUM(Q150:R150)+T150</f>
        <v>#REF!</v>
      </c>
      <c r="W150" t="str">
        <f>SUM(Q150:S150)+U150</f>
        <v>#REF!</v>
      </c>
      <c r="X150">
        <v>0</v>
      </c>
      <c r="Y150" t="str">
        <f>V150*0.038</f>
        <v>#REF!</v>
      </c>
      <c r="Z150" t="str">
        <f>V150*0.02</f>
        <v>#REF!</v>
      </c>
      <c r="AA150" t="str">
        <f>W150*0.1</f>
        <v>#REF!</v>
      </c>
      <c r="AB150" t="str">
        <f>V150-Y150-Z150</f>
        <v>#REF!</v>
      </c>
      <c r="AC150" t="str">
        <f>W150-AA150</f>
        <v>#REF!</v>
      </c>
      <c r="AD150" t="str">
        <f>AB150*0.01</f>
        <v>#REF!</v>
      </c>
      <c r="AE150" t="str">
        <f>AB150-Q150-AD150-R150</f>
        <v>#REF!</v>
      </c>
      <c r="AF150" t="str">
        <f>AC150-Q150-AD150-R150</f>
        <v>#REF!</v>
      </c>
      <c r="AG150" t="str">
        <f>AE150/V150</f>
        <v>#REF!</v>
      </c>
      <c r="AH150" t="str">
        <f>AF150/W150</f>
        <v>#REF!</v>
      </c>
    </row>
    <row r="151">
      <c r="G151" t="str">
        <v>A</v>
      </c>
      <c r="J151" t="str">
        <f>IF(K151&gt;0,K151*0.0625,IF(L151&gt;0,L151*2.204623,))</f>
        <v>#REF!</v>
      </c>
      <c r="K151" t="str">
        <f>IF(L151&gt;0,L151*35.273962,IF(J151&gt;0,J151*16,))</f>
        <v>#REF!</v>
      </c>
      <c r="L151" t="str">
        <f>IF(J151&gt;0,J151*0.453592,IF(K151&gt;0,K151*0.02835,))</f>
        <v>#REF!</v>
      </c>
      <c r="O151">
        <f>I151+N151+M151</f>
        <v>0</v>
      </c>
      <c r="P151">
        <f>O151*B$3</f>
        <v>0</v>
      </c>
      <c r="Q151">
        <f>ROUND(SUM(P151), -2)</f>
        <v>0</v>
      </c>
      <c r="R151" t="str">
        <f>ROUNDUP(HLOOKUP(IF(CEILING(L151,0.5)&lt;1,0.5,CEILING(L151,0.5)),'배송비 조회'!A$44:AO$56,7,0)*B$3,-2)</f>
        <v>#REF!</v>
      </c>
      <c r="S151">
        <v>0</v>
      </c>
      <c r="T151" t="str">
        <f>ROUND((Q151+R151)*0.3,-2)</f>
        <v>#REF!</v>
      </c>
      <c r="U151" t="str">
        <f>ROUND((Q151+R151)*0.4,-2)</f>
        <v>#REF!</v>
      </c>
      <c r="V151" t="str">
        <f>SUM(Q151:R151)+T151</f>
        <v>#REF!</v>
      </c>
      <c r="W151" t="str">
        <f>SUM(Q151:S151)+U151</f>
        <v>#REF!</v>
      </c>
      <c r="X151">
        <v>0</v>
      </c>
      <c r="Y151" t="str">
        <f>V151*0.038</f>
        <v>#REF!</v>
      </c>
      <c r="Z151" t="str">
        <f>V151*0.02</f>
        <v>#REF!</v>
      </c>
      <c r="AA151" t="str">
        <f>W151*0.1</f>
        <v>#REF!</v>
      </c>
      <c r="AB151" t="str">
        <f>V151-Y151-Z151</f>
        <v>#REF!</v>
      </c>
      <c r="AC151" t="str">
        <f>W151-AA151</f>
        <v>#REF!</v>
      </c>
      <c r="AD151" t="str">
        <f>AB151*0.01</f>
        <v>#REF!</v>
      </c>
      <c r="AE151" t="str">
        <f>AB151-Q151-AD151-R151</f>
        <v>#REF!</v>
      </c>
      <c r="AF151" t="str">
        <f>AC151-Q151-AD151-R151</f>
        <v>#REF!</v>
      </c>
      <c r="AG151" t="str">
        <f>AE151/V151</f>
        <v>#REF!</v>
      </c>
      <c r="AH151" t="str">
        <f>AF151/W151</f>
        <v>#REF!</v>
      </c>
    </row>
    <row r="152">
      <c r="G152" t="str">
        <v>A</v>
      </c>
      <c r="J152" t="str">
        <f>IF(K152&gt;0,K152*0.0625,IF(L152&gt;0,L152*2.204623,))</f>
        <v>#REF!</v>
      </c>
      <c r="K152" t="str">
        <f>IF(L152&gt;0,L152*35.273962,IF(J152&gt;0,J152*16,))</f>
        <v>#REF!</v>
      </c>
      <c r="L152" t="str">
        <f>IF(J152&gt;0,J152*0.453592,IF(K152&gt;0,K152*0.02835,))</f>
        <v>#REF!</v>
      </c>
      <c r="O152">
        <f>I152+N152+M152</f>
        <v>0</v>
      </c>
      <c r="P152">
        <f>O152*B$3</f>
        <v>0</v>
      </c>
      <c r="Q152">
        <f>ROUND(SUM(P152), -2)</f>
        <v>0</v>
      </c>
      <c r="R152" t="str">
        <f>ROUNDUP(HLOOKUP(IF(CEILING(L152,0.5)&lt;1,0.5,CEILING(L152,0.5)),'배송비 조회'!A$44:AO$56,7,0)*B$3,-2)</f>
        <v>#REF!</v>
      </c>
      <c r="S152">
        <v>0</v>
      </c>
      <c r="T152" t="str">
        <f>ROUND((Q152+R152)*0.3,-2)</f>
        <v>#REF!</v>
      </c>
      <c r="U152" t="str">
        <f>ROUND((Q152+R152)*0.4,-2)</f>
        <v>#REF!</v>
      </c>
      <c r="V152" t="str">
        <f>SUM(Q152:R152)+T152</f>
        <v>#REF!</v>
      </c>
      <c r="W152" t="str">
        <f>SUM(Q152:S152)+U152</f>
        <v>#REF!</v>
      </c>
      <c r="X152">
        <v>0</v>
      </c>
      <c r="Y152" t="str">
        <f>V152*0.038</f>
        <v>#REF!</v>
      </c>
      <c r="Z152" t="str">
        <f>V152*0.02</f>
        <v>#REF!</v>
      </c>
      <c r="AA152" t="str">
        <f>W152*0.1</f>
        <v>#REF!</v>
      </c>
      <c r="AB152" t="str">
        <f>V152-Y152-Z152</f>
        <v>#REF!</v>
      </c>
      <c r="AC152" t="str">
        <f>W152-AA152</f>
        <v>#REF!</v>
      </c>
      <c r="AD152" t="str">
        <f>AB152*0.01</f>
        <v>#REF!</v>
      </c>
      <c r="AE152" t="str">
        <f>AB152-Q152-AD152-R152</f>
        <v>#REF!</v>
      </c>
      <c r="AF152" t="str">
        <f>AC152-Q152-AD152-R152</f>
        <v>#REF!</v>
      </c>
      <c r="AG152" t="str">
        <f>AE152/V152</f>
        <v>#REF!</v>
      </c>
      <c r="AH152" t="str">
        <f>AF152/W152</f>
        <v>#REF!</v>
      </c>
    </row>
    <row r="153">
      <c r="G153" t="str">
        <v>A</v>
      </c>
      <c r="J153" t="str">
        <f>IF(K153&gt;0,K153*0.0625,IF(L153&gt;0,L153*2.204623,))</f>
        <v>#REF!</v>
      </c>
      <c r="K153" t="str">
        <f>IF(L153&gt;0,L153*35.273962,IF(J153&gt;0,J153*16,))</f>
        <v>#REF!</v>
      </c>
      <c r="L153" t="str">
        <f>IF(J153&gt;0,J153*0.453592,IF(K153&gt;0,K153*0.02835,))</f>
        <v>#REF!</v>
      </c>
      <c r="O153">
        <f>I153+N153+M153</f>
        <v>0</v>
      </c>
      <c r="P153">
        <f>O153*B$3</f>
        <v>0</v>
      </c>
      <c r="Q153">
        <f>ROUND(SUM(P153), -2)</f>
        <v>0</v>
      </c>
      <c r="R153" t="str">
        <f>ROUNDUP(HLOOKUP(IF(CEILING(L153,0.5)&lt;1,0.5,CEILING(L153,0.5)),'배송비 조회'!A$44:AO$56,7,0)*B$3,-2)</f>
        <v>#REF!</v>
      </c>
      <c r="S153">
        <v>0</v>
      </c>
      <c r="T153" t="str">
        <f>ROUND((Q153+R153)*0.3,-2)</f>
        <v>#REF!</v>
      </c>
      <c r="U153" t="str">
        <f>ROUND((Q153+R153)*0.4,-2)</f>
        <v>#REF!</v>
      </c>
      <c r="V153" t="str">
        <f>SUM(Q153:R153)+T153</f>
        <v>#REF!</v>
      </c>
      <c r="W153" t="str">
        <f>SUM(Q153:S153)+U153</f>
        <v>#REF!</v>
      </c>
      <c r="X153">
        <v>0</v>
      </c>
      <c r="Y153" t="str">
        <f>V153*0.038</f>
        <v>#REF!</v>
      </c>
      <c r="Z153" t="str">
        <f>V153*0.02</f>
        <v>#REF!</v>
      </c>
      <c r="AA153" t="str">
        <f>W153*0.1</f>
        <v>#REF!</v>
      </c>
      <c r="AB153" t="str">
        <f>V153-Y153-Z153</f>
        <v>#REF!</v>
      </c>
      <c r="AC153" t="str">
        <f>W153-AA153</f>
        <v>#REF!</v>
      </c>
      <c r="AD153" t="str">
        <f>AB153*0.01</f>
        <v>#REF!</v>
      </c>
      <c r="AE153" t="str">
        <f>AB153-Q153-AD153-R153</f>
        <v>#REF!</v>
      </c>
      <c r="AF153" t="str">
        <f>AC153-Q153-AD153-R153</f>
        <v>#REF!</v>
      </c>
      <c r="AG153" t="str">
        <f>AE153/V153</f>
        <v>#REF!</v>
      </c>
      <c r="AH153" t="str">
        <f>AF153/W153</f>
        <v>#REF!</v>
      </c>
    </row>
    <row r="154">
      <c r="G154" t="str">
        <v>A</v>
      </c>
      <c r="J154" t="str">
        <f>IF(K154&gt;0,K154*0.0625,IF(L154&gt;0,L154*2.204623,))</f>
        <v>#REF!</v>
      </c>
      <c r="K154" t="str">
        <f>IF(L154&gt;0,L154*35.273962,IF(J154&gt;0,J154*16,))</f>
        <v>#REF!</v>
      </c>
      <c r="L154" t="str">
        <f>IF(J154&gt;0,J154*0.453592,IF(K154&gt;0,K154*0.02835,))</f>
        <v>#REF!</v>
      </c>
      <c r="O154">
        <f>I154+N154+M154</f>
        <v>0</v>
      </c>
      <c r="P154">
        <f>O154*B$3</f>
        <v>0</v>
      </c>
      <c r="Q154">
        <f>ROUND(SUM(P154), -2)</f>
        <v>0</v>
      </c>
      <c r="R154" t="str">
        <f>ROUNDUP(HLOOKUP(IF(CEILING(L154,0.5)&lt;1,0.5,CEILING(L154,0.5)),'배송비 조회'!A$44:AO$56,7,0)*B$3,-2)</f>
        <v>#REF!</v>
      </c>
      <c r="S154">
        <v>0</v>
      </c>
      <c r="T154" t="str">
        <f>ROUND((Q154+R154)*0.3,-2)</f>
        <v>#REF!</v>
      </c>
      <c r="U154" t="str">
        <f>ROUND((Q154+R154)*0.4,-2)</f>
        <v>#REF!</v>
      </c>
      <c r="V154" t="str">
        <f>SUM(Q154:R154)+T154</f>
        <v>#REF!</v>
      </c>
      <c r="W154" t="str">
        <f>SUM(Q154:S154)+U154</f>
        <v>#REF!</v>
      </c>
      <c r="X154">
        <v>0</v>
      </c>
      <c r="Y154" t="str">
        <f>V154*0.038</f>
        <v>#REF!</v>
      </c>
      <c r="Z154" t="str">
        <f>V154*0.02</f>
        <v>#REF!</v>
      </c>
      <c r="AA154" t="str">
        <f>W154*0.1</f>
        <v>#REF!</v>
      </c>
      <c r="AB154" t="str">
        <f>V154-Y154-Z154</f>
        <v>#REF!</v>
      </c>
      <c r="AC154" t="str">
        <f>W154-AA154</f>
        <v>#REF!</v>
      </c>
      <c r="AD154" t="str">
        <f>AB154*0.01</f>
        <v>#REF!</v>
      </c>
      <c r="AE154" t="str">
        <f>AB154-Q154-AD154-R154</f>
        <v>#REF!</v>
      </c>
      <c r="AF154" t="str">
        <f>AC154-Q154-AD154-R154</f>
        <v>#REF!</v>
      </c>
      <c r="AG154" t="str">
        <f>AE154/V154</f>
        <v>#REF!</v>
      </c>
      <c r="AH154" t="str">
        <f>AF154/W154</f>
        <v>#REF!</v>
      </c>
    </row>
    <row r="155">
      <c r="G155" t="str">
        <v>A</v>
      </c>
      <c r="J155" t="str">
        <f>IF(K155&gt;0,K155*0.0625,IF(L155&gt;0,L155*2.204623,))</f>
        <v>#REF!</v>
      </c>
      <c r="K155" t="str">
        <f>IF(L155&gt;0,L155*35.273962,IF(J155&gt;0,J155*16,))</f>
        <v>#REF!</v>
      </c>
      <c r="L155" t="str">
        <f>IF(J155&gt;0,J155*0.453592,IF(K155&gt;0,K155*0.02835,))</f>
        <v>#REF!</v>
      </c>
      <c r="O155">
        <f>I155+N155+M155</f>
        <v>0</v>
      </c>
      <c r="P155">
        <f>O155*B$3</f>
        <v>0</v>
      </c>
      <c r="Q155">
        <f>ROUND(SUM(P155), -2)</f>
        <v>0</v>
      </c>
      <c r="R155" t="str">
        <f>ROUNDUP(HLOOKUP(IF(CEILING(L155,0.5)&lt;1,0.5,CEILING(L155,0.5)),'배송비 조회'!A$44:AO$56,7,0)*B$3,-2)</f>
        <v>#REF!</v>
      </c>
      <c r="S155">
        <v>0</v>
      </c>
      <c r="T155" t="str">
        <f>ROUND((Q155+R155)*0.3,-2)</f>
        <v>#REF!</v>
      </c>
      <c r="U155" t="str">
        <f>ROUND((Q155+R155)*0.4,-2)</f>
        <v>#REF!</v>
      </c>
      <c r="V155" t="str">
        <f>SUM(Q155:R155)+T155</f>
        <v>#REF!</v>
      </c>
      <c r="W155" t="str">
        <f>SUM(Q155:S155)+U155</f>
        <v>#REF!</v>
      </c>
      <c r="X155">
        <v>0</v>
      </c>
      <c r="Y155" t="str">
        <f>V155*0.038</f>
        <v>#REF!</v>
      </c>
      <c r="Z155" t="str">
        <f>V155*0.02</f>
        <v>#REF!</v>
      </c>
      <c r="AA155" t="str">
        <f>W155*0.1</f>
        <v>#REF!</v>
      </c>
      <c r="AB155" t="str">
        <f>V155-Y155-Z155</f>
        <v>#REF!</v>
      </c>
      <c r="AC155" t="str">
        <f>W155-AA155</f>
        <v>#REF!</v>
      </c>
      <c r="AD155" t="str">
        <f>AB155*0.01</f>
        <v>#REF!</v>
      </c>
      <c r="AE155" t="str">
        <f>AB155-Q155-AD155-R155</f>
        <v>#REF!</v>
      </c>
      <c r="AF155" t="str">
        <f>AC155-Q155-AD155-R155</f>
        <v>#REF!</v>
      </c>
      <c r="AG155" t="str">
        <f>AE155/V155</f>
        <v>#REF!</v>
      </c>
      <c r="AH155" t="str">
        <f>AF155/W155</f>
        <v>#REF!</v>
      </c>
    </row>
    <row r="156">
      <c r="G156" t="str">
        <v>A</v>
      </c>
      <c r="J156" t="str">
        <f>IF(K156&gt;0,K156*0.0625,IF(L156&gt;0,L156*2.204623,))</f>
        <v>#REF!</v>
      </c>
      <c r="K156" t="str">
        <f>IF(L156&gt;0,L156*35.273962,IF(J156&gt;0,J156*16,))</f>
        <v>#REF!</v>
      </c>
      <c r="L156" t="str">
        <f>IF(J156&gt;0,J156*0.453592,IF(K156&gt;0,K156*0.02835,))</f>
        <v>#REF!</v>
      </c>
      <c r="O156">
        <f>I156+N156+M156</f>
        <v>0</v>
      </c>
      <c r="P156">
        <f>O156*B$3</f>
        <v>0</v>
      </c>
      <c r="Q156">
        <f>ROUND(SUM(P156), -2)</f>
        <v>0</v>
      </c>
      <c r="R156" t="str">
        <f>ROUNDUP(HLOOKUP(IF(CEILING(L156,0.5)&lt;1,0.5,CEILING(L156,0.5)),'배송비 조회'!A$44:AO$56,7,0)*B$3,-2)</f>
        <v>#REF!</v>
      </c>
      <c r="S156">
        <v>0</v>
      </c>
      <c r="T156" t="str">
        <f>ROUND((Q156+R156)*0.3,-2)</f>
        <v>#REF!</v>
      </c>
      <c r="U156" t="str">
        <f>ROUND((Q156+R156)*0.4,-2)</f>
        <v>#REF!</v>
      </c>
      <c r="V156" t="str">
        <f>SUM(Q156:R156)+T156</f>
        <v>#REF!</v>
      </c>
      <c r="W156" t="str">
        <f>SUM(Q156:S156)+U156</f>
        <v>#REF!</v>
      </c>
      <c r="X156">
        <v>0</v>
      </c>
      <c r="Y156" t="str">
        <f>V156*0.038</f>
        <v>#REF!</v>
      </c>
      <c r="Z156" t="str">
        <f>V156*0.02</f>
        <v>#REF!</v>
      </c>
      <c r="AA156" t="str">
        <f>W156*0.1</f>
        <v>#REF!</v>
      </c>
      <c r="AB156" t="str">
        <f>V156-Y156-Z156</f>
        <v>#REF!</v>
      </c>
      <c r="AC156" t="str">
        <f>W156-AA156</f>
        <v>#REF!</v>
      </c>
      <c r="AD156" t="str">
        <f>AB156*0.01</f>
        <v>#REF!</v>
      </c>
      <c r="AE156" t="str">
        <f>AB156-Q156-AD156-R156</f>
        <v>#REF!</v>
      </c>
      <c r="AF156" t="str">
        <f>AC156-Q156-AD156-R156</f>
        <v>#REF!</v>
      </c>
      <c r="AG156" t="str">
        <f>AE156/V156</f>
        <v>#REF!</v>
      </c>
      <c r="AH156" t="str">
        <f>AF156/W156</f>
        <v>#REF!</v>
      </c>
    </row>
    <row r="157">
      <c r="G157" t="str">
        <v>A</v>
      </c>
      <c r="J157" t="str">
        <f>IF(K157&gt;0,K157*0.0625,IF(L157&gt;0,L157*2.204623,))</f>
        <v>#REF!</v>
      </c>
      <c r="K157" t="str">
        <f>IF(L157&gt;0,L157*35.273962,IF(J157&gt;0,J157*16,))</f>
        <v>#REF!</v>
      </c>
      <c r="L157" t="str">
        <f>IF(J157&gt;0,J157*0.453592,IF(K157&gt;0,K157*0.02835,))</f>
        <v>#REF!</v>
      </c>
      <c r="O157">
        <f>I157+N157+M157</f>
        <v>0</v>
      </c>
      <c r="P157">
        <f>O157*B$3</f>
        <v>0</v>
      </c>
      <c r="Q157">
        <f>ROUND(SUM(P157), -2)</f>
        <v>0</v>
      </c>
      <c r="R157" t="str">
        <f>ROUNDUP(HLOOKUP(IF(CEILING(L157,0.5)&lt;1,0.5,CEILING(L157,0.5)),'배송비 조회'!A$44:AO$56,7,0)*B$3,-2)</f>
        <v>#REF!</v>
      </c>
      <c r="S157">
        <v>0</v>
      </c>
      <c r="T157" t="str">
        <f>ROUND((Q157+R157)*0.3,-2)</f>
        <v>#REF!</v>
      </c>
      <c r="U157" t="str">
        <f>ROUND((Q157+R157)*0.4,-2)</f>
        <v>#REF!</v>
      </c>
      <c r="V157" t="str">
        <f>SUM(Q157:R157)+T157</f>
        <v>#REF!</v>
      </c>
      <c r="W157" t="str">
        <f>SUM(Q157:S157)+U157</f>
        <v>#REF!</v>
      </c>
      <c r="X157">
        <v>0</v>
      </c>
      <c r="Y157" t="str">
        <f>V157*0.038</f>
        <v>#REF!</v>
      </c>
      <c r="Z157" t="str">
        <f>V157*0.02</f>
        <v>#REF!</v>
      </c>
      <c r="AA157" t="str">
        <f>W157*0.1</f>
        <v>#REF!</v>
      </c>
      <c r="AB157" t="str">
        <f>V157-Y157-Z157</f>
        <v>#REF!</v>
      </c>
      <c r="AC157" t="str">
        <f>W157-AA157</f>
        <v>#REF!</v>
      </c>
      <c r="AD157" t="str">
        <f>AB157*0.01</f>
        <v>#REF!</v>
      </c>
      <c r="AE157" t="str">
        <f>AB157-Q157-AD157-R157</f>
        <v>#REF!</v>
      </c>
      <c r="AF157" t="str">
        <f>AC157-Q157-AD157-R157</f>
        <v>#REF!</v>
      </c>
      <c r="AG157" t="str">
        <f>AE157/V157</f>
        <v>#REF!</v>
      </c>
      <c r="AH157" t="str">
        <f>AF157/W157</f>
        <v>#REF!</v>
      </c>
    </row>
    <row r="158">
      <c r="G158" t="str">
        <v>A</v>
      </c>
      <c r="J158" t="str">
        <f>IF(K158&gt;0,K158*0.0625,IF(L158&gt;0,L158*2.204623,))</f>
        <v>#REF!</v>
      </c>
      <c r="K158" t="str">
        <f>IF(L158&gt;0,L158*35.273962,IF(J158&gt;0,J158*16,))</f>
        <v>#REF!</v>
      </c>
      <c r="L158" t="str">
        <f>IF(J158&gt;0,J158*0.453592,IF(K158&gt;0,K158*0.02835,))</f>
        <v>#REF!</v>
      </c>
      <c r="O158">
        <f>I158+N158+M158</f>
        <v>0</v>
      </c>
      <c r="P158">
        <f>O158*B$3</f>
        <v>0</v>
      </c>
      <c r="Q158">
        <f>ROUND(SUM(P158), -2)</f>
        <v>0</v>
      </c>
      <c r="R158" t="str">
        <f>ROUNDUP(HLOOKUP(IF(CEILING(L158,0.5)&lt;1,0.5,CEILING(L158,0.5)),'배송비 조회'!A$44:AO$56,7,0)*B$3,-2)</f>
        <v>#REF!</v>
      </c>
      <c r="S158">
        <v>0</v>
      </c>
      <c r="T158" t="str">
        <f>ROUND((Q158+R158)*0.3,-2)</f>
        <v>#REF!</v>
      </c>
      <c r="U158" t="str">
        <f>ROUND((Q158+R158)*0.4,-2)</f>
        <v>#REF!</v>
      </c>
      <c r="V158" t="str">
        <f>SUM(Q158:R158)+T158</f>
        <v>#REF!</v>
      </c>
      <c r="W158" t="str">
        <f>SUM(Q158:S158)+U158</f>
        <v>#REF!</v>
      </c>
      <c r="X158">
        <v>0</v>
      </c>
      <c r="Y158" t="str">
        <f>V158*0.038</f>
        <v>#REF!</v>
      </c>
      <c r="Z158" t="str">
        <f>V158*0.02</f>
        <v>#REF!</v>
      </c>
      <c r="AA158" t="str">
        <f>W158*0.1</f>
        <v>#REF!</v>
      </c>
      <c r="AB158" t="str">
        <f>V158-Y158-Z158</f>
        <v>#REF!</v>
      </c>
      <c r="AC158" t="str">
        <f>W158-AA158</f>
        <v>#REF!</v>
      </c>
      <c r="AD158" t="str">
        <f>AB158*0.01</f>
        <v>#REF!</v>
      </c>
      <c r="AE158" t="str">
        <f>AB158-Q158-AD158-R158</f>
        <v>#REF!</v>
      </c>
      <c r="AF158" t="str">
        <f>AC158-Q158-AD158-R158</f>
        <v>#REF!</v>
      </c>
      <c r="AG158" t="str">
        <f>AE158/V158</f>
        <v>#REF!</v>
      </c>
      <c r="AH158" t="str">
        <f>AF158/W158</f>
        <v>#REF!</v>
      </c>
    </row>
    <row r="159">
      <c r="G159" t="str">
        <v>A</v>
      </c>
      <c r="J159" t="str">
        <f>IF(K159&gt;0,K159*0.0625,IF(L159&gt;0,L159*2.204623,))</f>
        <v>#REF!</v>
      </c>
      <c r="K159" t="str">
        <f>IF(L159&gt;0,L159*35.273962,IF(J159&gt;0,J159*16,))</f>
        <v>#REF!</v>
      </c>
      <c r="L159" t="str">
        <f>IF(J159&gt;0,J159*0.453592,IF(K159&gt;0,K159*0.02835,))</f>
        <v>#REF!</v>
      </c>
      <c r="O159">
        <f>I159+N159+M159</f>
        <v>0</v>
      </c>
      <c r="P159">
        <f>O159*B$3</f>
        <v>0</v>
      </c>
      <c r="Q159">
        <f>ROUND(SUM(P159), -2)</f>
        <v>0</v>
      </c>
      <c r="R159" t="str">
        <f>ROUNDUP(HLOOKUP(IF(CEILING(L159,0.5)&lt;1,0.5,CEILING(L159,0.5)),'배송비 조회'!A$44:AO$56,7,0)*B$3,-2)</f>
        <v>#REF!</v>
      </c>
      <c r="S159">
        <v>0</v>
      </c>
      <c r="T159" t="str">
        <f>ROUND((Q159+R159)*0.3,-2)</f>
        <v>#REF!</v>
      </c>
      <c r="U159" t="str">
        <f>ROUND((Q159+R159)*0.4,-2)</f>
        <v>#REF!</v>
      </c>
      <c r="V159" t="str">
        <f>SUM(Q159:R159)+T159</f>
        <v>#REF!</v>
      </c>
      <c r="W159" t="str">
        <f>SUM(Q159:S159)+U159</f>
        <v>#REF!</v>
      </c>
      <c r="X159">
        <v>0</v>
      </c>
      <c r="Y159" t="str">
        <f>V159*0.038</f>
        <v>#REF!</v>
      </c>
      <c r="Z159" t="str">
        <f>V159*0.02</f>
        <v>#REF!</v>
      </c>
      <c r="AA159" t="str">
        <f>W159*0.1</f>
        <v>#REF!</v>
      </c>
      <c r="AB159" t="str">
        <f>V159-Y159-Z159</f>
        <v>#REF!</v>
      </c>
      <c r="AC159" t="str">
        <f>W159-AA159</f>
        <v>#REF!</v>
      </c>
      <c r="AD159" t="str">
        <f>AB159*0.01</f>
        <v>#REF!</v>
      </c>
      <c r="AE159" t="str">
        <f>AB159-Q159-AD159-R159</f>
        <v>#REF!</v>
      </c>
      <c r="AF159" t="str">
        <f>AC159-Q159-AD159-R159</f>
        <v>#REF!</v>
      </c>
      <c r="AG159" t="str">
        <f>AE159/V159</f>
        <v>#REF!</v>
      </c>
      <c r="AH159" t="str">
        <f>AF159/W159</f>
        <v>#REF!</v>
      </c>
    </row>
    <row r="160">
      <c r="G160" t="str">
        <v>A</v>
      </c>
      <c r="J160" t="str">
        <f>IF(K160&gt;0,K160*0.0625,IF(L160&gt;0,L160*2.204623,))</f>
        <v>#REF!</v>
      </c>
      <c r="K160" t="str">
        <f>IF(L160&gt;0,L160*35.273962,IF(J160&gt;0,J160*16,))</f>
        <v>#REF!</v>
      </c>
      <c r="L160" t="str">
        <f>IF(J160&gt;0,J160*0.453592,IF(K160&gt;0,K160*0.02835,))</f>
        <v>#REF!</v>
      </c>
      <c r="O160">
        <f>I160+N160+M160</f>
        <v>0</v>
      </c>
      <c r="P160">
        <f>O160*B$3</f>
        <v>0</v>
      </c>
      <c r="Q160">
        <f>ROUND(SUM(P160), -2)</f>
        <v>0</v>
      </c>
      <c r="R160" t="str">
        <f>ROUNDUP(HLOOKUP(IF(CEILING(L160,0.5)&lt;1,0.5,CEILING(L160,0.5)),'배송비 조회'!A$44:AO$56,7,0)*B$3,-2)</f>
        <v>#REF!</v>
      </c>
      <c r="S160">
        <v>0</v>
      </c>
      <c r="T160" t="str">
        <f>ROUND((Q160+R160)*0.3,-2)</f>
        <v>#REF!</v>
      </c>
      <c r="U160" t="str">
        <f>ROUND((Q160+R160)*0.4,-2)</f>
        <v>#REF!</v>
      </c>
      <c r="V160" t="str">
        <f>SUM(Q160:R160)+T160</f>
        <v>#REF!</v>
      </c>
      <c r="W160" t="str">
        <f>SUM(Q160:S160)+U160</f>
        <v>#REF!</v>
      </c>
      <c r="X160">
        <v>0</v>
      </c>
      <c r="Y160" t="str">
        <f>V160*0.038</f>
        <v>#REF!</v>
      </c>
      <c r="Z160" t="str">
        <f>V160*0.02</f>
        <v>#REF!</v>
      </c>
      <c r="AA160" t="str">
        <f>W160*0.1</f>
        <v>#REF!</v>
      </c>
      <c r="AB160" t="str">
        <f>V160-Y160-Z160</f>
        <v>#REF!</v>
      </c>
      <c r="AC160" t="str">
        <f>W160-AA160</f>
        <v>#REF!</v>
      </c>
      <c r="AD160" t="str">
        <f>AB160*0.01</f>
        <v>#REF!</v>
      </c>
      <c r="AE160" t="str">
        <f>AB160-Q160-AD160-R160</f>
        <v>#REF!</v>
      </c>
      <c r="AF160" t="str">
        <f>AC160-Q160-AD160-R160</f>
        <v>#REF!</v>
      </c>
      <c r="AG160" t="str">
        <f>AE160/V160</f>
        <v>#REF!</v>
      </c>
      <c r="AH160" t="str">
        <f>AF160/W160</f>
        <v>#REF!</v>
      </c>
    </row>
    <row r="161">
      <c r="G161" t="str">
        <v>A</v>
      </c>
      <c r="J161" t="str">
        <f>IF(K161&gt;0,K161*0.0625,IF(L161&gt;0,L161*2.204623,))</f>
        <v>#REF!</v>
      </c>
      <c r="K161" t="str">
        <f>IF(L161&gt;0,L161*35.273962,IF(J161&gt;0,J161*16,))</f>
        <v>#REF!</v>
      </c>
      <c r="L161" t="str">
        <f>IF(J161&gt;0,J161*0.453592,IF(K161&gt;0,K161*0.02835,))</f>
        <v>#REF!</v>
      </c>
      <c r="O161">
        <f>I161+N161+M161</f>
        <v>0</v>
      </c>
      <c r="P161">
        <f>O161*B$3</f>
        <v>0</v>
      </c>
      <c r="Q161">
        <f>ROUND(SUM(P161), -2)</f>
        <v>0</v>
      </c>
      <c r="R161" t="str">
        <f>ROUNDUP(HLOOKUP(IF(CEILING(L161,0.5)&lt;1,0.5,CEILING(L161,0.5)),'배송비 조회'!A$44:AO$56,7,0)*B$3,-2)</f>
        <v>#REF!</v>
      </c>
      <c r="S161">
        <v>0</v>
      </c>
      <c r="T161" t="str">
        <f>ROUND((Q161+R161)*0.3,-2)</f>
        <v>#REF!</v>
      </c>
      <c r="U161" t="str">
        <f>ROUND((Q161+R161)*0.4,-2)</f>
        <v>#REF!</v>
      </c>
      <c r="V161" t="str">
        <f>SUM(Q161:R161)+T161</f>
        <v>#REF!</v>
      </c>
      <c r="W161" t="str">
        <f>SUM(Q161:S161)+U161</f>
        <v>#REF!</v>
      </c>
      <c r="X161">
        <v>0</v>
      </c>
      <c r="Y161" t="str">
        <f>V161*0.038</f>
        <v>#REF!</v>
      </c>
      <c r="Z161" t="str">
        <f>V161*0.02</f>
        <v>#REF!</v>
      </c>
      <c r="AA161" t="str">
        <f>W161*0.1</f>
        <v>#REF!</v>
      </c>
      <c r="AB161" t="str">
        <f>V161-Y161-Z161</f>
        <v>#REF!</v>
      </c>
      <c r="AC161" t="str">
        <f>W161-AA161</f>
        <v>#REF!</v>
      </c>
      <c r="AD161" t="str">
        <f>AB161*0.01</f>
        <v>#REF!</v>
      </c>
      <c r="AE161" t="str">
        <f>AB161-Q161-AD161-R161</f>
        <v>#REF!</v>
      </c>
      <c r="AF161" t="str">
        <f>AC161-Q161-AD161-R161</f>
        <v>#REF!</v>
      </c>
      <c r="AG161" t="str">
        <f>AE161/V161</f>
        <v>#REF!</v>
      </c>
      <c r="AH161" t="str">
        <f>AF161/W161</f>
        <v>#REF!</v>
      </c>
    </row>
    <row r="162">
      <c r="G162" t="str">
        <v>A</v>
      </c>
      <c r="J162" t="str">
        <f>IF(K162&gt;0,K162*0.0625,IF(L162&gt;0,L162*2.204623,))</f>
        <v>#REF!</v>
      </c>
      <c r="K162" t="str">
        <f>IF(L162&gt;0,L162*35.273962,IF(J162&gt;0,J162*16,))</f>
        <v>#REF!</v>
      </c>
      <c r="L162" t="str">
        <f>IF(J162&gt;0,J162*0.453592,IF(K162&gt;0,K162*0.02835,))</f>
        <v>#REF!</v>
      </c>
      <c r="O162">
        <f>I162+N162+M162</f>
        <v>0</v>
      </c>
      <c r="P162">
        <f>O162*B$3</f>
        <v>0</v>
      </c>
      <c r="Q162">
        <f>ROUND(SUM(P162), -2)</f>
        <v>0</v>
      </c>
      <c r="R162" t="str">
        <f>ROUNDUP(HLOOKUP(IF(CEILING(L162,0.5)&lt;1,0.5,CEILING(L162,0.5)),'배송비 조회'!A$44:AO$56,7,0)*B$3,-2)</f>
        <v>#REF!</v>
      </c>
      <c r="S162">
        <v>0</v>
      </c>
      <c r="T162" t="str">
        <f>ROUND((Q162+R162)*0.3,-2)</f>
        <v>#REF!</v>
      </c>
      <c r="U162" t="str">
        <f>ROUND((Q162+R162)*0.4,-2)</f>
        <v>#REF!</v>
      </c>
      <c r="V162" t="str">
        <f>SUM(Q162:R162)+T162</f>
        <v>#REF!</v>
      </c>
      <c r="W162" t="str">
        <f>SUM(Q162:S162)+U162</f>
        <v>#REF!</v>
      </c>
      <c r="X162">
        <v>0</v>
      </c>
      <c r="Y162" t="str">
        <f>V162*0.038</f>
        <v>#REF!</v>
      </c>
      <c r="Z162" t="str">
        <f>V162*0.02</f>
        <v>#REF!</v>
      </c>
      <c r="AA162" t="str">
        <f>W162*0.1</f>
        <v>#REF!</v>
      </c>
      <c r="AB162" t="str">
        <f>V162-Y162-Z162</f>
        <v>#REF!</v>
      </c>
      <c r="AC162" t="str">
        <f>W162-AA162</f>
        <v>#REF!</v>
      </c>
      <c r="AD162" t="str">
        <f>AB162*0.01</f>
        <v>#REF!</v>
      </c>
      <c r="AE162" t="str">
        <f>AB162-Q162-AD162-R162</f>
        <v>#REF!</v>
      </c>
      <c r="AF162" t="str">
        <f>AC162-Q162-AD162-R162</f>
        <v>#REF!</v>
      </c>
      <c r="AG162" t="str">
        <f>AE162/V162</f>
        <v>#REF!</v>
      </c>
      <c r="AH162" t="str">
        <f>AF162/W162</f>
        <v>#REF!</v>
      </c>
    </row>
    <row r="163">
      <c r="G163" t="str">
        <v>A</v>
      </c>
      <c r="J163" t="str">
        <f>IF(K163&gt;0,K163*0.0625,IF(L163&gt;0,L163*2.204623,))</f>
        <v>#REF!</v>
      </c>
      <c r="K163" t="str">
        <f>IF(L163&gt;0,L163*35.273962,IF(J163&gt;0,J163*16,))</f>
        <v>#REF!</v>
      </c>
      <c r="L163" t="str">
        <f>IF(J163&gt;0,J163*0.453592,IF(K163&gt;0,K163*0.02835,))</f>
        <v>#REF!</v>
      </c>
      <c r="O163">
        <f>I163+N163+M163</f>
        <v>0</v>
      </c>
      <c r="P163">
        <f>O163*B$3</f>
        <v>0</v>
      </c>
      <c r="Q163">
        <f>ROUND(SUM(P163), -2)</f>
        <v>0</v>
      </c>
      <c r="R163" t="str">
        <f>ROUNDUP(HLOOKUP(IF(CEILING(L163,0.5)&lt;1,0.5,CEILING(L163,0.5)),'배송비 조회'!A$44:AO$56,7,0)*B$3,-2)</f>
        <v>#REF!</v>
      </c>
      <c r="S163">
        <v>0</v>
      </c>
      <c r="T163" t="str">
        <f>ROUND((Q163+R163)*0.3,-2)</f>
        <v>#REF!</v>
      </c>
      <c r="U163" t="str">
        <f>ROUND((Q163+R163)*0.4,-2)</f>
        <v>#REF!</v>
      </c>
      <c r="V163" t="str">
        <f>SUM(Q163:R163)+T163</f>
        <v>#REF!</v>
      </c>
      <c r="W163" t="str">
        <f>SUM(Q163:S163)+U163</f>
        <v>#REF!</v>
      </c>
      <c r="X163">
        <v>0</v>
      </c>
      <c r="Y163" t="str">
        <f>V163*0.038</f>
        <v>#REF!</v>
      </c>
      <c r="Z163" t="str">
        <f>V163*0.02</f>
        <v>#REF!</v>
      </c>
      <c r="AA163" t="str">
        <f>W163*0.1</f>
        <v>#REF!</v>
      </c>
      <c r="AB163" t="str">
        <f>V163-Y163-Z163</f>
        <v>#REF!</v>
      </c>
      <c r="AC163" t="str">
        <f>W163-AA163</f>
        <v>#REF!</v>
      </c>
      <c r="AD163" t="str">
        <f>AB163*0.01</f>
        <v>#REF!</v>
      </c>
      <c r="AE163" t="str">
        <f>AB163-Q163-AD163-R163</f>
        <v>#REF!</v>
      </c>
      <c r="AF163" t="str">
        <f>AC163-Q163-AD163-R163</f>
        <v>#REF!</v>
      </c>
      <c r="AG163" t="str">
        <f>AE163/V163</f>
        <v>#REF!</v>
      </c>
      <c r="AH163" t="str">
        <f>AF163/W163</f>
        <v>#REF!</v>
      </c>
    </row>
    <row r="164">
      <c r="G164" t="str">
        <v>A</v>
      </c>
      <c r="J164" t="str">
        <f>IF(K164&gt;0,K164*0.0625,IF(L164&gt;0,L164*2.204623,))</f>
        <v>#REF!</v>
      </c>
      <c r="K164" t="str">
        <f>IF(L164&gt;0,L164*35.273962,IF(J164&gt;0,J164*16,))</f>
        <v>#REF!</v>
      </c>
      <c r="L164" t="str">
        <f>IF(J164&gt;0,J164*0.453592,IF(K164&gt;0,K164*0.02835,))</f>
        <v>#REF!</v>
      </c>
      <c r="O164">
        <f>I164+N164+M164</f>
        <v>0</v>
      </c>
      <c r="P164">
        <f>O164*B$3</f>
        <v>0</v>
      </c>
      <c r="Q164">
        <f>ROUND(SUM(P164), -2)</f>
        <v>0</v>
      </c>
      <c r="R164" t="str">
        <f>ROUNDUP(HLOOKUP(IF(CEILING(L164,0.5)&lt;1,0.5,CEILING(L164,0.5)),'배송비 조회'!A$44:AO$56,7,0)*B$3,-2)</f>
        <v>#REF!</v>
      </c>
      <c r="S164">
        <v>0</v>
      </c>
      <c r="T164" t="str">
        <f>ROUND((Q164+R164)*0.3,-2)</f>
        <v>#REF!</v>
      </c>
      <c r="U164" t="str">
        <f>ROUND((Q164+R164)*0.4,-2)</f>
        <v>#REF!</v>
      </c>
      <c r="V164" t="str">
        <f>SUM(Q164:R164)+T164</f>
        <v>#REF!</v>
      </c>
      <c r="W164" t="str">
        <f>SUM(Q164:S164)+U164</f>
        <v>#REF!</v>
      </c>
      <c r="X164">
        <v>0</v>
      </c>
      <c r="Y164" t="str">
        <f>V164*0.038</f>
        <v>#REF!</v>
      </c>
      <c r="Z164" t="str">
        <f>V164*0.02</f>
        <v>#REF!</v>
      </c>
      <c r="AA164" t="str">
        <f>W164*0.1</f>
        <v>#REF!</v>
      </c>
      <c r="AB164" t="str">
        <f>V164-Y164-Z164</f>
        <v>#REF!</v>
      </c>
      <c r="AC164" t="str">
        <f>W164-AA164</f>
        <v>#REF!</v>
      </c>
      <c r="AD164" t="str">
        <f>AB164*0.01</f>
        <v>#REF!</v>
      </c>
      <c r="AE164" t="str">
        <f>AB164-Q164-AD164-R164</f>
        <v>#REF!</v>
      </c>
      <c r="AF164" t="str">
        <f>AC164-Q164-AD164-R164</f>
        <v>#REF!</v>
      </c>
      <c r="AG164" t="str">
        <f>AE164/V164</f>
        <v>#REF!</v>
      </c>
      <c r="AH164" t="str">
        <f>AF164/W164</f>
        <v>#REF!</v>
      </c>
    </row>
    <row r="165">
      <c r="G165" t="str">
        <v>A</v>
      </c>
      <c r="J165" t="str">
        <f>IF(K165&gt;0,K165*0.0625,IF(L165&gt;0,L165*2.204623,))</f>
        <v>#REF!</v>
      </c>
      <c r="K165" t="str">
        <f>IF(L165&gt;0,L165*35.273962,IF(J165&gt;0,J165*16,))</f>
        <v>#REF!</v>
      </c>
      <c r="L165" t="str">
        <f>IF(J165&gt;0,J165*0.453592,IF(K165&gt;0,K165*0.02835,))</f>
        <v>#REF!</v>
      </c>
      <c r="O165">
        <f>I165+N165+M165</f>
        <v>0</v>
      </c>
      <c r="P165">
        <f>O165*B$3</f>
        <v>0</v>
      </c>
      <c r="Q165">
        <f>ROUND(SUM(P165), -2)</f>
        <v>0</v>
      </c>
      <c r="R165" t="str">
        <f>ROUNDUP(HLOOKUP(IF(CEILING(L165,0.5)&lt;1,0.5,CEILING(L165,0.5)),'배송비 조회'!A$44:AO$56,7,0)*B$3,-2)</f>
        <v>#REF!</v>
      </c>
      <c r="S165">
        <v>0</v>
      </c>
      <c r="T165" t="str">
        <f>ROUND((Q165+R165)*0.3,-2)</f>
        <v>#REF!</v>
      </c>
      <c r="U165" t="str">
        <f>ROUND((Q165+R165)*0.4,-2)</f>
        <v>#REF!</v>
      </c>
      <c r="V165" t="str">
        <f>SUM(Q165:R165)+T165</f>
        <v>#REF!</v>
      </c>
      <c r="W165" t="str">
        <f>SUM(Q165:S165)+U165</f>
        <v>#REF!</v>
      </c>
      <c r="X165">
        <v>0</v>
      </c>
      <c r="Y165" t="str">
        <f>V165*0.038</f>
        <v>#REF!</v>
      </c>
      <c r="Z165" t="str">
        <f>V165*0.02</f>
        <v>#REF!</v>
      </c>
      <c r="AA165" t="str">
        <f>W165*0.1</f>
        <v>#REF!</v>
      </c>
      <c r="AB165" t="str">
        <f>V165-Y165-Z165</f>
        <v>#REF!</v>
      </c>
      <c r="AC165" t="str">
        <f>W165-AA165</f>
        <v>#REF!</v>
      </c>
      <c r="AD165" t="str">
        <f>AB165*0.01</f>
        <v>#REF!</v>
      </c>
      <c r="AE165" t="str">
        <f>AB165-Q165-AD165-R165</f>
        <v>#REF!</v>
      </c>
      <c r="AF165" t="str">
        <f>AC165-Q165-AD165-R165</f>
        <v>#REF!</v>
      </c>
      <c r="AG165" t="str">
        <f>AE165/V165</f>
        <v>#REF!</v>
      </c>
      <c r="AH165" t="str">
        <f>AF165/W165</f>
        <v>#REF!</v>
      </c>
    </row>
    <row r="166">
      <c r="G166" t="str">
        <v>A</v>
      </c>
      <c r="J166" t="str">
        <f>IF(K166&gt;0,K166*0.0625,IF(L166&gt;0,L166*2.204623,))</f>
        <v>#REF!</v>
      </c>
      <c r="K166" t="str">
        <f>IF(L166&gt;0,L166*35.273962,IF(J166&gt;0,J166*16,))</f>
        <v>#REF!</v>
      </c>
      <c r="L166" t="str">
        <f>IF(J166&gt;0,J166*0.453592,IF(K166&gt;0,K166*0.02835,))</f>
        <v>#REF!</v>
      </c>
      <c r="O166">
        <f>I166+N166+M166</f>
        <v>0</v>
      </c>
      <c r="P166">
        <f>O166*B$3</f>
        <v>0</v>
      </c>
      <c r="Q166">
        <f>ROUND(SUM(P166), -2)</f>
        <v>0</v>
      </c>
      <c r="R166" t="str">
        <f>ROUNDUP(HLOOKUP(IF(CEILING(L166,0.5)&lt;1,0.5,CEILING(L166,0.5)),'배송비 조회'!A$44:AO$56,7,0)*B$3,-2)</f>
        <v>#REF!</v>
      </c>
      <c r="S166">
        <v>0</v>
      </c>
      <c r="T166" t="str">
        <f>ROUND((Q166+R166)*0.3,-2)</f>
        <v>#REF!</v>
      </c>
      <c r="U166" t="str">
        <f>ROUND((Q166+R166)*0.4,-2)</f>
        <v>#REF!</v>
      </c>
      <c r="V166" t="str">
        <f>SUM(Q166:R166)+T166</f>
        <v>#REF!</v>
      </c>
      <c r="W166" t="str">
        <f>SUM(Q166:S166)+U166</f>
        <v>#REF!</v>
      </c>
      <c r="X166">
        <v>0</v>
      </c>
      <c r="Y166" t="str">
        <f>V166*0.038</f>
        <v>#REF!</v>
      </c>
      <c r="Z166" t="str">
        <f>V166*0.02</f>
        <v>#REF!</v>
      </c>
      <c r="AA166" t="str">
        <f>W166*0.1</f>
        <v>#REF!</v>
      </c>
      <c r="AB166" t="str">
        <f>V166-Y166-Z166</f>
        <v>#REF!</v>
      </c>
      <c r="AC166" t="str">
        <f>W166-AA166</f>
        <v>#REF!</v>
      </c>
      <c r="AD166" t="str">
        <f>AB166*0.01</f>
        <v>#REF!</v>
      </c>
      <c r="AE166" t="str">
        <f>AB166-Q166-AD166-R166</f>
        <v>#REF!</v>
      </c>
      <c r="AF166" t="str">
        <f>AC166-Q166-AD166-R166</f>
        <v>#REF!</v>
      </c>
      <c r="AG166" t="str">
        <f>AE166/V166</f>
        <v>#REF!</v>
      </c>
      <c r="AH166" t="str">
        <f>AF166/W166</f>
        <v>#REF!</v>
      </c>
    </row>
    <row r="167">
      <c r="G167" t="str">
        <v>A</v>
      </c>
      <c r="J167" t="str">
        <f>IF(K167&gt;0,K167*0.0625,IF(L167&gt;0,L167*2.204623,))</f>
        <v>#REF!</v>
      </c>
      <c r="K167" t="str">
        <f>IF(L167&gt;0,L167*35.273962,IF(J167&gt;0,J167*16,))</f>
        <v>#REF!</v>
      </c>
      <c r="L167" t="str">
        <f>IF(J167&gt;0,J167*0.453592,IF(K167&gt;0,K167*0.02835,))</f>
        <v>#REF!</v>
      </c>
      <c r="O167">
        <f>I167+N167+M167</f>
        <v>0</v>
      </c>
      <c r="P167">
        <f>O167*B$3</f>
        <v>0</v>
      </c>
      <c r="Q167">
        <f>ROUND(SUM(P167), -2)</f>
        <v>0</v>
      </c>
      <c r="R167" t="str">
        <f>ROUNDUP(HLOOKUP(IF(CEILING(L167,0.5)&lt;1,0.5,CEILING(L167,0.5)),'배송비 조회'!A$44:AO$56,7,0)*B$3,-2)</f>
        <v>#REF!</v>
      </c>
      <c r="S167">
        <v>0</v>
      </c>
      <c r="T167" t="str">
        <f>ROUND((Q167+R167)*0.3,-2)</f>
        <v>#REF!</v>
      </c>
      <c r="U167" t="str">
        <f>ROUND((Q167+R167)*0.4,-2)</f>
        <v>#REF!</v>
      </c>
      <c r="V167" t="str">
        <f>SUM(Q167:R167)+T167</f>
        <v>#REF!</v>
      </c>
      <c r="W167" t="str">
        <f>SUM(Q167:S167)+U167</f>
        <v>#REF!</v>
      </c>
      <c r="X167">
        <v>0</v>
      </c>
      <c r="Y167" t="str">
        <f>V167*0.038</f>
        <v>#REF!</v>
      </c>
      <c r="Z167" t="str">
        <f>V167*0.02</f>
        <v>#REF!</v>
      </c>
      <c r="AA167" t="str">
        <f>W167*0.1</f>
        <v>#REF!</v>
      </c>
      <c r="AB167" t="str">
        <f>V167-Y167-Z167</f>
        <v>#REF!</v>
      </c>
      <c r="AC167" t="str">
        <f>W167-AA167</f>
        <v>#REF!</v>
      </c>
      <c r="AD167" t="str">
        <f>AB167*0.01</f>
        <v>#REF!</v>
      </c>
      <c r="AE167" t="str">
        <f>AB167-Q167-AD167-R167</f>
        <v>#REF!</v>
      </c>
      <c r="AF167" t="str">
        <f>AC167-Q167-AD167-R167</f>
        <v>#REF!</v>
      </c>
      <c r="AG167" t="str">
        <f>AE167/V167</f>
        <v>#REF!</v>
      </c>
      <c r="AH167" t="str">
        <f>AF167/W167</f>
        <v>#REF!</v>
      </c>
    </row>
    <row r="168">
      <c r="G168" t="str">
        <v>A</v>
      </c>
      <c r="J168" t="str">
        <f>IF(K168&gt;0,K168*0.0625,IF(L168&gt;0,L168*2.204623,))</f>
        <v>#REF!</v>
      </c>
      <c r="K168" t="str">
        <f>IF(L168&gt;0,L168*35.273962,IF(J168&gt;0,J168*16,))</f>
        <v>#REF!</v>
      </c>
      <c r="L168" t="str">
        <f>IF(J168&gt;0,J168*0.453592,IF(K168&gt;0,K168*0.02835,))</f>
        <v>#REF!</v>
      </c>
      <c r="O168">
        <f>I168+N168+M168</f>
        <v>0</v>
      </c>
      <c r="P168">
        <f>O168*B$3</f>
        <v>0</v>
      </c>
      <c r="Q168">
        <f>ROUND(SUM(P168), -2)</f>
        <v>0</v>
      </c>
      <c r="R168" t="str">
        <f>ROUNDUP(HLOOKUP(IF(CEILING(L168,0.5)&lt;1,0.5,CEILING(L168,0.5)),'배송비 조회'!A$44:AO$56,7,0)*B$3,-2)</f>
        <v>#REF!</v>
      </c>
      <c r="S168">
        <v>0</v>
      </c>
      <c r="T168" t="str">
        <f>ROUND((Q168+R168)*0.3,-2)</f>
        <v>#REF!</v>
      </c>
      <c r="U168" t="str">
        <f>ROUND((Q168+R168)*0.4,-2)</f>
        <v>#REF!</v>
      </c>
      <c r="V168" t="str">
        <f>SUM(Q168:R168)+T168</f>
        <v>#REF!</v>
      </c>
      <c r="W168" t="str">
        <f>SUM(Q168:S168)+U168</f>
        <v>#REF!</v>
      </c>
      <c r="X168">
        <v>0</v>
      </c>
      <c r="Y168" t="str">
        <f>V168*0.038</f>
        <v>#REF!</v>
      </c>
      <c r="Z168" t="str">
        <f>V168*0.02</f>
        <v>#REF!</v>
      </c>
      <c r="AA168" t="str">
        <f>W168*0.1</f>
        <v>#REF!</v>
      </c>
      <c r="AB168" t="str">
        <f>V168-Y168-Z168</f>
        <v>#REF!</v>
      </c>
      <c r="AC168" t="str">
        <f>W168-AA168</f>
        <v>#REF!</v>
      </c>
      <c r="AD168" t="str">
        <f>AB168*0.01</f>
        <v>#REF!</v>
      </c>
      <c r="AE168" t="str">
        <f>AB168-Q168-AD168-R168</f>
        <v>#REF!</v>
      </c>
      <c r="AF168" t="str">
        <f>AC168-Q168-AD168-R168</f>
        <v>#REF!</v>
      </c>
      <c r="AG168" t="str">
        <f>AE168/V168</f>
        <v>#REF!</v>
      </c>
      <c r="AH168" t="str">
        <f>AF168/W168</f>
        <v>#REF!</v>
      </c>
    </row>
    <row r="169">
      <c r="G169" t="str">
        <v>A</v>
      </c>
      <c r="J169" t="str">
        <f>IF(K169&gt;0,K169*0.0625,IF(L169&gt;0,L169*2.204623,))</f>
        <v>#REF!</v>
      </c>
      <c r="K169" t="str">
        <f>IF(L169&gt;0,L169*35.273962,IF(J169&gt;0,J169*16,))</f>
        <v>#REF!</v>
      </c>
      <c r="L169" t="str">
        <f>IF(J169&gt;0,J169*0.453592,IF(K169&gt;0,K169*0.02835,))</f>
        <v>#REF!</v>
      </c>
      <c r="O169">
        <f>I169+N169+M169</f>
        <v>0</v>
      </c>
      <c r="P169">
        <f>O169*B$3</f>
        <v>0</v>
      </c>
      <c r="Q169">
        <f>ROUND(SUM(P169), -2)</f>
        <v>0</v>
      </c>
      <c r="R169" t="str">
        <f>ROUNDUP(HLOOKUP(IF(CEILING(L169,0.5)&lt;1,0.5,CEILING(L169,0.5)),'배송비 조회'!A$44:AO$56,7,0)*B$3,-2)</f>
        <v>#REF!</v>
      </c>
      <c r="S169">
        <v>0</v>
      </c>
      <c r="T169" t="str">
        <f>ROUND((Q169+R169)*0.3,-2)</f>
        <v>#REF!</v>
      </c>
      <c r="U169" t="str">
        <f>ROUND((Q169+R169)*0.4,-2)</f>
        <v>#REF!</v>
      </c>
      <c r="V169" t="str">
        <f>SUM(Q169:R169)+T169</f>
        <v>#REF!</v>
      </c>
      <c r="W169" t="str">
        <f>SUM(Q169:S169)+U169</f>
        <v>#REF!</v>
      </c>
      <c r="X169">
        <v>0</v>
      </c>
      <c r="Y169" t="str">
        <f>V169*0.038</f>
        <v>#REF!</v>
      </c>
      <c r="Z169" t="str">
        <f>V169*0.02</f>
        <v>#REF!</v>
      </c>
      <c r="AA169" t="str">
        <f>W169*0.1</f>
        <v>#REF!</v>
      </c>
      <c r="AB169" t="str">
        <f>V169-Y169-Z169</f>
        <v>#REF!</v>
      </c>
      <c r="AC169" t="str">
        <f>W169-AA169</f>
        <v>#REF!</v>
      </c>
      <c r="AD169" t="str">
        <f>AB169*0.01</f>
        <v>#REF!</v>
      </c>
      <c r="AE169" t="str">
        <f>AB169-Q169-AD169-R169</f>
        <v>#REF!</v>
      </c>
      <c r="AF169" t="str">
        <f>AC169-Q169-AD169-R169</f>
        <v>#REF!</v>
      </c>
      <c r="AG169" t="str">
        <f>AE169/V169</f>
        <v>#REF!</v>
      </c>
      <c r="AH169" t="str">
        <f>AF169/W169</f>
        <v>#REF!</v>
      </c>
    </row>
    <row r="170">
      <c r="G170" t="str">
        <v>A</v>
      </c>
      <c r="J170" t="str">
        <f>IF(K170&gt;0,K170*0.0625,IF(L170&gt;0,L170*2.204623,))</f>
        <v>#REF!</v>
      </c>
      <c r="K170" t="str">
        <f>IF(L170&gt;0,L170*35.273962,IF(J170&gt;0,J170*16,))</f>
        <v>#REF!</v>
      </c>
      <c r="L170" t="str">
        <f>IF(J170&gt;0,J170*0.453592,IF(K170&gt;0,K170*0.02835,))</f>
        <v>#REF!</v>
      </c>
      <c r="O170">
        <f>I170+N170+M170</f>
        <v>0</v>
      </c>
      <c r="P170">
        <f>O170*B$3</f>
        <v>0</v>
      </c>
      <c r="Q170">
        <f>ROUND(SUM(P170), -2)</f>
        <v>0</v>
      </c>
      <c r="R170" t="str">
        <f>ROUNDUP(HLOOKUP(IF(CEILING(L170,0.5)&lt;1,0.5,CEILING(L170,0.5)),'배송비 조회'!A$44:AO$56,7,0)*B$3,-2)</f>
        <v>#REF!</v>
      </c>
      <c r="S170">
        <v>0</v>
      </c>
      <c r="T170" t="str">
        <f>ROUND((Q170+R170)*0.3,-2)</f>
        <v>#REF!</v>
      </c>
      <c r="U170" t="str">
        <f>ROUND((Q170+R170)*0.4,-2)</f>
        <v>#REF!</v>
      </c>
      <c r="V170" t="str">
        <f>SUM(Q170:R170)+T170</f>
        <v>#REF!</v>
      </c>
      <c r="W170" t="str">
        <f>SUM(Q170:S170)+U170</f>
        <v>#REF!</v>
      </c>
      <c r="X170">
        <v>0</v>
      </c>
      <c r="Y170" t="str">
        <f>V170*0.038</f>
        <v>#REF!</v>
      </c>
      <c r="Z170" t="str">
        <f>V170*0.02</f>
        <v>#REF!</v>
      </c>
      <c r="AA170" t="str">
        <f>W170*0.1</f>
        <v>#REF!</v>
      </c>
      <c r="AB170" t="str">
        <f>V170-Y170-Z170</f>
        <v>#REF!</v>
      </c>
      <c r="AC170" t="str">
        <f>W170-AA170</f>
        <v>#REF!</v>
      </c>
      <c r="AD170" t="str">
        <f>AB170*0.01</f>
        <v>#REF!</v>
      </c>
      <c r="AE170" t="str">
        <f>AB170-Q170-AD170-R170</f>
        <v>#REF!</v>
      </c>
      <c r="AF170" t="str">
        <f>AC170-Q170-AD170-R170</f>
        <v>#REF!</v>
      </c>
      <c r="AG170" t="str">
        <f>AE170/V170</f>
        <v>#REF!</v>
      </c>
      <c r="AH170" t="str">
        <f>AF170/W170</f>
        <v>#REF!</v>
      </c>
    </row>
    <row r="171">
      <c r="G171" t="str">
        <v>A</v>
      </c>
      <c r="J171" t="str">
        <f>IF(K171&gt;0,K171*0.0625,IF(L171&gt;0,L171*2.204623,))</f>
        <v>#REF!</v>
      </c>
      <c r="K171" t="str">
        <f>IF(L171&gt;0,L171*35.273962,IF(J171&gt;0,J171*16,))</f>
        <v>#REF!</v>
      </c>
      <c r="L171" t="str">
        <f>IF(J171&gt;0,J171*0.453592,IF(K171&gt;0,K171*0.02835,))</f>
        <v>#REF!</v>
      </c>
      <c r="O171">
        <f>I171+N171+M171</f>
        <v>0</v>
      </c>
      <c r="P171">
        <f>O171*B$3</f>
        <v>0</v>
      </c>
      <c r="Q171">
        <f>ROUND(SUM(P171), -2)</f>
        <v>0</v>
      </c>
      <c r="R171" t="str">
        <f>ROUNDUP(HLOOKUP(IF(CEILING(L171,0.5)&lt;1,0.5,CEILING(L171,0.5)),'배송비 조회'!A$44:AO$56,7,0)*B$3,-2)</f>
        <v>#REF!</v>
      </c>
      <c r="S171">
        <v>0</v>
      </c>
      <c r="T171" t="str">
        <f>ROUND((Q171+R171)*0.3,-2)</f>
        <v>#REF!</v>
      </c>
      <c r="U171" t="str">
        <f>ROUND((Q171+R171)*0.4,-2)</f>
        <v>#REF!</v>
      </c>
      <c r="V171" t="str">
        <f>SUM(Q171:R171)+T171</f>
        <v>#REF!</v>
      </c>
      <c r="W171" t="str">
        <f>SUM(Q171:S171)+U171</f>
        <v>#REF!</v>
      </c>
      <c r="X171">
        <v>0</v>
      </c>
      <c r="Y171" t="str">
        <f>V171*0.038</f>
        <v>#REF!</v>
      </c>
      <c r="Z171" t="str">
        <f>V171*0.02</f>
        <v>#REF!</v>
      </c>
      <c r="AA171" t="str">
        <f>W171*0.1</f>
        <v>#REF!</v>
      </c>
      <c r="AB171" t="str">
        <f>V171-Y171-Z171</f>
        <v>#REF!</v>
      </c>
      <c r="AC171" t="str">
        <f>W171-AA171</f>
        <v>#REF!</v>
      </c>
      <c r="AD171" t="str">
        <f>AB171*0.01</f>
        <v>#REF!</v>
      </c>
      <c r="AE171" t="str">
        <f>AB171-Q171-AD171-R171</f>
        <v>#REF!</v>
      </c>
      <c r="AF171" t="str">
        <f>AC171-Q171-AD171-R171</f>
        <v>#REF!</v>
      </c>
      <c r="AG171" t="str">
        <f>AE171/V171</f>
        <v>#REF!</v>
      </c>
      <c r="AH171" t="str">
        <f>AF171/W171</f>
        <v>#REF!</v>
      </c>
    </row>
    <row r="172">
      <c r="G172" t="str">
        <v>A</v>
      </c>
      <c r="J172" t="str">
        <f>IF(K172&gt;0,K172*0.0625,IF(L172&gt;0,L172*2.204623,))</f>
        <v>#REF!</v>
      </c>
      <c r="K172" t="str">
        <f>IF(L172&gt;0,L172*35.273962,IF(J172&gt;0,J172*16,))</f>
        <v>#REF!</v>
      </c>
      <c r="L172" t="str">
        <f>IF(J172&gt;0,J172*0.453592,IF(K172&gt;0,K172*0.02835,))</f>
        <v>#REF!</v>
      </c>
      <c r="O172">
        <f>I172+N172+M172</f>
        <v>0</v>
      </c>
      <c r="P172">
        <f>O172*B$3</f>
        <v>0</v>
      </c>
      <c r="Q172">
        <f>ROUND(SUM(P172), -2)</f>
        <v>0</v>
      </c>
      <c r="R172" t="str">
        <f>ROUNDUP(HLOOKUP(IF(CEILING(L172,0.5)&lt;1,0.5,CEILING(L172,0.5)),'배송비 조회'!A$44:AO$56,7,0)*B$3,-2)</f>
        <v>#REF!</v>
      </c>
      <c r="S172">
        <v>0</v>
      </c>
      <c r="T172" t="str">
        <f>ROUND((Q172+R172)*0.3,-2)</f>
        <v>#REF!</v>
      </c>
      <c r="U172" t="str">
        <f>ROUND((Q172+R172)*0.4,-2)</f>
        <v>#REF!</v>
      </c>
      <c r="V172" t="str">
        <f>SUM(Q172:R172)+T172</f>
        <v>#REF!</v>
      </c>
      <c r="W172" t="str">
        <f>SUM(Q172:S172)+U172</f>
        <v>#REF!</v>
      </c>
      <c r="X172">
        <v>0</v>
      </c>
      <c r="Y172" t="str">
        <f>V172*0.038</f>
        <v>#REF!</v>
      </c>
      <c r="Z172" t="str">
        <f>V172*0.02</f>
        <v>#REF!</v>
      </c>
      <c r="AA172" t="str">
        <f>W172*0.1</f>
        <v>#REF!</v>
      </c>
      <c r="AB172" t="str">
        <f>V172-Y172-Z172</f>
        <v>#REF!</v>
      </c>
      <c r="AC172" t="str">
        <f>W172-AA172</f>
        <v>#REF!</v>
      </c>
      <c r="AD172" t="str">
        <f>AB172*0.01</f>
        <v>#REF!</v>
      </c>
      <c r="AE172" t="str">
        <f>AB172-Q172-AD172-R172</f>
        <v>#REF!</v>
      </c>
      <c r="AF172" t="str">
        <f>AC172-Q172-AD172-R172</f>
        <v>#REF!</v>
      </c>
      <c r="AG172" t="str">
        <f>AE172/V172</f>
        <v>#REF!</v>
      </c>
      <c r="AH172" t="str">
        <f>AF172/W172</f>
        <v>#REF!</v>
      </c>
    </row>
    <row r="173">
      <c r="G173" t="str">
        <v>A</v>
      </c>
      <c r="J173" t="str">
        <f>IF(K173&gt;0,K173*0.0625,IF(L173&gt;0,L173*2.204623,))</f>
        <v>#REF!</v>
      </c>
      <c r="K173" t="str">
        <f>IF(L173&gt;0,L173*35.273962,IF(J173&gt;0,J173*16,))</f>
        <v>#REF!</v>
      </c>
      <c r="L173" t="str">
        <f>IF(J173&gt;0,J173*0.453592,IF(K173&gt;0,K173*0.02835,))</f>
        <v>#REF!</v>
      </c>
      <c r="O173">
        <f>I173+N173+M173</f>
        <v>0</v>
      </c>
      <c r="P173">
        <f>O173*B$3</f>
        <v>0</v>
      </c>
      <c r="Q173">
        <f>ROUND(SUM(P173), -2)</f>
        <v>0</v>
      </c>
      <c r="R173" t="str">
        <f>ROUNDUP(HLOOKUP(IF(CEILING(L173,0.5)&lt;1,0.5,CEILING(L173,0.5)),'배송비 조회'!A$44:AO$56,7,0)*B$3,-2)</f>
        <v>#REF!</v>
      </c>
      <c r="S173">
        <v>0</v>
      </c>
      <c r="T173" t="str">
        <f>ROUND((Q173+R173)*0.3,-2)</f>
        <v>#REF!</v>
      </c>
      <c r="U173" t="str">
        <f>ROUND((Q173+R173)*0.4,-2)</f>
        <v>#REF!</v>
      </c>
      <c r="V173" t="str">
        <f>SUM(Q173:R173)+T173</f>
        <v>#REF!</v>
      </c>
      <c r="W173" t="str">
        <f>SUM(Q173:S173)+U173</f>
        <v>#REF!</v>
      </c>
      <c r="X173">
        <v>0</v>
      </c>
      <c r="Y173" t="str">
        <f>V173*0.038</f>
        <v>#REF!</v>
      </c>
      <c r="Z173" t="str">
        <f>V173*0.02</f>
        <v>#REF!</v>
      </c>
      <c r="AA173" t="str">
        <f>W173*0.1</f>
        <v>#REF!</v>
      </c>
      <c r="AB173" t="str">
        <f>V173-Y173-Z173</f>
        <v>#REF!</v>
      </c>
      <c r="AC173" t="str">
        <f>W173-AA173</f>
        <v>#REF!</v>
      </c>
      <c r="AD173" t="str">
        <f>AB173*0.01</f>
        <v>#REF!</v>
      </c>
      <c r="AE173" t="str">
        <f>AB173-Q173-AD173-R173</f>
        <v>#REF!</v>
      </c>
      <c r="AF173" t="str">
        <f>AC173-Q173-AD173-R173</f>
        <v>#REF!</v>
      </c>
      <c r="AG173" t="str">
        <f>AE173/V173</f>
        <v>#REF!</v>
      </c>
      <c r="AH173" t="str">
        <f>AF173/W173</f>
        <v>#REF!</v>
      </c>
    </row>
    <row r="174">
      <c r="G174" t="str">
        <v>A</v>
      </c>
      <c r="J174" t="str">
        <f>IF(K174&gt;0,K174*0.0625,IF(L174&gt;0,L174*2.204623,))</f>
        <v>#REF!</v>
      </c>
      <c r="K174" t="str">
        <f>IF(L174&gt;0,L174*35.273962,IF(J174&gt;0,J174*16,))</f>
        <v>#REF!</v>
      </c>
      <c r="L174" t="str">
        <f>IF(J174&gt;0,J174*0.453592,IF(K174&gt;0,K174*0.02835,))</f>
        <v>#REF!</v>
      </c>
      <c r="O174">
        <f>I174+N174+M174</f>
        <v>0</v>
      </c>
      <c r="P174">
        <f>O174*B$3</f>
        <v>0</v>
      </c>
      <c r="Q174">
        <f>ROUND(SUM(P174), -2)</f>
        <v>0</v>
      </c>
      <c r="R174" t="str">
        <f>ROUNDUP(HLOOKUP(IF(CEILING(L174,0.5)&lt;1,0.5,CEILING(L174,0.5)),'배송비 조회'!A$44:AO$56,7,0)*B$3,-2)</f>
        <v>#REF!</v>
      </c>
      <c r="S174">
        <v>0</v>
      </c>
      <c r="T174" t="str">
        <f>ROUND((Q174+R174)*0.3,-2)</f>
        <v>#REF!</v>
      </c>
      <c r="U174" t="str">
        <f>ROUND((Q174+R174)*0.4,-2)</f>
        <v>#REF!</v>
      </c>
      <c r="V174" t="str">
        <f>SUM(Q174:R174)+T174</f>
        <v>#REF!</v>
      </c>
      <c r="W174" t="str">
        <f>SUM(Q174:S174)+U174</f>
        <v>#REF!</v>
      </c>
      <c r="X174">
        <v>0</v>
      </c>
      <c r="Y174" t="str">
        <f>V174*0.038</f>
        <v>#REF!</v>
      </c>
      <c r="Z174" t="str">
        <f>V174*0.02</f>
        <v>#REF!</v>
      </c>
      <c r="AA174" t="str">
        <f>W174*0.1</f>
        <v>#REF!</v>
      </c>
      <c r="AB174" t="str">
        <f>V174-Y174-Z174</f>
        <v>#REF!</v>
      </c>
      <c r="AC174" t="str">
        <f>W174-AA174</f>
        <v>#REF!</v>
      </c>
      <c r="AD174" t="str">
        <f>AB174*0.01</f>
        <v>#REF!</v>
      </c>
      <c r="AE174" t="str">
        <f>AB174-Q174-AD174-R174</f>
        <v>#REF!</v>
      </c>
      <c r="AF174" t="str">
        <f>AC174-Q174-AD174-R174</f>
        <v>#REF!</v>
      </c>
      <c r="AG174" t="str">
        <f>AE174/V174</f>
        <v>#REF!</v>
      </c>
      <c r="AH174" t="str">
        <f>AF174/W174</f>
        <v>#REF!</v>
      </c>
    </row>
    <row r="175">
      <c r="G175" t="str">
        <v>A</v>
      </c>
      <c r="J175" t="str">
        <f>IF(K175&gt;0,K175*0.0625,IF(L175&gt;0,L175*2.204623,))</f>
        <v>#REF!</v>
      </c>
      <c r="K175" t="str">
        <f>IF(L175&gt;0,L175*35.273962,IF(J175&gt;0,J175*16,))</f>
        <v>#REF!</v>
      </c>
      <c r="L175" t="str">
        <f>IF(J175&gt;0,J175*0.453592,IF(K175&gt;0,K175*0.02835,))</f>
        <v>#REF!</v>
      </c>
      <c r="O175">
        <f>I175+N175+M175</f>
        <v>0</v>
      </c>
      <c r="P175">
        <f>O175*B$3</f>
        <v>0</v>
      </c>
      <c r="Q175">
        <f>ROUND(SUM(P175), -2)</f>
        <v>0</v>
      </c>
      <c r="R175" t="str">
        <f>ROUNDUP(HLOOKUP(IF(CEILING(L175,0.5)&lt;1,0.5,CEILING(L175,0.5)),'배송비 조회'!A$44:AO$56,7,0)*B$3,-2)</f>
        <v>#REF!</v>
      </c>
      <c r="S175">
        <v>0</v>
      </c>
      <c r="T175" t="str">
        <f>ROUND((Q175+R175)*0.3,-2)</f>
        <v>#REF!</v>
      </c>
      <c r="U175" t="str">
        <f>ROUND((Q175+R175)*0.4,-2)</f>
        <v>#REF!</v>
      </c>
      <c r="V175" t="str">
        <f>SUM(Q175:R175)+T175</f>
        <v>#REF!</v>
      </c>
      <c r="W175" t="str">
        <f>SUM(Q175:S175)+U175</f>
        <v>#REF!</v>
      </c>
      <c r="X175">
        <v>0</v>
      </c>
      <c r="Y175" t="str">
        <f>V175*0.038</f>
        <v>#REF!</v>
      </c>
      <c r="Z175" t="str">
        <f>V175*0.02</f>
        <v>#REF!</v>
      </c>
      <c r="AA175" t="str">
        <f>W175*0.1</f>
        <v>#REF!</v>
      </c>
      <c r="AB175" t="str">
        <f>V175-Y175-Z175</f>
        <v>#REF!</v>
      </c>
      <c r="AC175" t="str">
        <f>W175-AA175</f>
        <v>#REF!</v>
      </c>
      <c r="AD175" t="str">
        <f>AB175*0.01</f>
        <v>#REF!</v>
      </c>
      <c r="AE175" t="str">
        <f>AB175-Q175-AD175-R175</f>
        <v>#REF!</v>
      </c>
      <c r="AF175" t="str">
        <f>AC175-Q175-AD175-R175</f>
        <v>#REF!</v>
      </c>
      <c r="AG175" t="str">
        <f>AE175/V175</f>
        <v>#REF!</v>
      </c>
      <c r="AH175" t="str">
        <f>AF175/W175</f>
        <v>#REF!</v>
      </c>
    </row>
    <row r="176">
      <c r="G176" t="str">
        <v>A</v>
      </c>
      <c r="J176" t="str">
        <f>IF(K176&gt;0,K176*0.0625,IF(L176&gt;0,L176*2.204623,))</f>
        <v>#REF!</v>
      </c>
      <c r="K176" t="str">
        <f>IF(L176&gt;0,L176*35.273962,IF(J176&gt;0,J176*16,))</f>
        <v>#REF!</v>
      </c>
      <c r="L176" t="str">
        <f>IF(J176&gt;0,J176*0.453592,IF(K176&gt;0,K176*0.02835,))</f>
        <v>#REF!</v>
      </c>
      <c r="O176">
        <f>I176+N176+M176</f>
        <v>0</v>
      </c>
      <c r="P176">
        <f>O176*B$3</f>
        <v>0</v>
      </c>
      <c r="Q176">
        <f>ROUND(SUM(P176), -2)</f>
        <v>0</v>
      </c>
      <c r="R176" t="str">
        <f>ROUNDUP(HLOOKUP(IF(CEILING(L176,0.5)&lt;1,0.5,CEILING(L176,0.5)),'배송비 조회'!A$44:AO$56,7,0)*B$3,-2)</f>
        <v>#REF!</v>
      </c>
      <c r="S176">
        <v>0</v>
      </c>
      <c r="T176" t="str">
        <f>ROUND((Q176+R176)*0.3,-2)</f>
        <v>#REF!</v>
      </c>
      <c r="U176" t="str">
        <f>ROUND((Q176+R176)*0.4,-2)</f>
        <v>#REF!</v>
      </c>
      <c r="V176" t="str">
        <f>SUM(Q176:R176)+T176</f>
        <v>#REF!</v>
      </c>
      <c r="W176" t="str">
        <f>SUM(Q176:S176)+U176</f>
        <v>#REF!</v>
      </c>
      <c r="X176">
        <v>0</v>
      </c>
      <c r="Y176" t="str">
        <f>V176*0.038</f>
        <v>#REF!</v>
      </c>
      <c r="Z176" t="str">
        <f>V176*0.02</f>
        <v>#REF!</v>
      </c>
      <c r="AA176" t="str">
        <f>W176*0.1</f>
        <v>#REF!</v>
      </c>
      <c r="AB176" t="str">
        <f>V176-Y176-Z176</f>
        <v>#REF!</v>
      </c>
      <c r="AC176" t="str">
        <f>W176-AA176</f>
        <v>#REF!</v>
      </c>
      <c r="AD176" t="str">
        <f>AB176*0.01</f>
        <v>#REF!</v>
      </c>
      <c r="AE176" t="str">
        <f>AB176-Q176-AD176-R176</f>
        <v>#REF!</v>
      </c>
      <c r="AF176" t="str">
        <f>AC176-Q176-AD176-R176</f>
        <v>#REF!</v>
      </c>
      <c r="AG176" t="str">
        <f>AE176/V176</f>
        <v>#REF!</v>
      </c>
      <c r="AH176" t="str">
        <f>AF176/W176</f>
        <v>#REF!</v>
      </c>
    </row>
    <row r="177">
      <c r="G177" t="str">
        <v>A</v>
      </c>
      <c r="J177" t="str">
        <f>IF(K177&gt;0,K177*0.0625,IF(L177&gt;0,L177*2.204623,))</f>
        <v>#REF!</v>
      </c>
      <c r="K177" t="str">
        <f>IF(L177&gt;0,L177*35.273962,IF(J177&gt;0,J177*16,))</f>
        <v>#REF!</v>
      </c>
      <c r="L177" t="str">
        <f>IF(J177&gt;0,J177*0.453592,IF(K177&gt;0,K177*0.02835,))</f>
        <v>#REF!</v>
      </c>
      <c r="O177">
        <f>I177+N177+M177</f>
        <v>0</v>
      </c>
      <c r="P177">
        <f>O177*B$3</f>
        <v>0</v>
      </c>
      <c r="Q177">
        <f>ROUND(SUM(P177), -2)</f>
        <v>0</v>
      </c>
      <c r="R177" t="str">
        <f>ROUNDUP(HLOOKUP(IF(CEILING(L177,0.5)&lt;1,0.5,CEILING(L177,0.5)),'배송비 조회'!A$44:AO$56,7,0)*B$3,-2)</f>
        <v>#REF!</v>
      </c>
      <c r="S177">
        <v>0</v>
      </c>
      <c r="T177" t="str">
        <f>ROUND((Q177+R177)*0.3,-2)</f>
        <v>#REF!</v>
      </c>
      <c r="U177" t="str">
        <f>ROUND((Q177+R177)*0.4,-2)</f>
        <v>#REF!</v>
      </c>
      <c r="V177" t="str">
        <f>SUM(Q177:R177)+T177</f>
        <v>#REF!</v>
      </c>
      <c r="W177" t="str">
        <f>SUM(Q177:S177)+U177</f>
        <v>#REF!</v>
      </c>
      <c r="X177">
        <v>0</v>
      </c>
      <c r="Y177" t="str">
        <f>V177*0.038</f>
        <v>#REF!</v>
      </c>
      <c r="Z177" t="str">
        <f>V177*0.02</f>
        <v>#REF!</v>
      </c>
      <c r="AA177" t="str">
        <f>W177*0.1</f>
        <v>#REF!</v>
      </c>
      <c r="AB177" t="str">
        <f>V177-Y177-Z177</f>
        <v>#REF!</v>
      </c>
      <c r="AC177" t="str">
        <f>W177-AA177</f>
        <v>#REF!</v>
      </c>
      <c r="AD177" t="str">
        <f>AB177*0.01</f>
        <v>#REF!</v>
      </c>
      <c r="AE177" t="str">
        <f>AB177-Q177-AD177-R177</f>
        <v>#REF!</v>
      </c>
      <c r="AF177" t="str">
        <f>AC177-Q177-AD177-R177</f>
        <v>#REF!</v>
      </c>
      <c r="AG177" t="str">
        <f>AE177/V177</f>
        <v>#REF!</v>
      </c>
      <c r="AH177" t="str">
        <f>AF177/W177</f>
        <v>#REF!</v>
      </c>
    </row>
    <row r="178">
      <c r="G178" t="str">
        <v>A</v>
      </c>
      <c r="J178" t="str">
        <f>IF(K178&gt;0,K178*0.0625,IF(L178&gt;0,L178*2.204623,))</f>
        <v>#REF!</v>
      </c>
      <c r="K178" t="str">
        <f>IF(L178&gt;0,L178*35.273962,IF(J178&gt;0,J178*16,))</f>
        <v>#REF!</v>
      </c>
      <c r="L178" t="str">
        <f>IF(J178&gt;0,J178*0.453592,IF(K178&gt;0,K178*0.02835,))</f>
        <v>#REF!</v>
      </c>
      <c r="O178">
        <f>I178+N178+M178</f>
        <v>0</v>
      </c>
      <c r="P178">
        <f>O178*B$3</f>
        <v>0</v>
      </c>
      <c r="Q178">
        <f>ROUND(SUM(P178), -2)</f>
        <v>0</v>
      </c>
      <c r="R178" t="str">
        <f>ROUNDUP(HLOOKUP(IF(CEILING(L178,0.5)&lt;1,0.5,CEILING(L178,0.5)),'배송비 조회'!A$44:AO$56,7,0)*B$3,-2)</f>
        <v>#REF!</v>
      </c>
      <c r="S178">
        <v>0</v>
      </c>
      <c r="T178" t="str">
        <f>ROUND((Q178+R178)*0.3,-2)</f>
        <v>#REF!</v>
      </c>
      <c r="U178" t="str">
        <f>ROUND((Q178+R178)*0.4,-2)</f>
        <v>#REF!</v>
      </c>
      <c r="V178" t="str">
        <f>SUM(Q178:R178)+T178</f>
        <v>#REF!</v>
      </c>
      <c r="W178" t="str">
        <f>SUM(Q178:S178)+U178</f>
        <v>#REF!</v>
      </c>
      <c r="X178">
        <v>0</v>
      </c>
      <c r="Y178" t="str">
        <f>V178*0.038</f>
        <v>#REF!</v>
      </c>
      <c r="Z178" t="str">
        <f>V178*0.02</f>
        <v>#REF!</v>
      </c>
      <c r="AA178" t="str">
        <f>W178*0.1</f>
        <v>#REF!</v>
      </c>
      <c r="AB178" t="str">
        <f>V178-Y178-Z178</f>
        <v>#REF!</v>
      </c>
      <c r="AC178" t="str">
        <f>W178-AA178</f>
        <v>#REF!</v>
      </c>
      <c r="AD178" t="str">
        <f>AB178*0.01</f>
        <v>#REF!</v>
      </c>
      <c r="AE178" t="str">
        <f>AB178-Q178-AD178-R178</f>
        <v>#REF!</v>
      </c>
      <c r="AF178" t="str">
        <f>AC178-Q178-AD178-R178</f>
        <v>#REF!</v>
      </c>
      <c r="AG178" t="str">
        <f>AE178/V178</f>
        <v>#REF!</v>
      </c>
      <c r="AH178" t="str">
        <f>AF178/W178</f>
        <v>#REF!</v>
      </c>
    </row>
    <row r="179">
      <c r="G179" t="str">
        <v>A</v>
      </c>
      <c r="J179" t="str">
        <f>IF(K179&gt;0,K179*0.0625,IF(L179&gt;0,L179*2.204623,))</f>
        <v>#REF!</v>
      </c>
      <c r="K179" t="str">
        <f>IF(L179&gt;0,L179*35.273962,IF(J179&gt;0,J179*16,))</f>
        <v>#REF!</v>
      </c>
      <c r="L179" t="str">
        <f>IF(J179&gt;0,J179*0.453592,IF(K179&gt;0,K179*0.02835,))</f>
        <v>#REF!</v>
      </c>
      <c r="O179">
        <f>I179+N179+M179</f>
        <v>0</v>
      </c>
      <c r="P179">
        <f>O179*B$3</f>
        <v>0</v>
      </c>
      <c r="Q179">
        <f>ROUND(SUM(P179), -2)</f>
        <v>0</v>
      </c>
      <c r="R179" t="str">
        <f>ROUNDUP(HLOOKUP(IF(CEILING(L179,0.5)&lt;1,0.5,CEILING(L179,0.5)),'배송비 조회'!A$44:AO$56,7,0)*B$3,-2)</f>
        <v>#REF!</v>
      </c>
      <c r="S179">
        <v>0</v>
      </c>
      <c r="T179" t="str">
        <f>ROUND((Q179+R179)*0.3,-2)</f>
        <v>#REF!</v>
      </c>
      <c r="U179" t="str">
        <f>ROUND((Q179+R179)*0.4,-2)</f>
        <v>#REF!</v>
      </c>
      <c r="V179" t="str">
        <f>SUM(Q179:R179)+T179</f>
        <v>#REF!</v>
      </c>
      <c r="W179" t="str">
        <f>SUM(Q179:S179)+U179</f>
        <v>#REF!</v>
      </c>
      <c r="X179">
        <v>0</v>
      </c>
      <c r="Y179" t="str">
        <f>V179*0.038</f>
        <v>#REF!</v>
      </c>
      <c r="Z179" t="str">
        <f>V179*0.02</f>
        <v>#REF!</v>
      </c>
      <c r="AA179" t="str">
        <f>W179*0.1</f>
        <v>#REF!</v>
      </c>
      <c r="AB179" t="str">
        <f>V179-Y179-Z179</f>
        <v>#REF!</v>
      </c>
      <c r="AC179" t="str">
        <f>W179-AA179</f>
        <v>#REF!</v>
      </c>
      <c r="AD179" t="str">
        <f>AB179*0.01</f>
        <v>#REF!</v>
      </c>
      <c r="AE179" t="str">
        <f>AB179-Q179-AD179-R179</f>
        <v>#REF!</v>
      </c>
      <c r="AF179" t="str">
        <f>AC179-Q179-AD179-R179</f>
        <v>#REF!</v>
      </c>
      <c r="AG179" t="str">
        <f>AE179/V179</f>
        <v>#REF!</v>
      </c>
      <c r="AH179" t="str">
        <f>AF179/W179</f>
        <v>#REF!</v>
      </c>
    </row>
    <row r="180">
      <c r="G180" t="str">
        <v>A</v>
      </c>
      <c r="J180" t="str">
        <f>IF(K180&gt;0,K180*0.0625,IF(L180&gt;0,L180*2.204623,))</f>
        <v>#REF!</v>
      </c>
      <c r="K180" t="str">
        <f>IF(L180&gt;0,L180*35.273962,IF(J180&gt;0,J180*16,))</f>
        <v>#REF!</v>
      </c>
      <c r="L180" t="str">
        <f>IF(J180&gt;0,J180*0.453592,IF(K180&gt;0,K180*0.02835,))</f>
        <v>#REF!</v>
      </c>
      <c r="O180">
        <f>I180+N180+M180</f>
        <v>0</v>
      </c>
      <c r="P180">
        <f>O180*B$3</f>
        <v>0</v>
      </c>
      <c r="Q180">
        <f>ROUND(SUM(P180), -2)</f>
        <v>0</v>
      </c>
      <c r="R180" t="str">
        <f>ROUNDUP(HLOOKUP(IF(CEILING(L180,0.5)&lt;1,0.5,CEILING(L180,0.5)),'배송비 조회'!A$44:AO$56,7,0)*B$3,-2)</f>
        <v>#REF!</v>
      </c>
      <c r="S180">
        <v>0</v>
      </c>
      <c r="T180" t="str">
        <f>ROUND((Q180+R180)*0.3,-2)</f>
        <v>#REF!</v>
      </c>
      <c r="U180" t="str">
        <f>ROUND((Q180+R180)*0.4,-2)</f>
        <v>#REF!</v>
      </c>
      <c r="V180" t="str">
        <f>SUM(Q180:R180)+T180</f>
        <v>#REF!</v>
      </c>
      <c r="W180" t="str">
        <f>SUM(Q180:S180)+U180</f>
        <v>#REF!</v>
      </c>
      <c r="X180">
        <v>0</v>
      </c>
      <c r="Y180" t="str">
        <f>V180*0.038</f>
        <v>#REF!</v>
      </c>
      <c r="Z180" t="str">
        <f>V180*0.02</f>
        <v>#REF!</v>
      </c>
      <c r="AA180" t="str">
        <f>W180*0.1</f>
        <v>#REF!</v>
      </c>
      <c r="AB180" t="str">
        <f>V180-Y180-Z180</f>
        <v>#REF!</v>
      </c>
      <c r="AC180" t="str">
        <f>W180-AA180</f>
        <v>#REF!</v>
      </c>
      <c r="AD180" t="str">
        <f>AB180*0.01</f>
        <v>#REF!</v>
      </c>
      <c r="AE180" t="str">
        <f>AB180-Q180-AD180-R180</f>
        <v>#REF!</v>
      </c>
      <c r="AF180" t="str">
        <f>AC180-Q180-AD180-R180</f>
        <v>#REF!</v>
      </c>
      <c r="AG180" t="str">
        <f>AE180/V180</f>
        <v>#REF!</v>
      </c>
      <c r="AH180" t="str">
        <f>AF180/W180</f>
        <v>#REF!</v>
      </c>
    </row>
    <row r="181">
      <c r="G181" t="str">
        <v>A</v>
      </c>
      <c r="J181" t="str">
        <f>IF(K181&gt;0,K181*0.0625,IF(L181&gt;0,L181*2.204623,))</f>
        <v>#REF!</v>
      </c>
      <c r="K181" t="str">
        <f>IF(L181&gt;0,L181*35.273962,IF(J181&gt;0,J181*16,))</f>
        <v>#REF!</v>
      </c>
      <c r="L181" t="str">
        <f>IF(J181&gt;0,J181*0.453592,IF(K181&gt;0,K181*0.02835,))</f>
        <v>#REF!</v>
      </c>
      <c r="O181">
        <f>I181+N181+M181</f>
        <v>0</v>
      </c>
      <c r="P181">
        <f>O181*B$3</f>
        <v>0</v>
      </c>
      <c r="Q181">
        <f>ROUND(SUM(P181), -2)</f>
        <v>0</v>
      </c>
      <c r="R181" t="str">
        <f>ROUNDUP(HLOOKUP(IF(CEILING(L181,0.5)&lt;1,0.5,CEILING(L181,0.5)),'배송비 조회'!A$44:AO$56,7,0)*B$3,-2)</f>
        <v>#REF!</v>
      </c>
      <c r="S181">
        <v>0</v>
      </c>
      <c r="T181" t="str">
        <f>ROUND((Q181+R181)*0.3,-2)</f>
        <v>#REF!</v>
      </c>
      <c r="U181" t="str">
        <f>ROUND((Q181+R181)*0.4,-2)</f>
        <v>#REF!</v>
      </c>
      <c r="V181" t="str">
        <f>SUM(Q181:R181)+T181</f>
        <v>#REF!</v>
      </c>
      <c r="W181" t="str">
        <f>SUM(Q181:S181)+U181</f>
        <v>#REF!</v>
      </c>
      <c r="X181">
        <v>0</v>
      </c>
      <c r="Y181" t="str">
        <f>V181*0.038</f>
        <v>#REF!</v>
      </c>
      <c r="Z181" t="str">
        <f>V181*0.02</f>
        <v>#REF!</v>
      </c>
      <c r="AA181" t="str">
        <f>W181*0.1</f>
        <v>#REF!</v>
      </c>
      <c r="AB181" t="str">
        <f>V181-Y181-Z181</f>
        <v>#REF!</v>
      </c>
      <c r="AC181" t="str">
        <f>W181-AA181</f>
        <v>#REF!</v>
      </c>
      <c r="AD181" t="str">
        <f>AB181*0.01</f>
        <v>#REF!</v>
      </c>
      <c r="AE181" t="str">
        <f>AB181-Q181-AD181-R181</f>
        <v>#REF!</v>
      </c>
      <c r="AF181" t="str">
        <f>AC181-Q181-AD181-R181</f>
        <v>#REF!</v>
      </c>
      <c r="AG181" t="str">
        <f>AE181/V181</f>
        <v>#REF!</v>
      </c>
      <c r="AH181" t="str">
        <f>AF181/W181</f>
        <v>#REF!</v>
      </c>
    </row>
    <row r="182">
      <c r="G182" t="str">
        <v>A</v>
      </c>
      <c r="J182" t="str">
        <f>IF(K182&gt;0,K182*0.0625,IF(L182&gt;0,L182*2.204623,))</f>
        <v>#REF!</v>
      </c>
      <c r="K182" t="str">
        <f>IF(L182&gt;0,L182*35.273962,IF(J182&gt;0,J182*16,))</f>
        <v>#REF!</v>
      </c>
      <c r="L182" t="str">
        <f>IF(J182&gt;0,J182*0.453592,IF(K182&gt;0,K182*0.02835,))</f>
        <v>#REF!</v>
      </c>
      <c r="O182">
        <f>I182+N182+M182</f>
        <v>0</v>
      </c>
      <c r="P182">
        <f>O182*B$3</f>
        <v>0</v>
      </c>
      <c r="Q182">
        <f>ROUND(SUM(P182), -2)</f>
        <v>0</v>
      </c>
      <c r="R182" t="str">
        <f>ROUNDUP(HLOOKUP(IF(CEILING(L182,0.5)&lt;1,0.5,CEILING(L182,0.5)),'배송비 조회'!A$44:AO$56,7,0)*B$3,-2)</f>
        <v>#REF!</v>
      </c>
      <c r="S182">
        <v>0</v>
      </c>
      <c r="T182" t="str">
        <f>ROUND((Q182+R182)*0.3,-2)</f>
        <v>#REF!</v>
      </c>
      <c r="U182" t="str">
        <f>ROUND((Q182+R182)*0.4,-2)</f>
        <v>#REF!</v>
      </c>
      <c r="V182" t="str">
        <f>SUM(Q182:R182)+T182</f>
        <v>#REF!</v>
      </c>
      <c r="W182" t="str">
        <f>SUM(Q182:S182)+U182</f>
        <v>#REF!</v>
      </c>
      <c r="X182">
        <v>0</v>
      </c>
      <c r="Y182" t="str">
        <f>V182*0.038</f>
        <v>#REF!</v>
      </c>
      <c r="Z182" t="str">
        <f>V182*0.02</f>
        <v>#REF!</v>
      </c>
      <c r="AA182" t="str">
        <f>W182*0.1</f>
        <v>#REF!</v>
      </c>
      <c r="AB182" t="str">
        <f>V182-Y182-Z182</f>
        <v>#REF!</v>
      </c>
      <c r="AC182" t="str">
        <f>W182-AA182</f>
        <v>#REF!</v>
      </c>
      <c r="AD182" t="str">
        <f>AB182*0.01</f>
        <v>#REF!</v>
      </c>
      <c r="AE182" t="str">
        <f>AB182-Q182-AD182-R182</f>
        <v>#REF!</v>
      </c>
      <c r="AF182" t="str">
        <f>AC182-Q182-AD182-R182</f>
        <v>#REF!</v>
      </c>
      <c r="AG182" t="str">
        <f>AE182/V182</f>
        <v>#REF!</v>
      </c>
      <c r="AH182" t="str">
        <f>AF182/W182</f>
        <v>#REF!</v>
      </c>
    </row>
    <row r="183">
      <c r="G183" t="str">
        <v>A</v>
      </c>
      <c r="J183" t="str">
        <f>IF(K183&gt;0,K183*0.0625,IF(L183&gt;0,L183*2.204623,))</f>
        <v>#REF!</v>
      </c>
      <c r="K183" t="str">
        <f>IF(L183&gt;0,L183*35.273962,IF(J183&gt;0,J183*16,))</f>
        <v>#REF!</v>
      </c>
      <c r="L183" t="str">
        <f>IF(J183&gt;0,J183*0.453592,IF(K183&gt;0,K183*0.02835,))</f>
        <v>#REF!</v>
      </c>
      <c r="O183">
        <f>I183+N183+M183</f>
        <v>0</v>
      </c>
      <c r="P183">
        <f>O183*B$3</f>
        <v>0</v>
      </c>
      <c r="Q183">
        <f>ROUND(SUM(P183), -2)</f>
        <v>0</v>
      </c>
      <c r="R183" t="str">
        <f>ROUNDUP(HLOOKUP(IF(CEILING(L183,0.5)&lt;1,0.5,CEILING(L183,0.5)),'배송비 조회'!A$44:AO$56,7,0)*B$3,-2)</f>
        <v>#REF!</v>
      </c>
      <c r="S183">
        <v>0</v>
      </c>
      <c r="T183" t="str">
        <f>ROUND((Q183+R183)*0.3,-2)</f>
        <v>#REF!</v>
      </c>
      <c r="U183" t="str">
        <f>ROUND((Q183+R183)*0.4,-2)</f>
        <v>#REF!</v>
      </c>
      <c r="V183" t="str">
        <f>SUM(Q183:R183)+T183</f>
        <v>#REF!</v>
      </c>
      <c r="W183" t="str">
        <f>SUM(Q183:S183)+U183</f>
        <v>#REF!</v>
      </c>
      <c r="X183">
        <v>0</v>
      </c>
      <c r="Y183" t="str">
        <f>V183*0.038</f>
        <v>#REF!</v>
      </c>
      <c r="Z183" t="str">
        <f>V183*0.02</f>
        <v>#REF!</v>
      </c>
      <c r="AA183" t="str">
        <f>W183*0.1</f>
        <v>#REF!</v>
      </c>
      <c r="AB183" t="str">
        <f>V183-Y183-Z183</f>
        <v>#REF!</v>
      </c>
      <c r="AC183" t="str">
        <f>W183-AA183</f>
        <v>#REF!</v>
      </c>
      <c r="AD183" t="str">
        <f>AB183*0.01</f>
        <v>#REF!</v>
      </c>
      <c r="AE183" t="str">
        <f>AB183-Q183-AD183-R183</f>
        <v>#REF!</v>
      </c>
      <c r="AF183" t="str">
        <f>AC183-Q183-AD183-R183</f>
        <v>#REF!</v>
      </c>
      <c r="AG183" t="str">
        <f>AE183/V183</f>
        <v>#REF!</v>
      </c>
      <c r="AH183" t="str">
        <f>AF183/W183</f>
        <v>#REF!</v>
      </c>
    </row>
    <row r="184">
      <c r="G184" t="str">
        <v>A</v>
      </c>
      <c r="J184" t="str">
        <f>IF(K184&gt;0,K184*0.0625,IF(L184&gt;0,L184*2.204623,))</f>
        <v>#REF!</v>
      </c>
      <c r="K184" t="str">
        <f>IF(L184&gt;0,L184*35.273962,IF(J184&gt;0,J184*16,))</f>
        <v>#REF!</v>
      </c>
      <c r="L184" t="str">
        <f>IF(J184&gt;0,J184*0.453592,IF(K184&gt;0,K184*0.02835,))</f>
        <v>#REF!</v>
      </c>
      <c r="O184">
        <f>I184+N184+M184</f>
        <v>0</v>
      </c>
      <c r="P184">
        <f>O184*B$3</f>
        <v>0</v>
      </c>
      <c r="Q184">
        <f>ROUND(SUM(P184), -2)</f>
        <v>0</v>
      </c>
      <c r="R184" t="str">
        <f>ROUNDUP(HLOOKUP(IF(CEILING(L184,0.5)&lt;1,0.5,CEILING(L184,0.5)),'배송비 조회'!A$44:AO$56,7,0)*B$3,-2)</f>
        <v>#REF!</v>
      </c>
      <c r="S184">
        <v>0</v>
      </c>
      <c r="T184" t="str">
        <f>ROUND((Q184+R184)*0.3,-2)</f>
        <v>#REF!</v>
      </c>
      <c r="U184" t="str">
        <f>ROUND((Q184+R184)*0.4,-2)</f>
        <v>#REF!</v>
      </c>
      <c r="V184" t="str">
        <f>SUM(Q184:R184)+T184</f>
        <v>#REF!</v>
      </c>
      <c r="W184" t="str">
        <f>SUM(Q184:S184)+U184</f>
        <v>#REF!</v>
      </c>
      <c r="X184">
        <v>0</v>
      </c>
      <c r="Y184" t="str">
        <f>V184*0.038</f>
        <v>#REF!</v>
      </c>
      <c r="Z184" t="str">
        <f>V184*0.02</f>
        <v>#REF!</v>
      </c>
      <c r="AA184" t="str">
        <f>W184*0.1</f>
        <v>#REF!</v>
      </c>
      <c r="AB184" t="str">
        <f>V184-Y184-Z184</f>
        <v>#REF!</v>
      </c>
      <c r="AC184" t="str">
        <f>W184-AA184</f>
        <v>#REF!</v>
      </c>
      <c r="AD184" t="str">
        <f>AB184*0.01</f>
        <v>#REF!</v>
      </c>
      <c r="AE184" t="str">
        <f>AB184-Q184-AD184-R184</f>
        <v>#REF!</v>
      </c>
      <c r="AF184" t="str">
        <f>AC184-Q184-AD184-R184</f>
        <v>#REF!</v>
      </c>
      <c r="AG184" t="str">
        <f>AE184/V184</f>
        <v>#REF!</v>
      </c>
      <c r="AH184" t="str">
        <f>AF184/W184</f>
        <v>#REF!</v>
      </c>
    </row>
    <row r="185">
      <c r="G185" t="str">
        <v>A</v>
      </c>
      <c r="J185" t="str">
        <f>IF(K185&gt;0,K185*0.0625,IF(L185&gt;0,L185*2.204623,))</f>
        <v>#REF!</v>
      </c>
      <c r="K185" t="str">
        <f>IF(L185&gt;0,L185*35.273962,IF(J185&gt;0,J185*16,))</f>
        <v>#REF!</v>
      </c>
      <c r="L185" t="str">
        <f>IF(J185&gt;0,J185*0.453592,IF(K185&gt;0,K185*0.02835,))</f>
        <v>#REF!</v>
      </c>
      <c r="O185">
        <f>I185+N185+M185</f>
        <v>0</v>
      </c>
      <c r="P185">
        <f>O185*B$3</f>
        <v>0</v>
      </c>
      <c r="Q185">
        <f>ROUND(SUM(P185), -2)</f>
        <v>0</v>
      </c>
      <c r="R185" t="str">
        <f>ROUNDUP(HLOOKUP(IF(CEILING(L185,0.5)&lt;1,0.5,CEILING(L185,0.5)),'배송비 조회'!A$44:AO$56,7,0)*B$3,-2)</f>
        <v>#REF!</v>
      </c>
      <c r="S185">
        <v>0</v>
      </c>
      <c r="T185" t="str">
        <f>ROUND((Q185+R185)*0.3,-2)</f>
        <v>#REF!</v>
      </c>
      <c r="U185" t="str">
        <f>ROUND((Q185+R185)*0.4,-2)</f>
        <v>#REF!</v>
      </c>
      <c r="V185" t="str">
        <f>SUM(Q185:R185)+T185</f>
        <v>#REF!</v>
      </c>
      <c r="W185" t="str">
        <f>SUM(Q185:S185)+U185</f>
        <v>#REF!</v>
      </c>
      <c r="X185">
        <v>0</v>
      </c>
      <c r="Y185" t="str">
        <f>V185*0.038</f>
        <v>#REF!</v>
      </c>
      <c r="Z185" t="str">
        <f>V185*0.02</f>
        <v>#REF!</v>
      </c>
      <c r="AA185" t="str">
        <f>W185*0.1</f>
        <v>#REF!</v>
      </c>
      <c r="AB185" t="str">
        <f>V185-Y185-Z185</f>
        <v>#REF!</v>
      </c>
      <c r="AC185" t="str">
        <f>W185-AA185</f>
        <v>#REF!</v>
      </c>
      <c r="AD185" t="str">
        <f>AB185*0.01</f>
        <v>#REF!</v>
      </c>
      <c r="AE185" t="str">
        <f>AB185-Q185-AD185-R185</f>
        <v>#REF!</v>
      </c>
      <c r="AF185" t="str">
        <f>AC185-Q185-AD185-R185</f>
        <v>#REF!</v>
      </c>
      <c r="AG185" t="str">
        <f>AE185/V185</f>
        <v>#REF!</v>
      </c>
      <c r="AH185" t="str">
        <f>AF185/W185</f>
        <v>#REF!</v>
      </c>
    </row>
    <row r="186">
      <c r="G186" t="str">
        <v>A</v>
      </c>
      <c r="J186" t="str">
        <f>IF(K186&gt;0,K186*0.0625,IF(L186&gt;0,L186*2.204623,))</f>
        <v>#REF!</v>
      </c>
      <c r="K186" t="str">
        <f>IF(L186&gt;0,L186*35.273962,IF(J186&gt;0,J186*16,))</f>
        <v>#REF!</v>
      </c>
      <c r="L186" t="str">
        <f>IF(J186&gt;0,J186*0.453592,IF(K186&gt;0,K186*0.02835,))</f>
        <v>#REF!</v>
      </c>
      <c r="O186">
        <f>I186+N186+M186</f>
        <v>0</v>
      </c>
      <c r="P186">
        <f>O186*B$3</f>
        <v>0</v>
      </c>
      <c r="Q186">
        <f>ROUND(SUM(P186), -2)</f>
        <v>0</v>
      </c>
      <c r="R186" t="str">
        <f>ROUNDUP(HLOOKUP(IF(CEILING(L186,0.5)&lt;1,0.5,CEILING(L186,0.5)),'배송비 조회'!A$44:AO$56,7,0)*B$3,-2)</f>
        <v>#REF!</v>
      </c>
      <c r="S186">
        <v>0</v>
      </c>
      <c r="T186" t="str">
        <f>ROUND((Q186+R186)*0.3,-2)</f>
        <v>#REF!</v>
      </c>
      <c r="U186" t="str">
        <f>ROUND((Q186+R186)*0.4,-2)</f>
        <v>#REF!</v>
      </c>
      <c r="V186" t="str">
        <f>SUM(Q186:R186)+T186</f>
        <v>#REF!</v>
      </c>
      <c r="W186" t="str">
        <f>SUM(Q186:S186)+U186</f>
        <v>#REF!</v>
      </c>
      <c r="X186">
        <v>0</v>
      </c>
      <c r="Y186" t="str">
        <f>V186*0.038</f>
        <v>#REF!</v>
      </c>
      <c r="Z186" t="str">
        <f>V186*0.02</f>
        <v>#REF!</v>
      </c>
      <c r="AA186" t="str">
        <f>W186*0.1</f>
        <v>#REF!</v>
      </c>
      <c r="AB186" t="str">
        <f>V186-Y186-Z186</f>
        <v>#REF!</v>
      </c>
      <c r="AC186" t="str">
        <f>W186-AA186</f>
        <v>#REF!</v>
      </c>
      <c r="AD186" t="str">
        <f>AB186*0.01</f>
        <v>#REF!</v>
      </c>
      <c r="AE186" t="str">
        <f>AB186-Q186-AD186-R186</f>
        <v>#REF!</v>
      </c>
      <c r="AF186" t="str">
        <f>AC186-Q186-AD186-R186</f>
        <v>#REF!</v>
      </c>
      <c r="AG186" t="str">
        <f>AE186/V186</f>
        <v>#REF!</v>
      </c>
      <c r="AH186" t="str">
        <f>AF186/W186</f>
        <v>#REF!</v>
      </c>
    </row>
    <row r="187">
      <c r="G187" t="str">
        <v>A</v>
      </c>
      <c r="J187" t="str">
        <f>IF(K187&gt;0,K187*0.0625,IF(L187&gt;0,L187*2.204623,))</f>
        <v>#REF!</v>
      </c>
      <c r="K187" t="str">
        <f>IF(L187&gt;0,L187*35.273962,IF(J187&gt;0,J187*16,))</f>
        <v>#REF!</v>
      </c>
      <c r="L187" t="str">
        <f>IF(J187&gt;0,J187*0.453592,IF(K187&gt;0,K187*0.02835,))</f>
        <v>#REF!</v>
      </c>
      <c r="O187">
        <f>I187+N187+M187</f>
        <v>0</v>
      </c>
      <c r="P187">
        <f>O187*B$3</f>
        <v>0</v>
      </c>
      <c r="Q187">
        <f>ROUND(SUM(P187), -2)</f>
        <v>0</v>
      </c>
      <c r="R187" t="str">
        <f>ROUNDUP(HLOOKUP(IF(CEILING(L187,0.5)&lt;1,0.5,CEILING(L187,0.5)),'배송비 조회'!A$44:AO$56,7,0)*B$3,-2)</f>
        <v>#REF!</v>
      </c>
      <c r="S187">
        <v>0</v>
      </c>
      <c r="T187" t="str">
        <f>ROUND((Q187+R187)*0.3,-2)</f>
        <v>#REF!</v>
      </c>
      <c r="U187" t="str">
        <f>ROUND((Q187+R187)*0.4,-2)</f>
        <v>#REF!</v>
      </c>
      <c r="V187" t="str">
        <f>SUM(Q187:R187)+T187</f>
        <v>#REF!</v>
      </c>
      <c r="W187" t="str">
        <f>SUM(Q187:S187)+U187</f>
        <v>#REF!</v>
      </c>
      <c r="X187">
        <v>0</v>
      </c>
      <c r="Y187" t="str">
        <f>V187*0.038</f>
        <v>#REF!</v>
      </c>
      <c r="Z187" t="str">
        <f>V187*0.02</f>
        <v>#REF!</v>
      </c>
      <c r="AA187" t="str">
        <f>W187*0.1</f>
        <v>#REF!</v>
      </c>
      <c r="AB187" t="str">
        <f>V187-Y187-Z187</f>
        <v>#REF!</v>
      </c>
      <c r="AC187" t="str">
        <f>W187-AA187</f>
        <v>#REF!</v>
      </c>
      <c r="AD187" t="str">
        <f>AB187*0.01</f>
        <v>#REF!</v>
      </c>
      <c r="AE187" t="str">
        <f>AB187-Q187-AD187-R187</f>
        <v>#REF!</v>
      </c>
      <c r="AF187" t="str">
        <f>AC187-Q187-AD187-R187</f>
        <v>#REF!</v>
      </c>
      <c r="AG187" t="str">
        <f>AE187/V187</f>
        <v>#REF!</v>
      </c>
      <c r="AH187" t="str">
        <f>AF187/W187</f>
        <v>#REF!</v>
      </c>
    </row>
    <row r="188">
      <c r="G188" t="str">
        <v>A</v>
      </c>
      <c r="J188" t="str">
        <f>IF(K188&gt;0,K188*0.0625,IF(L188&gt;0,L188*2.204623,))</f>
        <v>#REF!</v>
      </c>
      <c r="K188" t="str">
        <f>IF(L188&gt;0,L188*35.273962,IF(J188&gt;0,J188*16,))</f>
        <v>#REF!</v>
      </c>
      <c r="L188" t="str">
        <f>IF(J188&gt;0,J188*0.453592,IF(K188&gt;0,K188*0.02835,))</f>
        <v>#REF!</v>
      </c>
      <c r="O188">
        <f>I188+N188+M188</f>
        <v>0</v>
      </c>
      <c r="P188">
        <f>O188*B$3</f>
        <v>0</v>
      </c>
      <c r="Q188">
        <f>ROUND(SUM(P188), -2)</f>
        <v>0</v>
      </c>
      <c r="R188" t="str">
        <f>ROUNDUP(HLOOKUP(IF(CEILING(L188,0.5)&lt;1,0.5,CEILING(L188,0.5)),'배송비 조회'!A$44:AO$56,7,0)*B$3,-2)</f>
        <v>#REF!</v>
      </c>
      <c r="S188">
        <v>0</v>
      </c>
      <c r="T188" t="str">
        <f>ROUND((Q188+R188)*0.3,-2)</f>
        <v>#REF!</v>
      </c>
      <c r="U188" t="str">
        <f>ROUND((Q188+R188)*0.4,-2)</f>
        <v>#REF!</v>
      </c>
      <c r="V188" t="str">
        <f>SUM(Q188:R188)+T188</f>
        <v>#REF!</v>
      </c>
      <c r="W188" t="str">
        <f>SUM(Q188:S188)+U188</f>
        <v>#REF!</v>
      </c>
      <c r="X188">
        <v>0</v>
      </c>
      <c r="Y188" t="str">
        <f>V188*0.038</f>
        <v>#REF!</v>
      </c>
      <c r="Z188" t="str">
        <f>V188*0.02</f>
        <v>#REF!</v>
      </c>
      <c r="AA188" t="str">
        <f>W188*0.1</f>
        <v>#REF!</v>
      </c>
      <c r="AB188" t="str">
        <f>V188-Y188-Z188</f>
        <v>#REF!</v>
      </c>
      <c r="AC188" t="str">
        <f>W188-AA188</f>
        <v>#REF!</v>
      </c>
      <c r="AD188" t="str">
        <f>AB188*0.01</f>
        <v>#REF!</v>
      </c>
      <c r="AE188" t="str">
        <f>AB188-Q188-AD188-R188</f>
        <v>#REF!</v>
      </c>
      <c r="AF188" t="str">
        <f>AC188-Q188-AD188-R188</f>
        <v>#REF!</v>
      </c>
      <c r="AG188" t="str">
        <f>AE188/V188</f>
        <v>#REF!</v>
      </c>
      <c r="AH188" t="str">
        <f>AF188/W188</f>
        <v>#REF!</v>
      </c>
    </row>
    <row r="189">
      <c r="G189" t="str">
        <v>A</v>
      </c>
      <c r="J189" t="str">
        <f>IF(K189&gt;0,K189*0.0625,IF(L189&gt;0,L189*2.204623,))</f>
        <v>#REF!</v>
      </c>
      <c r="K189" t="str">
        <f>IF(L189&gt;0,L189*35.273962,IF(J189&gt;0,J189*16,))</f>
        <v>#REF!</v>
      </c>
      <c r="L189" t="str">
        <f>IF(J189&gt;0,J189*0.453592,IF(K189&gt;0,K189*0.02835,))</f>
        <v>#REF!</v>
      </c>
      <c r="O189">
        <f>I189+N189+M189</f>
        <v>0</v>
      </c>
      <c r="P189">
        <f>O189*B$3</f>
        <v>0</v>
      </c>
      <c r="Q189">
        <f>ROUND(SUM(P189), -2)</f>
        <v>0</v>
      </c>
      <c r="R189" t="str">
        <f>ROUNDUP(HLOOKUP(IF(CEILING(L189,0.5)&lt;1,0.5,CEILING(L189,0.5)),'배송비 조회'!A$44:AO$56,7,0)*B$3,-2)</f>
        <v>#REF!</v>
      </c>
      <c r="S189">
        <v>0</v>
      </c>
      <c r="T189" t="str">
        <f>ROUND((Q189+R189)*0.3,-2)</f>
        <v>#REF!</v>
      </c>
      <c r="U189" t="str">
        <f>ROUND((Q189+R189)*0.4,-2)</f>
        <v>#REF!</v>
      </c>
      <c r="V189" t="str">
        <f>SUM(Q189:R189)+T189</f>
        <v>#REF!</v>
      </c>
      <c r="W189" t="str">
        <f>SUM(Q189:S189)+U189</f>
        <v>#REF!</v>
      </c>
      <c r="X189">
        <v>0</v>
      </c>
      <c r="Y189" t="str">
        <f>V189*0.038</f>
        <v>#REF!</v>
      </c>
      <c r="Z189" t="str">
        <f>V189*0.02</f>
        <v>#REF!</v>
      </c>
      <c r="AA189" t="str">
        <f>W189*0.1</f>
        <v>#REF!</v>
      </c>
      <c r="AB189" t="str">
        <f>V189-Y189-Z189</f>
        <v>#REF!</v>
      </c>
      <c r="AC189" t="str">
        <f>W189-AA189</f>
        <v>#REF!</v>
      </c>
      <c r="AD189" t="str">
        <f>AB189*0.01</f>
        <v>#REF!</v>
      </c>
      <c r="AE189" t="str">
        <f>AB189-Q189-AD189-R189</f>
        <v>#REF!</v>
      </c>
      <c r="AF189" t="str">
        <f>AC189-Q189-AD189-R189</f>
        <v>#REF!</v>
      </c>
      <c r="AG189" t="str">
        <f>AE189/V189</f>
        <v>#REF!</v>
      </c>
      <c r="AH189" t="str">
        <f>AF189/W189</f>
        <v>#REF!</v>
      </c>
    </row>
    <row r="190">
      <c r="G190" t="str">
        <v>A</v>
      </c>
      <c r="J190" t="str">
        <f>IF(K190&gt;0,K190*0.0625,IF(L190&gt;0,L190*2.204623,))</f>
        <v>#REF!</v>
      </c>
      <c r="K190" t="str">
        <f>IF(L190&gt;0,L190*35.273962,IF(J190&gt;0,J190*16,))</f>
        <v>#REF!</v>
      </c>
      <c r="L190" t="str">
        <f>IF(J190&gt;0,J190*0.453592,IF(K190&gt;0,K190*0.02835,))</f>
        <v>#REF!</v>
      </c>
      <c r="O190">
        <f>I190+N190+M190</f>
        <v>0</v>
      </c>
      <c r="P190">
        <f>O190*B$3</f>
        <v>0</v>
      </c>
      <c r="Q190">
        <f>ROUND(SUM(P190), -2)</f>
        <v>0</v>
      </c>
      <c r="R190" t="str">
        <f>ROUNDUP(HLOOKUP(IF(CEILING(L190,0.5)&lt;1,0.5,CEILING(L190,0.5)),'배송비 조회'!A$44:AO$56,7,0)*B$3,-2)</f>
        <v>#REF!</v>
      </c>
      <c r="S190">
        <v>0</v>
      </c>
      <c r="T190" t="str">
        <f>ROUND((Q190+R190)*0.3,-2)</f>
        <v>#REF!</v>
      </c>
      <c r="U190" t="str">
        <f>ROUND((Q190+R190)*0.4,-2)</f>
        <v>#REF!</v>
      </c>
      <c r="V190" t="str">
        <f>SUM(Q190:R190)+T190</f>
        <v>#REF!</v>
      </c>
      <c r="W190" t="str">
        <f>SUM(Q190:S190)+U190</f>
        <v>#REF!</v>
      </c>
      <c r="X190">
        <v>0</v>
      </c>
      <c r="Y190" t="str">
        <f>V190*0.038</f>
        <v>#REF!</v>
      </c>
      <c r="Z190" t="str">
        <f>V190*0.02</f>
        <v>#REF!</v>
      </c>
      <c r="AA190" t="str">
        <f>W190*0.1</f>
        <v>#REF!</v>
      </c>
      <c r="AB190" t="str">
        <f>V190-Y190-Z190</f>
        <v>#REF!</v>
      </c>
      <c r="AC190" t="str">
        <f>W190-AA190</f>
        <v>#REF!</v>
      </c>
      <c r="AD190" t="str">
        <f>AB190*0.01</f>
        <v>#REF!</v>
      </c>
      <c r="AE190" t="str">
        <f>AB190-Q190-AD190-R190</f>
        <v>#REF!</v>
      </c>
      <c r="AF190" t="str">
        <f>AC190-Q190-AD190-R190</f>
        <v>#REF!</v>
      </c>
      <c r="AG190" t="str">
        <f>AE190/V190</f>
        <v>#REF!</v>
      </c>
      <c r="AH190" t="str">
        <f>AF190/W190</f>
        <v>#REF!</v>
      </c>
    </row>
    <row r="191">
      <c r="G191" t="str">
        <v>A</v>
      </c>
      <c r="J191" t="str">
        <f>IF(K191&gt;0,K191*0.0625,IF(L191&gt;0,L191*2.204623,))</f>
        <v>#REF!</v>
      </c>
      <c r="K191" t="str">
        <f>IF(L191&gt;0,L191*35.273962,IF(J191&gt;0,J191*16,))</f>
        <v>#REF!</v>
      </c>
      <c r="L191" t="str">
        <f>IF(J191&gt;0,J191*0.453592,IF(K191&gt;0,K191*0.02835,))</f>
        <v>#REF!</v>
      </c>
      <c r="O191">
        <f>I191+N191+M191</f>
        <v>0</v>
      </c>
      <c r="P191">
        <f>O191*B$3</f>
        <v>0</v>
      </c>
      <c r="Q191">
        <f>ROUND(SUM(P191), -2)</f>
        <v>0</v>
      </c>
      <c r="R191" t="str">
        <f>ROUNDUP(HLOOKUP(IF(CEILING(L191,0.5)&lt;1,0.5,CEILING(L191,0.5)),'배송비 조회'!A$44:AO$56,7,0)*B$3,-2)</f>
        <v>#REF!</v>
      </c>
      <c r="S191">
        <v>0</v>
      </c>
      <c r="T191" t="str">
        <f>ROUND((Q191+R191)*0.3,-2)</f>
        <v>#REF!</v>
      </c>
      <c r="U191" t="str">
        <f>ROUND((Q191+R191)*0.4,-2)</f>
        <v>#REF!</v>
      </c>
      <c r="V191" t="str">
        <f>SUM(Q191:R191)+T191</f>
        <v>#REF!</v>
      </c>
      <c r="W191" t="str">
        <f>SUM(Q191:S191)+U191</f>
        <v>#REF!</v>
      </c>
      <c r="X191">
        <v>0</v>
      </c>
      <c r="Y191" t="str">
        <f>V191*0.038</f>
        <v>#REF!</v>
      </c>
      <c r="Z191" t="str">
        <f>V191*0.02</f>
        <v>#REF!</v>
      </c>
      <c r="AA191" t="str">
        <f>W191*0.1</f>
        <v>#REF!</v>
      </c>
      <c r="AB191" t="str">
        <f>V191-Y191-Z191</f>
        <v>#REF!</v>
      </c>
      <c r="AC191" t="str">
        <f>W191-AA191</f>
        <v>#REF!</v>
      </c>
      <c r="AD191" t="str">
        <f>AB191*0.01</f>
        <v>#REF!</v>
      </c>
      <c r="AE191" t="str">
        <f>AB191-Q191-AD191-R191</f>
        <v>#REF!</v>
      </c>
      <c r="AF191" t="str">
        <f>AC191-Q191-AD191-R191</f>
        <v>#REF!</v>
      </c>
      <c r="AG191" t="str">
        <f>AE191/V191</f>
        <v>#REF!</v>
      </c>
      <c r="AH191" t="str">
        <f>AF191/W191</f>
        <v>#REF!</v>
      </c>
    </row>
    <row r="192">
      <c r="G192" t="str">
        <v>A</v>
      </c>
      <c r="J192" t="str">
        <f>IF(K192&gt;0,K192*0.0625,IF(L192&gt;0,L192*2.204623,))</f>
        <v>#REF!</v>
      </c>
      <c r="K192" t="str">
        <f>IF(L192&gt;0,L192*35.273962,IF(J192&gt;0,J192*16,))</f>
        <v>#REF!</v>
      </c>
      <c r="L192" t="str">
        <f>IF(J192&gt;0,J192*0.453592,IF(K192&gt;0,K192*0.02835,))</f>
        <v>#REF!</v>
      </c>
      <c r="O192">
        <f>I192+N192+M192</f>
        <v>0</v>
      </c>
      <c r="P192">
        <f>O192*B$3</f>
        <v>0</v>
      </c>
      <c r="Q192">
        <f>ROUND(SUM(P192), -2)</f>
        <v>0</v>
      </c>
      <c r="R192" t="str">
        <f>ROUNDUP(HLOOKUP(IF(CEILING(L192,0.5)&lt;1,0.5,CEILING(L192,0.5)),'배송비 조회'!A$44:AO$56,7,0)*B$3,-2)</f>
        <v>#REF!</v>
      </c>
      <c r="S192">
        <v>0</v>
      </c>
      <c r="T192" t="str">
        <f>ROUND((Q192+R192)*0.3,-2)</f>
        <v>#REF!</v>
      </c>
      <c r="U192" t="str">
        <f>ROUND((Q192+R192)*0.4,-2)</f>
        <v>#REF!</v>
      </c>
      <c r="V192" t="str">
        <f>SUM(Q192:R192)+T192</f>
        <v>#REF!</v>
      </c>
      <c r="W192" t="str">
        <f>SUM(Q192:S192)+U192</f>
        <v>#REF!</v>
      </c>
      <c r="X192">
        <v>0</v>
      </c>
      <c r="Y192" t="str">
        <f>V192*0.038</f>
        <v>#REF!</v>
      </c>
      <c r="Z192" t="str">
        <f>V192*0.02</f>
        <v>#REF!</v>
      </c>
      <c r="AA192" t="str">
        <f>W192*0.1</f>
        <v>#REF!</v>
      </c>
      <c r="AB192" t="str">
        <f>V192-Y192-Z192</f>
        <v>#REF!</v>
      </c>
      <c r="AC192" t="str">
        <f>W192-AA192</f>
        <v>#REF!</v>
      </c>
      <c r="AD192" t="str">
        <f>AB192*0.01</f>
        <v>#REF!</v>
      </c>
      <c r="AE192" t="str">
        <f>AB192-Q192-AD192-R192</f>
        <v>#REF!</v>
      </c>
      <c r="AF192" t="str">
        <f>AC192-Q192-AD192-R192</f>
        <v>#REF!</v>
      </c>
      <c r="AG192" t="str">
        <f>AE192/V192</f>
        <v>#REF!</v>
      </c>
      <c r="AH192" t="str">
        <f>AF192/W192</f>
        <v>#REF!</v>
      </c>
    </row>
    <row r="193">
      <c r="G193" t="str">
        <v>A</v>
      </c>
      <c r="J193" t="str">
        <f>IF(K193&gt;0,K193*0.0625,IF(L193&gt;0,L193*2.204623,))</f>
        <v>#REF!</v>
      </c>
      <c r="K193" t="str">
        <f>IF(L193&gt;0,L193*35.273962,IF(J193&gt;0,J193*16,))</f>
        <v>#REF!</v>
      </c>
      <c r="L193" t="str">
        <f>IF(J193&gt;0,J193*0.453592,IF(K193&gt;0,K193*0.02835,))</f>
        <v>#REF!</v>
      </c>
      <c r="O193">
        <f>I193+N193+M193</f>
        <v>0</v>
      </c>
      <c r="P193">
        <f>O193*B$3</f>
        <v>0</v>
      </c>
      <c r="Q193">
        <f>ROUND(SUM(P193), -2)</f>
        <v>0</v>
      </c>
      <c r="R193" t="str">
        <f>ROUNDUP(HLOOKUP(IF(CEILING(L193,0.5)&lt;1,0.5,CEILING(L193,0.5)),'배송비 조회'!A$44:AO$56,7,0)*B$3,-2)</f>
        <v>#REF!</v>
      </c>
      <c r="S193">
        <v>0</v>
      </c>
      <c r="T193" t="str">
        <f>ROUND((Q193+R193)*0.3,-2)</f>
        <v>#REF!</v>
      </c>
      <c r="U193" t="str">
        <f>ROUND((Q193+R193)*0.4,-2)</f>
        <v>#REF!</v>
      </c>
      <c r="V193" t="str">
        <f>SUM(Q193:R193)+T193</f>
        <v>#REF!</v>
      </c>
      <c r="W193" t="str">
        <f>SUM(Q193:S193)+U193</f>
        <v>#REF!</v>
      </c>
      <c r="X193">
        <v>0</v>
      </c>
      <c r="Y193" t="str">
        <f>V193*0.038</f>
        <v>#REF!</v>
      </c>
      <c r="Z193" t="str">
        <f>V193*0.02</f>
        <v>#REF!</v>
      </c>
      <c r="AA193" t="str">
        <f>W193*0.1</f>
        <v>#REF!</v>
      </c>
      <c r="AB193" t="str">
        <f>V193-Y193-Z193</f>
        <v>#REF!</v>
      </c>
      <c r="AC193" t="str">
        <f>W193-AA193</f>
        <v>#REF!</v>
      </c>
      <c r="AD193" t="str">
        <f>AB193*0.01</f>
        <v>#REF!</v>
      </c>
      <c r="AE193" t="str">
        <f>AB193-Q193-AD193-R193</f>
        <v>#REF!</v>
      </c>
      <c r="AF193" t="str">
        <f>AC193-Q193-AD193-R193</f>
        <v>#REF!</v>
      </c>
      <c r="AG193" t="str">
        <f>AE193/V193</f>
        <v>#REF!</v>
      </c>
      <c r="AH193" t="str">
        <f>AF193/W193</f>
        <v>#REF!</v>
      </c>
    </row>
    <row r="194">
      <c r="G194" t="str">
        <v>A</v>
      </c>
      <c r="J194" t="str">
        <f>IF(K194&gt;0,K194*0.0625,IF(L194&gt;0,L194*2.204623,))</f>
        <v>#REF!</v>
      </c>
      <c r="K194" t="str">
        <f>IF(L194&gt;0,L194*35.273962,IF(J194&gt;0,J194*16,))</f>
        <v>#REF!</v>
      </c>
      <c r="L194" t="str">
        <f>IF(J194&gt;0,J194*0.453592,IF(K194&gt;0,K194*0.02835,))</f>
        <v>#REF!</v>
      </c>
      <c r="O194">
        <f>I194+N194+M194</f>
        <v>0</v>
      </c>
      <c r="P194">
        <f>O194*B$3</f>
        <v>0</v>
      </c>
      <c r="Q194">
        <f>ROUND(SUM(P194), -2)</f>
        <v>0</v>
      </c>
      <c r="R194" t="str">
        <f>ROUNDUP(HLOOKUP(IF(CEILING(L194,0.5)&lt;1,0.5,CEILING(L194,0.5)),'배송비 조회'!A$44:AO$56,7,0)*B$3,-2)</f>
        <v>#REF!</v>
      </c>
      <c r="S194">
        <v>0</v>
      </c>
      <c r="T194" t="str">
        <f>ROUND((Q194+R194)*0.3,-2)</f>
        <v>#REF!</v>
      </c>
      <c r="U194" t="str">
        <f>ROUND((Q194+R194)*0.4,-2)</f>
        <v>#REF!</v>
      </c>
      <c r="V194" t="str">
        <f>SUM(Q194:R194)+T194</f>
        <v>#REF!</v>
      </c>
      <c r="W194" t="str">
        <f>SUM(Q194:S194)+U194</f>
        <v>#REF!</v>
      </c>
      <c r="X194">
        <v>0</v>
      </c>
      <c r="Y194" t="str">
        <f>V194*0.038</f>
        <v>#REF!</v>
      </c>
      <c r="Z194" t="str">
        <f>V194*0.02</f>
        <v>#REF!</v>
      </c>
      <c r="AA194" t="str">
        <f>W194*0.1</f>
        <v>#REF!</v>
      </c>
      <c r="AB194" t="str">
        <f>V194-Y194-Z194</f>
        <v>#REF!</v>
      </c>
      <c r="AC194" t="str">
        <f>W194-AA194</f>
        <v>#REF!</v>
      </c>
      <c r="AD194" t="str">
        <f>AB194*0.01</f>
        <v>#REF!</v>
      </c>
      <c r="AE194" t="str">
        <f>AB194-Q194-AD194-R194</f>
        <v>#REF!</v>
      </c>
      <c r="AF194" t="str">
        <f>AC194-Q194-AD194-R194</f>
        <v>#REF!</v>
      </c>
      <c r="AG194" t="str">
        <f>AE194/V194</f>
        <v>#REF!</v>
      </c>
      <c r="AH194" t="str">
        <f>AF194/W194</f>
        <v>#REF!</v>
      </c>
    </row>
    <row r="195">
      <c r="G195" t="str">
        <v>A</v>
      </c>
      <c r="J195" t="str">
        <f>IF(K195&gt;0,K195*0.0625,IF(L195&gt;0,L195*2.204623,))</f>
        <v>#REF!</v>
      </c>
      <c r="K195" t="str">
        <f>IF(L195&gt;0,L195*35.273962,IF(J195&gt;0,J195*16,))</f>
        <v>#REF!</v>
      </c>
      <c r="L195" t="str">
        <f>IF(J195&gt;0,J195*0.453592,IF(K195&gt;0,K195*0.02835,))</f>
        <v>#REF!</v>
      </c>
      <c r="O195">
        <f>I195+N195+M195</f>
        <v>0</v>
      </c>
      <c r="P195">
        <f>O195*B$3</f>
        <v>0</v>
      </c>
      <c r="Q195">
        <f>ROUND(SUM(P195), -2)</f>
        <v>0</v>
      </c>
      <c r="R195" t="str">
        <f>ROUNDUP(HLOOKUP(IF(CEILING(L195,0.5)&lt;1,0.5,CEILING(L195,0.5)),'배송비 조회'!A$44:AO$56,7,0)*B$3,-2)</f>
        <v>#REF!</v>
      </c>
      <c r="S195">
        <v>0</v>
      </c>
      <c r="T195" t="str">
        <f>ROUND((Q195+R195)*0.3,-2)</f>
        <v>#REF!</v>
      </c>
      <c r="U195" t="str">
        <f>ROUND((Q195+R195)*0.4,-2)</f>
        <v>#REF!</v>
      </c>
      <c r="V195" t="str">
        <f>SUM(Q195:R195)+T195</f>
        <v>#REF!</v>
      </c>
      <c r="W195" t="str">
        <f>SUM(Q195:S195)+U195</f>
        <v>#REF!</v>
      </c>
      <c r="X195">
        <v>0</v>
      </c>
      <c r="Y195" t="str">
        <f>V195*0.038</f>
        <v>#REF!</v>
      </c>
      <c r="Z195" t="str">
        <f>V195*0.02</f>
        <v>#REF!</v>
      </c>
      <c r="AA195" t="str">
        <f>W195*0.1</f>
        <v>#REF!</v>
      </c>
      <c r="AB195" t="str">
        <f>V195-Y195-Z195</f>
        <v>#REF!</v>
      </c>
      <c r="AC195" t="str">
        <f>W195-AA195</f>
        <v>#REF!</v>
      </c>
      <c r="AD195" t="str">
        <f>AB195*0.01</f>
        <v>#REF!</v>
      </c>
      <c r="AE195" t="str">
        <f>AB195-Q195-AD195-R195</f>
        <v>#REF!</v>
      </c>
      <c r="AF195" t="str">
        <f>AC195-Q195-AD195-R195</f>
        <v>#REF!</v>
      </c>
      <c r="AG195" t="str">
        <f>AE195/V195</f>
        <v>#REF!</v>
      </c>
      <c r="AH195" t="str">
        <f>AF195/W195</f>
        <v>#REF!</v>
      </c>
    </row>
    <row r="196">
      <c r="G196" t="str">
        <v>A</v>
      </c>
      <c r="J196" t="str">
        <f>IF(K196&gt;0,K196*0.0625,IF(L196&gt;0,L196*2.204623,))</f>
        <v>#REF!</v>
      </c>
      <c r="K196" t="str">
        <f>IF(L196&gt;0,L196*35.273962,IF(J196&gt;0,J196*16,))</f>
        <v>#REF!</v>
      </c>
      <c r="L196" t="str">
        <f>IF(J196&gt;0,J196*0.453592,IF(K196&gt;0,K196*0.02835,))</f>
        <v>#REF!</v>
      </c>
      <c r="O196">
        <f>I196+N196+M196</f>
        <v>0</v>
      </c>
      <c r="P196">
        <f>O196*B$3</f>
        <v>0</v>
      </c>
      <c r="Q196">
        <f>ROUND(SUM(P196), -2)</f>
        <v>0</v>
      </c>
      <c r="R196" t="str">
        <f>ROUNDUP(HLOOKUP(IF(CEILING(L196,0.5)&lt;1,0.5,CEILING(L196,0.5)),'배송비 조회'!A$44:AO$56,7,0)*B$3,-2)</f>
        <v>#REF!</v>
      </c>
      <c r="S196">
        <v>0</v>
      </c>
      <c r="T196" t="str">
        <f>ROUND((Q196+R196)*0.3,-2)</f>
        <v>#REF!</v>
      </c>
      <c r="U196" t="str">
        <f>ROUND((Q196+R196)*0.4,-2)</f>
        <v>#REF!</v>
      </c>
      <c r="V196" t="str">
        <f>SUM(Q196:R196)+T196</f>
        <v>#REF!</v>
      </c>
      <c r="W196" t="str">
        <f>SUM(Q196:S196)+U196</f>
        <v>#REF!</v>
      </c>
      <c r="X196">
        <v>0</v>
      </c>
      <c r="Y196" t="str">
        <f>V196*0.038</f>
        <v>#REF!</v>
      </c>
      <c r="Z196" t="str">
        <f>V196*0.02</f>
        <v>#REF!</v>
      </c>
      <c r="AA196" t="str">
        <f>W196*0.1</f>
        <v>#REF!</v>
      </c>
      <c r="AB196" t="str">
        <f>V196-Y196-Z196</f>
        <v>#REF!</v>
      </c>
      <c r="AC196" t="str">
        <f>W196-AA196</f>
        <v>#REF!</v>
      </c>
      <c r="AD196" t="str">
        <f>AB196*0.01</f>
        <v>#REF!</v>
      </c>
      <c r="AE196" t="str">
        <f>AB196-Q196-AD196-R196</f>
        <v>#REF!</v>
      </c>
      <c r="AF196" t="str">
        <f>AC196-Q196-AD196-R196</f>
        <v>#REF!</v>
      </c>
      <c r="AG196" t="str">
        <f>AE196/V196</f>
        <v>#REF!</v>
      </c>
      <c r="AH196" t="str">
        <f>AF196/W196</f>
        <v>#REF!</v>
      </c>
    </row>
    <row r="197">
      <c r="G197" t="str">
        <v>A</v>
      </c>
      <c r="J197" t="str">
        <f>IF(K197&gt;0,K197*0.0625,IF(L197&gt;0,L197*2.204623,))</f>
        <v>#REF!</v>
      </c>
      <c r="K197" t="str">
        <f>IF(L197&gt;0,L197*35.273962,IF(J197&gt;0,J197*16,))</f>
        <v>#REF!</v>
      </c>
      <c r="L197" t="str">
        <f>IF(J197&gt;0,J197*0.453592,IF(K197&gt;0,K197*0.02835,))</f>
        <v>#REF!</v>
      </c>
      <c r="O197">
        <f>I197+N197+M197</f>
        <v>0</v>
      </c>
      <c r="P197">
        <f>O197*B$3</f>
        <v>0</v>
      </c>
      <c r="Q197">
        <f>ROUND(SUM(P197), -2)</f>
        <v>0</v>
      </c>
      <c r="R197" t="str">
        <f>ROUNDUP(HLOOKUP(IF(CEILING(L197,0.5)&lt;1,0.5,CEILING(L197,0.5)),'배송비 조회'!A$44:AO$56,7,0)*B$3,-2)</f>
        <v>#REF!</v>
      </c>
      <c r="S197">
        <v>0</v>
      </c>
      <c r="T197" t="str">
        <f>ROUND((Q197+R197)*0.3,-2)</f>
        <v>#REF!</v>
      </c>
      <c r="U197" t="str">
        <f>ROUND((Q197+R197)*0.4,-2)</f>
        <v>#REF!</v>
      </c>
      <c r="V197" t="str">
        <f>SUM(Q197:R197)+T197</f>
        <v>#REF!</v>
      </c>
      <c r="W197" t="str">
        <f>SUM(Q197:S197)+U197</f>
        <v>#REF!</v>
      </c>
      <c r="X197">
        <v>0</v>
      </c>
      <c r="Y197" t="str">
        <f>V197*0.038</f>
        <v>#REF!</v>
      </c>
      <c r="Z197" t="str">
        <f>V197*0.02</f>
        <v>#REF!</v>
      </c>
      <c r="AA197" t="str">
        <f>W197*0.1</f>
        <v>#REF!</v>
      </c>
      <c r="AB197" t="str">
        <f>V197-Y197-Z197</f>
        <v>#REF!</v>
      </c>
      <c r="AC197" t="str">
        <f>W197-AA197</f>
        <v>#REF!</v>
      </c>
      <c r="AD197" t="str">
        <f>AB197*0.01</f>
        <v>#REF!</v>
      </c>
      <c r="AE197" t="str">
        <f>AB197-Q197-AD197-R197</f>
        <v>#REF!</v>
      </c>
      <c r="AF197" t="str">
        <f>AC197-Q197-AD197-R197</f>
        <v>#REF!</v>
      </c>
      <c r="AG197" t="str">
        <f>AE197/V197</f>
        <v>#REF!</v>
      </c>
      <c r="AH197" t="str">
        <f>AF197/W197</f>
        <v>#REF!</v>
      </c>
    </row>
    <row r="198">
      <c r="G198" t="str">
        <v>A</v>
      </c>
      <c r="J198" t="str">
        <f>IF(K198&gt;0,K198*0.0625,IF(L198&gt;0,L198*2.204623,))</f>
        <v>#REF!</v>
      </c>
      <c r="K198" t="str">
        <f>IF(L198&gt;0,L198*35.273962,IF(J198&gt;0,J198*16,))</f>
        <v>#REF!</v>
      </c>
      <c r="L198" t="str">
        <f>IF(J198&gt;0,J198*0.453592,IF(K198&gt;0,K198*0.02835,))</f>
        <v>#REF!</v>
      </c>
      <c r="O198">
        <f>I198+N198+M198</f>
        <v>0</v>
      </c>
      <c r="P198">
        <f>O198*B$3</f>
        <v>0</v>
      </c>
      <c r="Q198">
        <f>ROUND(SUM(P198), -2)</f>
        <v>0</v>
      </c>
      <c r="R198" t="str">
        <f>ROUNDUP(HLOOKUP(IF(CEILING(L198,0.5)&lt;1,0.5,CEILING(L198,0.5)),'배송비 조회'!A$44:AO$56,7,0)*B$3,-2)</f>
        <v>#REF!</v>
      </c>
      <c r="S198">
        <v>0</v>
      </c>
      <c r="T198" t="str">
        <f>ROUND((Q198+R198)*0.3,-2)</f>
        <v>#REF!</v>
      </c>
      <c r="U198" t="str">
        <f>ROUND((Q198+R198)*0.4,-2)</f>
        <v>#REF!</v>
      </c>
      <c r="V198" t="str">
        <f>SUM(Q198:R198)+T198</f>
        <v>#REF!</v>
      </c>
      <c r="W198" t="str">
        <f>SUM(Q198:S198)+U198</f>
        <v>#REF!</v>
      </c>
      <c r="X198">
        <v>0</v>
      </c>
      <c r="Y198" t="str">
        <f>V198*0.038</f>
        <v>#REF!</v>
      </c>
      <c r="Z198" t="str">
        <f>V198*0.02</f>
        <v>#REF!</v>
      </c>
      <c r="AA198" t="str">
        <f>W198*0.1</f>
        <v>#REF!</v>
      </c>
      <c r="AB198" t="str">
        <f>V198-Y198-Z198</f>
        <v>#REF!</v>
      </c>
      <c r="AC198" t="str">
        <f>W198-AA198</f>
        <v>#REF!</v>
      </c>
      <c r="AD198" t="str">
        <f>AB198*0.01</f>
        <v>#REF!</v>
      </c>
      <c r="AE198" t="str">
        <f>AB198-Q198-AD198-R198</f>
        <v>#REF!</v>
      </c>
      <c r="AF198" t="str">
        <f>AC198-Q198-AD198-R198</f>
        <v>#REF!</v>
      </c>
      <c r="AG198" t="str">
        <f>AE198/V198</f>
        <v>#REF!</v>
      </c>
      <c r="AH198" t="str">
        <f>AF198/W198</f>
        <v>#REF!</v>
      </c>
    </row>
    <row r="199">
      <c r="G199" t="str">
        <v>A</v>
      </c>
      <c r="J199" t="str">
        <f>IF(K199&gt;0,K199*0.0625,IF(L199&gt;0,L199*2.204623,))</f>
        <v>#REF!</v>
      </c>
      <c r="K199" t="str">
        <f>IF(L199&gt;0,L199*35.273962,IF(J199&gt;0,J199*16,))</f>
        <v>#REF!</v>
      </c>
      <c r="L199" t="str">
        <f>IF(J199&gt;0,J199*0.453592,IF(K199&gt;0,K199*0.02835,))</f>
        <v>#REF!</v>
      </c>
      <c r="O199">
        <f>I199+N199+M199</f>
        <v>0</v>
      </c>
      <c r="P199">
        <f>O199*B$3</f>
        <v>0</v>
      </c>
      <c r="Q199">
        <f>ROUND(SUM(P199), -2)</f>
        <v>0</v>
      </c>
      <c r="R199" t="str">
        <f>ROUNDUP(HLOOKUP(IF(CEILING(L199,0.5)&lt;1,0.5,CEILING(L199,0.5)),'배송비 조회'!A$44:AO$56,7,0)*B$3,-2)</f>
        <v>#REF!</v>
      </c>
      <c r="S199">
        <v>0</v>
      </c>
      <c r="T199" t="str">
        <f>ROUND((Q199+R199)*0.3,-2)</f>
        <v>#REF!</v>
      </c>
      <c r="U199" t="str">
        <f>ROUND((Q199+R199)*0.4,-2)</f>
        <v>#REF!</v>
      </c>
      <c r="V199" t="str">
        <f>SUM(Q199:R199)+T199</f>
        <v>#REF!</v>
      </c>
      <c r="W199" t="str">
        <f>SUM(Q199:S199)+U199</f>
        <v>#REF!</v>
      </c>
      <c r="X199">
        <v>0</v>
      </c>
      <c r="Y199" t="str">
        <f>V199*0.038</f>
        <v>#REF!</v>
      </c>
      <c r="Z199" t="str">
        <f>V199*0.02</f>
        <v>#REF!</v>
      </c>
      <c r="AA199" t="str">
        <f>W199*0.1</f>
        <v>#REF!</v>
      </c>
      <c r="AB199" t="str">
        <f>V199-Y199-Z199</f>
        <v>#REF!</v>
      </c>
      <c r="AC199" t="str">
        <f>W199-AA199</f>
        <v>#REF!</v>
      </c>
      <c r="AD199" t="str">
        <f>AB199*0.01</f>
        <v>#REF!</v>
      </c>
      <c r="AE199" t="str">
        <f>AB199-Q199-AD199-R199</f>
        <v>#REF!</v>
      </c>
      <c r="AF199" t="str">
        <f>AC199-Q199-AD199-R199</f>
        <v>#REF!</v>
      </c>
      <c r="AG199" t="str">
        <f>AE199/V199</f>
        <v>#REF!</v>
      </c>
      <c r="AH199" t="str">
        <f>AF199/W199</f>
        <v>#REF!</v>
      </c>
    </row>
    <row r="200">
      <c r="G200" t="str">
        <v>A</v>
      </c>
      <c r="J200" t="str">
        <f>IF(K200&gt;0,K200*0.0625,IF(L200&gt;0,L200*2.204623,))</f>
        <v>#REF!</v>
      </c>
      <c r="K200" t="str">
        <f>IF(L200&gt;0,L200*35.273962,IF(J200&gt;0,J200*16,))</f>
        <v>#REF!</v>
      </c>
      <c r="L200" t="str">
        <f>IF(J200&gt;0,J200*0.453592,IF(K200&gt;0,K200*0.02835,))</f>
        <v>#REF!</v>
      </c>
      <c r="O200">
        <f>I200+N200+M200</f>
        <v>0</v>
      </c>
      <c r="P200">
        <f>O200*B$3</f>
        <v>0</v>
      </c>
      <c r="Q200">
        <f>ROUND(SUM(P200), -2)</f>
        <v>0</v>
      </c>
      <c r="R200" t="str">
        <f>ROUNDUP(HLOOKUP(IF(CEILING(L200,0.5)&lt;1,0.5,CEILING(L200,0.5)),'배송비 조회'!A$44:AO$56,7,0)*B$3,-2)</f>
        <v>#REF!</v>
      </c>
      <c r="S200">
        <v>0</v>
      </c>
      <c r="T200" t="str">
        <f>ROUND((Q200+R200)*0.3,-2)</f>
        <v>#REF!</v>
      </c>
      <c r="U200" t="str">
        <f>ROUND((Q200+R200)*0.4,-2)</f>
        <v>#REF!</v>
      </c>
      <c r="V200" t="str">
        <f>SUM(Q200:R200)+T200</f>
        <v>#REF!</v>
      </c>
      <c r="W200" t="str">
        <f>SUM(Q200:S200)+U200</f>
        <v>#REF!</v>
      </c>
      <c r="X200">
        <v>0</v>
      </c>
      <c r="Y200" t="str">
        <f>V200*0.038</f>
        <v>#REF!</v>
      </c>
      <c r="Z200" t="str">
        <f>V200*0.02</f>
        <v>#REF!</v>
      </c>
      <c r="AA200" t="str">
        <f>W200*0.1</f>
        <v>#REF!</v>
      </c>
      <c r="AB200" t="str">
        <f>V200-Y200-Z200</f>
        <v>#REF!</v>
      </c>
      <c r="AC200" t="str">
        <f>W200-AA200</f>
        <v>#REF!</v>
      </c>
      <c r="AD200" t="str">
        <f>AB200*0.01</f>
        <v>#REF!</v>
      </c>
      <c r="AE200" t="str">
        <f>AB200-Q200-AD200-R200</f>
        <v>#REF!</v>
      </c>
      <c r="AF200" t="str">
        <f>AC200-Q200-AD200-R200</f>
        <v>#REF!</v>
      </c>
      <c r="AG200" t="str">
        <f>AE200/V200</f>
        <v>#REF!</v>
      </c>
      <c r="AH200" t="str">
        <f>AF200/W200</f>
        <v>#REF!</v>
      </c>
    </row>
    <row r="201">
      <c r="G201" t="str">
        <v>A</v>
      </c>
      <c r="J201" t="str">
        <f>IF(K201&gt;0,K201*0.0625,IF(L201&gt;0,L201*2.204623,))</f>
        <v>#REF!</v>
      </c>
      <c r="K201" t="str">
        <f>IF(L201&gt;0,L201*35.273962,IF(J201&gt;0,J201*16,))</f>
        <v>#REF!</v>
      </c>
      <c r="L201" t="str">
        <f>IF(J201&gt;0,J201*0.453592,IF(K201&gt;0,K201*0.02835,))</f>
        <v>#REF!</v>
      </c>
      <c r="O201">
        <f>I201+N201+M201</f>
        <v>0</v>
      </c>
      <c r="P201">
        <f>O201*B$3</f>
        <v>0</v>
      </c>
      <c r="Q201">
        <f>ROUND(SUM(P201), -2)</f>
        <v>0</v>
      </c>
      <c r="R201" t="str">
        <f>ROUNDUP(HLOOKUP(IF(CEILING(L201,0.5)&lt;1,0.5,CEILING(L201,0.5)),'배송비 조회'!A$44:AO$56,7,0)*B$3,-2)</f>
        <v>#REF!</v>
      </c>
      <c r="S201">
        <v>0</v>
      </c>
      <c r="T201" t="str">
        <f>ROUND((Q201+R201)*0.3,-2)</f>
        <v>#REF!</v>
      </c>
      <c r="U201" t="str">
        <f>ROUND((Q201+R201)*0.4,-2)</f>
        <v>#REF!</v>
      </c>
      <c r="V201" t="str">
        <f>SUM(Q201:R201)+T201</f>
        <v>#REF!</v>
      </c>
      <c r="W201" t="str">
        <f>SUM(Q201:S201)+U201</f>
        <v>#REF!</v>
      </c>
      <c r="X201">
        <v>0</v>
      </c>
      <c r="Y201" t="str">
        <f>V201*0.038</f>
        <v>#REF!</v>
      </c>
      <c r="Z201" t="str">
        <f>V201*0.02</f>
        <v>#REF!</v>
      </c>
      <c r="AA201" t="str">
        <f>W201*0.1</f>
        <v>#REF!</v>
      </c>
      <c r="AB201" t="str">
        <f>V201-Y201-Z201</f>
        <v>#REF!</v>
      </c>
      <c r="AC201" t="str">
        <f>W201-AA201</f>
        <v>#REF!</v>
      </c>
      <c r="AD201" t="str">
        <f>AB201*0.01</f>
        <v>#REF!</v>
      </c>
      <c r="AE201" t="str">
        <f>AB201-Q201-AD201-R201</f>
        <v>#REF!</v>
      </c>
      <c r="AF201" t="str">
        <f>AC201-Q201-AD201-R201</f>
        <v>#REF!</v>
      </c>
      <c r="AG201" t="str">
        <f>AE201/V201</f>
        <v>#REF!</v>
      </c>
      <c r="AH201" t="str">
        <f>AF201/W201</f>
        <v>#REF!</v>
      </c>
    </row>
    <row r="202">
      <c r="G202" t="str">
        <v>A</v>
      </c>
      <c r="J202" t="str">
        <f>IF(K202&gt;0,K202*0.0625,IF(L202&gt;0,L202*2.204623,))</f>
        <v>#REF!</v>
      </c>
      <c r="K202" t="str">
        <f>IF(L202&gt;0,L202*35.273962,IF(J202&gt;0,J202*16,))</f>
        <v>#REF!</v>
      </c>
      <c r="L202" t="str">
        <f>IF(J202&gt;0,J202*0.453592,IF(K202&gt;0,K202*0.02835,))</f>
        <v>#REF!</v>
      </c>
      <c r="O202">
        <f>I202+N202+M202</f>
        <v>0</v>
      </c>
      <c r="P202">
        <f>O202*B$3</f>
        <v>0</v>
      </c>
      <c r="Q202">
        <f>ROUND(SUM(P202), -2)</f>
        <v>0</v>
      </c>
      <c r="R202" t="str">
        <f>ROUNDUP(HLOOKUP(IF(CEILING(L202,0.5)&lt;1,0.5,CEILING(L202,0.5)),'배송비 조회'!A$44:AO$56,7,0)*B$3,-2)</f>
        <v>#REF!</v>
      </c>
      <c r="S202">
        <v>0</v>
      </c>
      <c r="T202" t="str">
        <f>ROUND((Q202+R202)*0.3,-2)</f>
        <v>#REF!</v>
      </c>
      <c r="U202" t="str">
        <f>ROUND((Q202+R202)*0.4,-2)</f>
        <v>#REF!</v>
      </c>
      <c r="V202" t="str">
        <f>SUM(Q202:R202)+T202</f>
        <v>#REF!</v>
      </c>
      <c r="W202" t="str">
        <f>SUM(Q202:S202)+U202</f>
        <v>#REF!</v>
      </c>
      <c r="X202">
        <v>0</v>
      </c>
      <c r="Y202" t="str">
        <f>V202*0.038</f>
        <v>#REF!</v>
      </c>
      <c r="Z202" t="str">
        <f>V202*0.02</f>
        <v>#REF!</v>
      </c>
      <c r="AA202" t="str">
        <f>W202*0.1</f>
        <v>#REF!</v>
      </c>
      <c r="AB202" t="str">
        <f>V202-Y202-Z202</f>
        <v>#REF!</v>
      </c>
      <c r="AC202" t="str">
        <f>W202-AA202</f>
        <v>#REF!</v>
      </c>
      <c r="AD202" t="str">
        <f>AB202*0.01</f>
        <v>#REF!</v>
      </c>
      <c r="AE202" t="str">
        <f>AB202-Q202-AD202-R202</f>
        <v>#REF!</v>
      </c>
      <c r="AF202" t="str">
        <f>AC202-Q202-AD202-R202</f>
        <v>#REF!</v>
      </c>
      <c r="AG202" t="str">
        <f>AE202/V202</f>
        <v>#REF!</v>
      </c>
      <c r="AH202" t="str">
        <f>AF202/W202</f>
        <v>#REF!</v>
      </c>
    </row>
    <row r="203">
      <c r="G203" t="str">
        <v>A</v>
      </c>
      <c r="J203" t="str">
        <f>IF(K203&gt;0,K203*0.0625,IF(L203&gt;0,L203*2.204623,))</f>
        <v>#REF!</v>
      </c>
      <c r="K203" t="str">
        <f>IF(L203&gt;0,L203*35.273962,IF(J203&gt;0,J203*16,))</f>
        <v>#REF!</v>
      </c>
      <c r="L203" t="str">
        <f>IF(J203&gt;0,J203*0.453592,IF(K203&gt;0,K203*0.02835,))</f>
        <v>#REF!</v>
      </c>
      <c r="O203">
        <f>I203+N203+M203</f>
        <v>0</v>
      </c>
      <c r="P203">
        <f>O203*B$3</f>
        <v>0</v>
      </c>
      <c r="Q203">
        <f>ROUND(SUM(P203), -2)</f>
        <v>0</v>
      </c>
      <c r="R203" t="str">
        <f>ROUNDUP(HLOOKUP(IF(CEILING(L203,0.5)&lt;1,0.5,CEILING(L203,0.5)),'배송비 조회'!A$44:AO$56,7,0)*B$3,-2)</f>
        <v>#REF!</v>
      </c>
      <c r="S203">
        <v>0</v>
      </c>
      <c r="T203" t="str">
        <f>ROUND((Q203+R203)*0.3,-2)</f>
        <v>#REF!</v>
      </c>
      <c r="U203" t="str">
        <f>ROUND((Q203+R203)*0.4,-2)</f>
        <v>#REF!</v>
      </c>
      <c r="V203" t="str">
        <f>SUM(Q203:R203)+T203</f>
        <v>#REF!</v>
      </c>
      <c r="W203" t="str">
        <f>SUM(Q203:S203)+U203</f>
        <v>#REF!</v>
      </c>
      <c r="X203">
        <v>0</v>
      </c>
      <c r="Y203" t="str">
        <f>V203*0.038</f>
        <v>#REF!</v>
      </c>
      <c r="Z203" t="str">
        <f>V203*0.02</f>
        <v>#REF!</v>
      </c>
      <c r="AA203" t="str">
        <f>W203*0.1</f>
        <v>#REF!</v>
      </c>
      <c r="AB203" t="str">
        <f>V203-Y203-Z203</f>
        <v>#REF!</v>
      </c>
      <c r="AC203" t="str">
        <f>W203-AA203</f>
        <v>#REF!</v>
      </c>
      <c r="AD203" t="str">
        <f>AB203*0.01</f>
        <v>#REF!</v>
      </c>
      <c r="AE203" t="str">
        <f>AB203-Q203-AD203-R203</f>
        <v>#REF!</v>
      </c>
      <c r="AF203" t="str">
        <f>AC203-Q203-AD203-R203</f>
        <v>#REF!</v>
      </c>
      <c r="AG203" t="str">
        <f>AE203/V203</f>
        <v>#REF!</v>
      </c>
      <c r="AH203" t="str">
        <f>AF203/W203</f>
        <v>#REF!</v>
      </c>
    </row>
    <row r="204">
      <c r="G204" t="str">
        <v>A</v>
      </c>
      <c r="J204" t="str">
        <f>IF(K204&gt;0,K204*0.0625,IF(L204&gt;0,L204*2.204623,))</f>
        <v>#REF!</v>
      </c>
      <c r="K204" t="str">
        <f>IF(L204&gt;0,L204*35.273962,IF(J204&gt;0,J204*16,))</f>
        <v>#REF!</v>
      </c>
      <c r="L204" t="str">
        <f>IF(J204&gt;0,J204*0.453592,IF(K204&gt;0,K204*0.02835,))</f>
        <v>#REF!</v>
      </c>
      <c r="O204">
        <f>I204+N204+M204</f>
        <v>0</v>
      </c>
      <c r="P204">
        <f>O204*B$3</f>
        <v>0</v>
      </c>
      <c r="Q204">
        <f>ROUND(SUM(P204), -2)</f>
        <v>0</v>
      </c>
      <c r="R204" t="str">
        <f>ROUNDUP(HLOOKUP(IF(CEILING(L204,0.5)&lt;1,0.5,CEILING(L204,0.5)),'배송비 조회'!A$44:AO$56,7,0)*B$3,-2)</f>
        <v>#REF!</v>
      </c>
      <c r="S204">
        <v>0</v>
      </c>
      <c r="T204" t="str">
        <f>ROUND((Q204+R204)*0.3,-2)</f>
        <v>#REF!</v>
      </c>
      <c r="U204" t="str">
        <f>ROUND((Q204+R204)*0.4,-2)</f>
        <v>#REF!</v>
      </c>
      <c r="V204" t="str">
        <f>SUM(Q204:R204)+T204</f>
        <v>#REF!</v>
      </c>
      <c r="W204" t="str">
        <f>SUM(Q204:S204)+U204</f>
        <v>#REF!</v>
      </c>
      <c r="X204">
        <v>0</v>
      </c>
      <c r="Y204" t="str">
        <f>V204*0.038</f>
        <v>#REF!</v>
      </c>
      <c r="Z204" t="str">
        <f>V204*0.02</f>
        <v>#REF!</v>
      </c>
      <c r="AA204" t="str">
        <f>W204*0.1</f>
        <v>#REF!</v>
      </c>
      <c r="AB204" t="str">
        <f>V204-Y204-Z204</f>
        <v>#REF!</v>
      </c>
      <c r="AC204" t="str">
        <f>W204-AA204</f>
        <v>#REF!</v>
      </c>
      <c r="AD204" t="str">
        <f>AB204*0.01</f>
        <v>#REF!</v>
      </c>
      <c r="AE204" t="str">
        <f>AB204-Q204-AD204-R204</f>
        <v>#REF!</v>
      </c>
      <c r="AF204" t="str">
        <f>AC204-Q204-AD204-R204</f>
        <v>#REF!</v>
      </c>
      <c r="AG204" t="str">
        <f>AE204/V204</f>
        <v>#REF!</v>
      </c>
      <c r="AH204" t="str">
        <f>AF204/W204</f>
        <v>#REF!</v>
      </c>
    </row>
    <row r="205">
      <c r="G205" t="str">
        <v>A</v>
      </c>
      <c r="J205" t="str">
        <f>IF(K205&gt;0,K205*0.0625,IF(L205&gt;0,L205*2.204623,))</f>
        <v>#REF!</v>
      </c>
      <c r="K205" t="str">
        <f>IF(L205&gt;0,L205*35.273962,IF(J205&gt;0,J205*16,))</f>
        <v>#REF!</v>
      </c>
      <c r="L205" t="str">
        <f>IF(J205&gt;0,J205*0.453592,IF(K205&gt;0,K205*0.02835,))</f>
        <v>#REF!</v>
      </c>
      <c r="O205">
        <f>I205+N205+M205</f>
        <v>0</v>
      </c>
      <c r="P205">
        <f>O205*B$3</f>
        <v>0</v>
      </c>
      <c r="Q205">
        <f>ROUND(SUM(P205), -2)</f>
        <v>0</v>
      </c>
      <c r="R205" t="str">
        <f>ROUNDUP(HLOOKUP(IF(CEILING(L205,0.5)&lt;1,0.5,CEILING(L205,0.5)),'배송비 조회'!A$44:AO$56,7,0)*B$3,-2)</f>
        <v>#REF!</v>
      </c>
      <c r="S205">
        <v>0</v>
      </c>
      <c r="T205" t="str">
        <f>ROUND((Q205+R205)*0.3,-2)</f>
        <v>#REF!</v>
      </c>
      <c r="U205" t="str">
        <f>ROUND((Q205+R205)*0.4,-2)</f>
        <v>#REF!</v>
      </c>
      <c r="V205" t="str">
        <f>SUM(Q205:R205)+T205</f>
        <v>#REF!</v>
      </c>
      <c r="W205" t="str">
        <f>SUM(Q205:S205)+U205</f>
        <v>#REF!</v>
      </c>
      <c r="X205">
        <v>0</v>
      </c>
      <c r="Y205" t="str">
        <f>V205*0.038</f>
        <v>#REF!</v>
      </c>
      <c r="Z205" t="str">
        <f>V205*0.02</f>
        <v>#REF!</v>
      </c>
      <c r="AA205" t="str">
        <f>W205*0.1</f>
        <v>#REF!</v>
      </c>
      <c r="AB205" t="str">
        <f>V205-Y205-Z205</f>
        <v>#REF!</v>
      </c>
      <c r="AC205" t="str">
        <f>W205-AA205</f>
        <v>#REF!</v>
      </c>
      <c r="AD205" t="str">
        <f>AB205*0.01</f>
        <v>#REF!</v>
      </c>
      <c r="AE205" t="str">
        <f>AB205-Q205-AD205-R205</f>
        <v>#REF!</v>
      </c>
      <c r="AF205" t="str">
        <f>AC205-Q205-AD205-R205</f>
        <v>#REF!</v>
      </c>
      <c r="AG205" t="str">
        <f>AE205/V205</f>
        <v>#REF!</v>
      </c>
      <c r="AH205" t="str">
        <f>AF205/W205</f>
        <v>#REF!</v>
      </c>
    </row>
    <row r="206">
      <c r="G206" t="str">
        <v>A</v>
      </c>
      <c r="J206" t="str">
        <f>IF(K206&gt;0,K206*0.0625,IF(L206&gt;0,L206*2.204623,))</f>
        <v>#REF!</v>
      </c>
      <c r="K206" t="str">
        <f>IF(L206&gt;0,L206*35.273962,IF(J206&gt;0,J206*16,))</f>
        <v>#REF!</v>
      </c>
      <c r="L206" t="str">
        <f>IF(J206&gt;0,J206*0.453592,IF(K206&gt;0,K206*0.02835,))</f>
        <v>#REF!</v>
      </c>
      <c r="O206">
        <f>I206+N206+M206</f>
        <v>0</v>
      </c>
      <c r="P206">
        <f>O206*B$3</f>
        <v>0</v>
      </c>
      <c r="Q206">
        <f>ROUND(SUM(P206), -2)</f>
        <v>0</v>
      </c>
      <c r="R206" t="str">
        <f>ROUNDUP(HLOOKUP(IF(CEILING(L206,0.5)&lt;1,0.5,CEILING(L206,0.5)),'배송비 조회'!A$44:AO$56,7,0)*B$3,-2)</f>
        <v>#REF!</v>
      </c>
      <c r="S206">
        <v>0</v>
      </c>
      <c r="T206" t="str">
        <f>ROUND((Q206+R206)*0.3,-2)</f>
        <v>#REF!</v>
      </c>
      <c r="U206" t="str">
        <f>ROUND((Q206+R206)*0.4,-2)</f>
        <v>#REF!</v>
      </c>
      <c r="V206" t="str">
        <f>SUM(Q206:R206)+T206</f>
        <v>#REF!</v>
      </c>
      <c r="W206" t="str">
        <f>SUM(Q206:S206)+U206</f>
        <v>#REF!</v>
      </c>
      <c r="X206">
        <v>0</v>
      </c>
      <c r="Y206" t="str">
        <f>V206*0.038</f>
        <v>#REF!</v>
      </c>
      <c r="Z206" t="str">
        <f>V206*0.02</f>
        <v>#REF!</v>
      </c>
      <c r="AA206" t="str">
        <f>W206*0.1</f>
        <v>#REF!</v>
      </c>
      <c r="AB206" t="str">
        <f>V206-Y206-Z206</f>
        <v>#REF!</v>
      </c>
      <c r="AC206" t="str">
        <f>W206-AA206</f>
        <v>#REF!</v>
      </c>
      <c r="AD206" t="str">
        <f>AB206*0.01</f>
        <v>#REF!</v>
      </c>
      <c r="AE206" t="str">
        <f>AB206-Q206-AD206-R206</f>
        <v>#REF!</v>
      </c>
      <c r="AF206" t="str">
        <f>AC206-Q206-AD206-R206</f>
        <v>#REF!</v>
      </c>
      <c r="AG206" t="str">
        <f>AE206/V206</f>
        <v>#REF!</v>
      </c>
      <c r="AH206" t="str">
        <f>AF206/W206</f>
        <v>#REF!</v>
      </c>
    </row>
    <row r="207">
      <c r="G207" t="str">
        <v>A</v>
      </c>
      <c r="J207" t="str">
        <f>IF(K207&gt;0,K207*0.0625,IF(L207&gt;0,L207*2.204623,))</f>
        <v>#REF!</v>
      </c>
      <c r="K207" t="str">
        <f>IF(L207&gt;0,L207*35.273962,IF(J207&gt;0,J207*16,))</f>
        <v>#REF!</v>
      </c>
      <c r="L207" t="str">
        <f>IF(J207&gt;0,J207*0.453592,IF(K207&gt;0,K207*0.02835,))</f>
        <v>#REF!</v>
      </c>
      <c r="O207">
        <f>I207+N207+M207</f>
        <v>0</v>
      </c>
      <c r="P207">
        <f>O207*B$3</f>
        <v>0</v>
      </c>
      <c r="Q207">
        <f>ROUND(SUM(P207), -2)</f>
        <v>0</v>
      </c>
      <c r="R207" t="str">
        <f>ROUNDUP(HLOOKUP(IF(CEILING(L207,0.5)&lt;1,0.5,CEILING(L207,0.5)),'배송비 조회'!A$44:AO$56,7,0)*B$3,-2)</f>
        <v>#REF!</v>
      </c>
      <c r="S207">
        <v>0</v>
      </c>
      <c r="T207" t="str">
        <f>ROUND((Q207+R207)*0.3,-2)</f>
        <v>#REF!</v>
      </c>
      <c r="U207" t="str">
        <f>ROUND((Q207+R207)*0.4,-2)</f>
        <v>#REF!</v>
      </c>
      <c r="V207" t="str">
        <f>SUM(Q207:R207)+T207</f>
        <v>#REF!</v>
      </c>
      <c r="W207" t="str">
        <f>SUM(Q207:S207)+U207</f>
        <v>#REF!</v>
      </c>
      <c r="X207">
        <v>0</v>
      </c>
      <c r="Y207" t="str">
        <f>V207*0.038</f>
        <v>#REF!</v>
      </c>
      <c r="Z207" t="str">
        <f>V207*0.02</f>
        <v>#REF!</v>
      </c>
      <c r="AA207" t="str">
        <f>W207*0.1</f>
        <v>#REF!</v>
      </c>
      <c r="AB207" t="str">
        <f>V207-Y207-Z207</f>
        <v>#REF!</v>
      </c>
      <c r="AC207" t="str">
        <f>W207-AA207</f>
        <v>#REF!</v>
      </c>
      <c r="AD207" t="str">
        <f>AB207*0.01</f>
        <v>#REF!</v>
      </c>
      <c r="AE207" t="str">
        <f>AB207-Q207-AD207-R207</f>
        <v>#REF!</v>
      </c>
      <c r="AF207" t="str">
        <f>AC207-Q207-AD207-R207</f>
        <v>#REF!</v>
      </c>
      <c r="AG207" t="str">
        <f>AE207/V207</f>
        <v>#REF!</v>
      </c>
      <c r="AH207" t="str">
        <f>AF207/W207</f>
        <v>#REF!</v>
      </c>
    </row>
    <row r="208">
      <c r="G208" t="str">
        <v>A</v>
      </c>
      <c r="J208" t="str">
        <f>IF(K208&gt;0,K208*0.0625,IF(L208&gt;0,L208*2.204623,))</f>
        <v>#REF!</v>
      </c>
      <c r="K208" t="str">
        <f>IF(L208&gt;0,L208*35.273962,IF(J208&gt;0,J208*16,))</f>
        <v>#REF!</v>
      </c>
      <c r="L208" t="str">
        <f>IF(J208&gt;0,J208*0.453592,IF(K208&gt;0,K208*0.02835,))</f>
        <v>#REF!</v>
      </c>
      <c r="O208">
        <f>I208+N208+M208</f>
        <v>0</v>
      </c>
      <c r="P208">
        <f>O208*B$3</f>
        <v>0</v>
      </c>
      <c r="Q208">
        <f>ROUND(SUM(P208), -2)</f>
        <v>0</v>
      </c>
      <c r="R208" t="str">
        <f>ROUNDUP(HLOOKUP(IF(CEILING(L208,0.5)&lt;1,0.5,CEILING(L208,0.5)),'배송비 조회'!A$44:AO$56,7,0)*B$3,-2)</f>
        <v>#REF!</v>
      </c>
      <c r="S208">
        <v>0</v>
      </c>
      <c r="T208" t="str">
        <f>ROUND((Q208+R208)*0.3,-2)</f>
        <v>#REF!</v>
      </c>
      <c r="U208" t="str">
        <f>ROUND((Q208+R208)*0.4,-2)</f>
        <v>#REF!</v>
      </c>
      <c r="V208" t="str">
        <f>SUM(Q208:R208)+T208</f>
        <v>#REF!</v>
      </c>
      <c r="W208" t="str">
        <f>SUM(Q208:S208)+U208</f>
        <v>#REF!</v>
      </c>
      <c r="X208">
        <v>0</v>
      </c>
      <c r="Y208" t="str">
        <f>V208*0.038</f>
        <v>#REF!</v>
      </c>
      <c r="Z208" t="str">
        <f>V208*0.02</f>
        <v>#REF!</v>
      </c>
      <c r="AA208" t="str">
        <f>W208*0.1</f>
        <v>#REF!</v>
      </c>
      <c r="AB208" t="str">
        <f>V208-Y208-Z208</f>
        <v>#REF!</v>
      </c>
      <c r="AC208" t="str">
        <f>W208-AA208</f>
        <v>#REF!</v>
      </c>
      <c r="AD208" t="str">
        <f>AB208*0.01</f>
        <v>#REF!</v>
      </c>
      <c r="AE208" t="str">
        <f>AB208-Q208-AD208-R208</f>
        <v>#REF!</v>
      </c>
      <c r="AF208" t="str">
        <f>AC208-Q208-AD208-R208</f>
        <v>#REF!</v>
      </c>
      <c r="AG208" t="str">
        <f>AE208/V208</f>
        <v>#REF!</v>
      </c>
      <c r="AH208" t="str">
        <f>AF208/W208</f>
        <v>#REF!</v>
      </c>
    </row>
    <row r="209">
      <c r="G209" t="str">
        <v>A</v>
      </c>
      <c r="J209" t="str">
        <f>IF(K209&gt;0,K209*0.0625,IF(L209&gt;0,L209*2.204623,))</f>
        <v>#REF!</v>
      </c>
      <c r="K209" t="str">
        <f>IF(L209&gt;0,L209*35.273962,IF(J209&gt;0,J209*16,))</f>
        <v>#REF!</v>
      </c>
      <c r="L209" t="str">
        <f>IF(J209&gt;0,J209*0.453592,IF(K209&gt;0,K209*0.02835,))</f>
        <v>#REF!</v>
      </c>
      <c r="O209">
        <f>I209+N209+M209</f>
        <v>0</v>
      </c>
      <c r="P209">
        <f>O209*B$3</f>
        <v>0</v>
      </c>
      <c r="Q209">
        <f>ROUND(SUM(P209), -2)</f>
        <v>0</v>
      </c>
      <c r="R209" t="str">
        <f>ROUNDUP(HLOOKUP(IF(CEILING(L209,0.5)&lt;1,0.5,CEILING(L209,0.5)),'배송비 조회'!A$44:AO$56,7,0)*B$3,-2)</f>
        <v>#REF!</v>
      </c>
      <c r="S209">
        <v>0</v>
      </c>
      <c r="T209" t="str">
        <f>ROUND((Q209+R209)*0.3,-2)</f>
        <v>#REF!</v>
      </c>
      <c r="U209" t="str">
        <f>ROUND((Q209+R209)*0.4,-2)</f>
        <v>#REF!</v>
      </c>
      <c r="V209" t="str">
        <f>SUM(Q209:R209)+T209</f>
        <v>#REF!</v>
      </c>
      <c r="W209" t="str">
        <f>SUM(Q209:S209)+U209</f>
        <v>#REF!</v>
      </c>
      <c r="X209">
        <v>0</v>
      </c>
      <c r="Y209" t="str">
        <f>V209*0.038</f>
        <v>#REF!</v>
      </c>
      <c r="Z209" t="str">
        <f>V209*0.02</f>
        <v>#REF!</v>
      </c>
      <c r="AA209" t="str">
        <f>W209*0.1</f>
        <v>#REF!</v>
      </c>
      <c r="AB209" t="str">
        <f>V209-Y209-Z209</f>
        <v>#REF!</v>
      </c>
      <c r="AC209" t="str">
        <f>W209-AA209</f>
        <v>#REF!</v>
      </c>
      <c r="AD209" t="str">
        <f>AB209*0.01</f>
        <v>#REF!</v>
      </c>
      <c r="AE209" t="str">
        <f>AB209-Q209-AD209-R209</f>
        <v>#REF!</v>
      </c>
      <c r="AF209" t="str">
        <f>AC209-Q209-AD209-R209</f>
        <v>#REF!</v>
      </c>
      <c r="AG209" t="str">
        <f>AE209/V209</f>
        <v>#REF!</v>
      </c>
      <c r="AH209" t="str">
        <f>AF209/W209</f>
        <v>#REF!</v>
      </c>
    </row>
    <row r="210">
      <c r="G210" t="str">
        <v>A</v>
      </c>
      <c r="J210" t="str">
        <f>IF(K210&gt;0,K210*0.0625,IF(L210&gt;0,L210*2.204623,))</f>
        <v>#REF!</v>
      </c>
      <c r="K210" t="str">
        <f>IF(L210&gt;0,L210*35.273962,IF(J210&gt;0,J210*16,))</f>
        <v>#REF!</v>
      </c>
      <c r="L210" t="str">
        <f>IF(J210&gt;0,J210*0.453592,IF(K210&gt;0,K210*0.02835,))</f>
        <v>#REF!</v>
      </c>
      <c r="O210">
        <f>I210+N210+M210</f>
        <v>0</v>
      </c>
      <c r="P210">
        <f>O210*B$3</f>
        <v>0</v>
      </c>
      <c r="Q210">
        <f>ROUND(SUM(P210), -2)</f>
        <v>0</v>
      </c>
      <c r="R210" t="str">
        <f>ROUNDUP(HLOOKUP(IF(CEILING(L210,0.5)&lt;1,0.5,CEILING(L210,0.5)),'배송비 조회'!A$44:AO$56,7,0)*B$3,-2)</f>
        <v>#REF!</v>
      </c>
      <c r="S210">
        <v>0</v>
      </c>
      <c r="T210" t="str">
        <f>ROUND((Q210+R210)*0.3,-2)</f>
        <v>#REF!</v>
      </c>
      <c r="U210" t="str">
        <f>ROUND((Q210+R210)*0.4,-2)</f>
        <v>#REF!</v>
      </c>
      <c r="V210" t="str">
        <f>SUM(Q210:R210)+T210</f>
        <v>#REF!</v>
      </c>
      <c r="W210" t="str">
        <f>SUM(Q210:S210)+U210</f>
        <v>#REF!</v>
      </c>
      <c r="X210">
        <v>0</v>
      </c>
      <c r="Y210" t="str">
        <f>V210*0.038</f>
        <v>#REF!</v>
      </c>
      <c r="Z210" t="str">
        <f>V210*0.02</f>
        <v>#REF!</v>
      </c>
      <c r="AA210" t="str">
        <f>W210*0.1</f>
        <v>#REF!</v>
      </c>
      <c r="AB210" t="str">
        <f>V210-Y210-Z210</f>
        <v>#REF!</v>
      </c>
      <c r="AC210" t="str">
        <f>W210-AA210</f>
        <v>#REF!</v>
      </c>
      <c r="AD210" t="str">
        <f>AB210*0.01</f>
        <v>#REF!</v>
      </c>
      <c r="AE210" t="str">
        <f>AB210-Q210-AD210-R210</f>
        <v>#REF!</v>
      </c>
      <c r="AF210" t="str">
        <f>AC210-Q210-AD210-R210</f>
        <v>#REF!</v>
      </c>
      <c r="AG210" t="str">
        <f>AE210/V210</f>
        <v>#REF!</v>
      </c>
      <c r="AH210" t="str">
        <f>AF210/W210</f>
        <v>#REF!</v>
      </c>
    </row>
    <row r="211">
      <c r="G211" t="str">
        <v>A</v>
      </c>
      <c r="J211" t="str">
        <f>IF(K211&gt;0,K211*0.0625,IF(L211&gt;0,L211*2.204623,))</f>
        <v>#REF!</v>
      </c>
      <c r="K211" t="str">
        <f>IF(L211&gt;0,L211*35.273962,IF(J211&gt;0,J211*16,))</f>
        <v>#REF!</v>
      </c>
      <c r="L211" t="str">
        <f>IF(J211&gt;0,J211*0.453592,IF(K211&gt;0,K211*0.02835,))</f>
        <v>#REF!</v>
      </c>
      <c r="O211">
        <f>I211+N211+M211</f>
        <v>0</v>
      </c>
      <c r="P211">
        <f>O211*B$3</f>
        <v>0</v>
      </c>
      <c r="Q211">
        <f>ROUND(SUM(P211), -2)</f>
        <v>0</v>
      </c>
      <c r="R211" t="str">
        <f>ROUNDUP(HLOOKUP(IF(CEILING(L211,0.5)&lt;1,0.5,CEILING(L211,0.5)),'배송비 조회'!A$44:AO$56,7,0)*B$3,-2)</f>
        <v>#REF!</v>
      </c>
      <c r="S211">
        <v>0</v>
      </c>
      <c r="T211" t="str">
        <f>ROUND((Q211+R211)*0.3,-2)</f>
        <v>#REF!</v>
      </c>
      <c r="U211" t="str">
        <f>ROUND((Q211+R211)*0.4,-2)</f>
        <v>#REF!</v>
      </c>
      <c r="V211" t="str">
        <f>SUM(Q211:R211)+T211</f>
        <v>#REF!</v>
      </c>
      <c r="W211" t="str">
        <f>SUM(Q211:S211)+U211</f>
        <v>#REF!</v>
      </c>
      <c r="X211">
        <v>0</v>
      </c>
      <c r="Y211" t="str">
        <f>V211*0.038</f>
        <v>#REF!</v>
      </c>
      <c r="Z211" t="str">
        <f>V211*0.02</f>
        <v>#REF!</v>
      </c>
      <c r="AA211" t="str">
        <f>W211*0.1</f>
        <v>#REF!</v>
      </c>
      <c r="AB211" t="str">
        <f>V211-Y211-Z211</f>
        <v>#REF!</v>
      </c>
      <c r="AC211" t="str">
        <f>W211-AA211</f>
        <v>#REF!</v>
      </c>
      <c r="AD211" t="str">
        <f>AB211*0.01</f>
        <v>#REF!</v>
      </c>
      <c r="AE211" t="str">
        <f>AB211-Q211-AD211-R211</f>
        <v>#REF!</v>
      </c>
      <c r="AF211" t="str">
        <f>AC211-Q211-AD211-R211</f>
        <v>#REF!</v>
      </c>
      <c r="AG211" t="str">
        <f>AE211/V211</f>
        <v>#REF!</v>
      </c>
      <c r="AH211" t="str">
        <f>AF211/W211</f>
        <v>#REF!</v>
      </c>
    </row>
    <row r="212">
      <c r="G212" t="str">
        <v>A</v>
      </c>
      <c r="J212" t="str">
        <f>IF(K212&gt;0,K212*0.0625,IF(L212&gt;0,L212*2.204623,))</f>
        <v>#REF!</v>
      </c>
      <c r="K212" t="str">
        <f>IF(L212&gt;0,L212*35.273962,IF(J212&gt;0,J212*16,))</f>
        <v>#REF!</v>
      </c>
      <c r="L212" t="str">
        <f>IF(J212&gt;0,J212*0.453592,IF(K212&gt;0,K212*0.02835,))</f>
        <v>#REF!</v>
      </c>
      <c r="O212">
        <f>I212+N212+M212</f>
        <v>0</v>
      </c>
      <c r="P212">
        <f>O212*B$3</f>
        <v>0</v>
      </c>
      <c r="Q212">
        <f>ROUND(SUM(P212), -2)</f>
        <v>0</v>
      </c>
      <c r="R212" t="str">
        <f>ROUNDUP(HLOOKUP(IF(CEILING(L212,0.5)&lt;1,0.5,CEILING(L212,0.5)),'배송비 조회'!A$44:AO$56,7,0)*B$3,-2)</f>
        <v>#REF!</v>
      </c>
      <c r="S212">
        <v>0</v>
      </c>
      <c r="T212" t="str">
        <f>ROUND((Q212+R212)*0.3,-2)</f>
        <v>#REF!</v>
      </c>
      <c r="U212" t="str">
        <f>ROUND((Q212+R212)*0.4,-2)</f>
        <v>#REF!</v>
      </c>
      <c r="V212" t="str">
        <f>SUM(Q212:R212)+T212</f>
        <v>#REF!</v>
      </c>
      <c r="W212" t="str">
        <f>SUM(Q212:S212)+U212</f>
        <v>#REF!</v>
      </c>
      <c r="X212">
        <v>0</v>
      </c>
      <c r="Y212" t="str">
        <f>V212*0.038</f>
        <v>#REF!</v>
      </c>
      <c r="Z212" t="str">
        <f>V212*0.02</f>
        <v>#REF!</v>
      </c>
      <c r="AA212" t="str">
        <f>W212*0.1</f>
        <v>#REF!</v>
      </c>
      <c r="AB212" t="str">
        <f>V212-Y212-Z212</f>
        <v>#REF!</v>
      </c>
      <c r="AC212" t="str">
        <f>W212-AA212</f>
        <v>#REF!</v>
      </c>
      <c r="AD212" t="str">
        <f>AB212*0.01</f>
        <v>#REF!</v>
      </c>
      <c r="AE212" t="str">
        <f>AB212-Q212-AD212-R212</f>
        <v>#REF!</v>
      </c>
      <c r="AF212" t="str">
        <f>AC212-Q212-AD212-R212</f>
        <v>#REF!</v>
      </c>
      <c r="AG212" t="str">
        <f>AE212/V212</f>
        <v>#REF!</v>
      </c>
      <c r="AH212" t="str">
        <f>AF212/W212</f>
        <v>#REF!</v>
      </c>
    </row>
    <row r="213">
      <c r="G213" t="str">
        <v>A</v>
      </c>
      <c r="J213" t="str">
        <f>IF(K213&gt;0,K213*0.0625,IF(L213&gt;0,L213*2.204623,))</f>
        <v>#REF!</v>
      </c>
      <c r="K213" t="str">
        <f>IF(L213&gt;0,L213*35.273962,IF(J213&gt;0,J213*16,))</f>
        <v>#REF!</v>
      </c>
      <c r="L213" t="str">
        <f>IF(J213&gt;0,J213*0.453592,IF(K213&gt;0,K213*0.02835,))</f>
        <v>#REF!</v>
      </c>
      <c r="O213">
        <f>I213+N213+M213</f>
        <v>0</v>
      </c>
      <c r="P213">
        <f>O213*B$3</f>
        <v>0</v>
      </c>
      <c r="Q213">
        <f>ROUND(SUM(P213), -2)</f>
        <v>0</v>
      </c>
      <c r="R213" t="str">
        <f>ROUNDUP(HLOOKUP(IF(CEILING(L213,0.5)&lt;1,0.5,CEILING(L213,0.5)),'배송비 조회'!A$44:AO$56,7,0)*B$3,-2)</f>
        <v>#REF!</v>
      </c>
      <c r="S213">
        <v>0</v>
      </c>
      <c r="T213" t="str">
        <f>ROUND((Q213+R213)*0.3,-2)</f>
        <v>#REF!</v>
      </c>
      <c r="U213" t="str">
        <f>ROUND((Q213+R213)*0.4,-2)</f>
        <v>#REF!</v>
      </c>
      <c r="V213" t="str">
        <f>SUM(Q213:R213)+T213</f>
        <v>#REF!</v>
      </c>
      <c r="W213" t="str">
        <f>SUM(Q213:S213)+U213</f>
        <v>#REF!</v>
      </c>
      <c r="X213">
        <v>0</v>
      </c>
      <c r="Y213" t="str">
        <f>V213*0.038</f>
        <v>#REF!</v>
      </c>
      <c r="Z213" t="str">
        <f>V213*0.02</f>
        <v>#REF!</v>
      </c>
      <c r="AA213" t="str">
        <f>W213*0.1</f>
        <v>#REF!</v>
      </c>
      <c r="AB213" t="str">
        <f>V213-Y213-Z213</f>
        <v>#REF!</v>
      </c>
      <c r="AC213" t="str">
        <f>W213-AA213</f>
        <v>#REF!</v>
      </c>
      <c r="AD213" t="str">
        <f>AB213*0.01</f>
        <v>#REF!</v>
      </c>
      <c r="AE213" t="str">
        <f>AB213-Q213-AD213-R213</f>
        <v>#REF!</v>
      </c>
      <c r="AF213" t="str">
        <f>AC213-Q213-AD213-R213</f>
        <v>#REF!</v>
      </c>
      <c r="AG213" t="str">
        <f>AE213/V213</f>
        <v>#REF!</v>
      </c>
      <c r="AH213" t="str">
        <f>AF213/W213</f>
        <v>#REF!</v>
      </c>
    </row>
    <row r="214">
      <c r="G214" t="str">
        <v>A</v>
      </c>
      <c r="J214" t="str">
        <f>IF(K214&gt;0,K214*0.0625,IF(L214&gt;0,L214*2.204623,))</f>
        <v>#REF!</v>
      </c>
      <c r="K214" t="str">
        <f>IF(L214&gt;0,L214*35.273962,IF(J214&gt;0,J214*16,))</f>
        <v>#REF!</v>
      </c>
      <c r="L214" t="str">
        <f>IF(J214&gt;0,J214*0.453592,IF(K214&gt;0,K214*0.02835,))</f>
        <v>#REF!</v>
      </c>
      <c r="O214">
        <f>I214+N214+M214</f>
        <v>0</v>
      </c>
      <c r="P214">
        <f>O214*B$3</f>
        <v>0</v>
      </c>
      <c r="Q214">
        <f>ROUND(SUM(P214), -2)</f>
        <v>0</v>
      </c>
      <c r="R214" t="str">
        <f>ROUNDUP(HLOOKUP(IF(CEILING(L214,0.5)&lt;1,0.5,CEILING(L214,0.5)),'배송비 조회'!A$44:AO$56,7,0)*B$3,-2)</f>
        <v>#REF!</v>
      </c>
      <c r="S214">
        <v>0</v>
      </c>
      <c r="T214" t="str">
        <f>ROUND((Q214+R214)*0.3,-2)</f>
        <v>#REF!</v>
      </c>
      <c r="U214" t="str">
        <f>ROUND((Q214+R214)*0.4,-2)</f>
        <v>#REF!</v>
      </c>
      <c r="V214" t="str">
        <f>SUM(Q214:R214)+T214</f>
        <v>#REF!</v>
      </c>
      <c r="W214" t="str">
        <f>SUM(Q214:S214)+U214</f>
        <v>#REF!</v>
      </c>
      <c r="X214">
        <v>0</v>
      </c>
      <c r="Y214" t="str">
        <f>V214*0.038</f>
        <v>#REF!</v>
      </c>
      <c r="Z214" t="str">
        <f>V214*0.02</f>
        <v>#REF!</v>
      </c>
      <c r="AA214" t="str">
        <f>W214*0.1</f>
        <v>#REF!</v>
      </c>
      <c r="AB214" t="str">
        <f>V214-Y214-Z214</f>
        <v>#REF!</v>
      </c>
      <c r="AC214" t="str">
        <f>W214-AA214</f>
        <v>#REF!</v>
      </c>
      <c r="AD214" t="str">
        <f>AB214*0.01</f>
        <v>#REF!</v>
      </c>
      <c r="AE214" t="str">
        <f>AB214-Q214-AD214-R214</f>
        <v>#REF!</v>
      </c>
      <c r="AF214" t="str">
        <f>AC214-Q214-AD214-R214</f>
        <v>#REF!</v>
      </c>
      <c r="AG214" t="str">
        <f>AE214/V214</f>
        <v>#REF!</v>
      </c>
      <c r="AH214" t="str">
        <f>AF214/W214</f>
        <v>#REF!</v>
      </c>
    </row>
    <row r="215">
      <c r="G215" t="str">
        <v>A</v>
      </c>
      <c r="J215" t="str">
        <f>IF(K215&gt;0,K215*0.0625,IF(L215&gt;0,L215*2.204623,))</f>
        <v>#REF!</v>
      </c>
      <c r="K215" t="str">
        <f>IF(L215&gt;0,L215*35.273962,IF(J215&gt;0,J215*16,))</f>
        <v>#REF!</v>
      </c>
      <c r="L215" t="str">
        <f>IF(J215&gt;0,J215*0.453592,IF(K215&gt;0,K215*0.02835,))</f>
        <v>#REF!</v>
      </c>
      <c r="O215">
        <f>I215+N215+M215</f>
        <v>0</v>
      </c>
      <c r="P215">
        <f>O215*B$3</f>
        <v>0</v>
      </c>
      <c r="Q215">
        <f>ROUND(SUM(P215), -2)</f>
        <v>0</v>
      </c>
      <c r="R215" t="str">
        <f>ROUNDUP(HLOOKUP(IF(CEILING(L215,0.5)&lt;1,0.5,CEILING(L215,0.5)),'배송비 조회'!A$44:AO$56,7,0)*B$3,-2)</f>
        <v>#REF!</v>
      </c>
      <c r="S215">
        <v>0</v>
      </c>
      <c r="T215" t="str">
        <f>ROUND((Q215+R215)*0.3,-2)</f>
        <v>#REF!</v>
      </c>
      <c r="U215" t="str">
        <f>ROUND((Q215+R215)*0.4,-2)</f>
        <v>#REF!</v>
      </c>
      <c r="V215" t="str">
        <f>SUM(Q215:R215)+T215</f>
        <v>#REF!</v>
      </c>
      <c r="W215" t="str">
        <f>SUM(Q215:S215)+U215</f>
        <v>#REF!</v>
      </c>
      <c r="X215">
        <v>0</v>
      </c>
      <c r="Y215" t="str">
        <f>V215*0.038</f>
        <v>#REF!</v>
      </c>
      <c r="Z215" t="str">
        <f>V215*0.02</f>
        <v>#REF!</v>
      </c>
      <c r="AA215" t="str">
        <f>W215*0.1</f>
        <v>#REF!</v>
      </c>
      <c r="AB215" t="str">
        <f>V215-Y215-Z215</f>
        <v>#REF!</v>
      </c>
      <c r="AC215" t="str">
        <f>W215-AA215</f>
        <v>#REF!</v>
      </c>
      <c r="AD215" t="str">
        <f>AB215*0.01</f>
        <v>#REF!</v>
      </c>
      <c r="AE215" t="str">
        <f>AB215-Q215-AD215-R215</f>
        <v>#REF!</v>
      </c>
      <c r="AF215" t="str">
        <f>AC215-Q215-AD215-R215</f>
        <v>#REF!</v>
      </c>
      <c r="AG215" t="str">
        <f>AE215/V215</f>
        <v>#REF!</v>
      </c>
      <c r="AH215" t="str">
        <f>AF215/W215</f>
        <v>#REF!</v>
      </c>
    </row>
    <row r="216">
      <c r="G216" t="str">
        <v>A</v>
      </c>
      <c r="J216" t="str">
        <f>IF(K216&gt;0,K216*0.0625,IF(L216&gt;0,L216*2.204623,))</f>
        <v>#REF!</v>
      </c>
      <c r="K216" t="str">
        <f>IF(L216&gt;0,L216*35.273962,IF(J216&gt;0,J216*16,))</f>
        <v>#REF!</v>
      </c>
      <c r="L216" t="str">
        <f>IF(J216&gt;0,J216*0.453592,IF(K216&gt;0,K216*0.02835,))</f>
        <v>#REF!</v>
      </c>
      <c r="O216">
        <f>I216+N216+M216</f>
        <v>0</v>
      </c>
      <c r="P216">
        <f>O216*B$3</f>
        <v>0</v>
      </c>
      <c r="Q216">
        <f>ROUND(SUM(P216), -2)</f>
        <v>0</v>
      </c>
      <c r="R216" t="str">
        <f>ROUNDUP(HLOOKUP(IF(CEILING(L216,0.5)&lt;1,0.5,CEILING(L216,0.5)),'배송비 조회'!A$44:AO$56,7,0)*B$3,-2)</f>
        <v>#REF!</v>
      </c>
      <c r="S216">
        <v>0</v>
      </c>
      <c r="T216" t="str">
        <f>ROUND((Q216+R216)*0.3,-2)</f>
        <v>#REF!</v>
      </c>
      <c r="U216" t="str">
        <f>ROUND((Q216+R216)*0.4,-2)</f>
        <v>#REF!</v>
      </c>
      <c r="V216" t="str">
        <f>SUM(Q216:R216)+T216</f>
        <v>#REF!</v>
      </c>
      <c r="W216" t="str">
        <f>SUM(Q216:S216)+U216</f>
        <v>#REF!</v>
      </c>
      <c r="X216">
        <v>0</v>
      </c>
      <c r="Y216" t="str">
        <f>V216*0.038</f>
        <v>#REF!</v>
      </c>
      <c r="Z216" t="str">
        <f>V216*0.02</f>
        <v>#REF!</v>
      </c>
      <c r="AA216" t="str">
        <f>W216*0.1</f>
        <v>#REF!</v>
      </c>
      <c r="AB216" t="str">
        <f>V216-Y216-Z216</f>
        <v>#REF!</v>
      </c>
      <c r="AC216" t="str">
        <f>W216-AA216</f>
        <v>#REF!</v>
      </c>
      <c r="AD216" t="str">
        <f>AB216*0.01</f>
        <v>#REF!</v>
      </c>
      <c r="AE216" t="str">
        <f>AB216-Q216-AD216-R216</f>
        <v>#REF!</v>
      </c>
      <c r="AF216" t="str">
        <f>AC216-Q216-AD216-R216</f>
        <v>#REF!</v>
      </c>
      <c r="AG216" t="str">
        <f>AE216/V216</f>
        <v>#REF!</v>
      </c>
      <c r="AH216" t="str">
        <f>AF216/W216</f>
        <v>#REF!</v>
      </c>
    </row>
    <row r="217">
      <c r="G217" t="str">
        <v>A</v>
      </c>
      <c r="J217" t="str">
        <f>IF(K217&gt;0,K217*0.0625,IF(L217&gt;0,L217*2.204623,))</f>
        <v>#REF!</v>
      </c>
      <c r="K217" t="str">
        <f>IF(L217&gt;0,L217*35.273962,IF(J217&gt;0,J217*16,))</f>
        <v>#REF!</v>
      </c>
      <c r="L217" t="str">
        <f>IF(J217&gt;0,J217*0.453592,IF(K217&gt;0,K217*0.02835,))</f>
        <v>#REF!</v>
      </c>
      <c r="O217">
        <f>I217+N217+M217</f>
        <v>0</v>
      </c>
      <c r="P217">
        <f>O217*B$3</f>
        <v>0</v>
      </c>
      <c r="Q217">
        <f>ROUND(SUM(P217), -2)</f>
        <v>0</v>
      </c>
      <c r="R217" t="str">
        <f>ROUNDUP(HLOOKUP(IF(CEILING(L217,0.5)&lt;1,0.5,CEILING(L217,0.5)),'배송비 조회'!A$44:AO$56,7,0)*B$3,-2)</f>
        <v>#REF!</v>
      </c>
      <c r="S217">
        <v>0</v>
      </c>
      <c r="T217" t="str">
        <f>ROUND((Q217+R217)*0.3,-2)</f>
        <v>#REF!</v>
      </c>
      <c r="U217" t="str">
        <f>ROUND((Q217+R217)*0.4,-2)</f>
        <v>#REF!</v>
      </c>
      <c r="V217" t="str">
        <f>SUM(Q217:R217)+T217</f>
        <v>#REF!</v>
      </c>
      <c r="W217" t="str">
        <f>SUM(Q217:S217)+U217</f>
        <v>#REF!</v>
      </c>
      <c r="X217">
        <v>0</v>
      </c>
      <c r="Y217" t="str">
        <f>V217*0.038</f>
        <v>#REF!</v>
      </c>
      <c r="Z217" t="str">
        <f>V217*0.02</f>
        <v>#REF!</v>
      </c>
      <c r="AA217" t="str">
        <f>W217*0.1</f>
        <v>#REF!</v>
      </c>
      <c r="AB217" t="str">
        <f>V217-Y217-Z217</f>
        <v>#REF!</v>
      </c>
      <c r="AC217" t="str">
        <f>W217-AA217</f>
        <v>#REF!</v>
      </c>
      <c r="AD217" t="str">
        <f>AB217*0.01</f>
        <v>#REF!</v>
      </c>
      <c r="AE217" t="str">
        <f>AB217-Q217-AD217-R217</f>
        <v>#REF!</v>
      </c>
      <c r="AF217" t="str">
        <f>AC217-Q217-AD217-R217</f>
        <v>#REF!</v>
      </c>
      <c r="AG217" t="str">
        <f>AE217/V217</f>
        <v>#REF!</v>
      </c>
      <c r="AH217" t="str">
        <f>AF217/W217</f>
        <v>#REF!</v>
      </c>
    </row>
    <row r="218">
      <c r="G218" t="str">
        <v>A</v>
      </c>
      <c r="J218" t="str">
        <f>IF(K218&gt;0,K218*0.0625,IF(L218&gt;0,L218*2.204623,))</f>
        <v>#REF!</v>
      </c>
      <c r="K218" t="str">
        <f>IF(L218&gt;0,L218*35.273962,IF(J218&gt;0,J218*16,))</f>
        <v>#REF!</v>
      </c>
      <c r="L218" t="str">
        <f>IF(J218&gt;0,J218*0.453592,IF(K218&gt;0,K218*0.02835,))</f>
        <v>#REF!</v>
      </c>
      <c r="O218">
        <f>I218+N218+M218</f>
        <v>0</v>
      </c>
      <c r="P218">
        <f>O218*B$3</f>
        <v>0</v>
      </c>
      <c r="Q218">
        <f>ROUND(SUM(P218), -2)</f>
        <v>0</v>
      </c>
      <c r="R218" t="str">
        <f>ROUNDUP(HLOOKUP(IF(CEILING(L218,0.5)&lt;1,0.5,CEILING(L218,0.5)),'배송비 조회'!A$44:AO$56,7,0)*B$3,-2)</f>
        <v>#REF!</v>
      </c>
      <c r="S218">
        <v>0</v>
      </c>
      <c r="T218" t="str">
        <f>ROUND((Q218+R218)*0.3,-2)</f>
        <v>#REF!</v>
      </c>
      <c r="U218" t="str">
        <f>ROUND((Q218+R218)*0.4,-2)</f>
        <v>#REF!</v>
      </c>
      <c r="V218" t="str">
        <f>SUM(Q218:R218)+T218</f>
        <v>#REF!</v>
      </c>
      <c r="W218" t="str">
        <f>SUM(Q218:S218)+U218</f>
        <v>#REF!</v>
      </c>
      <c r="X218">
        <v>0</v>
      </c>
      <c r="Y218" t="str">
        <f>V218*0.038</f>
        <v>#REF!</v>
      </c>
      <c r="Z218" t="str">
        <f>V218*0.02</f>
        <v>#REF!</v>
      </c>
      <c r="AA218" t="str">
        <f>W218*0.1</f>
        <v>#REF!</v>
      </c>
      <c r="AB218" t="str">
        <f>V218-Y218-Z218</f>
        <v>#REF!</v>
      </c>
      <c r="AC218" t="str">
        <f>W218-AA218</f>
        <v>#REF!</v>
      </c>
      <c r="AD218" t="str">
        <f>AB218*0.01</f>
        <v>#REF!</v>
      </c>
      <c r="AE218" t="str">
        <f>AB218-Q218-AD218-R218</f>
        <v>#REF!</v>
      </c>
      <c r="AF218" t="str">
        <f>AC218-Q218-AD218-R218</f>
        <v>#REF!</v>
      </c>
      <c r="AG218" t="str">
        <f>AE218/V218</f>
        <v>#REF!</v>
      </c>
      <c r="AH218" t="str">
        <f>AF218/W218</f>
        <v>#REF!</v>
      </c>
    </row>
    <row r="219">
      <c r="G219" t="str">
        <v>A</v>
      </c>
      <c r="J219" t="str">
        <f>IF(K219&gt;0,K219*0.0625,IF(L219&gt;0,L219*2.204623,))</f>
        <v>#REF!</v>
      </c>
      <c r="K219" t="str">
        <f>IF(L219&gt;0,L219*35.273962,IF(J219&gt;0,J219*16,))</f>
        <v>#REF!</v>
      </c>
      <c r="L219" t="str">
        <f>IF(J219&gt;0,J219*0.453592,IF(K219&gt;0,K219*0.02835,))</f>
        <v>#REF!</v>
      </c>
      <c r="O219">
        <f>I219+N219+M219</f>
        <v>0</v>
      </c>
      <c r="P219">
        <f>O219*B$3</f>
        <v>0</v>
      </c>
      <c r="Q219">
        <f>ROUND(SUM(P219), -2)</f>
        <v>0</v>
      </c>
      <c r="R219" t="str">
        <f>ROUNDUP(HLOOKUP(IF(CEILING(L219,0.5)&lt;1,0.5,CEILING(L219,0.5)),'배송비 조회'!A$44:AO$56,7,0)*B$3,-2)</f>
        <v>#REF!</v>
      </c>
      <c r="S219">
        <v>0</v>
      </c>
      <c r="T219" t="str">
        <f>ROUND((Q219+R219)*0.3,-2)</f>
        <v>#REF!</v>
      </c>
      <c r="U219" t="str">
        <f>ROUND((Q219+R219)*0.4,-2)</f>
        <v>#REF!</v>
      </c>
      <c r="V219" t="str">
        <f>SUM(Q219:R219)+T219</f>
        <v>#REF!</v>
      </c>
      <c r="W219" t="str">
        <f>SUM(Q219:S219)+U219</f>
        <v>#REF!</v>
      </c>
      <c r="X219">
        <v>0</v>
      </c>
      <c r="Y219" t="str">
        <f>V219*0.038</f>
        <v>#REF!</v>
      </c>
      <c r="Z219" t="str">
        <f>V219*0.02</f>
        <v>#REF!</v>
      </c>
      <c r="AA219" t="str">
        <f>W219*0.1</f>
        <v>#REF!</v>
      </c>
      <c r="AB219" t="str">
        <f>V219-Y219-Z219</f>
        <v>#REF!</v>
      </c>
      <c r="AC219" t="str">
        <f>W219-AA219</f>
        <v>#REF!</v>
      </c>
      <c r="AD219" t="str">
        <f>AB219*0.01</f>
        <v>#REF!</v>
      </c>
      <c r="AE219" t="str">
        <f>AB219-Q219-AD219-R219</f>
        <v>#REF!</v>
      </c>
      <c r="AF219" t="str">
        <f>AC219-Q219-AD219-R219</f>
        <v>#REF!</v>
      </c>
      <c r="AG219" t="str">
        <f>AE219/V219</f>
        <v>#REF!</v>
      </c>
      <c r="AH219" t="str">
        <f>AF219/W219</f>
        <v>#REF!</v>
      </c>
    </row>
    <row r="220">
      <c r="G220" t="str">
        <v>A</v>
      </c>
      <c r="J220" t="str">
        <f>IF(K220&gt;0,K220*0.0625,IF(L220&gt;0,L220*2.204623,))</f>
        <v>#REF!</v>
      </c>
      <c r="K220" t="str">
        <f>IF(L220&gt;0,L220*35.273962,IF(J220&gt;0,J220*16,))</f>
        <v>#REF!</v>
      </c>
      <c r="L220" t="str">
        <f>IF(J220&gt;0,J220*0.453592,IF(K220&gt;0,K220*0.02835,))</f>
        <v>#REF!</v>
      </c>
      <c r="O220">
        <f>I220+N220+M220</f>
        <v>0</v>
      </c>
      <c r="P220">
        <f>O220*B$3</f>
        <v>0</v>
      </c>
      <c r="Q220">
        <f>ROUND(SUM(P220), -2)</f>
        <v>0</v>
      </c>
      <c r="R220" t="str">
        <f>ROUNDUP(HLOOKUP(IF(CEILING(L220,0.5)&lt;1,0.5,CEILING(L220,0.5)),'배송비 조회'!A$44:AO$56,7,0)*B$3,-2)</f>
        <v>#REF!</v>
      </c>
      <c r="S220">
        <v>0</v>
      </c>
      <c r="T220" t="str">
        <f>ROUND((Q220+R220)*0.3,-2)</f>
        <v>#REF!</v>
      </c>
      <c r="U220" t="str">
        <f>ROUND((Q220+R220)*0.4,-2)</f>
        <v>#REF!</v>
      </c>
      <c r="V220" t="str">
        <f>SUM(Q220:R220)+T220</f>
        <v>#REF!</v>
      </c>
      <c r="W220" t="str">
        <f>SUM(Q220:S220)+U220</f>
        <v>#REF!</v>
      </c>
      <c r="X220">
        <v>0</v>
      </c>
      <c r="Y220" t="str">
        <f>V220*0.038</f>
        <v>#REF!</v>
      </c>
      <c r="Z220" t="str">
        <f>V220*0.02</f>
        <v>#REF!</v>
      </c>
      <c r="AA220" t="str">
        <f>W220*0.1</f>
        <v>#REF!</v>
      </c>
      <c r="AB220" t="str">
        <f>V220-Y220-Z220</f>
        <v>#REF!</v>
      </c>
      <c r="AC220" t="str">
        <f>W220-AA220</f>
        <v>#REF!</v>
      </c>
      <c r="AD220" t="str">
        <f>AB220*0.01</f>
        <v>#REF!</v>
      </c>
      <c r="AE220" t="str">
        <f>AB220-Q220-AD220-R220</f>
        <v>#REF!</v>
      </c>
      <c r="AF220" t="str">
        <f>AC220-Q220-AD220-R220</f>
        <v>#REF!</v>
      </c>
      <c r="AG220" t="str">
        <f>AE220/V220</f>
        <v>#REF!</v>
      </c>
      <c r="AH220" t="str">
        <f>AF220/W220</f>
        <v>#REF!</v>
      </c>
    </row>
    <row r="221">
      <c r="G221" t="str">
        <v>A</v>
      </c>
      <c r="J221" t="str">
        <f>IF(K221&gt;0,K221*0.0625,IF(L221&gt;0,L221*2.204623,))</f>
        <v>#REF!</v>
      </c>
      <c r="K221" t="str">
        <f>IF(L221&gt;0,L221*35.273962,IF(J221&gt;0,J221*16,))</f>
        <v>#REF!</v>
      </c>
      <c r="L221" t="str">
        <f>IF(J221&gt;0,J221*0.453592,IF(K221&gt;0,K221*0.02835,))</f>
        <v>#REF!</v>
      </c>
      <c r="O221">
        <f>I221+N221+M221</f>
        <v>0</v>
      </c>
      <c r="P221">
        <f>O221*B$3</f>
        <v>0</v>
      </c>
      <c r="Q221">
        <f>ROUND(SUM(P221), -2)</f>
        <v>0</v>
      </c>
      <c r="R221" t="str">
        <f>ROUNDUP(HLOOKUP(IF(CEILING(L221,0.5)&lt;1,0.5,CEILING(L221,0.5)),'배송비 조회'!A$44:AO$56,7,0)*B$3,-2)</f>
        <v>#REF!</v>
      </c>
      <c r="S221">
        <v>0</v>
      </c>
      <c r="T221" t="str">
        <f>ROUND((Q221+R221)*0.3,-2)</f>
        <v>#REF!</v>
      </c>
      <c r="U221" t="str">
        <f>ROUND((Q221+R221)*0.4,-2)</f>
        <v>#REF!</v>
      </c>
      <c r="V221" t="str">
        <f>SUM(Q221:R221)+T221</f>
        <v>#REF!</v>
      </c>
      <c r="W221" t="str">
        <f>SUM(Q221:S221)+U221</f>
        <v>#REF!</v>
      </c>
      <c r="X221">
        <v>0</v>
      </c>
      <c r="Y221" t="str">
        <f>V221*0.038</f>
        <v>#REF!</v>
      </c>
      <c r="Z221" t="str">
        <f>V221*0.02</f>
        <v>#REF!</v>
      </c>
      <c r="AA221" t="str">
        <f>W221*0.1</f>
        <v>#REF!</v>
      </c>
      <c r="AB221" t="str">
        <f>V221-Y221-Z221</f>
        <v>#REF!</v>
      </c>
      <c r="AC221" t="str">
        <f>W221-AA221</f>
        <v>#REF!</v>
      </c>
      <c r="AD221" t="str">
        <f>AB221*0.01</f>
        <v>#REF!</v>
      </c>
      <c r="AE221" t="str">
        <f>AB221-Q221-AD221-R221</f>
        <v>#REF!</v>
      </c>
      <c r="AF221" t="str">
        <f>AC221-Q221-AD221-R221</f>
        <v>#REF!</v>
      </c>
      <c r="AG221" t="str">
        <f>AE221/V221</f>
        <v>#REF!</v>
      </c>
      <c r="AH221" t="str">
        <f>AF221/W221</f>
        <v>#REF!</v>
      </c>
    </row>
    <row r="222">
      <c r="G222" t="str">
        <v>A</v>
      </c>
      <c r="J222" t="str">
        <f>IF(K222&gt;0,K222*0.0625,IF(L222&gt;0,L222*2.204623,))</f>
        <v>#REF!</v>
      </c>
      <c r="K222" t="str">
        <f>IF(L222&gt;0,L222*35.273962,IF(J222&gt;0,J222*16,))</f>
        <v>#REF!</v>
      </c>
      <c r="L222" t="str">
        <f>IF(J222&gt;0,J222*0.453592,IF(K222&gt;0,K222*0.02835,))</f>
        <v>#REF!</v>
      </c>
      <c r="O222">
        <f>I222+N222+M222</f>
        <v>0</v>
      </c>
      <c r="P222">
        <f>O222*B$3</f>
        <v>0</v>
      </c>
      <c r="Q222">
        <f>ROUND(SUM(P222), -2)</f>
        <v>0</v>
      </c>
      <c r="R222" t="str">
        <f>ROUNDUP(HLOOKUP(IF(CEILING(L222,0.5)&lt;1,0.5,CEILING(L222,0.5)),'배송비 조회'!A$44:AO$56,7,0)*B$3,-2)</f>
        <v>#REF!</v>
      </c>
      <c r="S222">
        <v>0</v>
      </c>
      <c r="T222" t="str">
        <f>ROUND((Q222+R222)*0.3,-2)</f>
        <v>#REF!</v>
      </c>
      <c r="U222" t="str">
        <f>ROUND((Q222+R222)*0.4,-2)</f>
        <v>#REF!</v>
      </c>
      <c r="V222" t="str">
        <f>SUM(Q222:R222)+T222</f>
        <v>#REF!</v>
      </c>
      <c r="W222" t="str">
        <f>SUM(Q222:S222)+U222</f>
        <v>#REF!</v>
      </c>
      <c r="X222">
        <v>0</v>
      </c>
      <c r="Y222" t="str">
        <f>V222*0.038</f>
        <v>#REF!</v>
      </c>
      <c r="Z222" t="str">
        <f>V222*0.02</f>
        <v>#REF!</v>
      </c>
      <c r="AA222" t="str">
        <f>W222*0.1</f>
        <v>#REF!</v>
      </c>
      <c r="AB222" t="str">
        <f>V222-Y222-Z222</f>
        <v>#REF!</v>
      </c>
      <c r="AC222" t="str">
        <f>W222-AA222</f>
        <v>#REF!</v>
      </c>
      <c r="AD222" t="str">
        <f>AB222*0.01</f>
        <v>#REF!</v>
      </c>
      <c r="AE222" t="str">
        <f>AB222-Q222-AD222-R222</f>
        <v>#REF!</v>
      </c>
      <c r="AF222" t="str">
        <f>AC222-Q222-AD222-R222</f>
        <v>#REF!</v>
      </c>
      <c r="AG222" t="str">
        <f>AE222/V222</f>
        <v>#REF!</v>
      </c>
      <c r="AH222" t="str">
        <f>AF222/W222</f>
        <v>#REF!</v>
      </c>
    </row>
    <row r="223">
      <c r="G223" t="str">
        <v>A</v>
      </c>
      <c r="J223" t="str">
        <f>IF(K223&gt;0,K223*0.0625,IF(L223&gt;0,L223*2.204623,))</f>
        <v>#REF!</v>
      </c>
      <c r="K223" t="str">
        <f>IF(L223&gt;0,L223*35.273962,IF(J223&gt;0,J223*16,))</f>
        <v>#REF!</v>
      </c>
      <c r="L223" t="str">
        <f>IF(J223&gt;0,J223*0.453592,IF(K223&gt;0,K223*0.02835,))</f>
        <v>#REF!</v>
      </c>
      <c r="O223">
        <f>I223+N223+M223</f>
        <v>0</v>
      </c>
      <c r="P223">
        <f>O223*B$3</f>
        <v>0</v>
      </c>
      <c r="Q223">
        <f>ROUND(SUM(P223), -2)</f>
        <v>0</v>
      </c>
      <c r="R223" t="str">
        <f>ROUNDUP(HLOOKUP(IF(CEILING(L223,0.5)&lt;1,0.5,CEILING(L223,0.5)),'배송비 조회'!A$44:AO$56,7,0)*B$3,-2)</f>
        <v>#REF!</v>
      </c>
      <c r="S223">
        <v>0</v>
      </c>
      <c r="T223" t="str">
        <f>ROUND((Q223+R223)*0.3,-2)</f>
        <v>#REF!</v>
      </c>
      <c r="U223" t="str">
        <f>ROUND((Q223+R223)*0.4,-2)</f>
        <v>#REF!</v>
      </c>
      <c r="V223" t="str">
        <f>SUM(Q223:R223)+T223</f>
        <v>#REF!</v>
      </c>
      <c r="W223" t="str">
        <f>SUM(Q223:S223)+U223</f>
        <v>#REF!</v>
      </c>
      <c r="X223">
        <v>0</v>
      </c>
      <c r="Y223" t="str">
        <f>V223*0.038</f>
        <v>#REF!</v>
      </c>
      <c r="Z223" t="str">
        <f>V223*0.02</f>
        <v>#REF!</v>
      </c>
      <c r="AA223" t="str">
        <f>W223*0.1</f>
        <v>#REF!</v>
      </c>
      <c r="AB223" t="str">
        <f>V223-Y223-Z223</f>
        <v>#REF!</v>
      </c>
      <c r="AC223" t="str">
        <f>W223-AA223</f>
        <v>#REF!</v>
      </c>
      <c r="AD223" t="str">
        <f>AB223*0.01</f>
        <v>#REF!</v>
      </c>
      <c r="AE223" t="str">
        <f>AB223-Q223-AD223-R223</f>
        <v>#REF!</v>
      </c>
      <c r="AF223" t="str">
        <f>AC223-Q223-AD223-R223</f>
        <v>#REF!</v>
      </c>
      <c r="AG223" t="str">
        <f>AE223/V223</f>
        <v>#REF!</v>
      </c>
      <c r="AH223" t="str">
        <f>AF223/W223</f>
        <v>#REF!</v>
      </c>
    </row>
    <row r="224">
      <c r="G224" t="str">
        <v>A</v>
      </c>
      <c r="J224" t="str">
        <f>IF(K224&gt;0,K224*0.0625,IF(L224&gt;0,L224*2.204623,))</f>
        <v>#REF!</v>
      </c>
      <c r="K224" t="str">
        <f>IF(L224&gt;0,L224*35.273962,IF(J224&gt;0,J224*16,))</f>
        <v>#REF!</v>
      </c>
      <c r="L224" t="str">
        <f>IF(J224&gt;0,J224*0.453592,IF(K224&gt;0,K224*0.02835,))</f>
        <v>#REF!</v>
      </c>
      <c r="O224">
        <f>I224+N224+M224</f>
        <v>0</v>
      </c>
      <c r="P224">
        <f>O224*B$3</f>
        <v>0</v>
      </c>
      <c r="Q224">
        <f>ROUND(SUM(P224), -2)</f>
        <v>0</v>
      </c>
      <c r="R224" t="str">
        <f>ROUNDUP(HLOOKUP(IF(CEILING(L224,0.5)&lt;1,0.5,CEILING(L224,0.5)),'배송비 조회'!A$44:AO$56,7,0)*B$3,-2)</f>
        <v>#REF!</v>
      </c>
      <c r="S224">
        <v>0</v>
      </c>
      <c r="T224" t="str">
        <f>ROUND((Q224+R224)*0.3,-2)</f>
        <v>#REF!</v>
      </c>
      <c r="U224" t="str">
        <f>ROUND((Q224+R224)*0.4,-2)</f>
        <v>#REF!</v>
      </c>
      <c r="V224" t="str">
        <f>SUM(Q224:R224)+T224</f>
        <v>#REF!</v>
      </c>
      <c r="W224" t="str">
        <f>SUM(Q224:S224)+U224</f>
        <v>#REF!</v>
      </c>
      <c r="X224">
        <v>0</v>
      </c>
      <c r="Y224" t="str">
        <f>V224*0.038</f>
        <v>#REF!</v>
      </c>
      <c r="Z224" t="str">
        <f>V224*0.02</f>
        <v>#REF!</v>
      </c>
      <c r="AA224" t="str">
        <f>W224*0.1</f>
        <v>#REF!</v>
      </c>
      <c r="AB224" t="str">
        <f>V224-Y224-Z224</f>
        <v>#REF!</v>
      </c>
      <c r="AC224" t="str">
        <f>W224-AA224</f>
        <v>#REF!</v>
      </c>
      <c r="AD224" t="str">
        <f>AB224*0.01</f>
        <v>#REF!</v>
      </c>
      <c r="AE224" t="str">
        <f>AB224-Q224-AD224-R224</f>
        <v>#REF!</v>
      </c>
      <c r="AF224" t="str">
        <f>AC224-Q224-AD224-R224</f>
        <v>#REF!</v>
      </c>
      <c r="AG224" t="str">
        <f>AE224/V224</f>
        <v>#REF!</v>
      </c>
      <c r="AH224" t="str">
        <f>AF224/W224</f>
        <v>#REF!</v>
      </c>
    </row>
    <row r="225">
      <c r="G225" t="str">
        <v>A</v>
      </c>
      <c r="J225" t="str">
        <f>IF(K225&gt;0,K225*0.0625,IF(L225&gt;0,L225*2.204623,))</f>
        <v>#REF!</v>
      </c>
      <c r="K225" t="str">
        <f>IF(L225&gt;0,L225*35.273962,IF(J225&gt;0,J225*16,))</f>
        <v>#REF!</v>
      </c>
      <c r="L225" t="str">
        <f>IF(J225&gt;0,J225*0.453592,IF(K225&gt;0,K225*0.02835,))</f>
        <v>#REF!</v>
      </c>
      <c r="O225">
        <f>I225+N225+M225</f>
        <v>0</v>
      </c>
      <c r="P225">
        <f>O225*B$3</f>
        <v>0</v>
      </c>
      <c r="Q225">
        <f>ROUND(SUM(P225), -2)</f>
        <v>0</v>
      </c>
      <c r="R225" t="str">
        <f>ROUNDUP(HLOOKUP(IF(CEILING(L225,0.5)&lt;1,0.5,CEILING(L225,0.5)),'배송비 조회'!A$44:AO$56,7,0)*B$3,-2)</f>
        <v>#REF!</v>
      </c>
      <c r="S225">
        <v>0</v>
      </c>
      <c r="T225" t="str">
        <f>ROUND((Q225+R225)*0.3,-2)</f>
        <v>#REF!</v>
      </c>
      <c r="U225" t="str">
        <f>ROUND((Q225+R225)*0.4,-2)</f>
        <v>#REF!</v>
      </c>
      <c r="V225" t="str">
        <f>SUM(Q225:R225)+T225</f>
        <v>#REF!</v>
      </c>
      <c r="W225" t="str">
        <f>SUM(Q225:S225)+U225</f>
        <v>#REF!</v>
      </c>
      <c r="X225">
        <v>0</v>
      </c>
      <c r="Y225" t="str">
        <f>V225*0.038</f>
        <v>#REF!</v>
      </c>
      <c r="Z225" t="str">
        <f>V225*0.02</f>
        <v>#REF!</v>
      </c>
      <c r="AA225" t="str">
        <f>W225*0.1</f>
        <v>#REF!</v>
      </c>
      <c r="AB225" t="str">
        <f>V225-Y225-Z225</f>
        <v>#REF!</v>
      </c>
      <c r="AC225" t="str">
        <f>W225-AA225</f>
        <v>#REF!</v>
      </c>
      <c r="AD225" t="str">
        <f>AB225*0.01</f>
        <v>#REF!</v>
      </c>
      <c r="AE225" t="str">
        <f>AB225-Q225-AD225-R225</f>
        <v>#REF!</v>
      </c>
      <c r="AF225" t="str">
        <f>AC225-Q225-AD225-R225</f>
        <v>#REF!</v>
      </c>
      <c r="AG225" t="str">
        <f>AE225/V225</f>
        <v>#REF!</v>
      </c>
      <c r="AH225" t="str">
        <f>AF225/W225</f>
        <v>#REF!</v>
      </c>
    </row>
    <row r="226">
      <c r="G226" t="str">
        <v>A</v>
      </c>
      <c r="J226" t="str">
        <f>IF(K226&gt;0,K226*0.0625,IF(L226&gt;0,L226*2.204623,))</f>
        <v>#REF!</v>
      </c>
      <c r="K226" t="str">
        <f>IF(L226&gt;0,L226*35.273962,IF(J226&gt;0,J226*16,))</f>
        <v>#REF!</v>
      </c>
      <c r="L226" t="str">
        <f>IF(J226&gt;0,J226*0.453592,IF(K226&gt;0,K226*0.02835,))</f>
        <v>#REF!</v>
      </c>
      <c r="O226">
        <f>I226+N226+M226</f>
        <v>0</v>
      </c>
      <c r="P226">
        <f>O226*B$3</f>
        <v>0</v>
      </c>
      <c r="Q226">
        <f>ROUND(SUM(P226), -2)</f>
        <v>0</v>
      </c>
      <c r="R226" t="str">
        <f>ROUNDUP(HLOOKUP(IF(CEILING(L226,0.5)&lt;1,0.5,CEILING(L226,0.5)),'배송비 조회'!A$44:AO$56,7,0)*B$3,-2)</f>
        <v>#REF!</v>
      </c>
      <c r="S226">
        <v>0</v>
      </c>
      <c r="T226" t="str">
        <f>ROUND((Q226+R226)*0.3,-2)</f>
        <v>#REF!</v>
      </c>
      <c r="U226" t="str">
        <f>ROUND((Q226+R226)*0.4,-2)</f>
        <v>#REF!</v>
      </c>
      <c r="V226" t="str">
        <f>SUM(Q226:R226)+T226</f>
        <v>#REF!</v>
      </c>
      <c r="W226" t="str">
        <f>SUM(Q226:S226)+U226</f>
        <v>#REF!</v>
      </c>
      <c r="X226">
        <v>0</v>
      </c>
      <c r="Y226" t="str">
        <f>V226*0.038</f>
        <v>#REF!</v>
      </c>
      <c r="Z226" t="str">
        <f>V226*0.02</f>
        <v>#REF!</v>
      </c>
      <c r="AA226" t="str">
        <f>W226*0.1</f>
        <v>#REF!</v>
      </c>
      <c r="AB226" t="str">
        <f>V226-Y226-Z226</f>
        <v>#REF!</v>
      </c>
      <c r="AC226" t="str">
        <f>W226-AA226</f>
        <v>#REF!</v>
      </c>
      <c r="AD226" t="str">
        <f>AB226*0.01</f>
        <v>#REF!</v>
      </c>
      <c r="AE226" t="str">
        <f>AB226-Q226-AD226-R226</f>
        <v>#REF!</v>
      </c>
      <c r="AF226" t="str">
        <f>AC226-Q226-AD226-R226</f>
        <v>#REF!</v>
      </c>
      <c r="AG226" t="str">
        <f>AE226/V226</f>
        <v>#REF!</v>
      </c>
      <c r="AH226" t="str">
        <f>AF226/W226</f>
        <v>#REF!</v>
      </c>
    </row>
    <row r="227">
      <c r="G227" t="str">
        <v>A</v>
      </c>
      <c r="J227" t="str">
        <f>IF(K227&gt;0,K227*0.0625,IF(L227&gt;0,L227*2.204623,))</f>
        <v>#REF!</v>
      </c>
      <c r="K227" t="str">
        <f>IF(L227&gt;0,L227*35.273962,IF(J227&gt;0,J227*16,))</f>
        <v>#REF!</v>
      </c>
      <c r="L227" t="str">
        <f>IF(J227&gt;0,J227*0.453592,IF(K227&gt;0,K227*0.02835,))</f>
        <v>#REF!</v>
      </c>
      <c r="O227">
        <f>I227+N227+M227</f>
        <v>0</v>
      </c>
      <c r="P227">
        <f>O227*B$3</f>
        <v>0</v>
      </c>
      <c r="Q227">
        <f>ROUND(SUM(P227), -2)</f>
        <v>0</v>
      </c>
      <c r="R227" t="str">
        <f>ROUNDUP(HLOOKUP(IF(CEILING(L227,0.5)&lt;1,0.5,CEILING(L227,0.5)),'배송비 조회'!A$44:AO$56,7,0)*B$3,-2)</f>
        <v>#REF!</v>
      </c>
      <c r="S227">
        <v>0</v>
      </c>
      <c r="T227" t="str">
        <f>ROUND((Q227+R227)*0.3,-2)</f>
        <v>#REF!</v>
      </c>
      <c r="U227" t="str">
        <f>ROUND((Q227+R227)*0.4,-2)</f>
        <v>#REF!</v>
      </c>
      <c r="V227" t="str">
        <f>SUM(Q227:R227)+T227</f>
        <v>#REF!</v>
      </c>
      <c r="W227" t="str">
        <f>SUM(Q227:S227)+U227</f>
        <v>#REF!</v>
      </c>
      <c r="X227">
        <v>0</v>
      </c>
      <c r="Y227" t="str">
        <f>V227*0.038</f>
        <v>#REF!</v>
      </c>
      <c r="Z227" t="str">
        <f>V227*0.02</f>
        <v>#REF!</v>
      </c>
      <c r="AA227" t="str">
        <f>W227*0.1</f>
        <v>#REF!</v>
      </c>
      <c r="AB227" t="str">
        <f>V227-Y227-Z227</f>
        <v>#REF!</v>
      </c>
      <c r="AC227" t="str">
        <f>W227-AA227</f>
        <v>#REF!</v>
      </c>
      <c r="AD227" t="str">
        <f>AB227*0.01</f>
        <v>#REF!</v>
      </c>
      <c r="AE227" t="str">
        <f>AB227-Q227-AD227-R227</f>
        <v>#REF!</v>
      </c>
      <c r="AF227" t="str">
        <f>AC227-Q227-AD227-R227</f>
        <v>#REF!</v>
      </c>
      <c r="AG227" t="str">
        <f>AE227/V227</f>
        <v>#REF!</v>
      </c>
      <c r="AH227" t="str">
        <f>AF227/W227</f>
        <v>#REF!</v>
      </c>
    </row>
    <row r="228">
      <c r="G228" t="str">
        <v>A</v>
      </c>
      <c r="J228" t="str">
        <f>IF(K228&gt;0,K228*0.0625,IF(L228&gt;0,L228*2.204623,))</f>
        <v>#REF!</v>
      </c>
      <c r="K228" t="str">
        <f>IF(L228&gt;0,L228*35.273962,IF(J228&gt;0,J228*16,))</f>
        <v>#REF!</v>
      </c>
      <c r="L228" t="str">
        <f>IF(J228&gt;0,J228*0.453592,IF(K228&gt;0,K228*0.02835,))</f>
        <v>#REF!</v>
      </c>
      <c r="O228">
        <f>I228+N228+M228</f>
        <v>0</v>
      </c>
      <c r="P228">
        <f>O228*B$3</f>
        <v>0</v>
      </c>
      <c r="Q228">
        <f>ROUND(SUM(P228), -2)</f>
        <v>0</v>
      </c>
      <c r="R228" t="str">
        <f>ROUNDUP(HLOOKUP(IF(CEILING(L228,0.5)&lt;1,0.5,CEILING(L228,0.5)),'배송비 조회'!A$44:AO$56,7,0)*B$3,-2)</f>
        <v>#REF!</v>
      </c>
      <c r="S228">
        <v>0</v>
      </c>
      <c r="T228" t="str">
        <f>ROUND((Q228+R228)*0.3,-2)</f>
        <v>#REF!</v>
      </c>
      <c r="U228" t="str">
        <f>ROUND((Q228+R228)*0.4,-2)</f>
        <v>#REF!</v>
      </c>
      <c r="V228" t="str">
        <f>SUM(Q228:R228)+T228</f>
        <v>#REF!</v>
      </c>
      <c r="W228" t="str">
        <f>SUM(Q228:S228)+U228</f>
        <v>#REF!</v>
      </c>
      <c r="X228">
        <v>0</v>
      </c>
      <c r="Y228" t="str">
        <f>V228*0.038</f>
        <v>#REF!</v>
      </c>
      <c r="Z228" t="str">
        <f>V228*0.02</f>
        <v>#REF!</v>
      </c>
      <c r="AA228" t="str">
        <f>W228*0.1</f>
        <v>#REF!</v>
      </c>
      <c r="AB228" t="str">
        <f>V228-Y228-Z228</f>
        <v>#REF!</v>
      </c>
      <c r="AC228" t="str">
        <f>W228-AA228</f>
        <v>#REF!</v>
      </c>
      <c r="AD228" t="str">
        <f>AB228*0.01</f>
        <v>#REF!</v>
      </c>
      <c r="AE228" t="str">
        <f>AB228-Q228-AD228-R228</f>
        <v>#REF!</v>
      </c>
      <c r="AF228" t="str">
        <f>AC228-Q228-AD228-R228</f>
        <v>#REF!</v>
      </c>
      <c r="AG228" t="str">
        <f>AE228/V228</f>
        <v>#REF!</v>
      </c>
      <c r="AH228" t="str">
        <f>AF228/W228</f>
        <v>#REF!</v>
      </c>
    </row>
    <row r="229">
      <c r="G229" t="str">
        <v>A</v>
      </c>
      <c r="J229" t="str">
        <f>IF(K229&gt;0,K229*0.0625,IF(L229&gt;0,L229*2.204623,))</f>
        <v>#REF!</v>
      </c>
      <c r="K229" t="str">
        <f>IF(L229&gt;0,L229*35.273962,IF(J229&gt;0,J229*16,))</f>
        <v>#REF!</v>
      </c>
      <c r="L229" t="str">
        <f>IF(J229&gt;0,J229*0.453592,IF(K229&gt;0,K229*0.02835,))</f>
        <v>#REF!</v>
      </c>
      <c r="O229">
        <f>I229+N229+M229</f>
        <v>0</v>
      </c>
      <c r="P229">
        <f>O229*B$3</f>
        <v>0</v>
      </c>
      <c r="Q229">
        <f>ROUND(SUM(P229), -2)</f>
        <v>0</v>
      </c>
      <c r="R229" t="str">
        <f>ROUNDUP(HLOOKUP(IF(CEILING(L229,0.5)&lt;1,0.5,CEILING(L229,0.5)),'배송비 조회'!A$44:AO$56,7,0)*B$3,-2)</f>
        <v>#REF!</v>
      </c>
      <c r="S229">
        <v>0</v>
      </c>
      <c r="T229" t="str">
        <f>ROUND((Q229+R229)*0.3,-2)</f>
        <v>#REF!</v>
      </c>
      <c r="U229" t="str">
        <f>ROUND((Q229+R229)*0.4,-2)</f>
        <v>#REF!</v>
      </c>
      <c r="V229" t="str">
        <f>SUM(Q229:R229)+T229</f>
        <v>#REF!</v>
      </c>
      <c r="W229" t="str">
        <f>SUM(Q229:S229)+U229</f>
        <v>#REF!</v>
      </c>
      <c r="X229">
        <v>0</v>
      </c>
      <c r="Y229" t="str">
        <f>V229*0.038</f>
        <v>#REF!</v>
      </c>
      <c r="Z229" t="str">
        <f>V229*0.02</f>
        <v>#REF!</v>
      </c>
      <c r="AA229" t="str">
        <f>W229*0.1</f>
        <v>#REF!</v>
      </c>
      <c r="AB229" t="str">
        <f>V229-Y229-Z229</f>
        <v>#REF!</v>
      </c>
      <c r="AC229" t="str">
        <f>W229-AA229</f>
        <v>#REF!</v>
      </c>
      <c r="AD229" t="str">
        <f>AB229*0.01</f>
        <v>#REF!</v>
      </c>
      <c r="AE229" t="str">
        <f>AB229-Q229-AD229-R229</f>
        <v>#REF!</v>
      </c>
      <c r="AF229" t="str">
        <f>AC229-Q229-AD229-R229</f>
        <v>#REF!</v>
      </c>
      <c r="AG229" t="str">
        <f>AE229/V229</f>
        <v>#REF!</v>
      </c>
      <c r="AH229" t="str">
        <f>AF229/W229</f>
        <v>#REF!</v>
      </c>
    </row>
    <row r="230">
      <c r="G230" t="str">
        <v>A</v>
      </c>
      <c r="J230" t="str">
        <f>IF(K230&gt;0,K230*0.0625,IF(L230&gt;0,L230*2.204623,))</f>
        <v>#REF!</v>
      </c>
      <c r="K230" t="str">
        <f>IF(L230&gt;0,L230*35.273962,IF(J230&gt;0,J230*16,))</f>
        <v>#REF!</v>
      </c>
      <c r="L230" t="str">
        <f>IF(J230&gt;0,J230*0.453592,IF(K230&gt;0,K230*0.02835,))</f>
        <v>#REF!</v>
      </c>
      <c r="O230">
        <f>I230+N230+M230</f>
        <v>0</v>
      </c>
      <c r="P230">
        <f>O230*B$3</f>
        <v>0</v>
      </c>
      <c r="Q230">
        <f>ROUND(SUM(P230), -2)</f>
        <v>0</v>
      </c>
      <c r="R230" t="str">
        <f>ROUNDUP(HLOOKUP(IF(CEILING(L230,0.5)&lt;1,0.5,CEILING(L230,0.5)),'배송비 조회'!A$44:AO$56,7,0)*B$3,-2)</f>
        <v>#REF!</v>
      </c>
      <c r="S230">
        <v>0</v>
      </c>
      <c r="T230" t="str">
        <f>ROUND((Q230+R230)*0.3,-2)</f>
        <v>#REF!</v>
      </c>
      <c r="U230" t="str">
        <f>ROUND((Q230+R230)*0.4,-2)</f>
        <v>#REF!</v>
      </c>
      <c r="V230" t="str">
        <f>SUM(Q230:R230)+T230</f>
        <v>#REF!</v>
      </c>
      <c r="W230" t="str">
        <f>SUM(Q230:S230)+U230</f>
        <v>#REF!</v>
      </c>
      <c r="X230">
        <v>0</v>
      </c>
      <c r="Y230" t="str">
        <f>V230*0.038</f>
        <v>#REF!</v>
      </c>
      <c r="Z230" t="str">
        <f>V230*0.02</f>
        <v>#REF!</v>
      </c>
      <c r="AA230" t="str">
        <f>W230*0.1</f>
        <v>#REF!</v>
      </c>
      <c r="AB230" t="str">
        <f>V230-Y230-Z230</f>
        <v>#REF!</v>
      </c>
      <c r="AC230" t="str">
        <f>W230-AA230</f>
        <v>#REF!</v>
      </c>
      <c r="AD230" t="str">
        <f>AB230*0.01</f>
        <v>#REF!</v>
      </c>
      <c r="AE230" t="str">
        <f>AB230-Q230-AD230-R230</f>
        <v>#REF!</v>
      </c>
      <c r="AF230" t="str">
        <f>AC230-Q230-AD230-R230</f>
        <v>#REF!</v>
      </c>
      <c r="AG230" t="str">
        <f>AE230/V230</f>
        <v>#REF!</v>
      </c>
      <c r="AH230" t="str">
        <f>AF230/W230</f>
        <v>#REF!</v>
      </c>
    </row>
    <row r="231">
      <c r="G231" t="str">
        <v>A</v>
      </c>
      <c r="J231" t="str">
        <f>IF(K231&gt;0,K231*0.0625,IF(L231&gt;0,L231*2.204623,))</f>
        <v>#REF!</v>
      </c>
      <c r="K231" t="str">
        <f>IF(L231&gt;0,L231*35.273962,IF(J231&gt;0,J231*16,))</f>
        <v>#REF!</v>
      </c>
      <c r="L231" t="str">
        <f>IF(J231&gt;0,J231*0.453592,IF(K231&gt;0,K231*0.02835,))</f>
        <v>#REF!</v>
      </c>
      <c r="O231">
        <f>I231+N231+M231</f>
        <v>0</v>
      </c>
      <c r="P231">
        <f>O231*B$3</f>
        <v>0</v>
      </c>
      <c r="Q231">
        <f>ROUND(SUM(P231), -2)</f>
        <v>0</v>
      </c>
      <c r="R231" t="str">
        <f>ROUNDUP(HLOOKUP(IF(CEILING(L231,0.5)&lt;1,0.5,CEILING(L231,0.5)),'배송비 조회'!A$44:AO$56,7,0)*B$3,-2)</f>
        <v>#REF!</v>
      </c>
      <c r="S231">
        <v>0</v>
      </c>
      <c r="T231" t="str">
        <f>ROUND((Q231+R231)*0.3,-2)</f>
        <v>#REF!</v>
      </c>
      <c r="U231" t="str">
        <f>ROUND((Q231+R231)*0.4,-2)</f>
        <v>#REF!</v>
      </c>
      <c r="V231" t="str">
        <f>SUM(Q231:R231)+T231</f>
        <v>#REF!</v>
      </c>
      <c r="W231" t="str">
        <f>SUM(Q231:S231)+U231</f>
        <v>#REF!</v>
      </c>
      <c r="X231">
        <v>0</v>
      </c>
      <c r="Y231" t="str">
        <f>V231*0.038</f>
        <v>#REF!</v>
      </c>
      <c r="Z231" t="str">
        <f>V231*0.02</f>
        <v>#REF!</v>
      </c>
      <c r="AA231" t="str">
        <f>W231*0.1</f>
        <v>#REF!</v>
      </c>
      <c r="AB231" t="str">
        <f>V231-Y231-Z231</f>
        <v>#REF!</v>
      </c>
      <c r="AC231" t="str">
        <f>W231-AA231</f>
        <v>#REF!</v>
      </c>
      <c r="AD231" t="str">
        <f>AB231*0.01</f>
        <v>#REF!</v>
      </c>
      <c r="AE231" t="str">
        <f>AB231-Q231-AD231-R231</f>
        <v>#REF!</v>
      </c>
      <c r="AF231" t="str">
        <f>AC231-Q231-AD231-R231</f>
        <v>#REF!</v>
      </c>
      <c r="AG231" t="str">
        <f>AE231/V231</f>
        <v>#REF!</v>
      </c>
      <c r="AH231" t="str">
        <f>AF231/W231</f>
        <v>#REF!</v>
      </c>
    </row>
    <row r="232">
      <c r="G232" t="str">
        <v>A</v>
      </c>
      <c r="J232" t="str">
        <f>IF(K232&gt;0,K232*0.0625,IF(L232&gt;0,L232*2.204623,))</f>
        <v>#REF!</v>
      </c>
      <c r="K232" t="str">
        <f>IF(L232&gt;0,L232*35.273962,IF(J232&gt;0,J232*16,))</f>
        <v>#REF!</v>
      </c>
      <c r="L232" t="str">
        <f>IF(J232&gt;0,J232*0.453592,IF(K232&gt;0,K232*0.02835,))</f>
        <v>#REF!</v>
      </c>
      <c r="O232">
        <f>I232+N232+M232</f>
        <v>0</v>
      </c>
      <c r="P232">
        <f>O232*B$3</f>
        <v>0</v>
      </c>
      <c r="Q232">
        <f>ROUND(SUM(P232), -2)</f>
        <v>0</v>
      </c>
      <c r="R232" t="str">
        <f>ROUNDUP(HLOOKUP(IF(CEILING(L232,0.5)&lt;1,0.5,CEILING(L232,0.5)),'배송비 조회'!A$44:AO$56,7,0)*B$3,-2)</f>
        <v>#REF!</v>
      </c>
      <c r="S232">
        <v>0</v>
      </c>
      <c r="T232" t="str">
        <f>ROUND((Q232+R232)*0.3,-2)</f>
        <v>#REF!</v>
      </c>
      <c r="U232" t="str">
        <f>ROUND((Q232+R232)*0.4,-2)</f>
        <v>#REF!</v>
      </c>
      <c r="V232" t="str">
        <f>SUM(Q232:R232)+T232</f>
        <v>#REF!</v>
      </c>
      <c r="W232" t="str">
        <f>SUM(Q232:S232)+U232</f>
        <v>#REF!</v>
      </c>
      <c r="X232">
        <v>0</v>
      </c>
      <c r="Y232" t="str">
        <f>V232*0.038</f>
        <v>#REF!</v>
      </c>
      <c r="Z232" t="str">
        <f>V232*0.02</f>
        <v>#REF!</v>
      </c>
      <c r="AA232" t="str">
        <f>W232*0.1</f>
        <v>#REF!</v>
      </c>
      <c r="AB232" t="str">
        <f>V232-Y232-Z232</f>
        <v>#REF!</v>
      </c>
      <c r="AC232" t="str">
        <f>W232-AA232</f>
        <v>#REF!</v>
      </c>
      <c r="AD232" t="str">
        <f>AB232*0.01</f>
        <v>#REF!</v>
      </c>
      <c r="AE232" t="str">
        <f>AB232-Q232-AD232-R232</f>
        <v>#REF!</v>
      </c>
      <c r="AF232" t="str">
        <f>AC232-Q232-AD232-R232</f>
        <v>#REF!</v>
      </c>
      <c r="AG232" t="str">
        <f>AE232/V232</f>
        <v>#REF!</v>
      </c>
      <c r="AH232" t="str">
        <f>AF232/W232</f>
        <v>#REF!</v>
      </c>
    </row>
    <row r="233">
      <c r="G233" t="str">
        <v>A</v>
      </c>
      <c r="J233" t="str">
        <f>IF(K233&gt;0,K233*0.0625,IF(L233&gt;0,L233*2.204623,))</f>
        <v>#REF!</v>
      </c>
      <c r="K233" t="str">
        <f>IF(L233&gt;0,L233*35.273962,IF(J233&gt;0,J233*16,))</f>
        <v>#REF!</v>
      </c>
      <c r="L233" t="str">
        <f>IF(J233&gt;0,J233*0.453592,IF(K233&gt;0,K233*0.02835,))</f>
        <v>#REF!</v>
      </c>
      <c r="O233">
        <f>I233+N233+M233</f>
        <v>0</v>
      </c>
      <c r="P233">
        <f>O233*B$3</f>
        <v>0</v>
      </c>
      <c r="Q233">
        <f>ROUND(SUM(P233), -2)</f>
        <v>0</v>
      </c>
      <c r="R233" t="str">
        <f>ROUNDUP(HLOOKUP(IF(CEILING(L233,0.5)&lt;1,0.5,CEILING(L233,0.5)),'배송비 조회'!A$44:AO$56,7,0)*B$3,-2)</f>
        <v>#REF!</v>
      </c>
      <c r="S233">
        <v>0</v>
      </c>
      <c r="T233" t="str">
        <f>ROUND((Q233+R233)*0.3,-2)</f>
        <v>#REF!</v>
      </c>
      <c r="U233" t="str">
        <f>ROUND((Q233+R233)*0.4,-2)</f>
        <v>#REF!</v>
      </c>
      <c r="V233" t="str">
        <f>SUM(Q233:R233)+T233</f>
        <v>#REF!</v>
      </c>
      <c r="W233" t="str">
        <f>SUM(Q233:S233)+U233</f>
        <v>#REF!</v>
      </c>
      <c r="X233">
        <v>0</v>
      </c>
      <c r="Y233" t="str">
        <f>V233*0.038</f>
        <v>#REF!</v>
      </c>
      <c r="Z233" t="str">
        <f>V233*0.02</f>
        <v>#REF!</v>
      </c>
      <c r="AA233" t="str">
        <f>W233*0.1</f>
        <v>#REF!</v>
      </c>
      <c r="AB233" t="str">
        <f>V233-Y233-Z233</f>
        <v>#REF!</v>
      </c>
      <c r="AC233" t="str">
        <f>W233-AA233</f>
        <v>#REF!</v>
      </c>
      <c r="AD233" t="str">
        <f>AB233*0.01</f>
        <v>#REF!</v>
      </c>
      <c r="AE233" t="str">
        <f>AB233-Q233-AD233-R233</f>
        <v>#REF!</v>
      </c>
      <c r="AF233" t="str">
        <f>AC233-Q233-AD233-R233</f>
        <v>#REF!</v>
      </c>
      <c r="AG233" t="str">
        <f>AE233/V233</f>
        <v>#REF!</v>
      </c>
      <c r="AH233" t="str">
        <f>AF233/W233</f>
        <v>#REF!</v>
      </c>
    </row>
    <row r="234">
      <c r="G234" t="str">
        <v>A</v>
      </c>
      <c r="J234" t="str">
        <f>IF(K234&gt;0,K234*0.0625,IF(L234&gt;0,L234*2.204623,))</f>
        <v>#REF!</v>
      </c>
      <c r="K234" t="str">
        <f>IF(L234&gt;0,L234*35.273962,IF(J234&gt;0,J234*16,))</f>
        <v>#REF!</v>
      </c>
      <c r="L234" t="str">
        <f>IF(J234&gt;0,J234*0.453592,IF(K234&gt;0,K234*0.02835,))</f>
        <v>#REF!</v>
      </c>
      <c r="O234">
        <f>I234+N234+M234</f>
        <v>0</v>
      </c>
      <c r="P234">
        <f>O234*B$3</f>
        <v>0</v>
      </c>
      <c r="Q234">
        <f>ROUND(SUM(P234), -2)</f>
        <v>0</v>
      </c>
      <c r="R234" t="str">
        <f>ROUNDUP(HLOOKUP(IF(CEILING(L234,0.5)&lt;1,0.5,CEILING(L234,0.5)),'배송비 조회'!A$44:AO$56,7,0)*B$3,-2)</f>
        <v>#REF!</v>
      </c>
      <c r="S234">
        <v>0</v>
      </c>
      <c r="T234" t="str">
        <f>ROUND((Q234+R234)*0.3,-2)</f>
        <v>#REF!</v>
      </c>
      <c r="U234" t="str">
        <f>ROUND((Q234+R234)*0.4,-2)</f>
        <v>#REF!</v>
      </c>
      <c r="V234" t="str">
        <f>SUM(Q234:R234)+T234</f>
        <v>#REF!</v>
      </c>
      <c r="W234" t="str">
        <f>SUM(Q234:S234)+U234</f>
        <v>#REF!</v>
      </c>
      <c r="X234">
        <v>0</v>
      </c>
      <c r="Y234" t="str">
        <f>V234*0.038</f>
        <v>#REF!</v>
      </c>
      <c r="Z234" t="str">
        <f>V234*0.02</f>
        <v>#REF!</v>
      </c>
      <c r="AA234" t="str">
        <f>W234*0.1</f>
        <v>#REF!</v>
      </c>
      <c r="AB234" t="str">
        <f>V234-Y234-Z234</f>
        <v>#REF!</v>
      </c>
      <c r="AC234" t="str">
        <f>W234-AA234</f>
        <v>#REF!</v>
      </c>
      <c r="AD234" t="str">
        <f>AB234*0.01</f>
        <v>#REF!</v>
      </c>
      <c r="AE234" t="str">
        <f>AB234-Q234-AD234-R234</f>
        <v>#REF!</v>
      </c>
      <c r="AF234" t="str">
        <f>AC234-Q234-AD234-R234</f>
        <v>#REF!</v>
      </c>
      <c r="AG234" t="str">
        <f>AE234/V234</f>
        <v>#REF!</v>
      </c>
      <c r="AH234" t="str">
        <f>AF234/W234</f>
        <v>#REF!</v>
      </c>
    </row>
    <row r="235">
      <c r="G235" t="str">
        <v>A</v>
      </c>
      <c r="J235" t="str">
        <f>IF(K235&gt;0,K235*0.0625,IF(L235&gt;0,L235*2.204623,))</f>
        <v>#REF!</v>
      </c>
      <c r="K235" t="str">
        <f>IF(L235&gt;0,L235*35.273962,IF(J235&gt;0,J235*16,))</f>
        <v>#REF!</v>
      </c>
      <c r="L235" t="str">
        <f>IF(J235&gt;0,J235*0.453592,IF(K235&gt;0,K235*0.02835,))</f>
        <v>#REF!</v>
      </c>
      <c r="O235">
        <f>I235+N235+M235</f>
        <v>0</v>
      </c>
      <c r="P235">
        <f>O235*B$3</f>
        <v>0</v>
      </c>
      <c r="Q235">
        <f>ROUND(SUM(P235), -2)</f>
        <v>0</v>
      </c>
      <c r="R235" t="str">
        <f>ROUNDUP(HLOOKUP(IF(CEILING(L235,0.5)&lt;1,0.5,CEILING(L235,0.5)),'배송비 조회'!A$44:AO$56,7,0)*B$3,-2)</f>
        <v>#REF!</v>
      </c>
      <c r="S235">
        <v>0</v>
      </c>
      <c r="T235" t="str">
        <f>ROUND((Q235+R235)*0.3,-2)</f>
        <v>#REF!</v>
      </c>
      <c r="U235" t="str">
        <f>ROUND((Q235+R235)*0.4,-2)</f>
        <v>#REF!</v>
      </c>
      <c r="V235" t="str">
        <f>SUM(Q235:R235)+T235</f>
        <v>#REF!</v>
      </c>
      <c r="W235" t="str">
        <f>SUM(Q235:S235)+U235</f>
        <v>#REF!</v>
      </c>
      <c r="X235">
        <v>0</v>
      </c>
      <c r="Y235" t="str">
        <f>V235*0.038</f>
        <v>#REF!</v>
      </c>
      <c r="Z235" t="str">
        <f>V235*0.02</f>
        <v>#REF!</v>
      </c>
      <c r="AA235" t="str">
        <f>W235*0.1</f>
        <v>#REF!</v>
      </c>
      <c r="AB235" t="str">
        <f>V235-Y235-Z235</f>
        <v>#REF!</v>
      </c>
      <c r="AC235" t="str">
        <f>W235-AA235</f>
        <v>#REF!</v>
      </c>
      <c r="AD235" t="str">
        <f>AB235*0.01</f>
        <v>#REF!</v>
      </c>
      <c r="AE235" t="str">
        <f>AB235-Q235-AD235-R235</f>
        <v>#REF!</v>
      </c>
      <c r="AF235" t="str">
        <f>AC235-Q235-AD235-R235</f>
        <v>#REF!</v>
      </c>
      <c r="AG235" t="str">
        <f>AE235/V235</f>
        <v>#REF!</v>
      </c>
      <c r="AH235" t="str">
        <f>AF235/W235</f>
        <v>#REF!</v>
      </c>
    </row>
    <row r="236">
      <c r="G236" t="str">
        <v>A</v>
      </c>
      <c r="J236" t="str">
        <f>IF(K236&gt;0,K236*0.0625,IF(L236&gt;0,L236*2.204623,))</f>
        <v>#REF!</v>
      </c>
      <c r="K236" t="str">
        <f>IF(L236&gt;0,L236*35.273962,IF(J236&gt;0,J236*16,))</f>
        <v>#REF!</v>
      </c>
      <c r="L236" t="str">
        <f>IF(J236&gt;0,J236*0.453592,IF(K236&gt;0,K236*0.02835,))</f>
        <v>#REF!</v>
      </c>
      <c r="O236">
        <f>I236+N236+M236</f>
        <v>0</v>
      </c>
      <c r="P236">
        <f>O236*B$3</f>
        <v>0</v>
      </c>
      <c r="Q236">
        <f>ROUND(SUM(P236), -2)</f>
        <v>0</v>
      </c>
      <c r="R236" t="str">
        <f>ROUNDUP(HLOOKUP(IF(CEILING(L236,0.5)&lt;1,0.5,CEILING(L236,0.5)),'배송비 조회'!A$44:AO$56,7,0)*B$3,-2)</f>
        <v>#REF!</v>
      </c>
      <c r="S236">
        <v>0</v>
      </c>
      <c r="T236" t="str">
        <f>ROUND((Q236+R236)*0.3,-2)</f>
        <v>#REF!</v>
      </c>
      <c r="U236" t="str">
        <f>ROUND((Q236+R236)*0.4,-2)</f>
        <v>#REF!</v>
      </c>
      <c r="V236" t="str">
        <f>SUM(Q236:R236)+T236</f>
        <v>#REF!</v>
      </c>
      <c r="W236" t="str">
        <f>SUM(Q236:S236)+U236</f>
        <v>#REF!</v>
      </c>
      <c r="X236">
        <v>0</v>
      </c>
      <c r="Y236" t="str">
        <f>V236*0.038</f>
        <v>#REF!</v>
      </c>
      <c r="Z236" t="str">
        <f>V236*0.02</f>
        <v>#REF!</v>
      </c>
      <c r="AA236" t="str">
        <f>W236*0.1</f>
        <v>#REF!</v>
      </c>
      <c r="AB236" t="str">
        <f>V236-Y236-Z236</f>
        <v>#REF!</v>
      </c>
      <c r="AC236" t="str">
        <f>W236-AA236</f>
        <v>#REF!</v>
      </c>
      <c r="AD236" t="str">
        <f>AB236*0.01</f>
        <v>#REF!</v>
      </c>
      <c r="AE236" t="str">
        <f>AB236-Q236-AD236-R236</f>
        <v>#REF!</v>
      </c>
      <c r="AF236" t="str">
        <f>AC236-Q236-AD236-R236</f>
        <v>#REF!</v>
      </c>
      <c r="AG236" t="str">
        <f>AE236/V236</f>
        <v>#REF!</v>
      </c>
      <c r="AH236" t="str">
        <f>AF236/W236</f>
        <v>#REF!</v>
      </c>
    </row>
    <row r="237">
      <c r="G237" t="str">
        <v>A</v>
      </c>
      <c r="J237" t="str">
        <f>IF(K237&gt;0,K237*0.0625,IF(L237&gt;0,L237*2.204623,))</f>
        <v>#REF!</v>
      </c>
      <c r="K237" t="str">
        <f>IF(L237&gt;0,L237*35.273962,IF(J237&gt;0,J237*16,))</f>
        <v>#REF!</v>
      </c>
      <c r="L237" t="str">
        <f>IF(J237&gt;0,J237*0.453592,IF(K237&gt;0,K237*0.02835,))</f>
        <v>#REF!</v>
      </c>
      <c r="O237">
        <f>I237+N237+M237</f>
        <v>0</v>
      </c>
      <c r="P237">
        <f>O237*B$3</f>
        <v>0</v>
      </c>
      <c r="Q237">
        <f>ROUND(SUM(P237), -2)</f>
        <v>0</v>
      </c>
      <c r="R237" t="str">
        <f>ROUNDUP(HLOOKUP(IF(CEILING(L237,0.5)&lt;1,0.5,CEILING(L237,0.5)),'배송비 조회'!A$44:AO$56,7,0)*B$3,-2)</f>
        <v>#REF!</v>
      </c>
      <c r="S237">
        <v>0</v>
      </c>
      <c r="T237" t="str">
        <f>ROUND((Q237+R237)*0.3,-2)</f>
        <v>#REF!</v>
      </c>
      <c r="U237" t="str">
        <f>ROUND((Q237+R237)*0.4,-2)</f>
        <v>#REF!</v>
      </c>
      <c r="V237" t="str">
        <f>SUM(Q237:R237)+T237</f>
        <v>#REF!</v>
      </c>
      <c r="W237" t="str">
        <f>SUM(Q237:S237)+U237</f>
        <v>#REF!</v>
      </c>
      <c r="X237">
        <v>0</v>
      </c>
      <c r="Y237" t="str">
        <f>V237*0.038</f>
        <v>#REF!</v>
      </c>
      <c r="Z237" t="str">
        <f>V237*0.02</f>
        <v>#REF!</v>
      </c>
      <c r="AA237" t="str">
        <f>W237*0.1</f>
        <v>#REF!</v>
      </c>
      <c r="AB237" t="str">
        <f>V237-Y237-Z237</f>
        <v>#REF!</v>
      </c>
      <c r="AC237" t="str">
        <f>W237-AA237</f>
        <v>#REF!</v>
      </c>
      <c r="AD237" t="str">
        <f>AB237*0.01</f>
        <v>#REF!</v>
      </c>
      <c r="AE237" t="str">
        <f>AB237-Q237-AD237-R237</f>
        <v>#REF!</v>
      </c>
      <c r="AF237" t="str">
        <f>AC237-Q237-AD237-R237</f>
        <v>#REF!</v>
      </c>
      <c r="AG237" t="str">
        <f>AE237/V237</f>
        <v>#REF!</v>
      </c>
      <c r="AH237" t="str">
        <f>AF237/W237</f>
        <v>#REF!</v>
      </c>
    </row>
    <row r="238">
      <c r="G238" t="str">
        <v>A</v>
      </c>
      <c r="J238" t="str">
        <f>IF(K238&gt;0,K238*0.0625,IF(L238&gt;0,L238*2.204623,))</f>
        <v>#REF!</v>
      </c>
      <c r="K238" t="str">
        <f>IF(L238&gt;0,L238*35.273962,IF(J238&gt;0,J238*16,))</f>
        <v>#REF!</v>
      </c>
      <c r="L238" t="str">
        <f>IF(J238&gt;0,J238*0.453592,IF(K238&gt;0,K238*0.02835,))</f>
        <v>#REF!</v>
      </c>
      <c r="O238">
        <f>I238+N238+M238</f>
        <v>0</v>
      </c>
      <c r="P238">
        <f>O238*B$3</f>
        <v>0</v>
      </c>
      <c r="Q238">
        <f>ROUND(SUM(P238), -2)</f>
        <v>0</v>
      </c>
      <c r="R238" t="str">
        <f>ROUNDUP(HLOOKUP(IF(CEILING(L238,0.5)&lt;1,0.5,CEILING(L238,0.5)),'배송비 조회'!A$44:AO$56,7,0)*B$3,-2)</f>
        <v>#REF!</v>
      </c>
      <c r="S238">
        <v>0</v>
      </c>
      <c r="T238" t="str">
        <f>ROUND((Q238+R238)*0.3,-2)</f>
        <v>#REF!</v>
      </c>
      <c r="U238" t="str">
        <f>ROUND((Q238+R238)*0.4,-2)</f>
        <v>#REF!</v>
      </c>
      <c r="V238" t="str">
        <f>SUM(Q238:R238)+T238</f>
        <v>#REF!</v>
      </c>
      <c r="W238" t="str">
        <f>SUM(Q238:S238)+U238</f>
        <v>#REF!</v>
      </c>
      <c r="X238">
        <v>0</v>
      </c>
      <c r="Y238" t="str">
        <f>V238*0.038</f>
        <v>#REF!</v>
      </c>
      <c r="Z238" t="str">
        <f>V238*0.02</f>
        <v>#REF!</v>
      </c>
      <c r="AA238" t="str">
        <f>W238*0.1</f>
        <v>#REF!</v>
      </c>
      <c r="AB238" t="str">
        <f>V238-Y238-Z238</f>
        <v>#REF!</v>
      </c>
      <c r="AC238" t="str">
        <f>W238-AA238</f>
        <v>#REF!</v>
      </c>
      <c r="AD238" t="str">
        <f>AB238*0.01</f>
        <v>#REF!</v>
      </c>
      <c r="AE238" t="str">
        <f>AB238-Q238-AD238-R238</f>
        <v>#REF!</v>
      </c>
      <c r="AF238" t="str">
        <f>AC238-Q238-AD238-R238</f>
        <v>#REF!</v>
      </c>
      <c r="AG238" t="str">
        <f>AE238/V238</f>
        <v>#REF!</v>
      </c>
      <c r="AH238" t="str">
        <f>AF238/W238</f>
        <v>#REF!</v>
      </c>
    </row>
    <row r="239">
      <c r="G239" t="str">
        <v>A</v>
      </c>
      <c r="J239" t="str">
        <f>IF(K239&gt;0,K239*0.0625,IF(L239&gt;0,L239*2.204623,))</f>
        <v>#REF!</v>
      </c>
      <c r="K239" t="str">
        <f>IF(L239&gt;0,L239*35.273962,IF(J239&gt;0,J239*16,))</f>
        <v>#REF!</v>
      </c>
      <c r="L239" t="str">
        <f>IF(J239&gt;0,J239*0.453592,IF(K239&gt;0,K239*0.02835,))</f>
        <v>#REF!</v>
      </c>
      <c r="O239">
        <f>I239+N239+M239</f>
        <v>0</v>
      </c>
      <c r="P239">
        <f>O239*B$3</f>
        <v>0</v>
      </c>
      <c r="Q239">
        <f>ROUND(SUM(P239), -2)</f>
        <v>0</v>
      </c>
      <c r="R239" t="str">
        <f>ROUNDUP(HLOOKUP(IF(CEILING(L239,0.5)&lt;1,0.5,CEILING(L239,0.5)),'배송비 조회'!A$44:AO$56,7,0)*B$3,-2)</f>
        <v>#REF!</v>
      </c>
      <c r="S239">
        <v>0</v>
      </c>
      <c r="T239" t="str">
        <f>ROUND((Q239+R239)*0.3,-2)</f>
        <v>#REF!</v>
      </c>
      <c r="U239" t="str">
        <f>ROUND((Q239+R239)*0.4,-2)</f>
        <v>#REF!</v>
      </c>
      <c r="V239" t="str">
        <f>SUM(Q239:R239)+T239</f>
        <v>#REF!</v>
      </c>
      <c r="W239" t="str">
        <f>SUM(Q239:S239)+U239</f>
        <v>#REF!</v>
      </c>
      <c r="X239">
        <v>0</v>
      </c>
      <c r="Y239" t="str">
        <f>V239*0.038</f>
        <v>#REF!</v>
      </c>
      <c r="Z239" t="str">
        <f>V239*0.02</f>
        <v>#REF!</v>
      </c>
      <c r="AA239" t="str">
        <f>W239*0.1</f>
        <v>#REF!</v>
      </c>
      <c r="AB239" t="str">
        <f>V239-Y239-Z239</f>
        <v>#REF!</v>
      </c>
      <c r="AC239" t="str">
        <f>W239-AA239</f>
        <v>#REF!</v>
      </c>
      <c r="AD239" t="str">
        <f>AB239*0.01</f>
        <v>#REF!</v>
      </c>
      <c r="AE239" t="str">
        <f>AB239-Q239-AD239-R239</f>
        <v>#REF!</v>
      </c>
      <c r="AF239" t="str">
        <f>AC239-Q239-AD239-R239</f>
        <v>#REF!</v>
      </c>
      <c r="AG239" t="str">
        <f>AE239/V239</f>
        <v>#REF!</v>
      </c>
      <c r="AH239" t="str">
        <f>AF239/W239</f>
        <v>#REF!</v>
      </c>
    </row>
    <row r="240">
      <c r="G240" t="str">
        <v>A</v>
      </c>
      <c r="J240" t="str">
        <f>IF(K240&gt;0,K240*0.0625,IF(L240&gt;0,L240*2.204623,))</f>
        <v>#REF!</v>
      </c>
      <c r="K240" t="str">
        <f>IF(L240&gt;0,L240*35.273962,IF(J240&gt;0,J240*16,))</f>
        <v>#REF!</v>
      </c>
      <c r="L240" t="str">
        <f>IF(J240&gt;0,J240*0.453592,IF(K240&gt;0,K240*0.02835,))</f>
        <v>#REF!</v>
      </c>
      <c r="O240">
        <f>I240+N240+M240</f>
        <v>0</v>
      </c>
      <c r="P240">
        <f>O240*B$3</f>
        <v>0</v>
      </c>
      <c r="Q240">
        <f>ROUND(SUM(P240), -2)</f>
        <v>0</v>
      </c>
      <c r="R240" t="str">
        <f>ROUNDUP(HLOOKUP(IF(CEILING(L240,0.5)&lt;1,0.5,CEILING(L240,0.5)),'배송비 조회'!A$44:AO$56,7,0)*B$3,-2)</f>
        <v>#REF!</v>
      </c>
      <c r="S240">
        <v>0</v>
      </c>
      <c r="T240" t="str">
        <f>ROUND((Q240+R240)*0.3,-2)</f>
        <v>#REF!</v>
      </c>
      <c r="U240" t="str">
        <f>ROUND((Q240+R240)*0.4,-2)</f>
        <v>#REF!</v>
      </c>
      <c r="V240" t="str">
        <f>SUM(Q240:R240)+T240</f>
        <v>#REF!</v>
      </c>
      <c r="W240" t="str">
        <f>SUM(Q240:S240)+U240</f>
        <v>#REF!</v>
      </c>
      <c r="X240">
        <v>0</v>
      </c>
      <c r="Y240" t="str">
        <f>V240*0.038</f>
        <v>#REF!</v>
      </c>
      <c r="Z240" t="str">
        <f>V240*0.02</f>
        <v>#REF!</v>
      </c>
      <c r="AA240" t="str">
        <f>W240*0.1</f>
        <v>#REF!</v>
      </c>
      <c r="AB240" t="str">
        <f>V240-Y240-Z240</f>
        <v>#REF!</v>
      </c>
      <c r="AC240" t="str">
        <f>W240-AA240</f>
        <v>#REF!</v>
      </c>
      <c r="AD240" t="str">
        <f>AB240*0.01</f>
        <v>#REF!</v>
      </c>
      <c r="AE240" t="str">
        <f>AB240-Q240-AD240-R240</f>
        <v>#REF!</v>
      </c>
      <c r="AF240" t="str">
        <f>AC240-Q240-AD240-R240</f>
        <v>#REF!</v>
      </c>
      <c r="AG240" t="str">
        <f>AE240/V240</f>
        <v>#REF!</v>
      </c>
      <c r="AH240" t="str">
        <f>AF240/W240</f>
        <v>#REF!</v>
      </c>
    </row>
    <row r="241">
      <c r="G241" t="str">
        <v>A</v>
      </c>
      <c r="J241" t="str">
        <f>IF(K241&gt;0,K241*0.0625,IF(L241&gt;0,L241*2.204623,))</f>
        <v>#REF!</v>
      </c>
      <c r="K241" t="str">
        <f>IF(L241&gt;0,L241*35.273962,IF(J241&gt;0,J241*16,))</f>
        <v>#REF!</v>
      </c>
      <c r="L241" t="str">
        <f>IF(J241&gt;0,J241*0.453592,IF(K241&gt;0,K241*0.02835,))</f>
        <v>#REF!</v>
      </c>
      <c r="O241">
        <f>I241+N241+M241</f>
        <v>0</v>
      </c>
      <c r="P241">
        <f>O241*B$3</f>
        <v>0</v>
      </c>
      <c r="Q241">
        <f>ROUND(SUM(P241), -2)</f>
        <v>0</v>
      </c>
      <c r="R241" t="str">
        <f>ROUNDUP(HLOOKUP(IF(CEILING(L241,0.5)&lt;1,0.5,CEILING(L241,0.5)),'배송비 조회'!A$44:AO$56,7,0)*B$3,-2)</f>
        <v>#REF!</v>
      </c>
      <c r="S241">
        <v>0</v>
      </c>
      <c r="T241" t="str">
        <f>ROUND((Q241+R241)*0.3,-2)</f>
        <v>#REF!</v>
      </c>
      <c r="U241" t="str">
        <f>ROUND((Q241+R241)*0.4,-2)</f>
        <v>#REF!</v>
      </c>
      <c r="V241" t="str">
        <f>SUM(Q241:R241)+T241</f>
        <v>#REF!</v>
      </c>
      <c r="W241" t="str">
        <f>SUM(Q241:S241)+U241</f>
        <v>#REF!</v>
      </c>
      <c r="X241">
        <v>0</v>
      </c>
      <c r="Y241" t="str">
        <f>V241*0.038</f>
        <v>#REF!</v>
      </c>
      <c r="Z241" t="str">
        <f>V241*0.02</f>
        <v>#REF!</v>
      </c>
      <c r="AA241" t="str">
        <f>W241*0.1</f>
        <v>#REF!</v>
      </c>
      <c r="AB241" t="str">
        <f>V241-Y241-Z241</f>
        <v>#REF!</v>
      </c>
      <c r="AC241" t="str">
        <f>W241-AA241</f>
        <v>#REF!</v>
      </c>
      <c r="AD241" t="str">
        <f>AB241*0.01</f>
        <v>#REF!</v>
      </c>
      <c r="AE241" t="str">
        <f>AB241-Q241-AD241-R241</f>
        <v>#REF!</v>
      </c>
      <c r="AF241" t="str">
        <f>AC241-Q241-AD241-R241</f>
        <v>#REF!</v>
      </c>
      <c r="AG241" t="str">
        <f>AE241/V241</f>
        <v>#REF!</v>
      </c>
      <c r="AH241" t="str">
        <f>AF241/W241</f>
        <v>#REF!</v>
      </c>
    </row>
    <row r="242">
      <c r="G242" t="str">
        <v>A</v>
      </c>
      <c r="J242" t="str">
        <f>IF(K242&gt;0,K242*0.0625,IF(L242&gt;0,L242*2.204623,))</f>
        <v>#REF!</v>
      </c>
      <c r="K242" t="str">
        <f>IF(L242&gt;0,L242*35.273962,IF(J242&gt;0,J242*16,))</f>
        <v>#REF!</v>
      </c>
      <c r="L242" t="str">
        <f>IF(J242&gt;0,J242*0.453592,IF(K242&gt;0,K242*0.02835,))</f>
        <v>#REF!</v>
      </c>
      <c r="O242">
        <f>I242+N242+M242</f>
        <v>0</v>
      </c>
      <c r="P242">
        <f>O242*B$3</f>
        <v>0</v>
      </c>
      <c r="Q242">
        <f>ROUND(SUM(P242), -2)</f>
        <v>0</v>
      </c>
      <c r="R242" t="str">
        <f>ROUNDUP(HLOOKUP(IF(CEILING(L242,0.5)&lt;1,0.5,CEILING(L242,0.5)),'배송비 조회'!A$44:AO$56,7,0)*B$3,-2)</f>
        <v>#REF!</v>
      </c>
      <c r="S242">
        <v>0</v>
      </c>
      <c r="T242" t="str">
        <f>ROUND((Q242+R242)*0.3,-2)</f>
        <v>#REF!</v>
      </c>
      <c r="U242" t="str">
        <f>ROUND((Q242+R242)*0.4,-2)</f>
        <v>#REF!</v>
      </c>
      <c r="V242" t="str">
        <f>SUM(Q242:R242)+T242</f>
        <v>#REF!</v>
      </c>
      <c r="W242" t="str">
        <f>SUM(Q242:S242)+U242</f>
        <v>#REF!</v>
      </c>
      <c r="X242">
        <v>0</v>
      </c>
      <c r="Y242" t="str">
        <f>V242*0.038</f>
        <v>#REF!</v>
      </c>
      <c r="Z242" t="str">
        <f>V242*0.02</f>
        <v>#REF!</v>
      </c>
      <c r="AA242" t="str">
        <f>W242*0.1</f>
        <v>#REF!</v>
      </c>
      <c r="AB242" t="str">
        <f>V242-Y242-Z242</f>
        <v>#REF!</v>
      </c>
      <c r="AC242" t="str">
        <f>W242-AA242</f>
        <v>#REF!</v>
      </c>
      <c r="AD242" t="str">
        <f>AB242*0.01</f>
        <v>#REF!</v>
      </c>
      <c r="AE242" t="str">
        <f>AB242-Q242-AD242-R242</f>
        <v>#REF!</v>
      </c>
      <c r="AF242" t="str">
        <f>AC242-Q242-AD242-R242</f>
        <v>#REF!</v>
      </c>
      <c r="AG242" t="str">
        <f>AE242/V242</f>
        <v>#REF!</v>
      </c>
      <c r="AH242" t="str">
        <f>AF242/W242</f>
        <v>#REF!</v>
      </c>
    </row>
    <row r="243">
      <c r="G243" t="str">
        <v>A</v>
      </c>
      <c r="J243" t="str">
        <f>IF(K243&gt;0,K243*0.0625,IF(L243&gt;0,L243*2.204623,))</f>
        <v>#REF!</v>
      </c>
      <c r="K243" t="str">
        <f>IF(L243&gt;0,L243*35.273962,IF(J243&gt;0,J243*16,))</f>
        <v>#REF!</v>
      </c>
      <c r="L243" t="str">
        <f>IF(J243&gt;0,J243*0.453592,IF(K243&gt;0,K243*0.02835,))</f>
        <v>#REF!</v>
      </c>
      <c r="O243">
        <f>I243+N243+M243</f>
        <v>0</v>
      </c>
      <c r="P243">
        <f>O243*B$3</f>
        <v>0</v>
      </c>
      <c r="Q243">
        <f>ROUND(SUM(P243), -2)</f>
        <v>0</v>
      </c>
      <c r="R243" t="str">
        <f>ROUNDUP(HLOOKUP(IF(CEILING(L243,0.5)&lt;1,0.5,CEILING(L243,0.5)),'배송비 조회'!A$44:AO$56,7,0)*B$3,-2)</f>
        <v>#REF!</v>
      </c>
      <c r="S243">
        <v>0</v>
      </c>
      <c r="T243" t="str">
        <f>ROUND((Q243+R243)*0.3,-2)</f>
        <v>#REF!</v>
      </c>
      <c r="U243" t="str">
        <f>ROUND((Q243+R243)*0.4,-2)</f>
        <v>#REF!</v>
      </c>
      <c r="V243" t="str">
        <f>SUM(Q243:R243)+T243</f>
        <v>#REF!</v>
      </c>
      <c r="W243" t="str">
        <f>SUM(Q243:S243)+U243</f>
        <v>#REF!</v>
      </c>
      <c r="X243">
        <v>0</v>
      </c>
      <c r="Y243" t="str">
        <f>V243*0.038</f>
        <v>#REF!</v>
      </c>
      <c r="Z243" t="str">
        <f>V243*0.02</f>
        <v>#REF!</v>
      </c>
      <c r="AA243" t="str">
        <f>W243*0.1</f>
        <v>#REF!</v>
      </c>
      <c r="AB243" t="str">
        <f>V243-Y243-Z243</f>
        <v>#REF!</v>
      </c>
      <c r="AC243" t="str">
        <f>W243-AA243</f>
        <v>#REF!</v>
      </c>
      <c r="AD243" t="str">
        <f>AB243*0.01</f>
        <v>#REF!</v>
      </c>
      <c r="AE243" t="str">
        <f>AB243-Q243-AD243-R243</f>
        <v>#REF!</v>
      </c>
      <c r="AF243" t="str">
        <f>AC243-Q243-AD243-R243</f>
        <v>#REF!</v>
      </c>
      <c r="AG243" t="str">
        <f>AE243/V243</f>
        <v>#REF!</v>
      </c>
      <c r="AH243" t="str">
        <f>AF243/W243</f>
        <v>#REF!</v>
      </c>
    </row>
    <row r="244">
      <c r="G244" t="str">
        <v>A</v>
      </c>
      <c r="J244" t="str">
        <f>IF(K244&gt;0,K244*0.0625,IF(L244&gt;0,L244*2.204623,))</f>
        <v>#REF!</v>
      </c>
      <c r="K244" t="str">
        <f>IF(L244&gt;0,L244*35.273962,IF(J244&gt;0,J244*16,))</f>
        <v>#REF!</v>
      </c>
      <c r="L244" t="str">
        <f>IF(J244&gt;0,J244*0.453592,IF(K244&gt;0,K244*0.02835,))</f>
        <v>#REF!</v>
      </c>
      <c r="O244">
        <f>I244+N244+M244</f>
        <v>0</v>
      </c>
      <c r="P244">
        <f>O244*B$3</f>
        <v>0</v>
      </c>
      <c r="Q244">
        <f>ROUND(SUM(P244), -2)</f>
        <v>0</v>
      </c>
      <c r="R244" t="str">
        <f>ROUNDUP(HLOOKUP(IF(CEILING(L244,0.5)&lt;1,0.5,CEILING(L244,0.5)),'배송비 조회'!A$44:AO$56,7,0)*B$3,-2)</f>
        <v>#REF!</v>
      </c>
      <c r="S244">
        <v>0</v>
      </c>
      <c r="T244" t="str">
        <f>ROUND((Q244+R244)*0.3,-2)</f>
        <v>#REF!</v>
      </c>
      <c r="U244" t="str">
        <f>ROUND((Q244+R244)*0.4,-2)</f>
        <v>#REF!</v>
      </c>
      <c r="V244" t="str">
        <f>SUM(Q244:R244)+T244</f>
        <v>#REF!</v>
      </c>
      <c r="W244" t="str">
        <f>SUM(Q244:S244)+U244</f>
        <v>#REF!</v>
      </c>
      <c r="X244">
        <v>0</v>
      </c>
      <c r="Y244" t="str">
        <f>V244*0.038</f>
        <v>#REF!</v>
      </c>
      <c r="Z244" t="str">
        <f>V244*0.02</f>
        <v>#REF!</v>
      </c>
      <c r="AA244" t="str">
        <f>W244*0.1</f>
        <v>#REF!</v>
      </c>
      <c r="AB244" t="str">
        <f>V244-Y244-Z244</f>
        <v>#REF!</v>
      </c>
      <c r="AC244" t="str">
        <f>W244-AA244</f>
        <v>#REF!</v>
      </c>
      <c r="AD244" t="str">
        <f>AB244*0.01</f>
        <v>#REF!</v>
      </c>
      <c r="AE244" t="str">
        <f>AB244-Q244-AD244-R244</f>
        <v>#REF!</v>
      </c>
      <c r="AF244" t="str">
        <f>AC244-Q244-AD244-R244</f>
        <v>#REF!</v>
      </c>
      <c r="AG244" t="str">
        <f>AE244/V244</f>
        <v>#REF!</v>
      </c>
      <c r="AH244" t="str">
        <f>AF244/W244</f>
        <v>#REF!</v>
      </c>
    </row>
    <row r="245">
      <c r="G245" t="str">
        <v>A</v>
      </c>
      <c r="J245" t="str">
        <f>IF(K245&gt;0,K245*0.0625,IF(L245&gt;0,L245*2.204623,))</f>
        <v>#REF!</v>
      </c>
      <c r="K245" t="str">
        <f>IF(L245&gt;0,L245*35.273962,IF(J245&gt;0,J245*16,))</f>
        <v>#REF!</v>
      </c>
      <c r="L245" t="str">
        <f>IF(J245&gt;0,J245*0.453592,IF(K245&gt;0,K245*0.02835,))</f>
        <v>#REF!</v>
      </c>
      <c r="O245">
        <f>I245+N245+M245</f>
        <v>0</v>
      </c>
      <c r="P245">
        <f>O245*B$3</f>
        <v>0</v>
      </c>
      <c r="Q245">
        <f>ROUND(SUM(P245), -2)</f>
        <v>0</v>
      </c>
      <c r="R245" t="str">
        <f>ROUNDUP(HLOOKUP(IF(CEILING(L245,0.5)&lt;1,0.5,CEILING(L245,0.5)),'배송비 조회'!A$44:AO$56,7,0)*B$3,-2)</f>
        <v>#REF!</v>
      </c>
      <c r="S245">
        <v>0</v>
      </c>
      <c r="T245" t="str">
        <f>ROUND((Q245+R245)*0.3,-2)</f>
        <v>#REF!</v>
      </c>
      <c r="U245" t="str">
        <f>ROUND((Q245+R245)*0.4,-2)</f>
        <v>#REF!</v>
      </c>
      <c r="V245" t="str">
        <f>SUM(Q245:R245)+T245</f>
        <v>#REF!</v>
      </c>
      <c r="W245" t="str">
        <f>SUM(Q245:S245)+U245</f>
        <v>#REF!</v>
      </c>
      <c r="X245">
        <v>0</v>
      </c>
      <c r="Y245" t="str">
        <f>V245*0.038</f>
        <v>#REF!</v>
      </c>
      <c r="Z245" t="str">
        <f>V245*0.02</f>
        <v>#REF!</v>
      </c>
      <c r="AA245" t="str">
        <f>W245*0.1</f>
        <v>#REF!</v>
      </c>
      <c r="AB245" t="str">
        <f>V245-Y245-Z245</f>
        <v>#REF!</v>
      </c>
      <c r="AC245" t="str">
        <f>W245-AA245</f>
        <v>#REF!</v>
      </c>
      <c r="AD245" t="str">
        <f>AB245*0.01</f>
        <v>#REF!</v>
      </c>
      <c r="AE245" t="str">
        <f>AB245-Q245-AD245-R245</f>
        <v>#REF!</v>
      </c>
      <c r="AF245" t="str">
        <f>AC245-Q245-AD245-R245</f>
        <v>#REF!</v>
      </c>
      <c r="AG245" t="str">
        <f>AE245/V245</f>
        <v>#REF!</v>
      </c>
      <c r="AH245" t="str">
        <f>AF245/W245</f>
        <v>#REF!</v>
      </c>
    </row>
    <row r="246">
      <c r="G246" t="str">
        <v>A</v>
      </c>
      <c r="J246" t="str">
        <f>IF(K246&gt;0,K246*0.0625,IF(L246&gt;0,L246*2.204623,))</f>
        <v>#REF!</v>
      </c>
      <c r="K246" t="str">
        <f>IF(L246&gt;0,L246*35.273962,IF(J246&gt;0,J246*16,))</f>
        <v>#REF!</v>
      </c>
      <c r="L246" t="str">
        <f>IF(J246&gt;0,J246*0.453592,IF(K246&gt;0,K246*0.02835,))</f>
        <v>#REF!</v>
      </c>
      <c r="O246">
        <f>I246+N246+M246</f>
        <v>0</v>
      </c>
      <c r="P246">
        <f>O246*B$3</f>
        <v>0</v>
      </c>
      <c r="Q246">
        <f>ROUND(SUM(P246), -2)</f>
        <v>0</v>
      </c>
      <c r="R246" t="str">
        <f>ROUNDUP(HLOOKUP(IF(CEILING(L246,0.5)&lt;1,0.5,CEILING(L246,0.5)),'배송비 조회'!A$44:AO$56,7,0)*B$3,-2)</f>
        <v>#REF!</v>
      </c>
      <c r="S246">
        <v>0</v>
      </c>
      <c r="T246" t="str">
        <f>ROUND((Q246+R246)*0.3,-2)</f>
        <v>#REF!</v>
      </c>
      <c r="U246" t="str">
        <f>ROUND((Q246+R246)*0.4,-2)</f>
        <v>#REF!</v>
      </c>
      <c r="V246" t="str">
        <f>SUM(Q246:R246)+T246</f>
        <v>#REF!</v>
      </c>
      <c r="W246" t="str">
        <f>SUM(Q246:S246)+U246</f>
        <v>#REF!</v>
      </c>
      <c r="X246">
        <v>0</v>
      </c>
      <c r="Y246" t="str">
        <f>V246*0.038</f>
        <v>#REF!</v>
      </c>
      <c r="Z246" t="str">
        <f>V246*0.02</f>
        <v>#REF!</v>
      </c>
      <c r="AA246" t="str">
        <f>W246*0.1</f>
        <v>#REF!</v>
      </c>
      <c r="AB246" t="str">
        <f>V246-Y246-Z246</f>
        <v>#REF!</v>
      </c>
      <c r="AC246" t="str">
        <f>W246-AA246</f>
        <v>#REF!</v>
      </c>
      <c r="AD246" t="str">
        <f>AB246*0.01</f>
        <v>#REF!</v>
      </c>
      <c r="AE246" t="str">
        <f>AB246-Q246-AD246-R246</f>
        <v>#REF!</v>
      </c>
      <c r="AF246" t="str">
        <f>AC246-Q246-AD246-R246</f>
        <v>#REF!</v>
      </c>
      <c r="AG246" t="str">
        <f>AE246/V246</f>
        <v>#REF!</v>
      </c>
      <c r="AH246" t="str">
        <f>AF246/W246</f>
        <v>#REF!</v>
      </c>
    </row>
    <row r="247">
      <c r="G247" t="str">
        <v>A</v>
      </c>
      <c r="J247" t="str">
        <f>IF(K247&gt;0,K247*0.0625,IF(L247&gt;0,L247*2.204623,))</f>
        <v>#REF!</v>
      </c>
      <c r="K247" t="str">
        <f>IF(L247&gt;0,L247*35.273962,IF(J247&gt;0,J247*16,))</f>
        <v>#REF!</v>
      </c>
      <c r="L247" t="str">
        <f>IF(J247&gt;0,J247*0.453592,IF(K247&gt;0,K247*0.02835,))</f>
        <v>#REF!</v>
      </c>
      <c r="O247">
        <f>I247+N247+M247</f>
        <v>0</v>
      </c>
      <c r="P247">
        <f>O247*B$3</f>
        <v>0</v>
      </c>
      <c r="Q247">
        <f>ROUND(SUM(P247), -2)</f>
        <v>0</v>
      </c>
      <c r="R247" t="str">
        <f>ROUNDUP(HLOOKUP(IF(CEILING(L247,0.5)&lt;1,0.5,CEILING(L247,0.5)),'배송비 조회'!A$44:AO$56,7,0)*B$3,-2)</f>
        <v>#REF!</v>
      </c>
      <c r="S247">
        <v>0</v>
      </c>
      <c r="T247" t="str">
        <f>ROUND((Q247+R247)*0.3,-2)</f>
        <v>#REF!</v>
      </c>
      <c r="U247" t="str">
        <f>ROUND((Q247+R247)*0.4,-2)</f>
        <v>#REF!</v>
      </c>
      <c r="V247" t="str">
        <f>SUM(Q247:R247)+T247</f>
        <v>#REF!</v>
      </c>
      <c r="W247" t="str">
        <f>SUM(Q247:S247)+U247</f>
        <v>#REF!</v>
      </c>
      <c r="X247">
        <v>0</v>
      </c>
      <c r="Y247" t="str">
        <f>V247*0.038</f>
        <v>#REF!</v>
      </c>
      <c r="Z247" t="str">
        <f>V247*0.02</f>
        <v>#REF!</v>
      </c>
      <c r="AA247" t="str">
        <f>W247*0.1</f>
        <v>#REF!</v>
      </c>
      <c r="AB247" t="str">
        <f>V247-Y247-Z247</f>
        <v>#REF!</v>
      </c>
      <c r="AC247" t="str">
        <f>W247-AA247</f>
        <v>#REF!</v>
      </c>
      <c r="AD247" t="str">
        <f>AB247*0.01</f>
        <v>#REF!</v>
      </c>
      <c r="AE247" t="str">
        <f>AB247-Q247-AD247-R247</f>
        <v>#REF!</v>
      </c>
      <c r="AF247" t="str">
        <f>AC247-Q247-AD247-R247</f>
        <v>#REF!</v>
      </c>
      <c r="AG247" t="str">
        <f>AE247/V247</f>
        <v>#REF!</v>
      </c>
      <c r="AH247" t="str">
        <f>AF247/W247</f>
        <v>#REF!</v>
      </c>
    </row>
    <row r="248">
      <c r="G248" t="str">
        <v>A</v>
      </c>
      <c r="J248" t="str">
        <f>IF(K248&gt;0,K248*0.0625,IF(L248&gt;0,L248*2.204623,))</f>
        <v>#REF!</v>
      </c>
      <c r="K248" t="str">
        <f>IF(L248&gt;0,L248*35.273962,IF(J248&gt;0,J248*16,))</f>
        <v>#REF!</v>
      </c>
      <c r="L248" t="str">
        <f>IF(J248&gt;0,J248*0.453592,IF(K248&gt;0,K248*0.02835,))</f>
        <v>#REF!</v>
      </c>
      <c r="O248">
        <f>I248+N248+M248</f>
        <v>0</v>
      </c>
      <c r="P248">
        <f>O248*B$3</f>
        <v>0</v>
      </c>
      <c r="Q248">
        <f>ROUND(SUM(P248), -2)</f>
        <v>0</v>
      </c>
      <c r="R248" t="str">
        <f>ROUNDUP(HLOOKUP(IF(CEILING(L248,0.5)&lt;1,0.5,CEILING(L248,0.5)),'배송비 조회'!A$44:AO$56,7,0)*B$3,-2)</f>
        <v>#REF!</v>
      </c>
      <c r="S248">
        <v>0</v>
      </c>
      <c r="T248" t="str">
        <f>ROUND((Q248+R248)*0.3,-2)</f>
        <v>#REF!</v>
      </c>
      <c r="U248" t="str">
        <f>ROUND((Q248+R248)*0.4,-2)</f>
        <v>#REF!</v>
      </c>
      <c r="V248" t="str">
        <f>SUM(Q248:R248)+T248</f>
        <v>#REF!</v>
      </c>
      <c r="W248" t="str">
        <f>SUM(Q248:S248)+U248</f>
        <v>#REF!</v>
      </c>
      <c r="X248">
        <v>0</v>
      </c>
      <c r="Y248" t="str">
        <f>V248*0.038</f>
        <v>#REF!</v>
      </c>
      <c r="Z248" t="str">
        <f>V248*0.02</f>
        <v>#REF!</v>
      </c>
      <c r="AA248" t="str">
        <f>W248*0.1</f>
        <v>#REF!</v>
      </c>
      <c r="AB248" t="str">
        <f>V248-Y248-Z248</f>
        <v>#REF!</v>
      </c>
      <c r="AC248" t="str">
        <f>W248-AA248</f>
        <v>#REF!</v>
      </c>
      <c r="AD248" t="str">
        <f>AB248*0.01</f>
        <v>#REF!</v>
      </c>
      <c r="AE248" t="str">
        <f>AB248-Q248-AD248-R248</f>
        <v>#REF!</v>
      </c>
      <c r="AF248" t="str">
        <f>AC248-Q248-AD248-R248</f>
        <v>#REF!</v>
      </c>
      <c r="AG248" t="str">
        <f>AE248/V248</f>
        <v>#REF!</v>
      </c>
      <c r="AH248" t="str">
        <f>AF248/W248</f>
        <v>#REF!</v>
      </c>
    </row>
    <row r="249">
      <c r="G249" t="str">
        <v>A</v>
      </c>
      <c r="J249" t="str">
        <f>IF(K249&gt;0,K249*0.0625,IF(L249&gt;0,L249*2.204623,))</f>
        <v>#REF!</v>
      </c>
      <c r="K249" t="str">
        <f>IF(L249&gt;0,L249*35.273962,IF(J249&gt;0,J249*16,))</f>
        <v>#REF!</v>
      </c>
      <c r="L249" t="str">
        <f>IF(J249&gt;0,J249*0.453592,IF(K249&gt;0,K249*0.02835,))</f>
        <v>#REF!</v>
      </c>
      <c r="O249">
        <f>I249+N249+M249</f>
        <v>0</v>
      </c>
      <c r="P249">
        <f>O249*B$3</f>
        <v>0</v>
      </c>
      <c r="Q249">
        <f>ROUND(SUM(P249), -2)</f>
        <v>0</v>
      </c>
      <c r="R249" t="str">
        <f>ROUNDUP(HLOOKUP(IF(CEILING(L249,0.5)&lt;1,0.5,CEILING(L249,0.5)),'배송비 조회'!A$44:AO$56,7,0)*B$3,-2)</f>
        <v>#REF!</v>
      </c>
      <c r="S249">
        <v>0</v>
      </c>
      <c r="T249" t="str">
        <f>ROUND((Q249+R249)*0.3,-2)</f>
        <v>#REF!</v>
      </c>
      <c r="U249" t="str">
        <f>ROUND((Q249+R249)*0.4,-2)</f>
        <v>#REF!</v>
      </c>
      <c r="V249" t="str">
        <f>SUM(Q249:R249)+T249</f>
        <v>#REF!</v>
      </c>
      <c r="W249" t="str">
        <f>SUM(Q249:S249)+U249</f>
        <v>#REF!</v>
      </c>
      <c r="X249">
        <v>0</v>
      </c>
      <c r="Y249" t="str">
        <f>V249*0.038</f>
        <v>#REF!</v>
      </c>
      <c r="Z249" t="str">
        <f>V249*0.02</f>
        <v>#REF!</v>
      </c>
      <c r="AA249" t="str">
        <f>W249*0.1</f>
        <v>#REF!</v>
      </c>
      <c r="AB249" t="str">
        <f>V249-Y249-Z249</f>
        <v>#REF!</v>
      </c>
      <c r="AC249" t="str">
        <f>W249-AA249</f>
        <v>#REF!</v>
      </c>
      <c r="AD249" t="str">
        <f>AB249*0.01</f>
        <v>#REF!</v>
      </c>
      <c r="AE249" t="str">
        <f>AB249-Q249-AD249-R249</f>
        <v>#REF!</v>
      </c>
      <c r="AF249" t="str">
        <f>AC249-Q249-AD249-R249</f>
        <v>#REF!</v>
      </c>
      <c r="AG249" t="str">
        <f>AE249/V249</f>
        <v>#REF!</v>
      </c>
      <c r="AH249" t="str">
        <f>AF249/W249</f>
        <v>#REF!</v>
      </c>
    </row>
    <row r="250">
      <c r="G250" t="str">
        <v>A</v>
      </c>
      <c r="J250" t="str">
        <f>IF(K250&gt;0,K250*0.0625,IF(L250&gt;0,L250*2.204623,))</f>
        <v>#REF!</v>
      </c>
      <c r="K250" t="str">
        <f>IF(L250&gt;0,L250*35.273962,IF(J250&gt;0,J250*16,))</f>
        <v>#REF!</v>
      </c>
      <c r="L250" t="str">
        <f>IF(J250&gt;0,J250*0.453592,IF(K250&gt;0,K250*0.02835,))</f>
        <v>#REF!</v>
      </c>
      <c r="O250">
        <f>I250+N250+M250</f>
        <v>0</v>
      </c>
      <c r="P250">
        <f>O250*B$3</f>
        <v>0</v>
      </c>
      <c r="Q250">
        <f>ROUND(SUM(P250), -2)</f>
        <v>0</v>
      </c>
      <c r="R250" t="str">
        <f>ROUNDUP(HLOOKUP(IF(CEILING(L250,0.5)&lt;1,0.5,CEILING(L250,0.5)),'배송비 조회'!A$44:AO$56,7,0)*B$3,-2)</f>
        <v>#REF!</v>
      </c>
      <c r="S250">
        <v>0</v>
      </c>
      <c r="T250" t="str">
        <f>ROUND((Q250+R250)*0.3,-2)</f>
        <v>#REF!</v>
      </c>
      <c r="U250" t="str">
        <f>ROUND((Q250+R250)*0.4,-2)</f>
        <v>#REF!</v>
      </c>
      <c r="V250" t="str">
        <f>SUM(Q250:R250)+T250</f>
        <v>#REF!</v>
      </c>
      <c r="W250" t="str">
        <f>SUM(Q250:S250)+U250</f>
        <v>#REF!</v>
      </c>
      <c r="X250">
        <v>0</v>
      </c>
      <c r="Y250" t="str">
        <f>V250*0.038</f>
        <v>#REF!</v>
      </c>
      <c r="Z250" t="str">
        <f>V250*0.02</f>
        <v>#REF!</v>
      </c>
      <c r="AA250" t="str">
        <f>W250*0.1</f>
        <v>#REF!</v>
      </c>
      <c r="AB250" t="str">
        <f>V250-Y250-Z250</f>
        <v>#REF!</v>
      </c>
      <c r="AC250" t="str">
        <f>W250-AA250</f>
        <v>#REF!</v>
      </c>
      <c r="AD250" t="str">
        <f>AB250*0.01</f>
        <v>#REF!</v>
      </c>
      <c r="AE250" t="str">
        <f>AB250-Q250-AD250-R250</f>
        <v>#REF!</v>
      </c>
      <c r="AF250" t="str">
        <f>AC250-Q250-AD250-R250</f>
        <v>#REF!</v>
      </c>
      <c r="AG250" t="str">
        <f>AE250/V250</f>
        <v>#REF!</v>
      </c>
      <c r="AH250" t="str">
        <f>AF250/W250</f>
        <v>#REF!</v>
      </c>
    </row>
    <row r="251">
      <c r="G251" t="str">
        <v>A</v>
      </c>
      <c r="J251" t="str">
        <f>IF(K251&gt;0,K251*0.0625,IF(L251&gt;0,L251*2.204623,))</f>
        <v>#REF!</v>
      </c>
      <c r="K251" t="str">
        <f>IF(L251&gt;0,L251*35.273962,IF(J251&gt;0,J251*16,))</f>
        <v>#REF!</v>
      </c>
      <c r="L251" t="str">
        <f>IF(J251&gt;0,J251*0.453592,IF(K251&gt;0,K251*0.02835,))</f>
        <v>#REF!</v>
      </c>
      <c r="O251">
        <f>I251+N251+M251</f>
        <v>0</v>
      </c>
      <c r="P251">
        <f>O251*B$3</f>
        <v>0</v>
      </c>
      <c r="Q251">
        <f>ROUND(SUM(P251), -2)</f>
        <v>0</v>
      </c>
      <c r="R251" t="str">
        <f>ROUNDUP(HLOOKUP(IF(CEILING(L251,0.5)&lt;1,0.5,CEILING(L251,0.5)),'배송비 조회'!A$44:AO$56,7,0)*B$3,-2)</f>
        <v>#REF!</v>
      </c>
      <c r="S251">
        <v>0</v>
      </c>
      <c r="T251" t="str">
        <f>ROUND((Q251+R251)*0.3,-2)</f>
        <v>#REF!</v>
      </c>
      <c r="U251" t="str">
        <f>ROUND((Q251+R251)*0.4,-2)</f>
        <v>#REF!</v>
      </c>
      <c r="V251" t="str">
        <f>SUM(Q251:R251)+T251</f>
        <v>#REF!</v>
      </c>
      <c r="W251" t="str">
        <f>SUM(Q251:S251)+U251</f>
        <v>#REF!</v>
      </c>
      <c r="X251">
        <v>0</v>
      </c>
      <c r="Y251" t="str">
        <f>V251*0.038</f>
        <v>#REF!</v>
      </c>
      <c r="Z251" t="str">
        <f>V251*0.02</f>
        <v>#REF!</v>
      </c>
      <c r="AA251" t="str">
        <f>W251*0.1</f>
        <v>#REF!</v>
      </c>
      <c r="AB251" t="str">
        <f>V251-Y251-Z251</f>
        <v>#REF!</v>
      </c>
      <c r="AC251" t="str">
        <f>W251-AA251</f>
        <v>#REF!</v>
      </c>
      <c r="AD251" t="str">
        <f>AB251*0.01</f>
        <v>#REF!</v>
      </c>
      <c r="AE251" t="str">
        <f>AB251-Q251-AD251-R251</f>
        <v>#REF!</v>
      </c>
      <c r="AF251" t="str">
        <f>AC251-Q251-AD251-R251</f>
        <v>#REF!</v>
      </c>
      <c r="AG251" t="str">
        <f>AE251/V251</f>
        <v>#REF!</v>
      </c>
      <c r="AH251" t="str">
        <f>AF251/W251</f>
        <v>#REF!</v>
      </c>
    </row>
    <row r="252">
      <c r="G252" t="str">
        <v>A</v>
      </c>
      <c r="J252" t="str">
        <f>IF(K252&gt;0,K252*0.0625,IF(L252&gt;0,L252*2.204623,))</f>
        <v>#REF!</v>
      </c>
      <c r="K252" t="str">
        <f>IF(L252&gt;0,L252*35.273962,IF(J252&gt;0,J252*16,))</f>
        <v>#REF!</v>
      </c>
      <c r="L252" t="str">
        <f>IF(J252&gt;0,J252*0.453592,IF(K252&gt;0,K252*0.02835,))</f>
        <v>#REF!</v>
      </c>
      <c r="O252">
        <f>I252+N252+M252</f>
        <v>0</v>
      </c>
      <c r="P252">
        <f>O252*B$3</f>
        <v>0</v>
      </c>
      <c r="Q252">
        <f>ROUND(SUM(P252), -2)</f>
        <v>0</v>
      </c>
      <c r="R252" t="str">
        <f>ROUNDUP(HLOOKUP(IF(CEILING(L252,0.5)&lt;1,0.5,CEILING(L252,0.5)),'배송비 조회'!A$44:AO$56,7,0)*B$3,-2)</f>
        <v>#REF!</v>
      </c>
      <c r="S252">
        <v>0</v>
      </c>
      <c r="T252" t="str">
        <f>ROUND((Q252+R252)*0.3,-2)</f>
        <v>#REF!</v>
      </c>
      <c r="U252" t="str">
        <f>ROUND((Q252+R252)*0.4,-2)</f>
        <v>#REF!</v>
      </c>
      <c r="V252" t="str">
        <f>SUM(Q252:R252)+T252</f>
        <v>#REF!</v>
      </c>
      <c r="W252" t="str">
        <f>SUM(Q252:S252)+U252</f>
        <v>#REF!</v>
      </c>
      <c r="X252">
        <v>0</v>
      </c>
      <c r="Y252" t="str">
        <f>V252*0.038</f>
        <v>#REF!</v>
      </c>
      <c r="Z252" t="str">
        <f>V252*0.02</f>
        <v>#REF!</v>
      </c>
      <c r="AA252" t="str">
        <f>W252*0.1</f>
        <v>#REF!</v>
      </c>
      <c r="AB252" t="str">
        <f>V252-Y252-Z252</f>
        <v>#REF!</v>
      </c>
      <c r="AC252" t="str">
        <f>W252-AA252</f>
        <v>#REF!</v>
      </c>
      <c r="AD252" t="str">
        <f>AB252*0.01</f>
        <v>#REF!</v>
      </c>
      <c r="AE252" t="str">
        <f>AB252-Q252-AD252-R252</f>
        <v>#REF!</v>
      </c>
      <c r="AF252" t="str">
        <f>AC252-Q252-AD252-R252</f>
        <v>#REF!</v>
      </c>
      <c r="AG252" t="str">
        <f>AE252/V252</f>
        <v>#REF!</v>
      </c>
      <c r="AH252" t="str">
        <f>AF252/W252</f>
        <v>#REF!</v>
      </c>
    </row>
    <row r="253">
      <c r="G253" t="str">
        <v>A</v>
      </c>
      <c r="J253" t="str">
        <f>IF(K253&gt;0,K253*0.0625,IF(L253&gt;0,L253*2.204623,))</f>
        <v>#REF!</v>
      </c>
      <c r="K253" t="str">
        <f>IF(L253&gt;0,L253*35.273962,IF(J253&gt;0,J253*16,))</f>
        <v>#REF!</v>
      </c>
      <c r="L253" t="str">
        <f>IF(J253&gt;0,J253*0.453592,IF(K253&gt;0,K253*0.02835,))</f>
        <v>#REF!</v>
      </c>
      <c r="O253">
        <f>I253+N253+M253</f>
        <v>0</v>
      </c>
      <c r="P253">
        <f>O253*B$3</f>
        <v>0</v>
      </c>
      <c r="Q253">
        <f>ROUND(SUM(P253), -2)</f>
        <v>0</v>
      </c>
      <c r="R253" t="str">
        <f>ROUNDUP(HLOOKUP(IF(CEILING(L253,0.5)&lt;1,0.5,CEILING(L253,0.5)),'배송비 조회'!A$44:AO$56,7,0)*B$3,-2)</f>
        <v>#REF!</v>
      </c>
      <c r="S253">
        <v>0</v>
      </c>
      <c r="T253" t="str">
        <f>ROUND((Q253+R253)*0.3,-2)</f>
        <v>#REF!</v>
      </c>
      <c r="U253" t="str">
        <f>ROUND((Q253+R253)*0.4,-2)</f>
        <v>#REF!</v>
      </c>
      <c r="V253" t="str">
        <f>SUM(Q253:R253)+T253</f>
        <v>#REF!</v>
      </c>
      <c r="W253" t="str">
        <f>SUM(Q253:S253)+U253</f>
        <v>#REF!</v>
      </c>
      <c r="X253">
        <v>0</v>
      </c>
      <c r="Y253" t="str">
        <f>V253*0.038</f>
        <v>#REF!</v>
      </c>
      <c r="Z253" t="str">
        <f>V253*0.02</f>
        <v>#REF!</v>
      </c>
      <c r="AA253" t="str">
        <f>W253*0.1</f>
        <v>#REF!</v>
      </c>
      <c r="AB253" t="str">
        <f>V253-Y253-Z253</f>
        <v>#REF!</v>
      </c>
      <c r="AC253" t="str">
        <f>W253-AA253</f>
        <v>#REF!</v>
      </c>
      <c r="AD253" t="str">
        <f>AB253*0.01</f>
        <v>#REF!</v>
      </c>
      <c r="AE253" t="str">
        <f>AB253-Q253-AD253-R253</f>
        <v>#REF!</v>
      </c>
      <c r="AF253" t="str">
        <f>AC253-Q253-AD253-R253</f>
        <v>#REF!</v>
      </c>
      <c r="AG253" t="str">
        <f>AE253/V253</f>
        <v>#REF!</v>
      </c>
      <c r="AH253" t="str">
        <f>AF253/W253</f>
        <v>#REF!</v>
      </c>
    </row>
    <row r="254">
      <c r="G254" t="str">
        <v>A</v>
      </c>
      <c r="J254" t="str">
        <f>IF(K254&gt;0,K254*0.0625,IF(L254&gt;0,L254*2.204623,))</f>
        <v>#REF!</v>
      </c>
      <c r="K254" t="str">
        <f>IF(L254&gt;0,L254*35.273962,IF(J254&gt;0,J254*16,))</f>
        <v>#REF!</v>
      </c>
      <c r="L254" t="str">
        <f>IF(J254&gt;0,J254*0.453592,IF(K254&gt;0,K254*0.02835,))</f>
        <v>#REF!</v>
      </c>
      <c r="O254">
        <f>I254+N254+M254</f>
        <v>0</v>
      </c>
      <c r="P254">
        <f>O254*B$3</f>
        <v>0</v>
      </c>
      <c r="Q254">
        <f>ROUND(SUM(P254), -2)</f>
        <v>0</v>
      </c>
      <c r="R254" t="str">
        <f>ROUNDUP(HLOOKUP(IF(CEILING(L254,0.5)&lt;1,0.5,CEILING(L254,0.5)),'배송비 조회'!A$44:AO$56,7,0)*B$3,-2)</f>
        <v>#REF!</v>
      </c>
      <c r="S254">
        <v>0</v>
      </c>
      <c r="T254" t="str">
        <f>ROUND((Q254+R254)*0.3,-2)</f>
        <v>#REF!</v>
      </c>
      <c r="U254" t="str">
        <f>ROUND((Q254+R254)*0.4,-2)</f>
        <v>#REF!</v>
      </c>
      <c r="V254" t="str">
        <f>SUM(Q254:R254)+T254</f>
        <v>#REF!</v>
      </c>
      <c r="W254" t="str">
        <f>SUM(Q254:S254)+U254</f>
        <v>#REF!</v>
      </c>
      <c r="X254">
        <v>0</v>
      </c>
      <c r="Y254" t="str">
        <f>V254*0.038</f>
        <v>#REF!</v>
      </c>
      <c r="Z254" t="str">
        <f>V254*0.02</f>
        <v>#REF!</v>
      </c>
      <c r="AA254" t="str">
        <f>W254*0.1</f>
        <v>#REF!</v>
      </c>
      <c r="AB254" t="str">
        <f>V254-Y254-Z254</f>
        <v>#REF!</v>
      </c>
      <c r="AC254" t="str">
        <f>W254-AA254</f>
        <v>#REF!</v>
      </c>
      <c r="AD254" t="str">
        <f>AB254*0.01</f>
        <v>#REF!</v>
      </c>
      <c r="AE254" t="str">
        <f>AB254-Q254-AD254-R254</f>
        <v>#REF!</v>
      </c>
      <c r="AF254" t="str">
        <f>AC254-Q254-AD254-R254</f>
        <v>#REF!</v>
      </c>
      <c r="AG254" t="str">
        <f>AE254/V254</f>
        <v>#REF!</v>
      </c>
      <c r="AH254" t="str">
        <f>AF254/W254</f>
        <v>#REF!</v>
      </c>
    </row>
    <row r="255">
      <c r="G255" t="str">
        <v>A</v>
      </c>
      <c r="J255" t="str">
        <f>IF(K255&gt;0,K255*0.0625,IF(L255&gt;0,L255*2.204623,))</f>
        <v>#REF!</v>
      </c>
      <c r="K255" t="str">
        <f>IF(L255&gt;0,L255*35.273962,IF(J255&gt;0,J255*16,))</f>
        <v>#REF!</v>
      </c>
      <c r="L255" t="str">
        <f>IF(J255&gt;0,J255*0.453592,IF(K255&gt;0,K255*0.02835,))</f>
        <v>#REF!</v>
      </c>
      <c r="O255">
        <f>I255+N255+M255</f>
        <v>0</v>
      </c>
      <c r="P255">
        <f>O255*B$3</f>
        <v>0</v>
      </c>
      <c r="Q255">
        <f>ROUND(SUM(P255), -2)</f>
        <v>0</v>
      </c>
      <c r="R255" t="str">
        <f>ROUNDUP(HLOOKUP(IF(CEILING(L255,0.5)&lt;1,0.5,CEILING(L255,0.5)),'배송비 조회'!A$44:AO$56,7,0)*B$3,-2)</f>
        <v>#REF!</v>
      </c>
      <c r="S255">
        <v>0</v>
      </c>
      <c r="T255" t="str">
        <f>ROUND((Q255+R255)*0.3,-2)</f>
        <v>#REF!</v>
      </c>
      <c r="U255" t="str">
        <f>ROUND((Q255+R255)*0.4,-2)</f>
        <v>#REF!</v>
      </c>
      <c r="V255" t="str">
        <f>SUM(Q255:R255)+T255</f>
        <v>#REF!</v>
      </c>
      <c r="W255" t="str">
        <f>SUM(Q255:S255)+U255</f>
        <v>#REF!</v>
      </c>
      <c r="X255">
        <v>0</v>
      </c>
      <c r="Y255" t="str">
        <f>V255*0.038</f>
        <v>#REF!</v>
      </c>
      <c r="Z255" t="str">
        <f>V255*0.02</f>
        <v>#REF!</v>
      </c>
      <c r="AA255" t="str">
        <f>W255*0.1</f>
        <v>#REF!</v>
      </c>
      <c r="AB255" t="str">
        <f>V255-Y255-Z255</f>
        <v>#REF!</v>
      </c>
      <c r="AC255" t="str">
        <f>W255-AA255</f>
        <v>#REF!</v>
      </c>
      <c r="AD255" t="str">
        <f>AB255*0.01</f>
        <v>#REF!</v>
      </c>
      <c r="AE255" t="str">
        <f>AB255-Q255-AD255-R255</f>
        <v>#REF!</v>
      </c>
      <c r="AF255" t="str">
        <f>AC255-Q255-AD255-R255</f>
        <v>#REF!</v>
      </c>
      <c r="AG255" t="str">
        <f>AE255/V255</f>
        <v>#REF!</v>
      </c>
      <c r="AH255" t="str">
        <f>AF255/W255</f>
        <v>#REF!</v>
      </c>
    </row>
    <row r="256">
      <c r="G256" t="str">
        <v>A</v>
      </c>
      <c r="J256" t="str">
        <f>IF(K256&gt;0,K256*0.0625,IF(L256&gt;0,L256*2.204623,))</f>
        <v>#REF!</v>
      </c>
      <c r="K256" t="str">
        <f>IF(L256&gt;0,L256*35.273962,IF(J256&gt;0,J256*16,))</f>
        <v>#REF!</v>
      </c>
      <c r="L256" t="str">
        <f>IF(J256&gt;0,J256*0.453592,IF(K256&gt;0,K256*0.02835,))</f>
        <v>#REF!</v>
      </c>
      <c r="O256">
        <f>I256+N256+M256</f>
        <v>0</v>
      </c>
      <c r="P256">
        <f>O256*B$3</f>
        <v>0</v>
      </c>
      <c r="Q256">
        <f>ROUND(SUM(P256), -2)</f>
        <v>0</v>
      </c>
      <c r="R256" t="str">
        <f>ROUNDUP(HLOOKUP(IF(CEILING(L256,0.5)&lt;1,0.5,CEILING(L256,0.5)),'배송비 조회'!A$44:AO$56,7,0)*B$3,-2)</f>
        <v>#REF!</v>
      </c>
      <c r="S256">
        <v>0</v>
      </c>
      <c r="T256" t="str">
        <f>ROUND((Q256+R256)*0.3,-2)</f>
        <v>#REF!</v>
      </c>
      <c r="U256" t="str">
        <f>ROUND((Q256+R256)*0.4,-2)</f>
        <v>#REF!</v>
      </c>
      <c r="V256" t="str">
        <f>SUM(Q256:R256)+T256</f>
        <v>#REF!</v>
      </c>
      <c r="W256" t="str">
        <f>SUM(Q256:S256)+U256</f>
        <v>#REF!</v>
      </c>
      <c r="X256">
        <v>0</v>
      </c>
      <c r="Y256" t="str">
        <f>V256*0.038</f>
        <v>#REF!</v>
      </c>
      <c r="Z256" t="str">
        <f>V256*0.02</f>
        <v>#REF!</v>
      </c>
      <c r="AA256" t="str">
        <f>W256*0.1</f>
        <v>#REF!</v>
      </c>
      <c r="AB256" t="str">
        <f>V256-Y256-Z256</f>
        <v>#REF!</v>
      </c>
      <c r="AC256" t="str">
        <f>W256-AA256</f>
        <v>#REF!</v>
      </c>
      <c r="AD256" t="str">
        <f>AB256*0.01</f>
        <v>#REF!</v>
      </c>
      <c r="AE256" t="str">
        <f>AB256-Q256-AD256-R256</f>
        <v>#REF!</v>
      </c>
      <c r="AF256" t="str">
        <f>AC256-Q256-AD256-R256</f>
        <v>#REF!</v>
      </c>
      <c r="AG256" t="str">
        <f>AE256/V256</f>
        <v>#REF!</v>
      </c>
      <c r="AH256" t="str">
        <f>AF256/W256</f>
        <v>#REF!</v>
      </c>
    </row>
    <row r="257">
      <c r="G257" t="str">
        <v>A</v>
      </c>
      <c r="J257" t="str">
        <f>IF(K257&gt;0,K257*0.0625,IF(L257&gt;0,L257*2.204623,))</f>
        <v>#REF!</v>
      </c>
      <c r="K257" t="str">
        <f>IF(L257&gt;0,L257*35.273962,IF(J257&gt;0,J257*16,))</f>
        <v>#REF!</v>
      </c>
      <c r="L257" t="str">
        <f>IF(J257&gt;0,J257*0.453592,IF(K257&gt;0,K257*0.02835,))</f>
        <v>#REF!</v>
      </c>
      <c r="O257">
        <f>I257+N257+M257</f>
        <v>0</v>
      </c>
      <c r="P257">
        <f>O257*B$3</f>
        <v>0</v>
      </c>
      <c r="Q257">
        <f>ROUND(SUM(P257), -2)</f>
        <v>0</v>
      </c>
      <c r="R257" t="str">
        <f>ROUNDUP(HLOOKUP(IF(CEILING(L257,0.5)&lt;1,0.5,CEILING(L257,0.5)),'배송비 조회'!A$44:AO$56,7,0)*B$3,-2)</f>
        <v>#REF!</v>
      </c>
      <c r="S257">
        <v>0</v>
      </c>
      <c r="T257" t="str">
        <f>ROUND((Q257+R257)*0.3,-2)</f>
        <v>#REF!</v>
      </c>
      <c r="U257" t="str">
        <f>ROUND((Q257+R257)*0.4,-2)</f>
        <v>#REF!</v>
      </c>
      <c r="V257" t="str">
        <f>SUM(Q257:R257)+T257</f>
        <v>#REF!</v>
      </c>
      <c r="W257" t="str">
        <f>SUM(Q257:S257)+U257</f>
        <v>#REF!</v>
      </c>
      <c r="X257">
        <v>0</v>
      </c>
      <c r="Y257" t="str">
        <f>V257*0.038</f>
        <v>#REF!</v>
      </c>
      <c r="Z257" t="str">
        <f>V257*0.02</f>
        <v>#REF!</v>
      </c>
      <c r="AA257" t="str">
        <f>W257*0.1</f>
        <v>#REF!</v>
      </c>
      <c r="AB257" t="str">
        <f>V257-Y257-Z257</f>
        <v>#REF!</v>
      </c>
      <c r="AC257" t="str">
        <f>W257-AA257</f>
        <v>#REF!</v>
      </c>
      <c r="AD257" t="str">
        <f>AB257*0.01</f>
        <v>#REF!</v>
      </c>
      <c r="AE257" t="str">
        <f>AB257-Q257-AD257-R257</f>
        <v>#REF!</v>
      </c>
      <c r="AF257" t="str">
        <f>AC257-Q257-AD257-R257</f>
        <v>#REF!</v>
      </c>
      <c r="AG257" t="str">
        <f>AE257/V257</f>
        <v>#REF!</v>
      </c>
      <c r="AH257" t="str">
        <f>AF257/W257</f>
        <v>#REF!</v>
      </c>
    </row>
    <row r="258">
      <c r="G258" t="str">
        <v>A</v>
      </c>
      <c r="J258" t="str">
        <f>IF(K258&gt;0,K258*0.0625,IF(L258&gt;0,L258*2.204623,))</f>
        <v>#REF!</v>
      </c>
      <c r="K258" t="str">
        <f>IF(L258&gt;0,L258*35.273962,IF(J258&gt;0,J258*16,))</f>
        <v>#REF!</v>
      </c>
      <c r="L258" t="str">
        <f>IF(J258&gt;0,J258*0.453592,IF(K258&gt;0,K258*0.02835,))</f>
        <v>#REF!</v>
      </c>
      <c r="O258">
        <f>I258+N258+M258</f>
        <v>0</v>
      </c>
      <c r="P258">
        <f>O258*B$3</f>
        <v>0</v>
      </c>
      <c r="Q258">
        <f>ROUND(SUM(P258), -2)</f>
        <v>0</v>
      </c>
      <c r="R258" t="str">
        <f>ROUNDUP(HLOOKUP(IF(CEILING(L258,0.5)&lt;1,0.5,CEILING(L258,0.5)),'배송비 조회'!A$44:AO$56,7,0)*B$3,-2)</f>
        <v>#REF!</v>
      </c>
      <c r="S258">
        <v>0</v>
      </c>
      <c r="T258" t="str">
        <f>ROUND((Q258+R258)*0.3,-2)</f>
        <v>#REF!</v>
      </c>
      <c r="U258" t="str">
        <f>ROUND((Q258+R258)*0.4,-2)</f>
        <v>#REF!</v>
      </c>
      <c r="V258" t="str">
        <f>SUM(Q258:R258)+T258</f>
        <v>#REF!</v>
      </c>
      <c r="W258" t="str">
        <f>SUM(Q258:S258)+U258</f>
        <v>#REF!</v>
      </c>
      <c r="X258">
        <v>0</v>
      </c>
      <c r="Y258" t="str">
        <f>V258*0.038</f>
        <v>#REF!</v>
      </c>
      <c r="Z258" t="str">
        <f>V258*0.02</f>
        <v>#REF!</v>
      </c>
      <c r="AA258" t="str">
        <f>W258*0.1</f>
        <v>#REF!</v>
      </c>
      <c r="AB258" t="str">
        <f>V258-Y258-Z258</f>
        <v>#REF!</v>
      </c>
      <c r="AC258" t="str">
        <f>W258-AA258</f>
        <v>#REF!</v>
      </c>
      <c r="AD258" t="str">
        <f>AB258*0.01</f>
        <v>#REF!</v>
      </c>
      <c r="AE258" t="str">
        <f>AB258-Q258-AD258-R258</f>
        <v>#REF!</v>
      </c>
      <c r="AF258" t="str">
        <f>AC258-Q258-AD258-R258</f>
        <v>#REF!</v>
      </c>
      <c r="AG258" t="str">
        <f>AE258/V258</f>
        <v>#REF!</v>
      </c>
      <c r="AH258" t="str">
        <f>AF258/W258</f>
        <v>#REF!</v>
      </c>
    </row>
    <row r="259">
      <c r="G259" t="str">
        <v>A</v>
      </c>
      <c r="J259" t="str">
        <f>IF(K259&gt;0,K259*0.0625,IF(L259&gt;0,L259*2.204623,))</f>
        <v>#REF!</v>
      </c>
      <c r="K259" t="str">
        <f>IF(L259&gt;0,L259*35.273962,IF(J259&gt;0,J259*16,))</f>
        <v>#REF!</v>
      </c>
      <c r="L259" t="str">
        <f>IF(J259&gt;0,J259*0.453592,IF(K259&gt;0,K259*0.02835,))</f>
        <v>#REF!</v>
      </c>
      <c r="O259">
        <f>I259+N259+M259</f>
        <v>0</v>
      </c>
      <c r="P259">
        <f>O259*B$3</f>
        <v>0</v>
      </c>
      <c r="Q259">
        <f>ROUND(SUM(P259), -2)</f>
        <v>0</v>
      </c>
      <c r="R259" t="str">
        <f>ROUNDUP(HLOOKUP(IF(CEILING(L259,0.5)&lt;1,0.5,CEILING(L259,0.5)),'배송비 조회'!A$44:AO$56,7,0)*B$3,-2)</f>
        <v>#REF!</v>
      </c>
      <c r="S259">
        <v>0</v>
      </c>
      <c r="T259" t="str">
        <f>ROUND((Q259+R259)*0.3,-2)</f>
        <v>#REF!</v>
      </c>
      <c r="U259" t="str">
        <f>ROUND((Q259+R259)*0.4,-2)</f>
        <v>#REF!</v>
      </c>
      <c r="V259" t="str">
        <f>SUM(Q259:R259)+T259</f>
        <v>#REF!</v>
      </c>
      <c r="W259" t="str">
        <f>SUM(Q259:S259)+U259</f>
        <v>#REF!</v>
      </c>
      <c r="X259">
        <v>0</v>
      </c>
      <c r="Y259" t="str">
        <f>V259*0.038</f>
        <v>#REF!</v>
      </c>
      <c r="Z259" t="str">
        <f>V259*0.02</f>
        <v>#REF!</v>
      </c>
      <c r="AA259" t="str">
        <f>W259*0.1</f>
        <v>#REF!</v>
      </c>
      <c r="AB259" t="str">
        <f>V259-Y259-Z259</f>
        <v>#REF!</v>
      </c>
      <c r="AC259" t="str">
        <f>W259-AA259</f>
        <v>#REF!</v>
      </c>
      <c r="AD259" t="str">
        <f>AB259*0.01</f>
        <v>#REF!</v>
      </c>
      <c r="AE259" t="str">
        <f>AB259-Q259-AD259-R259</f>
        <v>#REF!</v>
      </c>
      <c r="AF259" t="str">
        <f>AC259-Q259-AD259-R259</f>
        <v>#REF!</v>
      </c>
      <c r="AG259" t="str">
        <f>AE259/V259</f>
        <v>#REF!</v>
      </c>
      <c r="AH259" t="str">
        <f>AF259/W259</f>
        <v>#REF!</v>
      </c>
    </row>
    <row r="260">
      <c r="G260" t="str">
        <v>A</v>
      </c>
      <c r="J260" t="str">
        <f>IF(K260&gt;0,K260*0.0625,IF(L260&gt;0,L260*2.204623,))</f>
        <v>#REF!</v>
      </c>
      <c r="K260" t="str">
        <f>IF(L260&gt;0,L260*35.273962,IF(J260&gt;0,J260*16,))</f>
        <v>#REF!</v>
      </c>
      <c r="L260" t="str">
        <f>IF(J260&gt;0,J260*0.453592,IF(K260&gt;0,K260*0.02835,))</f>
        <v>#REF!</v>
      </c>
      <c r="O260">
        <f>I260+N260+M260</f>
        <v>0</v>
      </c>
      <c r="P260">
        <f>O260*B$3</f>
        <v>0</v>
      </c>
      <c r="Q260">
        <f>ROUND(SUM(P260), -2)</f>
        <v>0</v>
      </c>
      <c r="R260" t="str">
        <f>ROUNDUP(HLOOKUP(IF(CEILING(L260,0.5)&lt;1,0.5,CEILING(L260,0.5)),'배송비 조회'!A$44:AO$56,7,0)*B$3,-2)</f>
        <v>#REF!</v>
      </c>
      <c r="S260">
        <v>0</v>
      </c>
      <c r="T260" t="str">
        <f>ROUND((Q260+R260)*0.3,-2)</f>
        <v>#REF!</v>
      </c>
      <c r="U260" t="str">
        <f>ROUND((Q260+R260)*0.4,-2)</f>
        <v>#REF!</v>
      </c>
      <c r="V260" t="str">
        <f>SUM(Q260:R260)+T260</f>
        <v>#REF!</v>
      </c>
      <c r="W260" t="str">
        <f>SUM(Q260:S260)+U260</f>
        <v>#REF!</v>
      </c>
      <c r="X260">
        <v>0</v>
      </c>
      <c r="Y260" t="str">
        <f>V260*0.038</f>
        <v>#REF!</v>
      </c>
      <c r="Z260" t="str">
        <f>V260*0.02</f>
        <v>#REF!</v>
      </c>
      <c r="AA260" t="str">
        <f>W260*0.1</f>
        <v>#REF!</v>
      </c>
      <c r="AB260" t="str">
        <f>V260-Y260-Z260</f>
        <v>#REF!</v>
      </c>
      <c r="AC260" t="str">
        <f>W260-AA260</f>
        <v>#REF!</v>
      </c>
      <c r="AD260" t="str">
        <f>AB260*0.01</f>
        <v>#REF!</v>
      </c>
      <c r="AE260" t="str">
        <f>AB260-Q260-AD260-R260</f>
        <v>#REF!</v>
      </c>
      <c r="AF260" t="str">
        <f>AC260-Q260-AD260-R260</f>
        <v>#REF!</v>
      </c>
      <c r="AG260" t="str">
        <f>AE260/V260</f>
        <v>#REF!</v>
      </c>
      <c r="AH260" t="str">
        <f>AF260/W260</f>
        <v>#REF!</v>
      </c>
    </row>
    <row r="261">
      <c r="G261" t="str">
        <v>A</v>
      </c>
      <c r="J261" t="str">
        <f>IF(K261&gt;0,K261*0.0625,IF(L261&gt;0,L261*2.204623,))</f>
        <v>#REF!</v>
      </c>
      <c r="K261" t="str">
        <f>IF(L261&gt;0,L261*35.273962,IF(J261&gt;0,J261*16,))</f>
        <v>#REF!</v>
      </c>
      <c r="L261" t="str">
        <f>IF(J261&gt;0,J261*0.453592,IF(K261&gt;0,K261*0.02835,))</f>
        <v>#REF!</v>
      </c>
      <c r="O261">
        <f>I261+N261+M261</f>
        <v>0</v>
      </c>
      <c r="P261">
        <f>O261*B$3</f>
        <v>0</v>
      </c>
      <c r="Q261">
        <f>ROUND(SUM(P261), -2)</f>
        <v>0</v>
      </c>
      <c r="R261" t="str">
        <f>ROUNDUP(HLOOKUP(IF(CEILING(L261,0.5)&lt;1,0.5,CEILING(L261,0.5)),'배송비 조회'!A$44:AO$56,7,0)*B$3,-2)</f>
        <v>#REF!</v>
      </c>
      <c r="S261">
        <v>0</v>
      </c>
      <c r="T261" t="str">
        <f>ROUND((Q261+R261)*0.3,-2)</f>
        <v>#REF!</v>
      </c>
      <c r="U261" t="str">
        <f>ROUND((Q261+R261)*0.4,-2)</f>
        <v>#REF!</v>
      </c>
      <c r="V261" t="str">
        <f>SUM(Q261:R261)+T261</f>
        <v>#REF!</v>
      </c>
      <c r="W261" t="str">
        <f>SUM(Q261:S261)+U261</f>
        <v>#REF!</v>
      </c>
      <c r="X261">
        <v>0</v>
      </c>
      <c r="Y261" t="str">
        <f>V261*0.038</f>
        <v>#REF!</v>
      </c>
      <c r="Z261" t="str">
        <f>V261*0.02</f>
        <v>#REF!</v>
      </c>
      <c r="AA261" t="str">
        <f>W261*0.1</f>
        <v>#REF!</v>
      </c>
      <c r="AB261" t="str">
        <f>V261-Y261-Z261</f>
        <v>#REF!</v>
      </c>
      <c r="AC261" t="str">
        <f>W261-AA261</f>
        <v>#REF!</v>
      </c>
      <c r="AD261" t="str">
        <f>AB261*0.01</f>
        <v>#REF!</v>
      </c>
      <c r="AE261" t="str">
        <f>AB261-Q261-AD261-R261</f>
        <v>#REF!</v>
      </c>
      <c r="AF261" t="str">
        <f>AC261-Q261-AD261-R261</f>
        <v>#REF!</v>
      </c>
      <c r="AG261" t="str">
        <f>AE261/V261</f>
        <v>#REF!</v>
      </c>
      <c r="AH261" t="str">
        <f>AF261/W261</f>
        <v>#REF!</v>
      </c>
    </row>
    <row r="262">
      <c r="G262" t="str">
        <v>A</v>
      </c>
      <c r="J262" t="str">
        <f>IF(K262&gt;0,K262*0.0625,IF(L262&gt;0,L262*2.204623,))</f>
        <v>#REF!</v>
      </c>
      <c r="K262" t="str">
        <f>IF(L262&gt;0,L262*35.273962,IF(J262&gt;0,J262*16,))</f>
        <v>#REF!</v>
      </c>
      <c r="L262" t="str">
        <f>IF(J262&gt;0,J262*0.453592,IF(K262&gt;0,K262*0.02835,))</f>
        <v>#REF!</v>
      </c>
      <c r="O262">
        <f>I262+N262+M262</f>
        <v>0</v>
      </c>
      <c r="P262">
        <f>O262*B$3</f>
        <v>0</v>
      </c>
      <c r="Q262">
        <f>ROUND(SUM(P262), -2)</f>
        <v>0</v>
      </c>
      <c r="R262" t="str">
        <f>ROUNDUP(HLOOKUP(IF(CEILING(L262,0.5)&lt;1,0.5,CEILING(L262,0.5)),'배송비 조회'!A$44:AO$56,7,0)*B$3,-2)</f>
        <v>#REF!</v>
      </c>
      <c r="S262">
        <v>0</v>
      </c>
      <c r="T262" t="str">
        <f>ROUND((Q262+R262)*0.3,-2)</f>
        <v>#REF!</v>
      </c>
      <c r="U262" t="str">
        <f>ROUND((Q262+R262)*0.4,-2)</f>
        <v>#REF!</v>
      </c>
      <c r="V262" t="str">
        <f>SUM(Q262:R262)+T262</f>
        <v>#REF!</v>
      </c>
      <c r="W262" t="str">
        <f>SUM(Q262:S262)+U262</f>
        <v>#REF!</v>
      </c>
      <c r="X262">
        <v>0</v>
      </c>
      <c r="Y262" t="str">
        <f>V262*0.038</f>
        <v>#REF!</v>
      </c>
      <c r="Z262" t="str">
        <f>V262*0.02</f>
        <v>#REF!</v>
      </c>
      <c r="AA262" t="str">
        <f>W262*0.1</f>
        <v>#REF!</v>
      </c>
      <c r="AB262" t="str">
        <f>V262-Y262-Z262</f>
        <v>#REF!</v>
      </c>
      <c r="AC262" t="str">
        <f>W262-AA262</f>
        <v>#REF!</v>
      </c>
      <c r="AD262" t="str">
        <f>AB262*0.01</f>
        <v>#REF!</v>
      </c>
      <c r="AE262" t="str">
        <f>AB262-Q262-AD262-R262</f>
        <v>#REF!</v>
      </c>
      <c r="AF262" t="str">
        <f>AC262-Q262-AD262-R262</f>
        <v>#REF!</v>
      </c>
      <c r="AG262" t="str">
        <f>AE262/V262</f>
        <v>#REF!</v>
      </c>
      <c r="AH262" t="str">
        <f>AF262/W262</f>
        <v>#REF!</v>
      </c>
    </row>
    <row r="263">
      <c r="G263" t="str">
        <v>A</v>
      </c>
      <c r="J263" t="str">
        <f>IF(K263&gt;0,K263*0.0625,IF(L263&gt;0,L263*2.204623,))</f>
        <v>#REF!</v>
      </c>
      <c r="K263" t="str">
        <f>IF(L263&gt;0,L263*35.273962,IF(J263&gt;0,J263*16,))</f>
        <v>#REF!</v>
      </c>
      <c r="L263" t="str">
        <f>IF(J263&gt;0,J263*0.453592,IF(K263&gt;0,K263*0.02835,))</f>
        <v>#REF!</v>
      </c>
      <c r="O263">
        <f>I263+N263+M263</f>
        <v>0</v>
      </c>
      <c r="P263">
        <f>O263*B$3</f>
        <v>0</v>
      </c>
      <c r="Q263">
        <f>ROUND(SUM(P263), -2)</f>
        <v>0</v>
      </c>
      <c r="R263" t="str">
        <f>ROUNDUP(HLOOKUP(IF(CEILING(L263,0.5)&lt;1,0.5,CEILING(L263,0.5)),'배송비 조회'!A$44:AO$56,7,0)*B$3,-2)</f>
        <v>#REF!</v>
      </c>
      <c r="S263">
        <v>0</v>
      </c>
      <c r="T263" t="str">
        <f>ROUND((Q263+R263)*0.3,-2)</f>
        <v>#REF!</v>
      </c>
      <c r="U263" t="str">
        <f>ROUND((Q263+R263)*0.4,-2)</f>
        <v>#REF!</v>
      </c>
      <c r="V263" t="str">
        <f>SUM(Q263:R263)+T263</f>
        <v>#REF!</v>
      </c>
      <c r="W263" t="str">
        <f>SUM(Q263:S263)+U263</f>
        <v>#REF!</v>
      </c>
      <c r="X263">
        <v>0</v>
      </c>
      <c r="Y263" t="str">
        <f>V263*0.038</f>
        <v>#REF!</v>
      </c>
      <c r="Z263" t="str">
        <f>V263*0.02</f>
        <v>#REF!</v>
      </c>
      <c r="AA263" t="str">
        <f>W263*0.1</f>
        <v>#REF!</v>
      </c>
      <c r="AB263" t="str">
        <f>V263-Y263-Z263</f>
        <v>#REF!</v>
      </c>
      <c r="AC263" t="str">
        <f>W263-AA263</f>
        <v>#REF!</v>
      </c>
      <c r="AD263" t="str">
        <f>AB263*0.01</f>
        <v>#REF!</v>
      </c>
      <c r="AE263" t="str">
        <f>AB263-Q263-AD263-R263</f>
        <v>#REF!</v>
      </c>
      <c r="AF263" t="str">
        <f>AC263-Q263-AD263-R263</f>
        <v>#REF!</v>
      </c>
      <c r="AG263" t="str">
        <f>AE263/V263</f>
        <v>#REF!</v>
      </c>
      <c r="AH263" t="str">
        <f>AF263/W263</f>
        <v>#REF!</v>
      </c>
    </row>
    <row r="264">
      <c r="G264" t="str">
        <v>A</v>
      </c>
      <c r="J264" t="str">
        <f>IF(K264&gt;0,K264*0.0625,IF(L264&gt;0,L264*2.204623,))</f>
        <v>#REF!</v>
      </c>
      <c r="K264" t="str">
        <f>IF(L264&gt;0,L264*35.273962,IF(J264&gt;0,J264*16,))</f>
        <v>#REF!</v>
      </c>
      <c r="L264" t="str">
        <f>IF(J264&gt;0,J264*0.453592,IF(K264&gt;0,K264*0.02835,))</f>
        <v>#REF!</v>
      </c>
      <c r="O264">
        <f>I264+N264+M264</f>
        <v>0</v>
      </c>
      <c r="P264">
        <f>O264*B$3</f>
        <v>0</v>
      </c>
      <c r="Q264">
        <f>ROUND(SUM(P264), -2)</f>
        <v>0</v>
      </c>
      <c r="R264" t="str">
        <f>ROUNDUP(HLOOKUP(IF(CEILING(L264,0.5)&lt;1,0.5,CEILING(L264,0.5)),'배송비 조회'!A$44:AO$56,7,0)*B$3,-2)</f>
        <v>#REF!</v>
      </c>
      <c r="S264">
        <v>0</v>
      </c>
      <c r="T264" t="str">
        <f>ROUND((Q264+R264)*0.3,-2)</f>
        <v>#REF!</v>
      </c>
      <c r="U264" t="str">
        <f>ROUND((Q264+R264)*0.4,-2)</f>
        <v>#REF!</v>
      </c>
      <c r="V264" t="str">
        <f>SUM(Q264:R264)+T264</f>
        <v>#REF!</v>
      </c>
      <c r="W264" t="str">
        <f>SUM(Q264:S264)+U264</f>
        <v>#REF!</v>
      </c>
      <c r="X264">
        <v>0</v>
      </c>
      <c r="Y264" t="str">
        <f>V264*0.038</f>
        <v>#REF!</v>
      </c>
      <c r="Z264" t="str">
        <f>V264*0.02</f>
        <v>#REF!</v>
      </c>
      <c r="AA264" t="str">
        <f>W264*0.1</f>
        <v>#REF!</v>
      </c>
      <c r="AB264" t="str">
        <f>V264-Y264-Z264</f>
        <v>#REF!</v>
      </c>
      <c r="AC264" t="str">
        <f>W264-AA264</f>
        <v>#REF!</v>
      </c>
      <c r="AD264" t="str">
        <f>AB264*0.01</f>
        <v>#REF!</v>
      </c>
      <c r="AE264" t="str">
        <f>AB264-Q264-AD264-R264</f>
        <v>#REF!</v>
      </c>
      <c r="AF264" t="str">
        <f>AC264-Q264-AD264-R264</f>
        <v>#REF!</v>
      </c>
      <c r="AG264" t="str">
        <f>AE264/V264</f>
        <v>#REF!</v>
      </c>
      <c r="AH264" t="str">
        <f>AF264/W264</f>
        <v>#REF!</v>
      </c>
    </row>
    <row r="265">
      <c r="G265" t="str">
        <v>A</v>
      </c>
      <c r="J265" t="str">
        <f>IF(K265&gt;0,K265*0.0625,IF(L265&gt;0,L265*2.204623,))</f>
        <v>#REF!</v>
      </c>
      <c r="K265" t="str">
        <f>IF(L265&gt;0,L265*35.273962,IF(J265&gt;0,J265*16,))</f>
        <v>#REF!</v>
      </c>
      <c r="L265" t="str">
        <f>IF(J265&gt;0,J265*0.453592,IF(K265&gt;0,K265*0.02835,))</f>
        <v>#REF!</v>
      </c>
      <c r="O265">
        <f>I265+N265+M265</f>
        <v>0</v>
      </c>
      <c r="P265">
        <f>O265*B$3</f>
        <v>0</v>
      </c>
      <c r="Q265">
        <f>ROUND(SUM(P265), -2)</f>
        <v>0</v>
      </c>
      <c r="R265" t="str">
        <f>ROUNDUP(HLOOKUP(IF(CEILING(L265,0.5)&lt;1,0.5,CEILING(L265,0.5)),'배송비 조회'!A$44:AO$56,7,0)*B$3,-2)</f>
        <v>#REF!</v>
      </c>
      <c r="S265">
        <v>0</v>
      </c>
      <c r="T265" t="str">
        <f>ROUND((Q265+R265)*0.3,-2)</f>
        <v>#REF!</v>
      </c>
      <c r="U265" t="str">
        <f>ROUND((Q265+R265)*0.4,-2)</f>
        <v>#REF!</v>
      </c>
      <c r="V265" t="str">
        <f>SUM(Q265:R265)+T265</f>
        <v>#REF!</v>
      </c>
      <c r="W265" t="str">
        <f>SUM(Q265:S265)+U265</f>
        <v>#REF!</v>
      </c>
      <c r="X265">
        <v>0</v>
      </c>
      <c r="Y265" t="str">
        <f>V265*0.038</f>
        <v>#REF!</v>
      </c>
      <c r="Z265" t="str">
        <f>V265*0.02</f>
        <v>#REF!</v>
      </c>
      <c r="AA265" t="str">
        <f>W265*0.1</f>
        <v>#REF!</v>
      </c>
      <c r="AB265" t="str">
        <f>V265-Y265-Z265</f>
        <v>#REF!</v>
      </c>
      <c r="AC265" t="str">
        <f>W265-AA265</f>
        <v>#REF!</v>
      </c>
      <c r="AD265" t="str">
        <f>AB265*0.01</f>
        <v>#REF!</v>
      </c>
      <c r="AE265" t="str">
        <f>AB265-Q265-AD265-R265</f>
        <v>#REF!</v>
      </c>
      <c r="AF265" t="str">
        <f>AC265-Q265-AD265-R265</f>
        <v>#REF!</v>
      </c>
      <c r="AG265" t="str">
        <f>AE265/V265</f>
        <v>#REF!</v>
      </c>
      <c r="AH265" t="str">
        <f>AF265/W265</f>
        <v>#REF!</v>
      </c>
    </row>
    <row r="266">
      <c r="G266" t="str">
        <v>A</v>
      </c>
      <c r="J266" t="str">
        <f>IF(K266&gt;0,K266*0.0625,IF(L266&gt;0,L266*2.204623,))</f>
        <v>#REF!</v>
      </c>
      <c r="K266" t="str">
        <f>IF(L266&gt;0,L266*35.273962,IF(J266&gt;0,J266*16,))</f>
        <v>#REF!</v>
      </c>
      <c r="L266" t="str">
        <f>IF(J266&gt;0,J266*0.453592,IF(K266&gt;0,K266*0.02835,))</f>
        <v>#REF!</v>
      </c>
      <c r="O266">
        <f>I266+N266+M266</f>
        <v>0</v>
      </c>
      <c r="P266">
        <f>O266*B$3</f>
        <v>0</v>
      </c>
      <c r="Q266">
        <f>ROUND(SUM(P266), -2)</f>
        <v>0</v>
      </c>
      <c r="R266" t="str">
        <f>ROUNDUP(HLOOKUP(IF(CEILING(L266,0.5)&lt;1,0.5,CEILING(L266,0.5)),'배송비 조회'!A$44:AO$56,7,0)*B$3,-2)</f>
        <v>#REF!</v>
      </c>
      <c r="S266">
        <v>0</v>
      </c>
      <c r="T266" t="str">
        <f>ROUND((Q266+R266)*0.3,-2)</f>
        <v>#REF!</v>
      </c>
      <c r="U266" t="str">
        <f>ROUND((Q266+R266)*0.4,-2)</f>
        <v>#REF!</v>
      </c>
      <c r="V266" t="str">
        <f>SUM(Q266:R266)+T266</f>
        <v>#REF!</v>
      </c>
      <c r="W266" t="str">
        <f>SUM(Q266:S266)+U266</f>
        <v>#REF!</v>
      </c>
      <c r="X266">
        <v>0</v>
      </c>
      <c r="Y266" t="str">
        <f>V266*0.038</f>
        <v>#REF!</v>
      </c>
      <c r="Z266" t="str">
        <f>V266*0.02</f>
        <v>#REF!</v>
      </c>
      <c r="AA266" t="str">
        <f>W266*0.1</f>
        <v>#REF!</v>
      </c>
      <c r="AB266" t="str">
        <f>V266-Y266-Z266</f>
        <v>#REF!</v>
      </c>
      <c r="AC266" t="str">
        <f>W266-AA266</f>
        <v>#REF!</v>
      </c>
      <c r="AD266" t="str">
        <f>AB266*0.01</f>
        <v>#REF!</v>
      </c>
      <c r="AE266" t="str">
        <f>AB266-Q266-AD266-R266</f>
        <v>#REF!</v>
      </c>
      <c r="AF266" t="str">
        <f>AC266-Q266-AD266-R266</f>
        <v>#REF!</v>
      </c>
      <c r="AG266" t="str">
        <f>AE266/V266</f>
        <v>#REF!</v>
      </c>
      <c r="AH266" t="str">
        <f>AF266/W266</f>
        <v>#REF!</v>
      </c>
    </row>
    <row r="267">
      <c r="G267" t="str">
        <v>A</v>
      </c>
      <c r="J267" t="str">
        <f>IF(K267&gt;0,K267*0.0625,IF(L267&gt;0,L267*2.204623,))</f>
        <v>#REF!</v>
      </c>
      <c r="K267" t="str">
        <f>IF(L267&gt;0,L267*35.273962,IF(J267&gt;0,J267*16,))</f>
        <v>#REF!</v>
      </c>
      <c r="L267" t="str">
        <f>IF(J267&gt;0,J267*0.453592,IF(K267&gt;0,K267*0.02835,))</f>
        <v>#REF!</v>
      </c>
      <c r="O267">
        <f>I267+N267+M267</f>
        <v>0</v>
      </c>
      <c r="P267">
        <f>O267*B$3</f>
        <v>0</v>
      </c>
      <c r="Q267">
        <f>ROUND(SUM(P267), -2)</f>
        <v>0</v>
      </c>
      <c r="R267" t="str">
        <f>ROUNDUP(HLOOKUP(IF(CEILING(L267,0.5)&lt;1,0.5,CEILING(L267,0.5)),'배송비 조회'!A$44:AO$56,7,0)*B$3,-2)</f>
        <v>#REF!</v>
      </c>
      <c r="S267">
        <v>0</v>
      </c>
      <c r="T267" t="str">
        <f>ROUND((Q267+R267)*0.3,-2)</f>
        <v>#REF!</v>
      </c>
      <c r="U267" t="str">
        <f>ROUND((Q267+R267)*0.4,-2)</f>
        <v>#REF!</v>
      </c>
      <c r="V267" t="str">
        <f>SUM(Q267:R267)+T267</f>
        <v>#REF!</v>
      </c>
      <c r="W267" t="str">
        <f>SUM(Q267:S267)+U267</f>
        <v>#REF!</v>
      </c>
      <c r="X267">
        <v>0</v>
      </c>
      <c r="Y267" t="str">
        <f>V267*0.038</f>
        <v>#REF!</v>
      </c>
      <c r="Z267" t="str">
        <f>V267*0.02</f>
        <v>#REF!</v>
      </c>
      <c r="AA267" t="str">
        <f>W267*0.1</f>
        <v>#REF!</v>
      </c>
      <c r="AB267" t="str">
        <f>V267-Y267-Z267</f>
        <v>#REF!</v>
      </c>
      <c r="AC267" t="str">
        <f>W267-AA267</f>
        <v>#REF!</v>
      </c>
      <c r="AD267" t="str">
        <f>AB267*0.01</f>
        <v>#REF!</v>
      </c>
      <c r="AE267" t="str">
        <f>AB267-Q267-AD267-R267</f>
        <v>#REF!</v>
      </c>
      <c r="AF267" t="str">
        <f>AC267-Q267-AD267-R267</f>
        <v>#REF!</v>
      </c>
      <c r="AG267" t="str">
        <f>AE267/V267</f>
        <v>#REF!</v>
      </c>
      <c r="AH267" t="str">
        <f>AF267/W267</f>
        <v>#REF!</v>
      </c>
    </row>
    <row r="268">
      <c r="G268" t="str">
        <v>A</v>
      </c>
      <c r="J268" t="str">
        <f>IF(K268&gt;0,K268*0.0625,IF(L268&gt;0,L268*2.204623,))</f>
        <v>#REF!</v>
      </c>
      <c r="K268" t="str">
        <f>IF(L268&gt;0,L268*35.273962,IF(J268&gt;0,J268*16,))</f>
        <v>#REF!</v>
      </c>
      <c r="L268" t="str">
        <f>IF(J268&gt;0,J268*0.453592,IF(K268&gt;0,K268*0.02835,))</f>
        <v>#REF!</v>
      </c>
      <c r="O268">
        <f>I268+N268+M268</f>
        <v>0</v>
      </c>
      <c r="P268">
        <f>O268*B$3</f>
        <v>0</v>
      </c>
      <c r="Q268">
        <f>ROUND(SUM(P268), -2)</f>
        <v>0</v>
      </c>
      <c r="R268" t="str">
        <f>ROUNDUP(HLOOKUP(IF(CEILING(L268,0.5)&lt;1,0.5,CEILING(L268,0.5)),'배송비 조회'!A$44:AO$56,7,0)*B$3,-2)</f>
        <v>#REF!</v>
      </c>
      <c r="S268">
        <v>0</v>
      </c>
      <c r="T268" t="str">
        <f>ROUND((Q268+R268)*0.3,-2)</f>
        <v>#REF!</v>
      </c>
      <c r="U268" t="str">
        <f>ROUND((Q268+R268)*0.4,-2)</f>
        <v>#REF!</v>
      </c>
      <c r="V268" t="str">
        <f>SUM(Q268:R268)+T268</f>
        <v>#REF!</v>
      </c>
      <c r="W268" t="str">
        <f>SUM(Q268:S268)+U268</f>
        <v>#REF!</v>
      </c>
      <c r="X268">
        <v>0</v>
      </c>
      <c r="Y268" t="str">
        <f>V268*0.038</f>
        <v>#REF!</v>
      </c>
      <c r="Z268" t="str">
        <f>V268*0.02</f>
        <v>#REF!</v>
      </c>
      <c r="AA268" t="str">
        <f>W268*0.1</f>
        <v>#REF!</v>
      </c>
      <c r="AB268" t="str">
        <f>V268-Y268-Z268</f>
        <v>#REF!</v>
      </c>
      <c r="AC268" t="str">
        <f>W268-AA268</f>
        <v>#REF!</v>
      </c>
      <c r="AD268" t="str">
        <f>AB268*0.01</f>
        <v>#REF!</v>
      </c>
      <c r="AE268" t="str">
        <f>AB268-Q268-AD268-R268</f>
        <v>#REF!</v>
      </c>
      <c r="AF268" t="str">
        <f>AC268-Q268-AD268-R268</f>
        <v>#REF!</v>
      </c>
      <c r="AG268" t="str">
        <f>AE268/V268</f>
        <v>#REF!</v>
      </c>
      <c r="AH268" t="str">
        <f>AF268/W268</f>
        <v>#REF!</v>
      </c>
    </row>
    <row r="269">
      <c r="G269" t="str">
        <v>A</v>
      </c>
      <c r="J269" t="str">
        <f>IF(K269&gt;0,K269*0.0625,IF(L269&gt;0,L269*2.204623,))</f>
        <v>#REF!</v>
      </c>
      <c r="K269" t="str">
        <f>IF(L269&gt;0,L269*35.273962,IF(J269&gt;0,J269*16,))</f>
        <v>#REF!</v>
      </c>
      <c r="L269" t="str">
        <f>IF(J269&gt;0,J269*0.453592,IF(K269&gt;0,K269*0.02835,))</f>
        <v>#REF!</v>
      </c>
      <c r="O269">
        <f>I269+N269+M269</f>
        <v>0</v>
      </c>
      <c r="P269">
        <f>O269*B$3</f>
        <v>0</v>
      </c>
      <c r="Q269">
        <f>ROUND(SUM(P269), -2)</f>
        <v>0</v>
      </c>
      <c r="R269" t="str">
        <f>ROUNDUP(HLOOKUP(IF(CEILING(L269,0.5)&lt;1,0.5,CEILING(L269,0.5)),'배송비 조회'!A$44:AO$56,7,0)*B$3,-2)</f>
        <v>#REF!</v>
      </c>
      <c r="S269">
        <v>0</v>
      </c>
      <c r="T269" t="str">
        <f>ROUND((Q269+R269)*0.3,-2)</f>
        <v>#REF!</v>
      </c>
      <c r="U269" t="str">
        <f>ROUND((Q269+R269)*0.4,-2)</f>
        <v>#REF!</v>
      </c>
      <c r="V269" t="str">
        <f>SUM(Q269:R269)+T269</f>
        <v>#REF!</v>
      </c>
      <c r="W269" t="str">
        <f>SUM(Q269:S269)+U269</f>
        <v>#REF!</v>
      </c>
      <c r="X269">
        <v>0</v>
      </c>
      <c r="Y269" t="str">
        <f>V269*0.038</f>
        <v>#REF!</v>
      </c>
      <c r="Z269" t="str">
        <f>V269*0.02</f>
        <v>#REF!</v>
      </c>
      <c r="AA269" t="str">
        <f>W269*0.1</f>
        <v>#REF!</v>
      </c>
      <c r="AB269" t="str">
        <f>V269-Y269-Z269</f>
        <v>#REF!</v>
      </c>
      <c r="AC269" t="str">
        <f>W269-AA269</f>
        <v>#REF!</v>
      </c>
      <c r="AD269" t="str">
        <f>AB269*0.01</f>
        <v>#REF!</v>
      </c>
      <c r="AE269" t="str">
        <f>AB269-Q269-AD269-R269</f>
        <v>#REF!</v>
      </c>
      <c r="AF269" t="str">
        <f>AC269-Q269-AD269-R269</f>
        <v>#REF!</v>
      </c>
      <c r="AG269" t="str">
        <f>AE269/V269</f>
        <v>#REF!</v>
      </c>
      <c r="AH269" t="str">
        <f>AF269/W269</f>
        <v>#REF!</v>
      </c>
    </row>
    <row r="270">
      <c r="G270" t="str">
        <v>A</v>
      </c>
      <c r="J270" t="str">
        <f>IF(K270&gt;0,K270*0.0625,IF(L270&gt;0,L270*2.204623,))</f>
        <v>#REF!</v>
      </c>
      <c r="K270" t="str">
        <f>IF(L270&gt;0,L270*35.273962,IF(J270&gt;0,J270*16,))</f>
        <v>#REF!</v>
      </c>
      <c r="L270" t="str">
        <f>IF(J270&gt;0,J270*0.453592,IF(K270&gt;0,K270*0.02835,))</f>
        <v>#REF!</v>
      </c>
      <c r="O270">
        <f>I270+N270+M270</f>
        <v>0</v>
      </c>
      <c r="P270">
        <f>O270*B$3</f>
        <v>0</v>
      </c>
      <c r="Q270">
        <f>ROUND(SUM(P270), -2)</f>
        <v>0</v>
      </c>
      <c r="R270" t="str">
        <f>ROUNDUP(HLOOKUP(IF(CEILING(L270,0.5)&lt;1,0.5,CEILING(L270,0.5)),'배송비 조회'!A$44:AO$56,7,0)*B$3,-2)</f>
        <v>#REF!</v>
      </c>
      <c r="S270">
        <v>0</v>
      </c>
      <c r="T270" t="str">
        <f>ROUND((Q270+R270)*0.3,-2)</f>
        <v>#REF!</v>
      </c>
      <c r="U270" t="str">
        <f>ROUND((Q270+R270)*0.4,-2)</f>
        <v>#REF!</v>
      </c>
      <c r="V270" t="str">
        <f>SUM(Q270:R270)+T270</f>
        <v>#REF!</v>
      </c>
      <c r="W270" t="str">
        <f>SUM(Q270:S270)+U270</f>
        <v>#REF!</v>
      </c>
      <c r="X270">
        <v>0</v>
      </c>
      <c r="Y270" t="str">
        <f>V270*0.038</f>
        <v>#REF!</v>
      </c>
      <c r="Z270" t="str">
        <f>V270*0.02</f>
        <v>#REF!</v>
      </c>
      <c r="AA270" t="str">
        <f>W270*0.1</f>
        <v>#REF!</v>
      </c>
      <c r="AB270" t="str">
        <f>V270-Y270-Z270</f>
        <v>#REF!</v>
      </c>
      <c r="AC270" t="str">
        <f>W270-AA270</f>
        <v>#REF!</v>
      </c>
      <c r="AD270" t="str">
        <f>AB270*0.01</f>
        <v>#REF!</v>
      </c>
      <c r="AE270" t="str">
        <f>AB270-Q270-AD270-R270</f>
        <v>#REF!</v>
      </c>
      <c r="AF270" t="str">
        <f>AC270-Q270-AD270-R270</f>
        <v>#REF!</v>
      </c>
      <c r="AG270" t="str">
        <f>AE270/V270</f>
        <v>#REF!</v>
      </c>
      <c r="AH270" t="str">
        <f>AF270/W270</f>
        <v>#REF!</v>
      </c>
    </row>
    <row r="271">
      <c r="G271" t="str">
        <v>A</v>
      </c>
      <c r="J271" t="str">
        <f>IF(K271&gt;0,K271*0.0625,IF(L271&gt;0,L271*2.204623,))</f>
        <v>#REF!</v>
      </c>
      <c r="K271" t="str">
        <f>IF(L271&gt;0,L271*35.273962,IF(J271&gt;0,J271*16,))</f>
        <v>#REF!</v>
      </c>
      <c r="L271" t="str">
        <f>IF(J271&gt;0,J271*0.453592,IF(K271&gt;0,K271*0.02835,))</f>
        <v>#REF!</v>
      </c>
      <c r="O271">
        <f>I271+N271+M271</f>
        <v>0</v>
      </c>
      <c r="P271">
        <f>O271*B$3</f>
        <v>0</v>
      </c>
      <c r="Q271">
        <f>ROUND(SUM(P271), -2)</f>
        <v>0</v>
      </c>
      <c r="R271" t="str">
        <f>ROUNDUP(HLOOKUP(IF(CEILING(L271,0.5)&lt;1,0.5,CEILING(L271,0.5)),'배송비 조회'!A$44:AO$56,7,0)*B$3,-2)</f>
        <v>#REF!</v>
      </c>
      <c r="S271">
        <v>0</v>
      </c>
      <c r="T271" t="str">
        <f>ROUND((Q271+R271)*0.3,-2)</f>
        <v>#REF!</v>
      </c>
      <c r="U271" t="str">
        <f>ROUND((Q271+R271)*0.4,-2)</f>
        <v>#REF!</v>
      </c>
      <c r="V271" t="str">
        <f>SUM(Q271:R271)+T271</f>
        <v>#REF!</v>
      </c>
      <c r="W271" t="str">
        <f>SUM(Q271:S271)+U271</f>
        <v>#REF!</v>
      </c>
      <c r="X271">
        <v>0</v>
      </c>
      <c r="Y271" t="str">
        <f>V271*0.038</f>
        <v>#REF!</v>
      </c>
      <c r="Z271" t="str">
        <f>V271*0.02</f>
        <v>#REF!</v>
      </c>
      <c r="AA271" t="str">
        <f>W271*0.1</f>
        <v>#REF!</v>
      </c>
      <c r="AB271" t="str">
        <f>V271-Y271-Z271</f>
        <v>#REF!</v>
      </c>
      <c r="AC271" t="str">
        <f>W271-AA271</f>
        <v>#REF!</v>
      </c>
      <c r="AD271" t="str">
        <f>AB271*0.01</f>
        <v>#REF!</v>
      </c>
      <c r="AE271" t="str">
        <f>AB271-Q271-AD271-R271</f>
        <v>#REF!</v>
      </c>
      <c r="AF271" t="str">
        <f>AC271-Q271-AD271-R271</f>
        <v>#REF!</v>
      </c>
      <c r="AG271" t="str">
        <f>AE271/V271</f>
        <v>#REF!</v>
      </c>
      <c r="AH271" t="str">
        <f>AF271/W271</f>
        <v>#REF!</v>
      </c>
    </row>
    <row r="272">
      <c r="G272" t="str">
        <v>A</v>
      </c>
      <c r="J272" t="str">
        <f>IF(K272&gt;0,K272*0.0625,IF(L272&gt;0,L272*2.204623,))</f>
        <v>#REF!</v>
      </c>
      <c r="K272" t="str">
        <f>IF(L272&gt;0,L272*35.273962,IF(J272&gt;0,J272*16,))</f>
        <v>#REF!</v>
      </c>
      <c r="L272" t="str">
        <f>IF(J272&gt;0,J272*0.453592,IF(K272&gt;0,K272*0.02835,))</f>
        <v>#REF!</v>
      </c>
      <c r="O272">
        <f>I272+N272+M272</f>
        <v>0</v>
      </c>
      <c r="P272">
        <f>O272*B$3</f>
        <v>0</v>
      </c>
      <c r="Q272">
        <f>ROUND(SUM(P272), -2)</f>
        <v>0</v>
      </c>
      <c r="R272" t="str">
        <f>ROUNDUP(HLOOKUP(IF(CEILING(L272,0.5)&lt;1,0.5,CEILING(L272,0.5)),'배송비 조회'!A$44:AO$56,7,0)*B$3,-2)</f>
        <v>#REF!</v>
      </c>
      <c r="S272">
        <v>0</v>
      </c>
      <c r="T272" t="str">
        <f>ROUND((Q272+R272)*0.3,-2)</f>
        <v>#REF!</v>
      </c>
      <c r="U272" t="str">
        <f>ROUND((Q272+R272)*0.4,-2)</f>
        <v>#REF!</v>
      </c>
      <c r="V272" t="str">
        <f>SUM(Q272:R272)+T272</f>
        <v>#REF!</v>
      </c>
      <c r="W272" t="str">
        <f>SUM(Q272:S272)+U272</f>
        <v>#REF!</v>
      </c>
      <c r="X272">
        <v>0</v>
      </c>
      <c r="Y272" t="str">
        <f>V272*0.038</f>
        <v>#REF!</v>
      </c>
      <c r="Z272" t="str">
        <f>V272*0.02</f>
        <v>#REF!</v>
      </c>
      <c r="AA272" t="str">
        <f>W272*0.1</f>
        <v>#REF!</v>
      </c>
      <c r="AB272" t="str">
        <f>V272-Y272-Z272</f>
        <v>#REF!</v>
      </c>
      <c r="AC272" t="str">
        <f>W272-AA272</f>
        <v>#REF!</v>
      </c>
      <c r="AD272" t="str">
        <f>AB272*0.01</f>
        <v>#REF!</v>
      </c>
      <c r="AE272" t="str">
        <f>AB272-Q272-AD272-R272</f>
        <v>#REF!</v>
      </c>
      <c r="AF272" t="str">
        <f>AC272-Q272-AD272-R272</f>
        <v>#REF!</v>
      </c>
      <c r="AG272" t="str">
        <f>AE272/V272</f>
        <v>#REF!</v>
      </c>
      <c r="AH272" t="str">
        <f>AF272/W272</f>
        <v>#REF!</v>
      </c>
    </row>
    <row r="273">
      <c r="G273" t="str">
        <v>A</v>
      </c>
      <c r="J273" t="str">
        <f>IF(K273&gt;0,K273*0.0625,IF(L273&gt;0,L273*2.204623,))</f>
        <v>#REF!</v>
      </c>
      <c r="K273" t="str">
        <f>IF(L273&gt;0,L273*35.273962,IF(J273&gt;0,J273*16,))</f>
        <v>#REF!</v>
      </c>
      <c r="L273" t="str">
        <f>IF(J273&gt;0,J273*0.453592,IF(K273&gt;0,K273*0.02835,))</f>
        <v>#REF!</v>
      </c>
      <c r="O273">
        <f>I273+N273+M273</f>
        <v>0</v>
      </c>
      <c r="P273">
        <f>O273*B$3</f>
        <v>0</v>
      </c>
      <c r="Q273">
        <f>ROUND(SUM(P273), -2)</f>
        <v>0</v>
      </c>
      <c r="R273" t="str">
        <f>ROUNDUP(HLOOKUP(IF(CEILING(L273,0.5)&lt;1,0.5,CEILING(L273,0.5)),'배송비 조회'!A$44:AO$56,7,0)*B$3,-2)</f>
        <v>#REF!</v>
      </c>
      <c r="S273">
        <v>0</v>
      </c>
      <c r="T273" t="str">
        <f>ROUND((Q273+R273)*0.3,-2)</f>
        <v>#REF!</v>
      </c>
      <c r="U273" t="str">
        <f>ROUND((Q273+R273)*0.4,-2)</f>
        <v>#REF!</v>
      </c>
      <c r="V273" t="str">
        <f>SUM(Q273:R273)+T273</f>
        <v>#REF!</v>
      </c>
      <c r="W273" t="str">
        <f>SUM(Q273:S273)+U273</f>
        <v>#REF!</v>
      </c>
      <c r="X273">
        <v>0</v>
      </c>
      <c r="Y273" t="str">
        <f>V273*0.038</f>
        <v>#REF!</v>
      </c>
      <c r="Z273" t="str">
        <f>V273*0.02</f>
        <v>#REF!</v>
      </c>
      <c r="AA273" t="str">
        <f>W273*0.1</f>
        <v>#REF!</v>
      </c>
      <c r="AB273" t="str">
        <f>V273-Y273-Z273</f>
        <v>#REF!</v>
      </c>
      <c r="AC273" t="str">
        <f>W273-AA273</f>
        <v>#REF!</v>
      </c>
      <c r="AD273" t="str">
        <f>AB273*0.01</f>
        <v>#REF!</v>
      </c>
      <c r="AE273" t="str">
        <f>AB273-Q273-AD273-R273</f>
        <v>#REF!</v>
      </c>
      <c r="AF273" t="str">
        <f>AC273-Q273-AD273-R273</f>
        <v>#REF!</v>
      </c>
      <c r="AG273" t="str">
        <f>AE273/V273</f>
        <v>#REF!</v>
      </c>
      <c r="AH273" t="str">
        <f>AF273/W273</f>
        <v>#REF!</v>
      </c>
    </row>
    <row r="274">
      <c r="G274" t="str">
        <v>A</v>
      </c>
      <c r="J274" t="str">
        <f>IF(K274&gt;0,K274*0.0625,IF(L274&gt;0,L274*2.204623,))</f>
        <v>#REF!</v>
      </c>
      <c r="K274" t="str">
        <f>IF(L274&gt;0,L274*35.273962,IF(J274&gt;0,J274*16,))</f>
        <v>#REF!</v>
      </c>
      <c r="L274" t="str">
        <f>IF(J274&gt;0,J274*0.453592,IF(K274&gt;0,K274*0.02835,))</f>
        <v>#REF!</v>
      </c>
      <c r="O274">
        <f>I274+N274+M274</f>
        <v>0</v>
      </c>
      <c r="P274">
        <f>O274*B$3</f>
        <v>0</v>
      </c>
      <c r="Q274">
        <f>ROUND(SUM(P274), -2)</f>
        <v>0</v>
      </c>
      <c r="R274" t="str">
        <f>ROUNDUP(HLOOKUP(IF(CEILING(L274,0.5)&lt;1,0.5,CEILING(L274,0.5)),'배송비 조회'!A$44:AO$56,7,0)*B$3,-2)</f>
        <v>#REF!</v>
      </c>
      <c r="S274">
        <v>0</v>
      </c>
      <c r="T274" t="str">
        <f>ROUND((Q274+R274)*0.3,-2)</f>
        <v>#REF!</v>
      </c>
      <c r="U274" t="str">
        <f>ROUND((Q274+R274)*0.4,-2)</f>
        <v>#REF!</v>
      </c>
      <c r="V274" t="str">
        <f>SUM(Q274:R274)+T274</f>
        <v>#REF!</v>
      </c>
      <c r="W274" t="str">
        <f>SUM(Q274:S274)+U274</f>
        <v>#REF!</v>
      </c>
      <c r="X274">
        <v>0</v>
      </c>
      <c r="Y274" t="str">
        <f>V274*0.038</f>
        <v>#REF!</v>
      </c>
      <c r="Z274" t="str">
        <f>V274*0.02</f>
        <v>#REF!</v>
      </c>
      <c r="AA274" t="str">
        <f>W274*0.1</f>
        <v>#REF!</v>
      </c>
      <c r="AB274" t="str">
        <f>V274-Y274-Z274</f>
        <v>#REF!</v>
      </c>
      <c r="AC274" t="str">
        <f>W274-AA274</f>
        <v>#REF!</v>
      </c>
      <c r="AD274" t="str">
        <f>AB274*0.01</f>
        <v>#REF!</v>
      </c>
      <c r="AE274" t="str">
        <f>AB274-Q274-AD274-R274</f>
        <v>#REF!</v>
      </c>
      <c r="AF274" t="str">
        <f>AC274-Q274-AD274-R274</f>
        <v>#REF!</v>
      </c>
      <c r="AG274" t="str">
        <f>AE274/V274</f>
        <v>#REF!</v>
      </c>
      <c r="AH274" t="str">
        <f>AF274/W274</f>
        <v>#REF!</v>
      </c>
    </row>
    <row r="275">
      <c r="G275" t="str">
        <v>A</v>
      </c>
      <c r="J275" t="str">
        <f>IF(K275&gt;0,K275*0.0625,IF(L275&gt;0,L275*2.204623,))</f>
        <v>#REF!</v>
      </c>
      <c r="K275" t="str">
        <f>IF(L275&gt;0,L275*35.273962,IF(J275&gt;0,J275*16,))</f>
        <v>#REF!</v>
      </c>
      <c r="L275" t="str">
        <f>IF(J275&gt;0,J275*0.453592,IF(K275&gt;0,K275*0.02835,))</f>
        <v>#REF!</v>
      </c>
      <c r="O275">
        <f>I275+N275+M275</f>
        <v>0</v>
      </c>
      <c r="P275">
        <f>O275*B$3</f>
        <v>0</v>
      </c>
      <c r="Q275">
        <f>ROUND(SUM(P275), -2)</f>
        <v>0</v>
      </c>
      <c r="R275" t="str">
        <f>ROUNDUP(HLOOKUP(IF(CEILING(L275,0.5)&lt;1,0.5,CEILING(L275,0.5)),'배송비 조회'!A$44:AO$56,7,0)*B$3,-2)</f>
        <v>#REF!</v>
      </c>
      <c r="S275">
        <v>0</v>
      </c>
      <c r="T275" t="str">
        <f>ROUND((Q275+R275)*0.3,-2)</f>
        <v>#REF!</v>
      </c>
      <c r="U275" t="str">
        <f>ROUND((Q275+R275)*0.4,-2)</f>
        <v>#REF!</v>
      </c>
      <c r="V275" t="str">
        <f>SUM(Q275:R275)+T275</f>
        <v>#REF!</v>
      </c>
      <c r="W275" t="str">
        <f>SUM(Q275:S275)+U275</f>
        <v>#REF!</v>
      </c>
      <c r="X275">
        <v>0</v>
      </c>
      <c r="Y275" t="str">
        <f>V275*0.038</f>
        <v>#REF!</v>
      </c>
      <c r="Z275" t="str">
        <f>V275*0.02</f>
        <v>#REF!</v>
      </c>
      <c r="AA275" t="str">
        <f>W275*0.1</f>
        <v>#REF!</v>
      </c>
      <c r="AB275" t="str">
        <f>V275-Y275-Z275</f>
        <v>#REF!</v>
      </c>
      <c r="AC275" t="str">
        <f>W275-AA275</f>
        <v>#REF!</v>
      </c>
      <c r="AD275" t="str">
        <f>AB275*0.01</f>
        <v>#REF!</v>
      </c>
      <c r="AE275" t="str">
        <f>AB275-Q275-AD275-R275</f>
        <v>#REF!</v>
      </c>
      <c r="AF275" t="str">
        <f>AC275-Q275-AD275-R275</f>
        <v>#REF!</v>
      </c>
      <c r="AG275" t="str">
        <f>AE275/V275</f>
        <v>#REF!</v>
      </c>
      <c r="AH275" t="str">
        <f>AF275/W275</f>
        <v>#REF!</v>
      </c>
    </row>
    <row r="276">
      <c r="G276" t="str">
        <v>A</v>
      </c>
      <c r="J276" t="str">
        <f>IF(K276&gt;0,K276*0.0625,IF(L276&gt;0,L276*2.204623,))</f>
        <v>#REF!</v>
      </c>
      <c r="K276" t="str">
        <f>IF(L276&gt;0,L276*35.273962,IF(J276&gt;0,J276*16,))</f>
        <v>#REF!</v>
      </c>
      <c r="L276" t="str">
        <f>IF(J276&gt;0,J276*0.453592,IF(K276&gt;0,K276*0.02835,))</f>
        <v>#REF!</v>
      </c>
      <c r="O276">
        <f>I276+N276+M276</f>
        <v>0</v>
      </c>
      <c r="P276">
        <f>O276*B$3</f>
        <v>0</v>
      </c>
      <c r="Q276">
        <f>ROUND(SUM(P276), -2)</f>
        <v>0</v>
      </c>
      <c r="R276" t="str">
        <f>ROUNDUP(HLOOKUP(IF(CEILING(L276,0.5)&lt;1,0.5,CEILING(L276,0.5)),'배송비 조회'!A$44:AO$56,7,0)*B$3,-2)</f>
        <v>#REF!</v>
      </c>
      <c r="S276">
        <v>0</v>
      </c>
      <c r="T276" t="str">
        <f>ROUND((Q276+R276)*0.3,-2)</f>
        <v>#REF!</v>
      </c>
      <c r="U276" t="str">
        <f>ROUND((Q276+R276)*0.4,-2)</f>
        <v>#REF!</v>
      </c>
      <c r="V276" t="str">
        <f>SUM(Q276:R276)+T276</f>
        <v>#REF!</v>
      </c>
      <c r="W276" t="str">
        <f>SUM(Q276:S276)+U276</f>
        <v>#REF!</v>
      </c>
      <c r="X276">
        <v>0</v>
      </c>
      <c r="Y276" t="str">
        <f>V276*0.038</f>
        <v>#REF!</v>
      </c>
      <c r="Z276" t="str">
        <f>V276*0.02</f>
        <v>#REF!</v>
      </c>
      <c r="AA276" t="str">
        <f>W276*0.1</f>
        <v>#REF!</v>
      </c>
      <c r="AB276" t="str">
        <f>V276-Y276-Z276</f>
        <v>#REF!</v>
      </c>
      <c r="AC276" t="str">
        <f>W276-AA276</f>
        <v>#REF!</v>
      </c>
      <c r="AD276" t="str">
        <f>AB276*0.01</f>
        <v>#REF!</v>
      </c>
      <c r="AE276" t="str">
        <f>AB276-Q276-AD276-R276</f>
        <v>#REF!</v>
      </c>
      <c r="AF276" t="str">
        <f>AC276-Q276-AD276-R276</f>
        <v>#REF!</v>
      </c>
      <c r="AG276" t="str">
        <f>AE276/V276</f>
        <v>#REF!</v>
      </c>
      <c r="AH276" t="str">
        <f>AF276/W276</f>
        <v>#REF!</v>
      </c>
    </row>
    <row r="277">
      <c r="G277" t="str">
        <v>A</v>
      </c>
      <c r="J277" t="str">
        <f>IF(K277&gt;0,K277*0.0625,IF(L277&gt;0,L277*2.204623,))</f>
        <v>#REF!</v>
      </c>
      <c r="K277" t="str">
        <f>IF(L277&gt;0,L277*35.273962,IF(J277&gt;0,J277*16,))</f>
        <v>#REF!</v>
      </c>
      <c r="L277" t="str">
        <f>IF(J277&gt;0,J277*0.453592,IF(K277&gt;0,K277*0.02835,))</f>
        <v>#REF!</v>
      </c>
      <c r="O277">
        <f>I277+N277+M277</f>
        <v>0</v>
      </c>
      <c r="P277">
        <f>O277*B$3</f>
        <v>0</v>
      </c>
      <c r="Q277">
        <f>ROUND(SUM(P277), -2)</f>
        <v>0</v>
      </c>
      <c r="R277" t="str">
        <f>ROUNDUP(HLOOKUP(IF(CEILING(L277,0.5)&lt;1,0.5,CEILING(L277,0.5)),'배송비 조회'!A$44:AO$56,7,0)*B$3,-2)</f>
        <v>#REF!</v>
      </c>
      <c r="S277">
        <v>0</v>
      </c>
      <c r="T277" t="str">
        <f>ROUND((Q277+R277)*0.3,-2)</f>
        <v>#REF!</v>
      </c>
      <c r="U277" t="str">
        <f>ROUND((Q277+R277)*0.4,-2)</f>
        <v>#REF!</v>
      </c>
      <c r="V277" t="str">
        <f>SUM(Q277:R277)+T277</f>
        <v>#REF!</v>
      </c>
      <c r="W277" t="str">
        <f>SUM(Q277:S277)+U277</f>
        <v>#REF!</v>
      </c>
      <c r="X277">
        <v>0</v>
      </c>
      <c r="Y277" t="str">
        <f>V277*0.038</f>
        <v>#REF!</v>
      </c>
      <c r="Z277" t="str">
        <f>V277*0.02</f>
        <v>#REF!</v>
      </c>
      <c r="AA277" t="str">
        <f>W277*0.1</f>
        <v>#REF!</v>
      </c>
      <c r="AB277" t="str">
        <f>V277-Y277-Z277</f>
        <v>#REF!</v>
      </c>
      <c r="AC277" t="str">
        <f>W277-AA277</f>
        <v>#REF!</v>
      </c>
      <c r="AD277" t="str">
        <f>AB277*0.01</f>
        <v>#REF!</v>
      </c>
      <c r="AE277" t="str">
        <f>AB277-Q277-AD277-R277</f>
        <v>#REF!</v>
      </c>
      <c r="AF277" t="str">
        <f>AC277-Q277-AD277-R277</f>
        <v>#REF!</v>
      </c>
      <c r="AG277" t="str">
        <f>AE277/V277</f>
        <v>#REF!</v>
      </c>
      <c r="AH277" t="str">
        <f>AF277/W277</f>
        <v>#REF!</v>
      </c>
    </row>
    <row r="278">
      <c r="G278" t="str">
        <v>A</v>
      </c>
      <c r="J278" t="str">
        <f>IF(K278&gt;0,K278*0.0625,IF(L278&gt;0,L278*2.204623,))</f>
        <v>#REF!</v>
      </c>
      <c r="K278" t="str">
        <f>IF(L278&gt;0,L278*35.273962,IF(J278&gt;0,J278*16,))</f>
        <v>#REF!</v>
      </c>
      <c r="L278" t="str">
        <f>IF(J278&gt;0,J278*0.453592,IF(K278&gt;0,K278*0.02835,))</f>
        <v>#REF!</v>
      </c>
      <c r="O278">
        <f>I278+N278+M278</f>
        <v>0</v>
      </c>
      <c r="P278">
        <f>O278*B$3</f>
        <v>0</v>
      </c>
      <c r="Q278">
        <f>ROUND(SUM(P278), -2)</f>
        <v>0</v>
      </c>
      <c r="R278" t="str">
        <f>ROUNDUP(HLOOKUP(IF(CEILING(L278,0.5)&lt;1,0.5,CEILING(L278,0.5)),'배송비 조회'!A$44:AO$56,7,0)*B$3,-2)</f>
        <v>#REF!</v>
      </c>
      <c r="S278">
        <v>0</v>
      </c>
      <c r="T278" t="str">
        <f>ROUND((Q278+R278)*0.3,-2)</f>
        <v>#REF!</v>
      </c>
      <c r="U278" t="str">
        <f>ROUND((Q278+R278)*0.4,-2)</f>
        <v>#REF!</v>
      </c>
      <c r="V278" t="str">
        <f>SUM(Q278:R278)+T278</f>
        <v>#REF!</v>
      </c>
      <c r="W278" t="str">
        <f>SUM(Q278:S278)+U278</f>
        <v>#REF!</v>
      </c>
      <c r="X278">
        <v>0</v>
      </c>
      <c r="Y278" t="str">
        <f>V278*0.038</f>
        <v>#REF!</v>
      </c>
      <c r="Z278" t="str">
        <f>V278*0.02</f>
        <v>#REF!</v>
      </c>
      <c r="AA278" t="str">
        <f>W278*0.1</f>
        <v>#REF!</v>
      </c>
      <c r="AB278" t="str">
        <f>V278-Y278-Z278</f>
        <v>#REF!</v>
      </c>
      <c r="AC278" t="str">
        <f>W278-AA278</f>
        <v>#REF!</v>
      </c>
      <c r="AD278" t="str">
        <f>AB278*0.01</f>
        <v>#REF!</v>
      </c>
      <c r="AE278" t="str">
        <f>AB278-Q278-AD278-R278</f>
        <v>#REF!</v>
      </c>
      <c r="AF278" t="str">
        <f>AC278-Q278-AD278-R278</f>
        <v>#REF!</v>
      </c>
      <c r="AG278" t="str">
        <f>AE278/V278</f>
        <v>#REF!</v>
      </c>
      <c r="AH278" t="str">
        <f>AF278/W278</f>
        <v>#REF!</v>
      </c>
    </row>
    <row r="279">
      <c r="G279" t="str">
        <v>A</v>
      </c>
      <c r="J279" t="str">
        <f>IF(K279&gt;0,K279*0.0625,IF(L279&gt;0,L279*2.204623,))</f>
        <v>#REF!</v>
      </c>
      <c r="K279" t="str">
        <f>IF(L279&gt;0,L279*35.273962,IF(J279&gt;0,J279*16,))</f>
        <v>#REF!</v>
      </c>
      <c r="L279" t="str">
        <f>IF(J279&gt;0,J279*0.453592,IF(K279&gt;0,K279*0.02835,))</f>
        <v>#REF!</v>
      </c>
      <c r="O279">
        <f>I279+N279+M279</f>
        <v>0</v>
      </c>
      <c r="P279">
        <f>O279*B$3</f>
        <v>0</v>
      </c>
      <c r="Q279">
        <f>ROUND(SUM(P279), -2)</f>
        <v>0</v>
      </c>
      <c r="R279" t="str">
        <f>ROUNDUP(HLOOKUP(IF(CEILING(L279,0.5)&lt;1,0.5,CEILING(L279,0.5)),'배송비 조회'!A$44:AO$56,7,0)*B$3,-2)</f>
        <v>#REF!</v>
      </c>
      <c r="S279">
        <v>0</v>
      </c>
      <c r="T279" t="str">
        <f>ROUND((Q279+R279)*0.3,-2)</f>
        <v>#REF!</v>
      </c>
      <c r="U279" t="str">
        <f>ROUND((Q279+R279)*0.4,-2)</f>
        <v>#REF!</v>
      </c>
      <c r="V279" t="str">
        <f>SUM(Q279:R279)+T279</f>
        <v>#REF!</v>
      </c>
      <c r="W279" t="str">
        <f>SUM(Q279:S279)+U279</f>
        <v>#REF!</v>
      </c>
      <c r="X279">
        <v>0</v>
      </c>
      <c r="Y279" t="str">
        <f>V279*0.038</f>
        <v>#REF!</v>
      </c>
      <c r="Z279" t="str">
        <f>V279*0.02</f>
        <v>#REF!</v>
      </c>
      <c r="AA279" t="str">
        <f>W279*0.1</f>
        <v>#REF!</v>
      </c>
      <c r="AB279" t="str">
        <f>V279-Y279-Z279</f>
        <v>#REF!</v>
      </c>
      <c r="AC279" t="str">
        <f>W279-AA279</f>
        <v>#REF!</v>
      </c>
      <c r="AD279" t="str">
        <f>AB279*0.01</f>
        <v>#REF!</v>
      </c>
      <c r="AE279" t="str">
        <f>AB279-Q279-AD279-R279</f>
        <v>#REF!</v>
      </c>
      <c r="AF279" t="str">
        <f>AC279-Q279-AD279-R279</f>
        <v>#REF!</v>
      </c>
      <c r="AG279" t="str">
        <f>AE279/V279</f>
        <v>#REF!</v>
      </c>
      <c r="AH279" t="str">
        <f>AF279/W279</f>
        <v>#REF!</v>
      </c>
    </row>
    <row r="280">
      <c r="G280" t="str">
        <v>A</v>
      </c>
      <c r="J280" t="str">
        <f>IF(K280&gt;0,K280*0.0625,IF(L280&gt;0,L280*2.204623,))</f>
        <v>#REF!</v>
      </c>
      <c r="K280" t="str">
        <f>IF(L280&gt;0,L280*35.273962,IF(J280&gt;0,J280*16,))</f>
        <v>#REF!</v>
      </c>
      <c r="L280" t="str">
        <f>IF(J280&gt;0,J280*0.453592,IF(K280&gt;0,K280*0.02835,))</f>
        <v>#REF!</v>
      </c>
      <c r="O280">
        <f>I280+N280+M280</f>
        <v>0</v>
      </c>
      <c r="P280">
        <f>O280*B$3</f>
        <v>0</v>
      </c>
      <c r="Q280">
        <f>ROUND(SUM(P280), -2)</f>
        <v>0</v>
      </c>
      <c r="R280" t="str">
        <f>ROUNDUP(HLOOKUP(IF(CEILING(L280,0.5)&lt;1,0.5,CEILING(L280,0.5)),'배송비 조회'!A$44:AO$56,7,0)*B$3,-2)</f>
        <v>#REF!</v>
      </c>
      <c r="S280">
        <v>0</v>
      </c>
      <c r="T280" t="str">
        <f>ROUND((Q280+R280)*0.3,-2)</f>
        <v>#REF!</v>
      </c>
      <c r="U280" t="str">
        <f>ROUND((Q280+R280)*0.4,-2)</f>
        <v>#REF!</v>
      </c>
      <c r="V280" t="str">
        <f>SUM(Q280:R280)+T280</f>
        <v>#REF!</v>
      </c>
      <c r="W280" t="str">
        <f>SUM(Q280:S280)+U280</f>
        <v>#REF!</v>
      </c>
      <c r="X280">
        <v>0</v>
      </c>
      <c r="Y280" t="str">
        <f>V280*0.038</f>
        <v>#REF!</v>
      </c>
      <c r="Z280" t="str">
        <f>V280*0.02</f>
        <v>#REF!</v>
      </c>
      <c r="AA280" t="str">
        <f>W280*0.1</f>
        <v>#REF!</v>
      </c>
      <c r="AB280" t="str">
        <f>V280-Y280-Z280</f>
        <v>#REF!</v>
      </c>
      <c r="AC280" t="str">
        <f>W280-AA280</f>
        <v>#REF!</v>
      </c>
      <c r="AD280" t="str">
        <f>AB280*0.01</f>
        <v>#REF!</v>
      </c>
      <c r="AE280" t="str">
        <f>AB280-Q280-AD280-R280</f>
        <v>#REF!</v>
      </c>
      <c r="AF280" t="str">
        <f>AC280-Q280-AD280-R280</f>
        <v>#REF!</v>
      </c>
      <c r="AG280" t="str">
        <f>AE280/V280</f>
        <v>#REF!</v>
      </c>
      <c r="AH280" t="str">
        <f>AF280/W280</f>
        <v>#REF!</v>
      </c>
    </row>
    <row r="281">
      <c r="G281" t="str">
        <v>A</v>
      </c>
      <c r="J281" t="str">
        <f>IF(K281&gt;0,K281*0.0625,IF(L281&gt;0,L281*2.204623,))</f>
        <v>#REF!</v>
      </c>
      <c r="K281" t="str">
        <f>IF(L281&gt;0,L281*35.273962,IF(J281&gt;0,J281*16,))</f>
        <v>#REF!</v>
      </c>
      <c r="L281" t="str">
        <f>IF(J281&gt;0,J281*0.453592,IF(K281&gt;0,K281*0.02835,))</f>
        <v>#REF!</v>
      </c>
      <c r="O281">
        <f>I281+N281+M281</f>
        <v>0</v>
      </c>
      <c r="P281">
        <f>O281*B$3</f>
        <v>0</v>
      </c>
      <c r="Q281">
        <f>ROUND(SUM(P281), -2)</f>
        <v>0</v>
      </c>
      <c r="R281" t="str">
        <f>ROUNDUP(HLOOKUP(IF(CEILING(L281,0.5)&lt;1,0.5,CEILING(L281,0.5)),'배송비 조회'!A$44:AO$56,7,0)*B$3,-2)</f>
        <v>#REF!</v>
      </c>
      <c r="S281">
        <v>0</v>
      </c>
      <c r="T281" t="str">
        <f>ROUND((Q281+R281)*0.3,-2)</f>
        <v>#REF!</v>
      </c>
      <c r="U281" t="str">
        <f>ROUND((Q281+R281)*0.4,-2)</f>
        <v>#REF!</v>
      </c>
      <c r="V281" t="str">
        <f>SUM(Q281:R281)+T281</f>
        <v>#REF!</v>
      </c>
      <c r="W281" t="str">
        <f>SUM(Q281:S281)+U281</f>
        <v>#REF!</v>
      </c>
      <c r="X281">
        <v>0</v>
      </c>
      <c r="Y281" t="str">
        <f>V281*0.038</f>
        <v>#REF!</v>
      </c>
      <c r="Z281" t="str">
        <f>V281*0.02</f>
        <v>#REF!</v>
      </c>
      <c r="AA281" t="str">
        <f>W281*0.1</f>
        <v>#REF!</v>
      </c>
      <c r="AB281" t="str">
        <f>V281-Y281-Z281</f>
        <v>#REF!</v>
      </c>
      <c r="AC281" t="str">
        <f>W281-AA281</f>
        <v>#REF!</v>
      </c>
      <c r="AD281" t="str">
        <f>AB281*0.01</f>
        <v>#REF!</v>
      </c>
      <c r="AE281" t="str">
        <f>AB281-Q281-AD281-R281</f>
        <v>#REF!</v>
      </c>
      <c r="AF281" t="str">
        <f>AC281-Q281-AD281-R281</f>
        <v>#REF!</v>
      </c>
      <c r="AG281" t="str">
        <f>AE281/V281</f>
        <v>#REF!</v>
      </c>
      <c r="AH281" t="str">
        <f>AF281/W281</f>
        <v>#REF!</v>
      </c>
    </row>
    <row r="282">
      <c r="G282" t="str">
        <v>A</v>
      </c>
      <c r="J282" t="str">
        <f>IF(K282&gt;0,K282*0.0625,IF(L282&gt;0,L282*2.204623,))</f>
        <v>#REF!</v>
      </c>
      <c r="K282" t="str">
        <f>IF(L282&gt;0,L282*35.273962,IF(J282&gt;0,J282*16,))</f>
        <v>#REF!</v>
      </c>
      <c r="L282" t="str">
        <f>IF(J282&gt;0,J282*0.453592,IF(K282&gt;0,K282*0.02835,))</f>
        <v>#REF!</v>
      </c>
      <c r="O282">
        <f>I282+N282+M282</f>
        <v>0</v>
      </c>
      <c r="P282">
        <f>O282*B$3</f>
        <v>0</v>
      </c>
      <c r="Q282">
        <f>ROUND(SUM(P282), -2)</f>
        <v>0</v>
      </c>
      <c r="R282" t="str">
        <f>ROUNDUP(HLOOKUP(IF(CEILING(L282,0.5)&lt;1,0.5,CEILING(L282,0.5)),'배송비 조회'!A$44:AO$56,7,0)*B$3,-2)</f>
        <v>#REF!</v>
      </c>
      <c r="S282">
        <v>0</v>
      </c>
      <c r="T282" t="str">
        <f>ROUND((Q282+R282)*0.3,-2)</f>
        <v>#REF!</v>
      </c>
      <c r="U282" t="str">
        <f>ROUND((Q282+R282)*0.4,-2)</f>
        <v>#REF!</v>
      </c>
      <c r="V282" t="str">
        <f>SUM(Q282:R282)+T282</f>
        <v>#REF!</v>
      </c>
      <c r="W282" t="str">
        <f>SUM(Q282:S282)+U282</f>
        <v>#REF!</v>
      </c>
      <c r="X282">
        <v>0</v>
      </c>
      <c r="Y282" t="str">
        <f>V282*0.038</f>
        <v>#REF!</v>
      </c>
      <c r="Z282" t="str">
        <f>V282*0.02</f>
        <v>#REF!</v>
      </c>
      <c r="AA282" t="str">
        <f>W282*0.1</f>
        <v>#REF!</v>
      </c>
      <c r="AB282" t="str">
        <f>V282-Y282-Z282</f>
        <v>#REF!</v>
      </c>
      <c r="AC282" t="str">
        <f>W282-AA282</f>
        <v>#REF!</v>
      </c>
      <c r="AD282" t="str">
        <f>AB282*0.01</f>
        <v>#REF!</v>
      </c>
      <c r="AE282" t="str">
        <f>AB282-Q282-AD282-R282</f>
        <v>#REF!</v>
      </c>
      <c r="AF282" t="str">
        <f>AC282-Q282-AD282-R282</f>
        <v>#REF!</v>
      </c>
      <c r="AG282" t="str">
        <f>AE282/V282</f>
        <v>#REF!</v>
      </c>
      <c r="AH282" t="str">
        <f>AF282/W282</f>
        <v>#REF!</v>
      </c>
    </row>
    <row r="283">
      <c r="G283" t="str">
        <v>A</v>
      </c>
      <c r="J283" t="str">
        <f>IF(K283&gt;0,K283*0.0625,IF(L283&gt;0,L283*2.204623,))</f>
        <v>#REF!</v>
      </c>
      <c r="K283" t="str">
        <f>IF(L283&gt;0,L283*35.273962,IF(J283&gt;0,J283*16,))</f>
        <v>#REF!</v>
      </c>
      <c r="L283" t="str">
        <f>IF(J283&gt;0,J283*0.453592,IF(K283&gt;0,K283*0.02835,))</f>
        <v>#REF!</v>
      </c>
      <c r="O283">
        <f>I283+N283+M283</f>
        <v>0</v>
      </c>
      <c r="P283">
        <f>O283*B$3</f>
        <v>0</v>
      </c>
      <c r="Q283">
        <f>ROUND(SUM(P283), -2)</f>
        <v>0</v>
      </c>
      <c r="R283" t="str">
        <f>ROUNDUP(HLOOKUP(IF(CEILING(L283,0.5)&lt;1,0.5,CEILING(L283,0.5)),'배송비 조회'!A$44:AO$56,7,0)*B$3,-2)</f>
        <v>#REF!</v>
      </c>
      <c r="S283">
        <v>0</v>
      </c>
      <c r="T283" t="str">
        <f>ROUND((Q283+R283)*0.3,-2)</f>
        <v>#REF!</v>
      </c>
      <c r="U283" t="str">
        <f>ROUND((Q283+R283)*0.4,-2)</f>
        <v>#REF!</v>
      </c>
      <c r="V283" t="str">
        <f>SUM(Q283:R283)+T283</f>
        <v>#REF!</v>
      </c>
      <c r="W283" t="str">
        <f>SUM(Q283:S283)+U283</f>
        <v>#REF!</v>
      </c>
      <c r="X283">
        <v>0</v>
      </c>
      <c r="Y283" t="str">
        <f>V283*0.038</f>
        <v>#REF!</v>
      </c>
      <c r="Z283" t="str">
        <f>V283*0.02</f>
        <v>#REF!</v>
      </c>
      <c r="AA283" t="str">
        <f>W283*0.1</f>
        <v>#REF!</v>
      </c>
      <c r="AB283" t="str">
        <f>V283-Y283-Z283</f>
        <v>#REF!</v>
      </c>
      <c r="AC283" t="str">
        <f>W283-AA283</f>
        <v>#REF!</v>
      </c>
      <c r="AD283" t="str">
        <f>AB283*0.01</f>
        <v>#REF!</v>
      </c>
      <c r="AE283" t="str">
        <f>AB283-Q283-AD283-R283</f>
        <v>#REF!</v>
      </c>
      <c r="AF283" t="str">
        <f>AC283-Q283-AD283-R283</f>
        <v>#REF!</v>
      </c>
      <c r="AG283" t="str">
        <f>AE283/V283</f>
        <v>#REF!</v>
      </c>
      <c r="AH283" t="str">
        <f>AF283/W283</f>
        <v>#REF!</v>
      </c>
    </row>
    <row r="284">
      <c r="G284" t="str">
        <v>A</v>
      </c>
      <c r="J284" t="str">
        <f>IF(K284&gt;0,K284*0.0625,IF(L284&gt;0,L284*2.204623,))</f>
        <v>#REF!</v>
      </c>
      <c r="K284" t="str">
        <f>IF(L284&gt;0,L284*35.273962,IF(J284&gt;0,J284*16,))</f>
        <v>#REF!</v>
      </c>
      <c r="L284" t="str">
        <f>IF(J284&gt;0,J284*0.453592,IF(K284&gt;0,K284*0.02835,))</f>
        <v>#REF!</v>
      </c>
      <c r="O284">
        <f>I284+N284+M284</f>
        <v>0</v>
      </c>
      <c r="P284">
        <f>O284*B$3</f>
        <v>0</v>
      </c>
      <c r="Q284">
        <f>ROUND(SUM(P284), -2)</f>
        <v>0</v>
      </c>
      <c r="R284" t="str">
        <f>ROUNDUP(HLOOKUP(IF(CEILING(L284,0.5)&lt;1,0.5,CEILING(L284,0.5)),'배송비 조회'!A$44:AO$56,7,0)*B$3,-2)</f>
        <v>#REF!</v>
      </c>
      <c r="S284">
        <v>0</v>
      </c>
      <c r="T284" t="str">
        <f>ROUND((Q284+R284)*0.3,-2)</f>
        <v>#REF!</v>
      </c>
      <c r="U284" t="str">
        <f>ROUND((Q284+R284)*0.4,-2)</f>
        <v>#REF!</v>
      </c>
      <c r="V284" t="str">
        <f>SUM(Q284:R284)+T284</f>
        <v>#REF!</v>
      </c>
      <c r="W284" t="str">
        <f>SUM(Q284:S284)+U284</f>
        <v>#REF!</v>
      </c>
      <c r="X284">
        <v>0</v>
      </c>
      <c r="Y284" t="str">
        <f>V284*0.038</f>
        <v>#REF!</v>
      </c>
      <c r="Z284" t="str">
        <f>V284*0.02</f>
        <v>#REF!</v>
      </c>
      <c r="AA284" t="str">
        <f>W284*0.1</f>
        <v>#REF!</v>
      </c>
      <c r="AB284" t="str">
        <f>V284-Y284-Z284</f>
        <v>#REF!</v>
      </c>
      <c r="AC284" t="str">
        <f>W284-AA284</f>
        <v>#REF!</v>
      </c>
      <c r="AD284" t="str">
        <f>AB284*0.01</f>
        <v>#REF!</v>
      </c>
      <c r="AE284" t="str">
        <f>AB284-Q284-AD284-R284</f>
        <v>#REF!</v>
      </c>
      <c r="AF284" t="str">
        <f>AC284-Q284-AD284-R284</f>
        <v>#REF!</v>
      </c>
      <c r="AG284" t="str">
        <f>AE284/V284</f>
        <v>#REF!</v>
      </c>
      <c r="AH284" t="str">
        <f>AF284/W284</f>
        <v>#REF!</v>
      </c>
    </row>
    <row r="285">
      <c r="G285" t="str">
        <v>A</v>
      </c>
      <c r="J285" t="str">
        <f>IF(K285&gt;0,K285*0.0625,IF(L285&gt;0,L285*2.204623,))</f>
        <v>#REF!</v>
      </c>
      <c r="K285" t="str">
        <f>IF(L285&gt;0,L285*35.273962,IF(J285&gt;0,J285*16,))</f>
        <v>#REF!</v>
      </c>
      <c r="L285" t="str">
        <f>IF(J285&gt;0,J285*0.453592,IF(K285&gt;0,K285*0.02835,))</f>
        <v>#REF!</v>
      </c>
      <c r="O285">
        <f>I285+N285+M285</f>
        <v>0</v>
      </c>
      <c r="P285">
        <f>O285*B$3</f>
        <v>0</v>
      </c>
      <c r="Q285">
        <f>ROUND(SUM(P285), -2)</f>
        <v>0</v>
      </c>
      <c r="R285" t="str">
        <f>ROUNDUP(HLOOKUP(IF(CEILING(L285,0.5)&lt;1,0.5,CEILING(L285,0.5)),'배송비 조회'!A$44:AO$56,7,0)*B$3,-2)</f>
        <v>#REF!</v>
      </c>
      <c r="S285">
        <v>0</v>
      </c>
      <c r="T285" t="str">
        <f>ROUND((Q285+R285)*0.3,-2)</f>
        <v>#REF!</v>
      </c>
      <c r="U285" t="str">
        <f>ROUND((Q285+R285)*0.4,-2)</f>
        <v>#REF!</v>
      </c>
      <c r="V285" t="str">
        <f>SUM(Q285:R285)+T285</f>
        <v>#REF!</v>
      </c>
      <c r="W285" t="str">
        <f>SUM(Q285:S285)+U285</f>
        <v>#REF!</v>
      </c>
      <c r="X285">
        <v>0</v>
      </c>
      <c r="Y285" t="str">
        <f>V285*0.038</f>
        <v>#REF!</v>
      </c>
      <c r="Z285" t="str">
        <f>V285*0.02</f>
        <v>#REF!</v>
      </c>
      <c r="AA285" t="str">
        <f>W285*0.1</f>
        <v>#REF!</v>
      </c>
      <c r="AB285" t="str">
        <f>V285-Y285-Z285</f>
        <v>#REF!</v>
      </c>
      <c r="AC285" t="str">
        <f>W285-AA285</f>
        <v>#REF!</v>
      </c>
      <c r="AD285" t="str">
        <f>AB285*0.01</f>
        <v>#REF!</v>
      </c>
      <c r="AE285" t="str">
        <f>AB285-Q285-AD285-R285</f>
        <v>#REF!</v>
      </c>
      <c r="AF285" t="str">
        <f>AC285-Q285-AD285-R285</f>
        <v>#REF!</v>
      </c>
      <c r="AG285" t="str">
        <f>AE285/V285</f>
        <v>#REF!</v>
      </c>
      <c r="AH285" t="str">
        <f>AF285/W285</f>
        <v>#REF!</v>
      </c>
    </row>
    <row r="286">
      <c r="G286" t="str">
        <v>A</v>
      </c>
      <c r="J286" t="str">
        <f>IF(K286&gt;0,K286*0.0625,IF(L286&gt;0,L286*2.204623,))</f>
        <v>#REF!</v>
      </c>
      <c r="K286" t="str">
        <f>IF(L286&gt;0,L286*35.273962,IF(J286&gt;0,J286*16,))</f>
        <v>#REF!</v>
      </c>
      <c r="L286" t="str">
        <f>IF(J286&gt;0,J286*0.453592,IF(K286&gt;0,K286*0.02835,))</f>
        <v>#REF!</v>
      </c>
      <c r="O286">
        <f>I286+N286+M286</f>
        <v>0</v>
      </c>
      <c r="P286">
        <f>O286*B$3</f>
        <v>0</v>
      </c>
      <c r="Q286">
        <f>ROUND(SUM(P286), -2)</f>
        <v>0</v>
      </c>
      <c r="R286" t="str">
        <f>ROUNDUP(HLOOKUP(IF(CEILING(L286,0.5)&lt;1,0.5,CEILING(L286,0.5)),'배송비 조회'!A$44:AO$56,7,0)*B$3,-2)</f>
        <v>#REF!</v>
      </c>
      <c r="S286">
        <v>0</v>
      </c>
      <c r="T286" t="str">
        <f>ROUND((Q286+R286)*0.3,-2)</f>
        <v>#REF!</v>
      </c>
      <c r="U286" t="str">
        <f>ROUND((Q286+R286)*0.4,-2)</f>
        <v>#REF!</v>
      </c>
      <c r="V286" t="str">
        <f>SUM(Q286:R286)+T286</f>
        <v>#REF!</v>
      </c>
      <c r="W286" t="str">
        <f>SUM(Q286:S286)+U286</f>
        <v>#REF!</v>
      </c>
      <c r="X286">
        <v>0</v>
      </c>
      <c r="Y286" t="str">
        <f>V286*0.038</f>
        <v>#REF!</v>
      </c>
      <c r="Z286" t="str">
        <f>V286*0.02</f>
        <v>#REF!</v>
      </c>
      <c r="AA286" t="str">
        <f>W286*0.1</f>
        <v>#REF!</v>
      </c>
      <c r="AB286" t="str">
        <f>V286-Y286-Z286</f>
        <v>#REF!</v>
      </c>
      <c r="AC286" t="str">
        <f>W286-AA286</f>
        <v>#REF!</v>
      </c>
      <c r="AD286" t="str">
        <f>AB286*0.01</f>
        <v>#REF!</v>
      </c>
      <c r="AE286" t="str">
        <f>AB286-Q286-AD286-R286</f>
        <v>#REF!</v>
      </c>
      <c r="AF286" t="str">
        <f>AC286-Q286-AD286-R286</f>
        <v>#REF!</v>
      </c>
      <c r="AG286" t="str">
        <f>AE286/V286</f>
        <v>#REF!</v>
      </c>
      <c r="AH286" t="str">
        <f>AF286/W286</f>
        <v>#REF!</v>
      </c>
    </row>
    <row r="287">
      <c r="G287" t="str">
        <v>A</v>
      </c>
      <c r="J287" t="str">
        <f>IF(K287&gt;0,K287*0.0625,IF(L287&gt;0,L287*2.204623,))</f>
        <v>#REF!</v>
      </c>
      <c r="K287" t="str">
        <f>IF(L287&gt;0,L287*35.273962,IF(J287&gt;0,J287*16,))</f>
        <v>#REF!</v>
      </c>
      <c r="L287" t="str">
        <f>IF(J287&gt;0,J287*0.453592,IF(K287&gt;0,K287*0.02835,))</f>
        <v>#REF!</v>
      </c>
      <c r="O287">
        <f>I287+N287+M287</f>
        <v>0</v>
      </c>
      <c r="P287">
        <f>O287*B$3</f>
        <v>0</v>
      </c>
      <c r="Q287">
        <f>ROUND(SUM(P287), -2)</f>
        <v>0</v>
      </c>
      <c r="R287" t="str">
        <f>ROUNDUP(HLOOKUP(IF(CEILING(L287,0.5)&lt;1,0.5,CEILING(L287,0.5)),'배송비 조회'!A$44:AO$56,7,0)*B$3,-2)</f>
        <v>#REF!</v>
      </c>
      <c r="S287">
        <v>0</v>
      </c>
      <c r="T287" t="str">
        <f>ROUND((Q287+R287)*0.3,-2)</f>
        <v>#REF!</v>
      </c>
      <c r="U287" t="str">
        <f>ROUND((Q287+R287)*0.4,-2)</f>
        <v>#REF!</v>
      </c>
      <c r="V287" t="str">
        <f>SUM(Q287:R287)+T287</f>
        <v>#REF!</v>
      </c>
      <c r="W287" t="str">
        <f>SUM(Q287:S287)+U287</f>
        <v>#REF!</v>
      </c>
      <c r="X287">
        <v>0</v>
      </c>
      <c r="Y287" t="str">
        <f>V287*0.038</f>
        <v>#REF!</v>
      </c>
      <c r="Z287" t="str">
        <f>V287*0.02</f>
        <v>#REF!</v>
      </c>
      <c r="AA287" t="str">
        <f>W287*0.1</f>
        <v>#REF!</v>
      </c>
      <c r="AB287" t="str">
        <f>V287-Y287-Z287</f>
        <v>#REF!</v>
      </c>
      <c r="AC287" t="str">
        <f>W287-AA287</f>
        <v>#REF!</v>
      </c>
      <c r="AD287" t="str">
        <f>AB287*0.01</f>
        <v>#REF!</v>
      </c>
      <c r="AE287" t="str">
        <f>AB287-Q287-AD287-R287</f>
        <v>#REF!</v>
      </c>
      <c r="AF287" t="str">
        <f>AC287-Q287-AD287-R287</f>
        <v>#REF!</v>
      </c>
      <c r="AG287" t="str">
        <f>AE287/V287</f>
        <v>#REF!</v>
      </c>
      <c r="AH287" t="str">
        <f>AF287/W287</f>
        <v>#REF!</v>
      </c>
    </row>
    <row r="288">
      <c r="G288" t="str">
        <v>A</v>
      </c>
      <c r="J288" t="str">
        <f>IF(K288&gt;0,K288*0.0625,IF(L288&gt;0,L288*2.204623,))</f>
        <v>#REF!</v>
      </c>
      <c r="K288" t="str">
        <f>IF(L288&gt;0,L288*35.273962,IF(J288&gt;0,J288*16,))</f>
        <v>#REF!</v>
      </c>
      <c r="L288" t="str">
        <f>IF(J288&gt;0,J288*0.453592,IF(K288&gt;0,K288*0.02835,))</f>
        <v>#REF!</v>
      </c>
      <c r="O288">
        <f>I288+N288+M288</f>
        <v>0</v>
      </c>
      <c r="P288">
        <f>O288*B$3</f>
        <v>0</v>
      </c>
      <c r="Q288">
        <f>ROUND(SUM(P288), -2)</f>
        <v>0</v>
      </c>
      <c r="R288" t="str">
        <f>ROUNDUP(HLOOKUP(IF(CEILING(L288,0.5)&lt;1,0.5,CEILING(L288,0.5)),'배송비 조회'!A$44:AO$56,7,0)*B$3,-2)</f>
        <v>#REF!</v>
      </c>
      <c r="S288">
        <v>0</v>
      </c>
      <c r="T288" t="str">
        <f>ROUND((Q288+R288)*0.3,-2)</f>
        <v>#REF!</v>
      </c>
      <c r="U288" t="str">
        <f>ROUND((Q288+R288)*0.4,-2)</f>
        <v>#REF!</v>
      </c>
      <c r="V288" t="str">
        <f>SUM(Q288:R288)+T288</f>
        <v>#REF!</v>
      </c>
      <c r="W288" t="str">
        <f>SUM(Q288:S288)+U288</f>
        <v>#REF!</v>
      </c>
      <c r="X288">
        <v>0</v>
      </c>
      <c r="Y288" t="str">
        <f>V288*0.038</f>
        <v>#REF!</v>
      </c>
      <c r="Z288" t="str">
        <f>V288*0.02</f>
        <v>#REF!</v>
      </c>
      <c r="AA288" t="str">
        <f>W288*0.1</f>
        <v>#REF!</v>
      </c>
      <c r="AB288" t="str">
        <f>V288-Y288-Z288</f>
        <v>#REF!</v>
      </c>
      <c r="AC288" t="str">
        <f>W288-AA288</f>
        <v>#REF!</v>
      </c>
      <c r="AD288" t="str">
        <f>AB288*0.01</f>
        <v>#REF!</v>
      </c>
      <c r="AE288" t="str">
        <f>AB288-Q288-AD288-R288</f>
        <v>#REF!</v>
      </c>
      <c r="AF288" t="str">
        <f>AC288-Q288-AD288-R288</f>
        <v>#REF!</v>
      </c>
      <c r="AG288" t="str">
        <f>AE288/V288</f>
        <v>#REF!</v>
      </c>
      <c r="AH288" t="str">
        <f>AF288/W288</f>
        <v>#REF!</v>
      </c>
    </row>
    <row r="289">
      <c r="G289" t="str">
        <v>A</v>
      </c>
      <c r="J289" t="str">
        <f>IF(K289&gt;0,K289*0.0625,IF(L289&gt;0,L289*2.204623,))</f>
        <v>#REF!</v>
      </c>
      <c r="K289" t="str">
        <f>IF(L289&gt;0,L289*35.273962,IF(J289&gt;0,J289*16,))</f>
        <v>#REF!</v>
      </c>
      <c r="L289" t="str">
        <f>IF(J289&gt;0,J289*0.453592,IF(K289&gt;0,K289*0.02835,))</f>
        <v>#REF!</v>
      </c>
      <c r="O289">
        <f>I289+N289+M289</f>
        <v>0</v>
      </c>
      <c r="P289">
        <f>O289*B$3</f>
        <v>0</v>
      </c>
      <c r="Q289">
        <f>ROUND(SUM(P289), -2)</f>
        <v>0</v>
      </c>
      <c r="R289" t="str">
        <f>ROUNDUP(HLOOKUP(IF(CEILING(L289,0.5)&lt;1,0.5,CEILING(L289,0.5)),'배송비 조회'!A$44:AO$56,7,0)*B$3,-2)</f>
        <v>#REF!</v>
      </c>
      <c r="S289">
        <v>0</v>
      </c>
      <c r="T289" t="str">
        <f>ROUND((Q289+R289)*0.3,-2)</f>
        <v>#REF!</v>
      </c>
      <c r="U289" t="str">
        <f>ROUND((Q289+R289)*0.4,-2)</f>
        <v>#REF!</v>
      </c>
      <c r="V289" t="str">
        <f>SUM(Q289:R289)+T289</f>
        <v>#REF!</v>
      </c>
      <c r="W289" t="str">
        <f>SUM(Q289:S289)+U289</f>
        <v>#REF!</v>
      </c>
      <c r="X289">
        <v>0</v>
      </c>
      <c r="Y289" t="str">
        <f>V289*0.038</f>
        <v>#REF!</v>
      </c>
      <c r="Z289" t="str">
        <f>V289*0.02</f>
        <v>#REF!</v>
      </c>
      <c r="AA289" t="str">
        <f>W289*0.1</f>
        <v>#REF!</v>
      </c>
      <c r="AB289" t="str">
        <f>V289-Y289-Z289</f>
        <v>#REF!</v>
      </c>
      <c r="AC289" t="str">
        <f>W289-AA289</f>
        <v>#REF!</v>
      </c>
      <c r="AD289" t="str">
        <f>AB289*0.01</f>
        <v>#REF!</v>
      </c>
      <c r="AE289" t="str">
        <f>AB289-Q289-AD289-R289</f>
        <v>#REF!</v>
      </c>
      <c r="AF289" t="str">
        <f>AC289-Q289-AD289-R289</f>
        <v>#REF!</v>
      </c>
      <c r="AG289" t="str">
        <f>AE289/V289</f>
        <v>#REF!</v>
      </c>
      <c r="AH289" t="str">
        <f>AF289/W289</f>
        <v>#REF!</v>
      </c>
    </row>
    <row r="290">
      <c r="G290" t="str">
        <v>A</v>
      </c>
      <c r="J290" t="str">
        <f>IF(K290&gt;0,K290*0.0625,IF(L290&gt;0,L290*2.204623,))</f>
        <v>#REF!</v>
      </c>
      <c r="K290" t="str">
        <f>IF(L290&gt;0,L290*35.273962,IF(J290&gt;0,J290*16,))</f>
        <v>#REF!</v>
      </c>
      <c r="L290" t="str">
        <f>IF(J290&gt;0,J290*0.453592,IF(K290&gt;0,K290*0.02835,))</f>
        <v>#REF!</v>
      </c>
      <c r="O290">
        <f>I290+N290+M290</f>
        <v>0</v>
      </c>
      <c r="P290">
        <f>O290*B$3</f>
        <v>0</v>
      </c>
      <c r="Q290">
        <f>ROUND(SUM(P290), -2)</f>
        <v>0</v>
      </c>
      <c r="R290" t="str">
        <f>ROUNDUP(HLOOKUP(IF(CEILING(L290,0.5)&lt;1,0.5,CEILING(L290,0.5)),'배송비 조회'!A$44:AO$56,7,0)*B$3,-2)</f>
        <v>#REF!</v>
      </c>
      <c r="S290">
        <v>0</v>
      </c>
      <c r="T290" t="str">
        <f>ROUND((Q290+R290)*0.3,-2)</f>
        <v>#REF!</v>
      </c>
      <c r="U290" t="str">
        <f>ROUND((Q290+R290)*0.4,-2)</f>
        <v>#REF!</v>
      </c>
      <c r="V290" t="str">
        <f>SUM(Q290:R290)+T290</f>
        <v>#REF!</v>
      </c>
      <c r="W290" t="str">
        <f>SUM(Q290:S290)+U290</f>
        <v>#REF!</v>
      </c>
      <c r="X290">
        <v>0</v>
      </c>
      <c r="Y290" t="str">
        <f>V290*0.038</f>
        <v>#REF!</v>
      </c>
      <c r="Z290" t="str">
        <f>V290*0.02</f>
        <v>#REF!</v>
      </c>
      <c r="AA290" t="str">
        <f>W290*0.1</f>
        <v>#REF!</v>
      </c>
      <c r="AB290" t="str">
        <f>V290-Y290-Z290</f>
        <v>#REF!</v>
      </c>
      <c r="AC290" t="str">
        <f>W290-AA290</f>
        <v>#REF!</v>
      </c>
      <c r="AD290" t="str">
        <f>AB290*0.01</f>
        <v>#REF!</v>
      </c>
      <c r="AE290" t="str">
        <f>AB290-Q290-AD290-R290</f>
        <v>#REF!</v>
      </c>
      <c r="AF290" t="str">
        <f>AC290-Q290-AD290-R290</f>
        <v>#REF!</v>
      </c>
      <c r="AG290" t="str">
        <f>AE290/V290</f>
        <v>#REF!</v>
      </c>
      <c r="AH290" t="str">
        <f>AF290/W290</f>
        <v>#REF!</v>
      </c>
    </row>
    <row r="291">
      <c r="G291" t="str">
        <v>A</v>
      </c>
      <c r="J291" t="str">
        <f>IF(K291&gt;0,K291*0.0625,IF(L291&gt;0,L291*2.204623,))</f>
        <v>#REF!</v>
      </c>
      <c r="K291" t="str">
        <f>IF(L291&gt;0,L291*35.273962,IF(J291&gt;0,J291*16,))</f>
        <v>#REF!</v>
      </c>
      <c r="L291" t="str">
        <f>IF(J291&gt;0,J291*0.453592,IF(K291&gt;0,K291*0.02835,))</f>
        <v>#REF!</v>
      </c>
      <c r="O291">
        <f>I291+N291+M291</f>
        <v>0</v>
      </c>
      <c r="P291">
        <f>O291*B$3</f>
        <v>0</v>
      </c>
      <c r="Q291">
        <f>ROUND(SUM(P291), -2)</f>
        <v>0</v>
      </c>
      <c r="R291" t="str">
        <f>ROUNDUP(HLOOKUP(IF(CEILING(L291,0.5)&lt;1,0.5,CEILING(L291,0.5)),'배송비 조회'!A$44:AO$56,7,0)*B$3,-2)</f>
        <v>#REF!</v>
      </c>
      <c r="S291">
        <v>0</v>
      </c>
      <c r="T291" t="str">
        <f>ROUND((Q291+R291)*0.3,-2)</f>
        <v>#REF!</v>
      </c>
      <c r="U291" t="str">
        <f>ROUND((Q291+R291)*0.4,-2)</f>
        <v>#REF!</v>
      </c>
      <c r="V291" t="str">
        <f>SUM(Q291:R291)+T291</f>
        <v>#REF!</v>
      </c>
      <c r="W291" t="str">
        <f>SUM(Q291:S291)+U291</f>
        <v>#REF!</v>
      </c>
      <c r="X291">
        <v>0</v>
      </c>
      <c r="Y291" t="str">
        <f>V291*0.038</f>
        <v>#REF!</v>
      </c>
      <c r="Z291" t="str">
        <f>V291*0.02</f>
        <v>#REF!</v>
      </c>
      <c r="AA291" t="str">
        <f>W291*0.1</f>
        <v>#REF!</v>
      </c>
      <c r="AB291" t="str">
        <f>V291-Y291-Z291</f>
        <v>#REF!</v>
      </c>
      <c r="AC291" t="str">
        <f>W291-AA291</f>
        <v>#REF!</v>
      </c>
      <c r="AD291" t="str">
        <f>AB291*0.01</f>
        <v>#REF!</v>
      </c>
      <c r="AE291" t="str">
        <f>AB291-Q291-AD291-R291</f>
        <v>#REF!</v>
      </c>
      <c r="AF291" t="str">
        <f>AC291-Q291-AD291-R291</f>
        <v>#REF!</v>
      </c>
      <c r="AG291" t="str">
        <f>AE291/V291</f>
        <v>#REF!</v>
      </c>
      <c r="AH291" t="str">
        <f>AF291/W291</f>
        <v>#REF!</v>
      </c>
    </row>
    <row r="292">
      <c r="G292" t="str">
        <v>A</v>
      </c>
      <c r="J292" t="str">
        <f>IF(K292&gt;0,K292*0.0625,IF(L292&gt;0,L292*2.204623,))</f>
        <v>#REF!</v>
      </c>
      <c r="K292" t="str">
        <f>IF(L292&gt;0,L292*35.273962,IF(J292&gt;0,J292*16,))</f>
        <v>#REF!</v>
      </c>
      <c r="L292" t="str">
        <f>IF(J292&gt;0,J292*0.453592,IF(K292&gt;0,K292*0.02835,))</f>
        <v>#REF!</v>
      </c>
      <c r="O292">
        <f>I292+N292+M292</f>
        <v>0</v>
      </c>
      <c r="P292">
        <f>O292*B$3</f>
        <v>0</v>
      </c>
      <c r="Q292">
        <f>ROUND(SUM(P292), -2)</f>
        <v>0</v>
      </c>
      <c r="R292" t="str">
        <f>ROUNDUP(HLOOKUP(IF(CEILING(L292,0.5)&lt;1,0.5,CEILING(L292,0.5)),'배송비 조회'!A$44:AO$56,7,0)*B$3,-2)</f>
        <v>#REF!</v>
      </c>
      <c r="S292">
        <v>0</v>
      </c>
      <c r="T292" t="str">
        <f>ROUND((Q292+R292)*0.3,-2)</f>
        <v>#REF!</v>
      </c>
      <c r="U292" t="str">
        <f>ROUND((Q292+R292)*0.4,-2)</f>
        <v>#REF!</v>
      </c>
      <c r="V292" t="str">
        <f>SUM(Q292:R292)+T292</f>
        <v>#REF!</v>
      </c>
      <c r="W292" t="str">
        <f>SUM(Q292:S292)+U292</f>
        <v>#REF!</v>
      </c>
      <c r="X292">
        <v>0</v>
      </c>
      <c r="Y292" t="str">
        <f>V292*0.038</f>
        <v>#REF!</v>
      </c>
      <c r="Z292" t="str">
        <f>V292*0.02</f>
        <v>#REF!</v>
      </c>
      <c r="AA292" t="str">
        <f>W292*0.1</f>
        <v>#REF!</v>
      </c>
      <c r="AB292" t="str">
        <f>V292-Y292-Z292</f>
        <v>#REF!</v>
      </c>
      <c r="AC292" t="str">
        <f>W292-AA292</f>
        <v>#REF!</v>
      </c>
      <c r="AD292" t="str">
        <f>AB292*0.01</f>
        <v>#REF!</v>
      </c>
      <c r="AE292" t="str">
        <f>AB292-Q292-AD292-R292</f>
        <v>#REF!</v>
      </c>
      <c r="AF292" t="str">
        <f>AC292-Q292-AD292-R292</f>
        <v>#REF!</v>
      </c>
      <c r="AG292" t="str">
        <f>AE292/V292</f>
        <v>#REF!</v>
      </c>
      <c r="AH292" t="str">
        <f>AF292/W292</f>
        <v>#REF!</v>
      </c>
    </row>
    <row r="293">
      <c r="G293" t="str">
        <v>A</v>
      </c>
      <c r="J293" t="str">
        <f>IF(K293&gt;0,K293*0.0625,IF(L293&gt;0,L293*2.204623,))</f>
        <v>#REF!</v>
      </c>
      <c r="K293" t="str">
        <f>IF(L293&gt;0,L293*35.273962,IF(J293&gt;0,J293*16,))</f>
        <v>#REF!</v>
      </c>
      <c r="L293" t="str">
        <f>IF(J293&gt;0,J293*0.453592,IF(K293&gt;0,K293*0.02835,))</f>
        <v>#REF!</v>
      </c>
      <c r="O293">
        <f>I293+N293+M293</f>
        <v>0</v>
      </c>
      <c r="P293">
        <f>O293*B$3</f>
        <v>0</v>
      </c>
      <c r="Q293">
        <f>ROUND(SUM(P293), -2)</f>
        <v>0</v>
      </c>
      <c r="R293" t="str">
        <f>ROUNDUP(HLOOKUP(IF(CEILING(L293,0.5)&lt;1,0.5,CEILING(L293,0.5)),'배송비 조회'!A$44:AO$56,7,0)*B$3,-2)</f>
        <v>#REF!</v>
      </c>
      <c r="S293">
        <v>0</v>
      </c>
      <c r="T293" t="str">
        <f>ROUND((Q293+R293)*0.3,-2)</f>
        <v>#REF!</v>
      </c>
      <c r="U293" t="str">
        <f>ROUND((Q293+R293)*0.4,-2)</f>
        <v>#REF!</v>
      </c>
      <c r="V293" t="str">
        <f>SUM(Q293:R293)+T293</f>
        <v>#REF!</v>
      </c>
      <c r="W293" t="str">
        <f>SUM(Q293:S293)+U293</f>
        <v>#REF!</v>
      </c>
      <c r="X293">
        <v>0</v>
      </c>
      <c r="Y293" t="str">
        <f>V293*0.038</f>
        <v>#REF!</v>
      </c>
      <c r="Z293" t="str">
        <f>V293*0.02</f>
        <v>#REF!</v>
      </c>
      <c r="AA293" t="str">
        <f>W293*0.1</f>
        <v>#REF!</v>
      </c>
      <c r="AB293" t="str">
        <f>V293-Y293-Z293</f>
        <v>#REF!</v>
      </c>
      <c r="AC293" t="str">
        <f>W293-AA293</f>
        <v>#REF!</v>
      </c>
      <c r="AD293" t="str">
        <f>AB293*0.01</f>
        <v>#REF!</v>
      </c>
      <c r="AE293" t="str">
        <f>AB293-Q293-AD293-R293</f>
        <v>#REF!</v>
      </c>
      <c r="AF293" t="str">
        <f>AC293-Q293-AD293-R293</f>
        <v>#REF!</v>
      </c>
      <c r="AG293" t="str">
        <f>AE293/V293</f>
        <v>#REF!</v>
      </c>
      <c r="AH293" t="str">
        <f>AF293/W293</f>
        <v>#REF!</v>
      </c>
    </row>
    <row r="294">
      <c r="G294" t="str">
        <v>A</v>
      </c>
      <c r="J294" t="str">
        <f>IF(K294&gt;0,K294*0.0625,IF(L294&gt;0,L294*2.204623,))</f>
        <v>#REF!</v>
      </c>
      <c r="K294" t="str">
        <f>IF(L294&gt;0,L294*35.273962,IF(J294&gt;0,J294*16,))</f>
        <v>#REF!</v>
      </c>
      <c r="L294" t="str">
        <f>IF(J294&gt;0,J294*0.453592,IF(K294&gt;0,K294*0.02835,))</f>
        <v>#REF!</v>
      </c>
      <c r="O294">
        <f>I294+N294+M294</f>
        <v>0</v>
      </c>
      <c r="P294">
        <f>O294*B$3</f>
        <v>0</v>
      </c>
      <c r="Q294">
        <f>ROUND(SUM(P294), -2)</f>
        <v>0</v>
      </c>
      <c r="R294" t="str">
        <f>ROUNDUP(HLOOKUP(IF(CEILING(L294,0.5)&lt;1,0.5,CEILING(L294,0.5)),'배송비 조회'!A$44:AO$56,7,0)*B$3,-2)</f>
        <v>#REF!</v>
      </c>
      <c r="S294">
        <v>0</v>
      </c>
      <c r="T294" t="str">
        <f>ROUND((Q294+R294)*0.3,-2)</f>
        <v>#REF!</v>
      </c>
      <c r="U294" t="str">
        <f>ROUND((Q294+R294)*0.4,-2)</f>
        <v>#REF!</v>
      </c>
      <c r="V294" t="str">
        <f>SUM(Q294:R294)+T294</f>
        <v>#REF!</v>
      </c>
      <c r="W294" t="str">
        <f>SUM(Q294:S294)+U294</f>
        <v>#REF!</v>
      </c>
      <c r="X294">
        <v>0</v>
      </c>
      <c r="Y294" t="str">
        <f>V294*0.038</f>
        <v>#REF!</v>
      </c>
      <c r="Z294" t="str">
        <f>V294*0.02</f>
        <v>#REF!</v>
      </c>
      <c r="AA294" t="str">
        <f>W294*0.1</f>
        <v>#REF!</v>
      </c>
      <c r="AB294" t="str">
        <f>V294-Y294-Z294</f>
        <v>#REF!</v>
      </c>
      <c r="AC294" t="str">
        <f>W294-AA294</f>
        <v>#REF!</v>
      </c>
      <c r="AD294" t="str">
        <f>AB294*0.01</f>
        <v>#REF!</v>
      </c>
      <c r="AE294" t="str">
        <f>AB294-Q294-AD294-R294</f>
        <v>#REF!</v>
      </c>
      <c r="AF294" t="str">
        <f>AC294-Q294-AD294-R294</f>
        <v>#REF!</v>
      </c>
      <c r="AG294" t="str">
        <f>AE294/V294</f>
        <v>#REF!</v>
      </c>
      <c r="AH294" t="str">
        <f>AF294/W294</f>
        <v>#REF!</v>
      </c>
    </row>
    <row r="295">
      <c r="G295" t="str">
        <v>A</v>
      </c>
      <c r="J295" t="str">
        <f>IF(K295&gt;0,K295*0.0625,IF(L295&gt;0,L295*2.204623,))</f>
        <v>#REF!</v>
      </c>
      <c r="K295" t="str">
        <f>IF(L295&gt;0,L295*35.273962,IF(J295&gt;0,J295*16,))</f>
        <v>#REF!</v>
      </c>
      <c r="L295" t="str">
        <f>IF(J295&gt;0,J295*0.453592,IF(K295&gt;0,K295*0.02835,))</f>
        <v>#REF!</v>
      </c>
      <c r="O295">
        <f>I295+N295+M295</f>
        <v>0</v>
      </c>
      <c r="P295">
        <f>O295*B$3</f>
        <v>0</v>
      </c>
      <c r="Q295">
        <f>ROUND(SUM(P295), -2)</f>
        <v>0</v>
      </c>
      <c r="R295" t="str">
        <f>ROUNDUP(HLOOKUP(IF(CEILING(L295,0.5)&lt;1,0.5,CEILING(L295,0.5)),'배송비 조회'!A$44:AO$56,7,0)*B$3,-2)</f>
        <v>#REF!</v>
      </c>
      <c r="S295">
        <v>0</v>
      </c>
      <c r="T295" t="str">
        <f>ROUND((Q295+R295)*0.3,-2)</f>
        <v>#REF!</v>
      </c>
      <c r="U295" t="str">
        <f>ROUND((Q295+R295)*0.4,-2)</f>
        <v>#REF!</v>
      </c>
      <c r="V295" t="str">
        <f>SUM(Q295:R295)+T295</f>
        <v>#REF!</v>
      </c>
      <c r="W295" t="str">
        <f>SUM(Q295:S295)+U295</f>
        <v>#REF!</v>
      </c>
      <c r="X295">
        <v>0</v>
      </c>
      <c r="Y295" t="str">
        <f>V295*0.038</f>
        <v>#REF!</v>
      </c>
      <c r="Z295" t="str">
        <f>V295*0.02</f>
        <v>#REF!</v>
      </c>
      <c r="AA295" t="str">
        <f>W295*0.1</f>
        <v>#REF!</v>
      </c>
      <c r="AB295" t="str">
        <f>V295-Y295-Z295</f>
        <v>#REF!</v>
      </c>
      <c r="AC295" t="str">
        <f>W295-AA295</f>
        <v>#REF!</v>
      </c>
      <c r="AD295" t="str">
        <f>AB295*0.01</f>
        <v>#REF!</v>
      </c>
      <c r="AE295" t="str">
        <f>AB295-Q295-AD295-R295</f>
        <v>#REF!</v>
      </c>
      <c r="AF295" t="str">
        <f>AC295-Q295-AD295-R295</f>
        <v>#REF!</v>
      </c>
      <c r="AG295" t="str">
        <f>AE295/V295</f>
        <v>#REF!</v>
      </c>
      <c r="AH295" t="str">
        <f>AF295/W295</f>
        <v>#REF!</v>
      </c>
    </row>
    <row r="296">
      <c r="G296" t="str">
        <v>A</v>
      </c>
      <c r="J296" t="str">
        <f>IF(K296&gt;0,K296*0.0625,IF(L296&gt;0,L296*2.204623,))</f>
        <v>#REF!</v>
      </c>
      <c r="K296" t="str">
        <f>IF(L296&gt;0,L296*35.273962,IF(J296&gt;0,J296*16,))</f>
        <v>#REF!</v>
      </c>
      <c r="L296" t="str">
        <f>IF(J296&gt;0,J296*0.453592,IF(K296&gt;0,K296*0.02835,))</f>
        <v>#REF!</v>
      </c>
      <c r="O296">
        <f>I296+N296+M296</f>
        <v>0</v>
      </c>
      <c r="P296">
        <f>O296*B$3</f>
        <v>0</v>
      </c>
      <c r="Q296">
        <f>ROUND(SUM(P296), -2)</f>
        <v>0</v>
      </c>
      <c r="R296" t="str">
        <f>ROUNDUP(HLOOKUP(IF(CEILING(L296,0.5)&lt;1,0.5,CEILING(L296,0.5)),'배송비 조회'!A$44:AO$56,7,0)*B$3,-2)</f>
        <v>#REF!</v>
      </c>
      <c r="S296">
        <v>0</v>
      </c>
      <c r="T296" t="str">
        <f>ROUND((Q296+R296)*0.3,-2)</f>
        <v>#REF!</v>
      </c>
      <c r="U296" t="str">
        <f>ROUND((Q296+R296)*0.4,-2)</f>
        <v>#REF!</v>
      </c>
      <c r="V296" t="str">
        <f>SUM(Q296:R296)+T296</f>
        <v>#REF!</v>
      </c>
      <c r="W296" t="str">
        <f>SUM(Q296:S296)+U296</f>
        <v>#REF!</v>
      </c>
      <c r="X296">
        <v>0</v>
      </c>
      <c r="Y296" t="str">
        <f>V296*0.038</f>
        <v>#REF!</v>
      </c>
      <c r="Z296" t="str">
        <f>V296*0.02</f>
        <v>#REF!</v>
      </c>
      <c r="AA296" t="str">
        <f>W296*0.1</f>
        <v>#REF!</v>
      </c>
      <c r="AB296" t="str">
        <f>V296-Y296-Z296</f>
        <v>#REF!</v>
      </c>
      <c r="AC296" t="str">
        <f>W296-AA296</f>
        <v>#REF!</v>
      </c>
      <c r="AD296" t="str">
        <f>AB296*0.01</f>
        <v>#REF!</v>
      </c>
      <c r="AE296" t="str">
        <f>AB296-Q296-AD296-R296</f>
        <v>#REF!</v>
      </c>
      <c r="AF296" t="str">
        <f>AC296-Q296-AD296-R296</f>
        <v>#REF!</v>
      </c>
      <c r="AG296" t="str">
        <f>AE296/V296</f>
        <v>#REF!</v>
      </c>
      <c r="AH296" t="str">
        <f>AF296/W296</f>
        <v>#REF!</v>
      </c>
    </row>
    <row r="297">
      <c r="G297" t="str">
        <v>A</v>
      </c>
      <c r="J297" t="str">
        <f>IF(K297&gt;0,K297*0.0625,IF(L297&gt;0,L297*2.204623,))</f>
        <v>#REF!</v>
      </c>
      <c r="K297" t="str">
        <f>IF(L297&gt;0,L297*35.273962,IF(J297&gt;0,J297*16,))</f>
        <v>#REF!</v>
      </c>
      <c r="L297" t="str">
        <f>IF(J297&gt;0,J297*0.453592,IF(K297&gt;0,K297*0.02835,))</f>
        <v>#REF!</v>
      </c>
      <c r="O297">
        <f>I297+N297+M297</f>
        <v>0</v>
      </c>
      <c r="P297">
        <f>O297*B$3</f>
        <v>0</v>
      </c>
      <c r="Q297">
        <f>ROUND(SUM(P297), -2)</f>
        <v>0</v>
      </c>
      <c r="R297" t="str">
        <f>ROUNDUP(HLOOKUP(IF(CEILING(L297,0.5)&lt;1,0.5,CEILING(L297,0.5)),'배송비 조회'!A$44:AO$56,7,0)*B$3,-2)</f>
        <v>#REF!</v>
      </c>
      <c r="S297">
        <v>0</v>
      </c>
      <c r="T297" t="str">
        <f>ROUND((Q297+R297)*0.3,-2)</f>
        <v>#REF!</v>
      </c>
      <c r="U297" t="str">
        <f>ROUND((Q297+R297)*0.4,-2)</f>
        <v>#REF!</v>
      </c>
      <c r="V297" t="str">
        <f>SUM(Q297:R297)+T297</f>
        <v>#REF!</v>
      </c>
      <c r="W297" t="str">
        <f>SUM(Q297:S297)+U297</f>
        <v>#REF!</v>
      </c>
      <c r="X297">
        <v>0</v>
      </c>
      <c r="Y297" t="str">
        <f>V297*0.038</f>
        <v>#REF!</v>
      </c>
      <c r="Z297" t="str">
        <f>V297*0.02</f>
        <v>#REF!</v>
      </c>
      <c r="AA297" t="str">
        <f>W297*0.1</f>
        <v>#REF!</v>
      </c>
      <c r="AB297" t="str">
        <f>V297-Y297-Z297</f>
        <v>#REF!</v>
      </c>
      <c r="AC297" t="str">
        <f>W297-AA297</f>
        <v>#REF!</v>
      </c>
      <c r="AD297" t="str">
        <f>AB297*0.01</f>
        <v>#REF!</v>
      </c>
      <c r="AE297" t="str">
        <f>AB297-Q297-AD297-R297</f>
        <v>#REF!</v>
      </c>
      <c r="AF297" t="str">
        <f>AC297-Q297-AD297-R297</f>
        <v>#REF!</v>
      </c>
      <c r="AG297" t="str">
        <f>AE297/V297</f>
        <v>#REF!</v>
      </c>
      <c r="AH297" t="str">
        <f>AF297/W297</f>
        <v>#REF!</v>
      </c>
    </row>
    <row r="298">
      <c r="G298" t="str">
        <v>A</v>
      </c>
      <c r="J298" t="str">
        <f>IF(K298&gt;0,K298*0.0625,IF(L298&gt;0,L298*2.204623,))</f>
        <v>#REF!</v>
      </c>
      <c r="K298" t="str">
        <f>IF(L298&gt;0,L298*35.273962,IF(J298&gt;0,J298*16,))</f>
        <v>#REF!</v>
      </c>
      <c r="L298" t="str">
        <f>IF(J298&gt;0,J298*0.453592,IF(K298&gt;0,K298*0.02835,))</f>
        <v>#REF!</v>
      </c>
      <c r="O298">
        <f>I298+N298+M298</f>
        <v>0</v>
      </c>
      <c r="P298">
        <f>O298*B$3</f>
        <v>0</v>
      </c>
      <c r="Q298">
        <f>ROUND(SUM(P298), -2)</f>
        <v>0</v>
      </c>
      <c r="R298" t="str">
        <f>ROUNDUP(HLOOKUP(IF(CEILING(L298,0.5)&lt;1,0.5,CEILING(L298,0.5)),'배송비 조회'!A$44:AO$56,7,0)*B$3,-2)</f>
        <v>#REF!</v>
      </c>
      <c r="S298">
        <v>0</v>
      </c>
      <c r="T298" t="str">
        <f>ROUND((Q298+R298)*0.3,-2)</f>
        <v>#REF!</v>
      </c>
      <c r="U298" t="str">
        <f>ROUND((Q298+R298)*0.4,-2)</f>
        <v>#REF!</v>
      </c>
      <c r="V298" t="str">
        <f>SUM(Q298:R298)+T298</f>
        <v>#REF!</v>
      </c>
      <c r="W298" t="str">
        <f>SUM(Q298:S298)+U298</f>
        <v>#REF!</v>
      </c>
      <c r="X298">
        <v>0</v>
      </c>
      <c r="Y298" t="str">
        <f>V298*0.038</f>
        <v>#REF!</v>
      </c>
      <c r="Z298" t="str">
        <f>V298*0.02</f>
        <v>#REF!</v>
      </c>
      <c r="AA298" t="str">
        <f>W298*0.1</f>
        <v>#REF!</v>
      </c>
      <c r="AB298" t="str">
        <f>V298-Y298-Z298</f>
        <v>#REF!</v>
      </c>
      <c r="AC298" t="str">
        <f>W298-AA298</f>
        <v>#REF!</v>
      </c>
      <c r="AD298" t="str">
        <f>AB298*0.01</f>
        <v>#REF!</v>
      </c>
      <c r="AE298" t="str">
        <f>AB298-Q298-AD298-R298</f>
        <v>#REF!</v>
      </c>
      <c r="AF298" t="str">
        <f>AC298-Q298-AD298-R298</f>
        <v>#REF!</v>
      </c>
      <c r="AG298" t="str">
        <f>AE298/V298</f>
        <v>#REF!</v>
      </c>
      <c r="AH298" t="str">
        <f>AF298/W298</f>
        <v>#REF!</v>
      </c>
    </row>
    <row r="299">
      <c r="G299" t="str">
        <v>A</v>
      </c>
      <c r="J299" t="str">
        <f>IF(K299&gt;0,K299*0.0625,IF(L299&gt;0,L299*2.204623,))</f>
        <v>#REF!</v>
      </c>
      <c r="K299" t="str">
        <f>IF(L299&gt;0,L299*35.273962,IF(J299&gt;0,J299*16,))</f>
        <v>#REF!</v>
      </c>
      <c r="L299" t="str">
        <f>IF(J299&gt;0,J299*0.453592,IF(K299&gt;0,K299*0.02835,))</f>
        <v>#REF!</v>
      </c>
      <c r="O299">
        <f>I299+N299+M299</f>
        <v>0</v>
      </c>
      <c r="P299">
        <f>O299*B$3</f>
        <v>0</v>
      </c>
      <c r="Q299">
        <f>ROUND(SUM(P299), -2)</f>
        <v>0</v>
      </c>
      <c r="R299" t="str">
        <f>ROUNDUP(HLOOKUP(IF(CEILING(L299,0.5)&lt;1,0.5,CEILING(L299,0.5)),'배송비 조회'!A$44:AO$56,7,0)*B$3,-2)</f>
        <v>#REF!</v>
      </c>
      <c r="S299">
        <v>0</v>
      </c>
      <c r="T299" t="str">
        <f>ROUND((Q299+R299)*0.3,-2)</f>
        <v>#REF!</v>
      </c>
      <c r="U299" t="str">
        <f>ROUND((Q299+R299)*0.4,-2)</f>
        <v>#REF!</v>
      </c>
      <c r="V299" t="str">
        <f>SUM(Q299:R299)+T299</f>
        <v>#REF!</v>
      </c>
      <c r="W299" t="str">
        <f>SUM(Q299:S299)+U299</f>
        <v>#REF!</v>
      </c>
      <c r="X299">
        <v>0</v>
      </c>
      <c r="Y299" t="str">
        <f>V299*0.038</f>
        <v>#REF!</v>
      </c>
      <c r="Z299" t="str">
        <f>V299*0.02</f>
        <v>#REF!</v>
      </c>
      <c r="AA299" t="str">
        <f>W299*0.1</f>
        <v>#REF!</v>
      </c>
      <c r="AB299" t="str">
        <f>V299-Y299-Z299</f>
        <v>#REF!</v>
      </c>
      <c r="AC299" t="str">
        <f>W299-AA299</f>
        <v>#REF!</v>
      </c>
      <c r="AD299" t="str">
        <f>AB299*0.01</f>
        <v>#REF!</v>
      </c>
      <c r="AE299" t="str">
        <f>AB299-Q299-AD299-R299</f>
        <v>#REF!</v>
      </c>
      <c r="AF299" t="str">
        <f>AC299-Q299-AD299-R299</f>
        <v>#REF!</v>
      </c>
      <c r="AG299" t="str">
        <f>AE299/V299</f>
        <v>#REF!</v>
      </c>
      <c r="AH299" t="str">
        <f>AF299/W299</f>
        <v>#REF!</v>
      </c>
    </row>
    <row r="300">
      <c r="G300" t="str">
        <v>A</v>
      </c>
      <c r="J300" t="str">
        <f>IF(K300&gt;0,K300*0.0625,IF(L300&gt;0,L300*2.204623,))</f>
        <v>#REF!</v>
      </c>
      <c r="K300" t="str">
        <f>IF(L300&gt;0,L300*35.273962,IF(J300&gt;0,J300*16,))</f>
        <v>#REF!</v>
      </c>
      <c r="L300" t="str">
        <f>IF(J300&gt;0,J300*0.453592,IF(K300&gt;0,K300*0.02835,))</f>
        <v>#REF!</v>
      </c>
      <c r="O300">
        <f>I300+N300+M300</f>
        <v>0</v>
      </c>
      <c r="P300">
        <f>O300*B$3</f>
        <v>0</v>
      </c>
      <c r="Q300">
        <f>ROUND(SUM(P300), -2)</f>
        <v>0</v>
      </c>
      <c r="R300" t="str">
        <f>ROUNDUP(HLOOKUP(IF(CEILING(L300,0.5)&lt;1,0.5,CEILING(L300,0.5)),'배송비 조회'!A$44:AO$56,7,0)*B$3,-2)</f>
        <v>#REF!</v>
      </c>
      <c r="S300">
        <v>0</v>
      </c>
      <c r="T300" t="str">
        <f>ROUND((Q300+R300)*0.3,-2)</f>
        <v>#REF!</v>
      </c>
      <c r="U300" t="str">
        <f>ROUND((Q300+R300)*0.4,-2)</f>
        <v>#REF!</v>
      </c>
      <c r="V300" t="str">
        <f>SUM(Q300:R300)+T300</f>
        <v>#REF!</v>
      </c>
      <c r="W300" t="str">
        <f>SUM(Q300:S300)+U300</f>
        <v>#REF!</v>
      </c>
      <c r="X300">
        <v>0</v>
      </c>
      <c r="Y300" t="str">
        <f>V300*0.038</f>
        <v>#REF!</v>
      </c>
      <c r="Z300" t="str">
        <f>V300*0.02</f>
        <v>#REF!</v>
      </c>
      <c r="AA300" t="str">
        <f>W300*0.1</f>
        <v>#REF!</v>
      </c>
      <c r="AB300" t="str">
        <f>V300-Y300-Z300</f>
        <v>#REF!</v>
      </c>
      <c r="AC300" t="str">
        <f>W300-AA300</f>
        <v>#REF!</v>
      </c>
      <c r="AD300" t="str">
        <f>AB300*0.01</f>
        <v>#REF!</v>
      </c>
      <c r="AE300" t="str">
        <f>AB300-Q300-AD300-R300</f>
        <v>#REF!</v>
      </c>
      <c r="AF300" t="str">
        <f>AC300-Q300-AD300-R300</f>
        <v>#REF!</v>
      </c>
      <c r="AG300" t="str">
        <f>AE300/V300</f>
        <v>#REF!</v>
      </c>
      <c r="AH300" t="str">
        <f>AF300/W300</f>
        <v>#REF!</v>
      </c>
    </row>
    <row r="301">
      <c r="G301" t="str">
        <v>A</v>
      </c>
      <c r="J301" t="str">
        <f>IF(K301&gt;0,K301*0.0625,IF(L301&gt;0,L301*2.204623,))</f>
        <v>#REF!</v>
      </c>
      <c r="K301" t="str">
        <f>IF(L301&gt;0,L301*35.273962,IF(J301&gt;0,J301*16,))</f>
        <v>#REF!</v>
      </c>
      <c r="L301" t="str">
        <f>IF(J301&gt;0,J301*0.453592,IF(K301&gt;0,K301*0.02835,))</f>
        <v>#REF!</v>
      </c>
      <c r="O301">
        <f>I301+N301+M301</f>
        <v>0</v>
      </c>
      <c r="P301">
        <f>O301*B$3</f>
        <v>0</v>
      </c>
      <c r="Q301">
        <f>ROUND(SUM(P301), -2)</f>
        <v>0</v>
      </c>
      <c r="R301" t="str">
        <f>ROUNDUP(HLOOKUP(IF(CEILING(L301,0.5)&lt;1,0.5,CEILING(L301,0.5)),'배송비 조회'!A$44:AO$56,7,0)*B$3,-2)</f>
        <v>#REF!</v>
      </c>
      <c r="S301">
        <v>0</v>
      </c>
      <c r="T301" t="str">
        <f>ROUND((Q301+R301)*0.3,-2)</f>
        <v>#REF!</v>
      </c>
      <c r="U301" t="str">
        <f>ROUND((Q301+R301)*0.4,-2)</f>
        <v>#REF!</v>
      </c>
      <c r="V301" t="str">
        <f>SUM(Q301:R301)+T301</f>
        <v>#REF!</v>
      </c>
      <c r="W301" t="str">
        <f>SUM(Q301:S301)+U301</f>
        <v>#REF!</v>
      </c>
      <c r="X301">
        <v>0</v>
      </c>
      <c r="Y301" t="str">
        <f>V301*0.038</f>
        <v>#REF!</v>
      </c>
      <c r="Z301" t="str">
        <f>V301*0.02</f>
        <v>#REF!</v>
      </c>
      <c r="AA301" t="str">
        <f>W301*0.1</f>
        <v>#REF!</v>
      </c>
      <c r="AB301" t="str">
        <f>V301-Y301-Z301</f>
        <v>#REF!</v>
      </c>
      <c r="AC301" t="str">
        <f>W301-AA301</f>
        <v>#REF!</v>
      </c>
      <c r="AD301" t="str">
        <f>AB301*0.01</f>
        <v>#REF!</v>
      </c>
      <c r="AE301" t="str">
        <f>AB301-Q301-AD301-R301</f>
        <v>#REF!</v>
      </c>
      <c r="AF301" t="str">
        <f>AC301-Q301-AD301-R301</f>
        <v>#REF!</v>
      </c>
      <c r="AG301" t="str">
        <f>AE301/V301</f>
        <v>#REF!</v>
      </c>
      <c r="AH301" t="str">
        <f>AF301/W301</f>
        <v>#REF!</v>
      </c>
    </row>
    <row r="302">
      <c r="G302" t="str">
        <v>A</v>
      </c>
      <c r="J302" t="str">
        <f>IF(K302&gt;0,K302*0.0625,IF(L302&gt;0,L302*2.204623,))</f>
        <v>#REF!</v>
      </c>
      <c r="K302" t="str">
        <f>IF(L302&gt;0,L302*35.273962,IF(J302&gt;0,J302*16,))</f>
        <v>#REF!</v>
      </c>
      <c r="L302" t="str">
        <f>IF(J302&gt;0,J302*0.453592,IF(K302&gt;0,K302*0.02835,))</f>
        <v>#REF!</v>
      </c>
      <c r="O302">
        <f>I302+N302+M302</f>
        <v>0</v>
      </c>
      <c r="P302">
        <f>O302*B$3</f>
        <v>0</v>
      </c>
      <c r="Q302">
        <f>ROUND(SUM(P302), -2)</f>
        <v>0</v>
      </c>
      <c r="R302" t="str">
        <f>ROUNDUP(HLOOKUP(IF(CEILING(L302,0.5)&lt;1,0.5,CEILING(L302,0.5)),'배송비 조회'!A$44:AO$56,7,0)*B$3,-2)</f>
        <v>#REF!</v>
      </c>
      <c r="S302">
        <v>0</v>
      </c>
      <c r="T302" t="str">
        <f>ROUND((Q302+R302)*0.3,-2)</f>
        <v>#REF!</v>
      </c>
      <c r="U302" t="str">
        <f>ROUND((Q302+R302)*0.4,-2)</f>
        <v>#REF!</v>
      </c>
      <c r="V302" t="str">
        <f>SUM(Q302:R302)+T302</f>
        <v>#REF!</v>
      </c>
      <c r="W302" t="str">
        <f>SUM(Q302:S302)+U302</f>
        <v>#REF!</v>
      </c>
      <c r="X302">
        <v>0</v>
      </c>
      <c r="Y302" t="str">
        <f>V302*0.038</f>
        <v>#REF!</v>
      </c>
      <c r="Z302" t="str">
        <f>V302*0.02</f>
        <v>#REF!</v>
      </c>
      <c r="AA302" t="str">
        <f>W302*0.1</f>
        <v>#REF!</v>
      </c>
      <c r="AB302" t="str">
        <f>V302-Y302-Z302</f>
        <v>#REF!</v>
      </c>
      <c r="AC302" t="str">
        <f>W302-AA302</f>
        <v>#REF!</v>
      </c>
      <c r="AD302" t="str">
        <f>AB302*0.01</f>
        <v>#REF!</v>
      </c>
      <c r="AE302" t="str">
        <f>AB302-Q302-AD302-R302</f>
        <v>#REF!</v>
      </c>
      <c r="AF302" t="str">
        <f>AC302-Q302-AD302-R302</f>
        <v>#REF!</v>
      </c>
      <c r="AG302" t="str">
        <f>AE302/V302</f>
        <v>#REF!</v>
      </c>
      <c r="AH302" t="str">
        <f>AF302/W302</f>
        <v>#REF!</v>
      </c>
    </row>
    <row r="303">
      <c r="G303" t="str">
        <v>A</v>
      </c>
      <c r="J303" t="str">
        <f>IF(K303&gt;0,K303*0.0625,IF(L303&gt;0,L303*2.204623,))</f>
        <v>#REF!</v>
      </c>
      <c r="K303" t="str">
        <f>IF(L303&gt;0,L303*35.273962,IF(J303&gt;0,J303*16,))</f>
        <v>#REF!</v>
      </c>
      <c r="L303" t="str">
        <f>IF(J303&gt;0,J303*0.453592,IF(K303&gt;0,K303*0.02835,))</f>
        <v>#REF!</v>
      </c>
      <c r="O303">
        <f>I303+N303+M303</f>
        <v>0</v>
      </c>
      <c r="P303">
        <f>O303*B$3</f>
        <v>0</v>
      </c>
      <c r="Q303">
        <f>ROUND(SUM(P303), -2)</f>
        <v>0</v>
      </c>
      <c r="R303" t="str">
        <f>ROUNDUP(HLOOKUP(IF(CEILING(L303,0.5)&lt;1,0.5,CEILING(L303,0.5)),'배송비 조회'!A$44:AO$56,7,0)*B$3,-2)</f>
        <v>#REF!</v>
      </c>
      <c r="S303">
        <v>0</v>
      </c>
      <c r="T303" t="str">
        <f>ROUND((Q303+R303)*0.3,-2)</f>
        <v>#REF!</v>
      </c>
      <c r="U303" t="str">
        <f>ROUND((Q303+R303)*0.4,-2)</f>
        <v>#REF!</v>
      </c>
      <c r="V303" t="str">
        <f>SUM(Q303:R303)+T303</f>
        <v>#REF!</v>
      </c>
      <c r="W303" t="str">
        <f>SUM(Q303:S303)+U303</f>
        <v>#REF!</v>
      </c>
      <c r="X303">
        <v>0</v>
      </c>
      <c r="Y303" t="str">
        <f>V303*0.038</f>
        <v>#REF!</v>
      </c>
      <c r="Z303" t="str">
        <f>V303*0.02</f>
        <v>#REF!</v>
      </c>
      <c r="AA303" t="str">
        <f>W303*0.1</f>
        <v>#REF!</v>
      </c>
      <c r="AB303" t="str">
        <f>V303-Y303-Z303</f>
        <v>#REF!</v>
      </c>
      <c r="AC303" t="str">
        <f>W303-AA303</f>
        <v>#REF!</v>
      </c>
      <c r="AD303" t="str">
        <f>AB303*0.01</f>
        <v>#REF!</v>
      </c>
      <c r="AE303" t="str">
        <f>AB303-Q303-AD303-R303</f>
        <v>#REF!</v>
      </c>
      <c r="AF303" t="str">
        <f>AC303-Q303-AD303-R303</f>
        <v>#REF!</v>
      </c>
      <c r="AG303" t="str">
        <f>AE303/V303</f>
        <v>#REF!</v>
      </c>
      <c r="AH303" t="str">
        <f>AF303/W303</f>
        <v>#REF!</v>
      </c>
    </row>
    <row r="304">
      <c r="G304" t="str">
        <v>A</v>
      </c>
      <c r="J304" t="str">
        <f>IF(K304&gt;0,K304*0.0625,IF(L304&gt;0,L304*2.204623,))</f>
        <v>#REF!</v>
      </c>
      <c r="K304" t="str">
        <f>IF(L304&gt;0,L304*35.273962,IF(J304&gt;0,J304*16,))</f>
        <v>#REF!</v>
      </c>
      <c r="L304" t="str">
        <f>IF(J304&gt;0,J304*0.453592,IF(K304&gt;0,K304*0.02835,))</f>
        <v>#REF!</v>
      </c>
      <c r="O304">
        <f>I304+N304+M304</f>
        <v>0</v>
      </c>
      <c r="P304">
        <f>O304*B$3</f>
        <v>0</v>
      </c>
      <c r="Q304">
        <f>ROUND(SUM(P304), -2)</f>
        <v>0</v>
      </c>
      <c r="R304" t="str">
        <f>ROUNDUP(HLOOKUP(IF(CEILING(L304,0.5)&lt;1,0.5,CEILING(L304,0.5)),'배송비 조회'!A$44:AO$56,7,0)*B$3,-2)</f>
        <v>#REF!</v>
      </c>
      <c r="S304">
        <v>0</v>
      </c>
      <c r="T304" t="str">
        <f>ROUND((Q304+R304)*0.3,-2)</f>
        <v>#REF!</v>
      </c>
      <c r="U304" t="str">
        <f>ROUND((Q304+R304)*0.4,-2)</f>
        <v>#REF!</v>
      </c>
      <c r="V304" t="str">
        <f>SUM(Q304:R304)+T304</f>
        <v>#REF!</v>
      </c>
      <c r="W304" t="str">
        <f>SUM(Q304:S304)+U304</f>
        <v>#REF!</v>
      </c>
      <c r="X304">
        <v>0</v>
      </c>
      <c r="Y304" t="str">
        <f>V304*0.038</f>
        <v>#REF!</v>
      </c>
      <c r="Z304" t="str">
        <f>V304*0.02</f>
        <v>#REF!</v>
      </c>
      <c r="AA304" t="str">
        <f>W304*0.1</f>
        <v>#REF!</v>
      </c>
      <c r="AB304" t="str">
        <f>V304-Y304-Z304</f>
        <v>#REF!</v>
      </c>
      <c r="AC304" t="str">
        <f>W304-AA304</f>
        <v>#REF!</v>
      </c>
      <c r="AD304" t="str">
        <f>AB304*0.01</f>
        <v>#REF!</v>
      </c>
      <c r="AE304" t="str">
        <f>AB304-Q304-AD304-R304</f>
        <v>#REF!</v>
      </c>
      <c r="AF304" t="str">
        <f>AC304-Q304-AD304-R304</f>
        <v>#REF!</v>
      </c>
      <c r="AG304" t="str">
        <f>AE304/V304</f>
        <v>#REF!</v>
      </c>
      <c r="AH304" t="str">
        <f>AF304/W304</f>
        <v>#REF!</v>
      </c>
    </row>
    <row r="305">
      <c r="G305" t="str">
        <v>A</v>
      </c>
      <c r="J305" t="str">
        <f>IF(K305&gt;0,K305*0.0625,IF(L305&gt;0,L305*2.204623,))</f>
        <v>#REF!</v>
      </c>
      <c r="K305" t="str">
        <f>IF(L305&gt;0,L305*35.273962,IF(J305&gt;0,J305*16,))</f>
        <v>#REF!</v>
      </c>
      <c r="L305" t="str">
        <f>IF(J305&gt;0,J305*0.453592,IF(K305&gt;0,K305*0.02835,))</f>
        <v>#REF!</v>
      </c>
      <c r="O305">
        <f>I305+N305+M305</f>
        <v>0</v>
      </c>
      <c r="P305">
        <f>O305*B$3</f>
        <v>0</v>
      </c>
      <c r="Q305">
        <f>ROUND(SUM(P305), -2)</f>
        <v>0</v>
      </c>
      <c r="R305" t="str">
        <f>ROUNDUP(HLOOKUP(IF(CEILING(L305,0.5)&lt;1,0.5,CEILING(L305,0.5)),'배송비 조회'!A$44:AO$56,7,0)*B$3,-2)</f>
        <v>#REF!</v>
      </c>
      <c r="S305">
        <v>0</v>
      </c>
      <c r="T305" t="str">
        <f>ROUND((Q305+R305)*0.3,-2)</f>
        <v>#REF!</v>
      </c>
      <c r="U305" t="str">
        <f>ROUND((Q305+R305)*0.4,-2)</f>
        <v>#REF!</v>
      </c>
      <c r="V305" t="str">
        <f>SUM(Q305:R305)+T305</f>
        <v>#REF!</v>
      </c>
      <c r="W305" t="str">
        <f>SUM(Q305:S305)+U305</f>
        <v>#REF!</v>
      </c>
      <c r="X305">
        <v>0</v>
      </c>
      <c r="Y305" t="str">
        <f>V305*0.038</f>
        <v>#REF!</v>
      </c>
      <c r="Z305" t="str">
        <f>V305*0.02</f>
        <v>#REF!</v>
      </c>
      <c r="AA305" t="str">
        <f>W305*0.1</f>
        <v>#REF!</v>
      </c>
      <c r="AB305" t="str">
        <f>V305-Y305-Z305</f>
        <v>#REF!</v>
      </c>
      <c r="AC305" t="str">
        <f>W305-AA305</f>
        <v>#REF!</v>
      </c>
      <c r="AD305" t="str">
        <f>AB305*0.01</f>
        <v>#REF!</v>
      </c>
      <c r="AE305" t="str">
        <f>AB305-Q305-AD305-R305</f>
        <v>#REF!</v>
      </c>
      <c r="AF305" t="str">
        <f>AC305-Q305-AD305-R305</f>
        <v>#REF!</v>
      </c>
      <c r="AG305" t="str">
        <f>AE305/V305</f>
        <v>#REF!</v>
      </c>
      <c r="AH305" t="str">
        <f>AF305/W305</f>
        <v>#REF!</v>
      </c>
    </row>
    <row r="306">
      <c r="G306" t="str">
        <v>A</v>
      </c>
      <c r="J306" t="str">
        <f>IF(K306&gt;0,K306*0.0625,IF(L306&gt;0,L306*2.204623,))</f>
        <v>#REF!</v>
      </c>
      <c r="K306" t="str">
        <f>IF(L306&gt;0,L306*35.273962,IF(J306&gt;0,J306*16,))</f>
        <v>#REF!</v>
      </c>
      <c r="L306" t="str">
        <f>IF(J306&gt;0,J306*0.453592,IF(K306&gt;0,K306*0.02835,))</f>
        <v>#REF!</v>
      </c>
      <c r="O306">
        <f>I306+N306+M306</f>
        <v>0</v>
      </c>
      <c r="P306">
        <f>O306*B$3</f>
        <v>0</v>
      </c>
      <c r="Q306">
        <f>ROUND(SUM(P306), -2)</f>
        <v>0</v>
      </c>
      <c r="R306" t="str">
        <f>ROUNDUP(HLOOKUP(IF(CEILING(L306,0.5)&lt;1,0.5,CEILING(L306,0.5)),'배송비 조회'!A$44:AO$56,7,0)*B$3,-2)</f>
        <v>#REF!</v>
      </c>
      <c r="S306">
        <v>0</v>
      </c>
      <c r="T306" t="str">
        <f>ROUND((Q306+R306)*0.3,-2)</f>
        <v>#REF!</v>
      </c>
      <c r="U306" t="str">
        <f>ROUND((Q306+R306)*0.4,-2)</f>
        <v>#REF!</v>
      </c>
      <c r="V306" t="str">
        <f>SUM(Q306:R306)+T306</f>
        <v>#REF!</v>
      </c>
      <c r="W306" t="str">
        <f>SUM(Q306:S306)+U306</f>
        <v>#REF!</v>
      </c>
      <c r="X306">
        <v>0</v>
      </c>
      <c r="Y306" t="str">
        <f>V306*0.038</f>
        <v>#REF!</v>
      </c>
      <c r="Z306" t="str">
        <f>V306*0.02</f>
        <v>#REF!</v>
      </c>
      <c r="AA306" t="str">
        <f>W306*0.1</f>
        <v>#REF!</v>
      </c>
      <c r="AB306" t="str">
        <f>V306-Y306-Z306</f>
        <v>#REF!</v>
      </c>
      <c r="AC306" t="str">
        <f>W306-AA306</f>
        <v>#REF!</v>
      </c>
      <c r="AD306" t="str">
        <f>AB306*0.01</f>
        <v>#REF!</v>
      </c>
      <c r="AE306" t="str">
        <f>AB306-Q306-AD306-R306</f>
        <v>#REF!</v>
      </c>
      <c r="AF306" t="str">
        <f>AC306-Q306-AD306-R306</f>
        <v>#REF!</v>
      </c>
      <c r="AG306" t="str">
        <f>AE306/V306</f>
        <v>#REF!</v>
      </c>
      <c r="AH306" t="str">
        <f>AF306/W306</f>
        <v>#REF!</v>
      </c>
    </row>
    <row r="307">
      <c r="G307" t="str">
        <v>A</v>
      </c>
      <c r="J307" t="str">
        <f>IF(K307&gt;0,K307*0.0625,IF(L307&gt;0,L307*2.204623,))</f>
        <v>#REF!</v>
      </c>
      <c r="K307" t="str">
        <f>IF(L307&gt;0,L307*35.273962,IF(J307&gt;0,J307*16,))</f>
        <v>#REF!</v>
      </c>
      <c r="L307" t="str">
        <f>IF(J307&gt;0,J307*0.453592,IF(K307&gt;0,K307*0.02835,))</f>
        <v>#REF!</v>
      </c>
      <c r="O307">
        <f>I307+N307+M307</f>
        <v>0</v>
      </c>
      <c r="P307">
        <f>O307*B$3</f>
        <v>0</v>
      </c>
      <c r="Q307">
        <f>ROUND(SUM(P307), -2)</f>
        <v>0</v>
      </c>
      <c r="R307" t="str">
        <f>ROUNDUP(HLOOKUP(IF(CEILING(L307,0.5)&lt;1,0.5,CEILING(L307,0.5)),'배송비 조회'!A$44:AO$56,7,0)*B$3,-2)</f>
        <v>#REF!</v>
      </c>
      <c r="S307">
        <v>0</v>
      </c>
      <c r="T307" t="str">
        <f>ROUND((Q307+R307)*0.3,-2)</f>
        <v>#REF!</v>
      </c>
      <c r="U307" t="str">
        <f>ROUND((Q307+R307)*0.4,-2)</f>
        <v>#REF!</v>
      </c>
      <c r="V307" t="str">
        <f>SUM(Q307:R307)+T307</f>
        <v>#REF!</v>
      </c>
      <c r="W307" t="str">
        <f>SUM(Q307:S307)+U307</f>
        <v>#REF!</v>
      </c>
      <c r="X307">
        <v>0</v>
      </c>
      <c r="Y307" t="str">
        <f>V307*0.038</f>
        <v>#REF!</v>
      </c>
      <c r="Z307" t="str">
        <f>V307*0.02</f>
        <v>#REF!</v>
      </c>
      <c r="AA307" t="str">
        <f>W307*0.1</f>
        <v>#REF!</v>
      </c>
      <c r="AB307" t="str">
        <f>V307-Y307-Z307</f>
        <v>#REF!</v>
      </c>
      <c r="AC307" t="str">
        <f>W307-AA307</f>
        <v>#REF!</v>
      </c>
      <c r="AD307" t="str">
        <f>AB307*0.01</f>
        <v>#REF!</v>
      </c>
      <c r="AE307" t="str">
        <f>AB307-Q307-AD307-R307</f>
        <v>#REF!</v>
      </c>
      <c r="AF307" t="str">
        <f>AC307-Q307-AD307-R307</f>
        <v>#REF!</v>
      </c>
      <c r="AG307" t="str">
        <f>AE307/V307</f>
        <v>#REF!</v>
      </c>
      <c r="AH307" t="str">
        <f>AF307/W307</f>
        <v>#REF!</v>
      </c>
    </row>
    <row r="308">
      <c r="G308" t="str">
        <v>A</v>
      </c>
      <c r="J308" t="str">
        <f>IF(K308&gt;0,K308*0.0625,IF(L308&gt;0,L308*2.204623,))</f>
        <v>#REF!</v>
      </c>
      <c r="K308" t="str">
        <f>IF(L308&gt;0,L308*35.273962,IF(J308&gt;0,J308*16,))</f>
        <v>#REF!</v>
      </c>
      <c r="L308" t="str">
        <f>IF(J308&gt;0,J308*0.453592,IF(K308&gt;0,K308*0.02835,))</f>
        <v>#REF!</v>
      </c>
      <c r="O308">
        <f>I308+N308+M308</f>
        <v>0</v>
      </c>
      <c r="P308">
        <f>O308*B$3</f>
        <v>0</v>
      </c>
      <c r="Q308">
        <f>ROUND(SUM(P308), -2)</f>
        <v>0</v>
      </c>
      <c r="R308" t="str">
        <f>ROUNDUP(HLOOKUP(IF(CEILING(L308,0.5)&lt;1,0.5,CEILING(L308,0.5)),'배송비 조회'!A$44:AO$56,7,0)*B$3,-2)</f>
        <v>#REF!</v>
      </c>
      <c r="S308">
        <v>0</v>
      </c>
      <c r="T308" t="str">
        <f>ROUND((Q308+R308)*0.3,-2)</f>
        <v>#REF!</v>
      </c>
      <c r="U308" t="str">
        <f>ROUND((Q308+R308)*0.4,-2)</f>
        <v>#REF!</v>
      </c>
      <c r="V308" t="str">
        <f>SUM(Q308:R308)+T308</f>
        <v>#REF!</v>
      </c>
      <c r="W308" t="str">
        <f>SUM(Q308:S308)+U308</f>
        <v>#REF!</v>
      </c>
      <c r="X308">
        <v>0</v>
      </c>
      <c r="Y308" t="str">
        <f>V308*0.038</f>
        <v>#REF!</v>
      </c>
      <c r="Z308" t="str">
        <f>V308*0.02</f>
        <v>#REF!</v>
      </c>
      <c r="AA308" t="str">
        <f>W308*0.1</f>
        <v>#REF!</v>
      </c>
      <c r="AB308" t="str">
        <f>V308-Y308-Z308</f>
        <v>#REF!</v>
      </c>
      <c r="AC308" t="str">
        <f>W308-AA308</f>
        <v>#REF!</v>
      </c>
      <c r="AD308" t="str">
        <f>AB308*0.01</f>
        <v>#REF!</v>
      </c>
      <c r="AE308" t="str">
        <f>AB308-Q308-AD308-R308</f>
        <v>#REF!</v>
      </c>
      <c r="AF308" t="str">
        <f>AC308-Q308-AD308-R308</f>
        <v>#REF!</v>
      </c>
      <c r="AG308" t="str">
        <f>AE308/V308</f>
        <v>#REF!</v>
      </c>
      <c r="AH308" t="str">
        <f>AF308/W308</f>
        <v>#REF!</v>
      </c>
    </row>
    <row r="309">
      <c r="G309" t="str">
        <v>A</v>
      </c>
      <c r="J309" t="str">
        <f>IF(K309&gt;0,K309*0.0625,IF(L309&gt;0,L309*2.204623,))</f>
        <v>#REF!</v>
      </c>
      <c r="K309" t="str">
        <f>IF(L309&gt;0,L309*35.273962,IF(J309&gt;0,J309*16,))</f>
        <v>#REF!</v>
      </c>
      <c r="L309" t="str">
        <f>IF(J309&gt;0,J309*0.453592,IF(K309&gt;0,K309*0.02835,))</f>
        <v>#REF!</v>
      </c>
      <c r="O309">
        <f>I309+N309+M309</f>
        <v>0</v>
      </c>
      <c r="P309">
        <f>O309*B$3</f>
        <v>0</v>
      </c>
      <c r="Q309">
        <f>ROUND(SUM(P309), -2)</f>
        <v>0</v>
      </c>
      <c r="R309" t="str">
        <f>ROUNDUP(HLOOKUP(IF(CEILING(L309,0.5)&lt;1,0.5,CEILING(L309,0.5)),'배송비 조회'!A$44:AO$56,7,0)*B$3,-2)</f>
        <v>#REF!</v>
      </c>
      <c r="S309">
        <v>0</v>
      </c>
      <c r="T309" t="str">
        <f>ROUND((Q309+R309)*0.3,-2)</f>
        <v>#REF!</v>
      </c>
      <c r="U309" t="str">
        <f>ROUND((Q309+R309)*0.4,-2)</f>
        <v>#REF!</v>
      </c>
      <c r="V309" t="str">
        <f>SUM(Q309:R309)+T309</f>
        <v>#REF!</v>
      </c>
      <c r="W309" t="str">
        <f>SUM(Q309:S309)+U309</f>
        <v>#REF!</v>
      </c>
      <c r="X309">
        <v>0</v>
      </c>
      <c r="Y309" t="str">
        <f>V309*0.038</f>
        <v>#REF!</v>
      </c>
      <c r="Z309" t="str">
        <f>V309*0.02</f>
        <v>#REF!</v>
      </c>
      <c r="AA309" t="str">
        <f>W309*0.1</f>
        <v>#REF!</v>
      </c>
      <c r="AB309" t="str">
        <f>V309-Y309-Z309</f>
        <v>#REF!</v>
      </c>
      <c r="AC309" t="str">
        <f>W309-AA309</f>
        <v>#REF!</v>
      </c>
      <c r="AD309" t="str">
        <f>AB309*0.01</f>
        <v>#REF!</v>
      </c>
      <c r="AE309" t="str">
        <f>AB309-Q309-AD309-R309</f>
        <v>#REF!</v>
      </c>
      <c r="AF309" t="str">
        <f>AC309-Q309-AD309-R309</f>
        <v>#REF!</v>
      </c>
      <c r="AG309" t="str">
        <f>AE309/V309</f>
        <v>#REF!</v>
      </c>
      <c r="AH309" t="str">
        <f>AF309/W309</f>
        <v>#REF!</v>
      </c>
    </row>
    <row r="310">
      <c r="G310" t="str">
        <v>A</v>
      </c>
      <c r="J310" t="str">
        <f>IF(K310&gt;0,K310*0.0625,IF(L310&gt;0,L310*2.204623,))</f>
        <v>#REF!</v>
      </c>
      <c r="K310" t="str">
        <f>IF(L310&gt;0,L310*35.273962,IF(J310&gt;0,J310*16,))</f>
        <v>#REF!</v>
      </c>
      <c r="L310" t="str">
        <f>IF(J310&gt;0,J310*0.453592,IF(K310&gt;0,K310*0.02835,))</f>
        <v>#REF!</v>
      </c>
      <c r="O310">
        <f>I310+N310+M310</f>
        <v>0</v>
      </c>
      <c r="P310">
        <f>O310*B$3</f>
        <v>0</v>
      </c>
      <c r="Q310">
        <f>ROUND(SUM(P310), -2)</f>
        <v>0</v>
      </c>
      <c r="R310" t="str">
        <f>ROUNDUP(HLOOKUP(IF(CEILING(L310,0.5)&lt;1,0.5,CEILING(L310,0.5)),'배송비 조회'!A$44:AO$56,7,0)*B$3,-2)</f>
        <v>#REF!</v>
      </c>
      <c r="S310">
        <v>0</v>
      </c>
      <c r="T310" t="str">
        <f>ROUND((Q310+R310)*0.3,-2)</f>
        <v>#REF!</v>
      </c>
      <c r="U310" t="str">
        <f>ROUND((Q310+R310)*0.4,-2)</f>
        <v>#REF!</v>
      </c>
      <c r="V310" t="str">
        <f>SUM(Q310:R310)+T310</f>
        <v>#REF!</v>
      </c>
      <c r="W310" t="str">
        <f>SUM(Q310:S310)+U310</f>
        <v>#REF!</v>
      </c>
      <c r="X310">
        <v>0</v>
      </c>
      <c r="Y310" t="str">
        <f>V310*0.038</f>
        <v>#REF!</v>
      </c>
      <c r="Z310" t="str">
        <f>V310*0.02</f>
        <v>#REF!</v>
      </c>
      <c r="AA310" t="str">
        <f>W310*0.1</f>
        <v>#REF!</v>
      </c>
      <c r="AB310" t="str">
        <f>V310-Y310-Z310</f>
        <v>#REF!</v>
      </c>
      <c r="AC310" t="str">
        <f>W310-AA310</f>
        <v>#REF!</v>
      </c>
      <c r="AD310" t="str">
        <f>AB310*0.01</f>
        <v>#REF!</v>
      </c>
      <c r="AE310" t="str">
        <f>AB310-Q310-AD310-R310</f>
        <v>#REF!</v>
      </c>
      <c r="AF310" t="str">
        <f>AC310-Q310-AD310-R310</f>
        <v>#REF!</v>
      </c>
      <c r="AG310" t="str">
        <f>AE310/V310</f>
        <v>#REF!</v>
      </c>
      <c r="AH310" t="str">
        <f>AF310/W310</f>
        <v>#REF!</v>
      </c>
    </row>
    <row r="311">
      <c r="G311" t="str">
        <v>A</v>
      </c>
      <c r="J311" t="str">
        <f>IF(K311&gt;0,K311*0.0625,IF(L311&gt;0,L311*2.204623,))</f>
        <v>#REF!</v>
      </c>
      <c r="K311" t="str">
        <f>IF(L311&gt;0,L311*35.273962,IF(J311&gt;0,J311*16,))</f>
        <v>#REF!</v>
      </c>
      <c r="L311" t="str">
        <f>IF(J311&gt;0,J311*0.453592,IF(K311&gt;0,K311*0.02835,))</f>
        <v>#REF!</v>
      </c>
      <c r="O311">
        <f>I311+N311+M311</f>
        <v>0</v>
      </c>
      <c r="P311">
        <f>O311*B$3</f>
        <v>0</v>
      </c>
      <c r="Q311">
        <f>ROUND(SUM(P311), -2)</f>
        <v>0</v>
      </c>
      <c r="R311" t="str">
        <f>ROUNDUP(HLOOKUP(IF(CEILING(L311,0.5)&lt;1,0.5,CEILING(L311,0.5)),'배송비 조회'!A$44:AO$56,7,0)*B$3,-2)</f>
        <v>#REF!</v>
      </c>
      <c r="S311">
        <v>0</v>
      </c>
      <c r="T311" t="str">
        <f>ROUND((Q311+R311)*0.3,-2)</f>
        <v>#REF!</v>
      </c>
      <c r="U311" t="str">
        <f>ROUND((Q311+R311)*0.4,-2)</f>
        <v>#REF!</v>
      </c>
      <c r="V311" t="str">
        <f>SUM(Q311:R311)+T311</f>
        <v>#REF!</v>
      </c>
      <c r="W311" t="str">
        <f>SUM(Q311:S311)+U311</f>
        <v>#REF!</v>
      </c>
      <c r="X311">
        <v>0</v>
      </c>
      <c r="Y311" t="str">
        <f>V311*0.038</f>
        <v>#REF!</v>
      </c>
      <c r="Z311" t="str">
        <f>V311*0.02</f>
        <v>#REF!</v>
      </c>
      <c r="AA311" t="str">
        <f>W311*0.1</f>
        <v>#REF!</v>
      </c>
      <c r="AB311" t="str">
        <f>V311-Y311-Z311</f>
        <v>#REF!</v>
      </c>
      <c r="AC311" t="str">
        <f>W311-AA311</f>
        <v>#REF!</v>
      </c>
      <c r="AD311" t="str">
        <f>AB311*0.01</f>
        <v>#REF!</v>
      </c>
      <c r="AE311" t="str">
        <f>AB311-Q311-AD311-R311</f>
        <v>#REF!</v>
      </c>
      <c r="AF311" t="str">
        <f>AC311-Q311-AD311-R311</f>
        <v>#REF!</v>
      </c>
      <c r="AG311" t="str">
        <f>AE311/V311</f>
        <v>#REF!</v>
      </c>
      <c r="AH311" t="str">
        <f>AF311/W311</f>
        <v>#REF!</v>
      </c>
    </row>
    <row r="312">
      <c r="G312" t="str">
        <v>A</v>
      </c>
      <c r="J312" t="str">
        <f>IF(K312&gt;0,K312*0.0625,IF(L312&gt;0,L312*2.204623,))</f>
        <v>#REF!</v>
      </c>
      <c r="K312" t="str">
        <f>IF(L312&gt;0,L312*35.273962,IF(J312&gt;0,J312*16,))</f>
        <v>#REF!</v>
      </c>
      <c r="L312" t="str">
        <f>IF(J312&gt;0,J312*0.453592,IF(K312&gt;0,K312*0.02835,))</f>
        <v>#REF!</v>
      </c>
      <c r="O312">
        <f>I312+N312+M312</f>
        <v>0</v>
      </c>
      <c r="P312">
        <f>O312*B$3</f>
        <v>0</v>
      </c>
      <c r="Q312">
        <f>ROUND(SUM(P312), -2)</f>
        <v>0</v>
      </c>
      <c r="R312" t="str">
        <f>ROUNDUP(HLOOKUP(IF(CEILING(L312,0.5)&lt;1,0.5,CEILING(L312,0.5)),'배송비 조회'!A$44:AO$56,7,0)*B$3,-2)</f>
        <v>#REF!</v>
      </c>
      <c r="S312">
        <v>0</v>
      </c>
      <c r="T312" t="str">
        <f>ROUND((Q312+R312)*0.3,-2)</f>
        <v>#REF!</v>
      </c>
      <c r="U312" t="str">
        <f>ROUND((Q312+R312)*0.4,-2)</f>
        <v>#REF!</v>
      </c>
      <c r="V312" t="str">
        <f>SUM(Q312:R312)+T312</f>
        <v>#REF!</v>
      </c>
      <c r="W312" t="str">
        <f>SUM(Q312:S312)+U312</f>
        <v>#REF!</v>
      </c>
      <c r="X312">
        <v>0</v>
      </c>
      <c r="Y312" t="str">
        <f>V312*0.038</f>
        <v>#REF!</v>
      </c>
      <c r="Z312" t="str">
        <f>V312*0.02</f>
        <v>#REF!</v>
      </c>
      <c r="AA312" t="str">
        <f>W312*0.1</f>
        <v>#REF!</v>
      </c>
      <c r="AB312" t="str">
        <f>V312-Y312-Z312</f>
        <v>#REF!</v>
      </c>
      <c r="AC312" t="str">
        <f>W312-AA312</f>
        <v>#REF!</v>
      </c>
      <c r="AD312" t="str">
        <f>AB312*0.01</f>
        <v>#REF!</v>
      </c>
      <c r="AE312" t="str">
        <f>AB312-Q312-AD312-R312</f>
        <v>#REF!</v>
      </c>
      <c r="AF312" t="str">
        <f>AC312-Q312-AD312-R312</f>
        <v>#REF!</v>
      </c>
      <c r="AG312" t="str">
        <f>AE312/V312</f>
        <v>#REF!</v>
      </c>
      <c r="AH312" t="str">
        <f>AF312/W312</f>
        <v>#REF!</v>
      </c>
    </row>
    <row r="313">
      <c r="G313" t="str">
        <v>A</v>
      </c>
      <c r="J313" t="str">
        <f>IF(K313&gt;0,K313*0.0625,IF(L313&gt;0,L313*2.204623,))</f>
        <v>#REF!</v>
      </c>
      <c r="K313" t="str">
        <f>IF(L313&gt;0,L313*35.273962,IF(J313&gt;0,J313*16,))</f>
        <v>#REF!</v>
      </c>
      <c r="L313" t="str">
        <f>IF(J313&gt;0,J313*0.453592,IF(K313&gt;0,K313*0.02835,))</f>
        <v>#REF!</v>
      </c>
      <c r="O313">
        <f>I313+N313+M313</f>
        <v>0</v>
      </c>
      <c r="P313">
        <f>O313*B$3</f>
        <v>0</v>
      </c>
      <c r="Q313">
        <f>ROUND(SUM(P313), -2)</f>
        <v>0</v>
      </c>
      <c r="R313" t="str">
        <f>ROUNDUP(HLOOKUP(IF(CEILING(L313,0.5)&lt;1,0.5,CEILING(L313,0.5)),'배송비 조회'!A$44:AO$56,7,0)*B$3,-2)</f>
        <v>#REF!</v>
      </c>
      <c r="S313">
        <v>0</v>
      </c>
      <c r="T313" t="str">
        <f>ROUND((Q313+R313)*0.3,-2)</f>
        <v>#REF!</v>
      </c>
      <c r="U313" t="str">
        <f>ROUND((Q313+R313)*0.4,-2)</f>
        <v>#REF!</v>
      </c>
      <c r="V313" t="str">
        <f>SUM(Q313:R313)+T313</f>
        <v>#REF!</v>
      </c>
      <c r="W313" t="str">
        <f>SUM(Q313:S313)+U313</f>
        <v>#REF!</v>
      </c>
      <c r="X313">
        <v>0</v>
      </c>
      <c r="Y313" t="str">
        <f>V313*0.038</f>
        <v>#REF!</v>
      </c>
      <c r="Z313" t="str">
        <f>V313*0.02</f>
        <v>#REF!</v>
      </c>
      <c r="AA313" t="str">
        <f>W313*0.1</f>
        <v>#REF!</v>
      </c>
      <c r="AB313" t="str">
        <f>V313-Y313-Z313</f>
        <v>#REF!</v>
      </c>
      <c r="AC313" t="str">
        <f>W313-AA313</f>
        <v>#REF!</v>
      </c>
      <c r="AD313" t="str">
        <f>AB313*0.01</f>
        <v>#REF!</v>
      </c>
      <c r="AE313" t="str">
        <f>AB313-Q313-AD313-R313</f>
        <v>#REF!</v>
      </c>
      <c r="AF313" t="str">
        <f>AC313-Q313-AD313-R313</f>
        <v>#REF!</v>
      </c>
      <c r="AG313" t="str">
        <f>AE313/V313</f>
        <v>#REF!</v>
      </c>
      <c r="AH313" t="str">
        <f>AF313/W313</f>
        <v>#REF!</v>
      </c>
    </row>
    <row r="314">
      <c r="G314" t="str">
        <v>A</v>
      </c>
      <c r="J314" t="str">
        <f>IF(K314&gt;0,K314*0.0625,IF(L314&gt;0,L314*2.204623,))</f>
        <v>#REF!</v>
      </c>
      <c r="K314" t="str">
        <f>IF(L314&gt;0,L314*35.273962,IF(J314&gt;0,J314*16,))</f>
        <v>#REF!</v>
      </c>
      <c r="L314" t="str">
        <f>IF(J314&gt;0,J314*0.453592,IF(K314&gt;0,K314*0.02835,))</f>
        <v>#REF!</v>
      </c>
      <c r="O314">
        <f>I314+N314+M314</f>
        <v>0</v>
      </c>
      <c r="P314">
        <f>O314*B$3</f>
        <v>0</v>
      </c>
      <c r="Q314">
        <f>ROUND(SUM(P314), -2)</f>
        <v>0</v>
      </c>
      <c r="R314" t="str">
        <f>ROUNDUP(HLOOKUP(IF(CEILING(L314,0.5)&lt;1,0.5,CEILING(L314,0.5)),'배송비 조회'!A$44:AO$56,7,0)*B$3,-2)</f>
        <v>#REF!</v>
      </c>
      <c r="S314">
        <v>0</v>
      </c>
      <c r="T314" t="str">
        <f>ROUND((Q314+R314)*0.3,-2)</f>
        <v>#REF!</v>
      </c>
      <c r="U314" t="str">
        <f>ROUND((Q314+R314)*0.4,-2)</f>
        <v>#REF!</v>
      </c>
      <c r="V314" t="str">
        <f>SUM(Q314:R314)+T314</f>
        <v>#REF!</v>
      </c>
      <c r="W314" t="str">
        <f>SUM(Q314:S314)+U314</f>
        <v>#REF!</v>
      </c>
      <c r="X314">
        <v>0</v>
      </c>
      <c r="Y314" t="str">
        <f>V314*0.038</f>
        <v>#REF!</v>
      </c>
      <c r="Z314" t="str">
        <f>V314*0.02</f>
        <v>#REF!</v>
      </c>
      <c r="AA314" t="str">
        <f>W314*0.1</f>
        <v>#REF!</v>
      </c>
      <c r="AB314" t="str">
        <f>V314-Y314-Z314</f>
        <v>#REF!</v>
      </c>
      <c r="AC314" t="str">
        <f>W314-AA314</f>
        <v>#REF!</v>
      </c>
      <c r="AD314" t="str">
        <f>AB314*0.01</f>
        <v>#REF!</v>
      </c>
      <c r="AE314" t="str">
        <f>AB314-Q314-AD314-R314</f>
        <v>#REF!</v>
      </c>
      <c r="AF314" t="str">
        <f>AC314-Q314-AD314-R314</f>
        <v>#REF!</v>
      </c>
      <c r="AG314" t="str">
        <f>AE314/V314</f>
        <v>#REF!</v>
      </c>
      <c r="AH314" t="str">
        <f>AF314/W314</f>
        <v>#REF!</v>
      </c>
    </row>
    <row r="315">
      <c r="G315" t="str">
        <v>A</v>
      </c>
      <c r="J315" t="str">
        <f>IF(K315&gt;0,K315*0.0625,IF(L315&gt;0,L315*2.204623,))</f>
        <v>#REF!</v>
      </c>
      <c r="K315" t="str">
        <f>IF(L315&gt;0,L315*35.273962,IF(J315&gt;0,J315*16,))</f>
        <v>#REF!</v>
      </c>
      <c r="L315" t="str">
        <f>IF(J315&gt;0,J315*0.453592,IF(K315&gt;0,K315*0.02835,))</f>
        <v>#REF!</v>
      </c>
      <c r="O315">
        <f>I315+N315+M315</f>
        <v>0</v>
      </c>
      <c r="P315">
        <f>O315*B$3</f>
        <v>0</v>
      </c>
      <c r="Q315">
        <f>ROUND(SUM(P315), -2)</f>
        <v>0</v>
      </c>
      <c r="R315" t="str">
        <f>ROUNDUP(HLOOKUP(IF(CEILING(L315,0.5)&lt;1,0.5,CEILING(L315,0.5)),'배송비 조회'!A$44:AO$56,7,0)*B$3,-2)</f>
        <v>#REF!</v>
      </c>
      <c r="S315">
        <v>0</v>
      </c>
      <c r="T315" t="str">
        <f>ROUND((Q315+R315)*0.3,-2)</f>
        <v>#REF!</v>
      </c>
      <c r="U315" t="str">
        <f>ROUND((Q315+R315)*0.4,-2)</f>
        <v>#REF!</v>
      </c>
      <c r="V315" t="str">
        <f>SUM(Q315:R315)+T315</f>
        <v>#REF!</v>
      </c>
      <c r="W315" t="str">
        <f>SUM(Q315:S315)+U315</f>
        <v>#REF!</v>
      </c>
      <c r="X315">
        <v>0</v>
      </c>
      <c r="Y315" t="str">
        <f>V315*0.038</f>
        <v>#REF!</v>
      </c>
      <c r="Z315" t="str">
        <f>V315*0.02</f>
        <v>#REF!</v>
      </c>
      <c r="AA315" t="str">
        <f>W315*0.1</f>
        <v>#REF!</v>
      </c>
      <c r="AB315" t="str">
        <f>V315-Y315-Z315</f>
        <v>#REF!</v>
      </c>
      <c r="AC315" t="str">
        <f>W315-AA315</f>
        <v>#REF!</v>
      </c>
      <c r="AD315" t="str">
        <f>AB315*0.01</f>
        <v>#REF!</v>
      </c>
      <c r="AE315" t="str">
        <f>AB315-Q315-AD315-R315</f>
        <v>#REF!</v>
      </c>
      <c r="AF315" t="str">
        <f>AC315-Q315-AD315-R315</f>
        <v>#REF!</v>
      </c>
      <c r="AG315" t="str">
        <f>AE315/V315</f>
        <v>#REF!</v>
      </c>
      <c r="AH315" t="str">
        <f>AF315/W315</f>
        <v>#REF!</v>
      </c>
    </row>
    <row r="316">
      <c r="G316" t="str">
        <v>A</v>
      </c>
      <c r="J316" t="str">
        <f>IF(K316&gt;0,K316*0.0625,IF(L316&gt;0,L316*2.204623,))</f>
        <v>#REF!</v>
      </c>
      <c r="K316" t="str">
        <f>IF(L316&gt;0,L316*35.273962,IF(J316&gt;0,J316*16,))</f>
        <v>#REF!</v>
      </c>
      <c r="L316" t="str">
        <f>IF(J316&gt;0,J316*0.453592,IF(K316&gt;0,K316*0.02835,))</f>
        <v>#REF!</v>
      </c>
      <c r="O316">
        <f>I316+N316+M316</f>
        <v>0</v>
      </c>
      <c r="P316">
        <f>O316*B$3</f>
        <v>0</v>
      </c>
      <c r="Q316">
        <f>ROUND(SUM(P316), -2)</f>
        <v>0</v>
      </c>
      <c r="R316" t="str">
        <f>ROUNDUP(HLOOKUP(IF(CEILING(L316,0.5)&lt;1,0.5,CEILING(L316,0.5)),'배송비 조회'!A$44:AO$56,7,0)*B$3,-2)</f>
        <v>#REF!</v>
      </c>
      <c r="S316">
        <v>0</v>
      </c>
      <c r="T316" t="str">
        <f>ROUND((Q316+R316)*0.3,-2)</f>
        <v>#REF!</v>
      </c>
      <c r="U316" t="str">
        <f>ROUND((Q316+R316)*0.4,-2)</f>
        <v>#REF!</v>
      </c>
      <c r="V316" t="str">
        <f>SUM(Q316:R316)+T316</f>
        <v>#REF!</v>
      </c>
      <c r="W316" t="str">
        <f>SUM(Q316:S316)+U316</f>
        <v>#REF!</v>
      </c>
      <c r="X316">
        <v>0</v>
      </c>
      <c r="Y316" t="str">
        <f>V316*0.038</f>
        <v>#REF!</v>
      </c>
      <c r="Z316" t="str">
        <f>V316*0.02</f>
        <v>#REF!</v>
      </c>
      <c r="AA316" t="str">
        <f>W316*0.1</f>
        <v>#REF!</v>
      </c>
      <c r="AB316" t="str">
        <f>V316-Y316-Z316</f>
        <v>#REF!</v>
      </c>
      <c r="AC316" t="str">
        <f>W316-AA316</f>
        <v>#REF!</v>
      </c>
      <c r="AD316" t="str">
        <f>AB316*0.01</f>
        <v>#REF!</v>
      </c>
      <c r="AE316" t="str">
        <f>AB316-Q316-AD316-R316</f>
        <v>#REF!</v>
      </c>
      <c r="AF316" t="str">
        <f>AC316-Q316-AD316-R316</f>
        <v>#REF!</v>
      </c>
      <c r="AG316" t="str">
        <f>AE316/V316</f>
        <v>#REF!</v>
      </c>
      <c r="AH316" t="str">
        <f>AF316/W316</f>
        <v>#REF!</v>
      </c>
    </row>
    <row r="317">
      <c r="G317" t="str">
        <v>A</v>
      </c>
      <c r="J317" t="str">
        <f>IF(K317&gt;0,K317*0.0625,IF(L317&gt;0,L317*2.204623,))</f>
        <v>#REF!</v>
      </c>
      <c r="K317" t="str">
        <f>IF(L317&gt;0,L317*35.273962,IF(J317&gt;0,J317*16,))</f>
        <v>#REF!</v>
      </c>
      <c r="L317" t="str">
        <f>IF(J317&gt;0,J317*0.453592,IF(K317&gt;0,K317*0.02835,))</f>
        <v>#REF!</v>
      </c>
      <c r="O317">
        <f>I317+N317+M317</f>
        <v>0</v>
      </c>
      <c r="P317">
        <f>O317*B$3</f>
        <v>0</v>
      </c>
      <c r="Q317">
        <f>ROUND(SUM(P317), -2)</f>
        <v>0</v>
      </c>
      <c r="R317" t="str">
        <f>ROUNDUP(HLOOKUP(IF(CEILING(L317,0.5)&lt;1,0.5,CEILING(L317,0.5)),'배송비 조회'!A$44:AO$56,7,0)*B$3,-2)</f>
        <v>#REF!</v>
      </c>
      <c r="S317">
        <v>0</v>
      </c>
      <c r="T317" t="str">
        <f>ROUND((Q317+R317)*0.3,-2)</f>
        <v>#REF!</v>
      </c>
      <c r="U317" t="str">
        <f>ROUND((Q317+R317)*0.4,-2)</f>
        <v>#REF!</v>
      </c>
      <c r="V317" t="str">
        <f>SUM(Q317:R317)+T317</f>
        <v>#REF!</v>
      </c>
      <c r="W317" t="str">
        <f>SUM(Q317:S317)+U317</f>
        <v>#REF!</v>
      </c>
      <c r="X317">
        <v>0</v>
      </c>
      <c r="Y317" t="str">
        <f>V317*0.038</f>
        <v>#REF!</v>
      </c>
      <c r="Z317" t="str">
        <f>V317*0.02</f>
        <v>#REF!</v>
      </c>
      <c r="AA317" t="str">
        <f>W317*0.1</f>
        <v>#REF!</v>
      </c>
      <c r="AB317" t="str">
        <f>V317-Y317-Z317</f>
        <v>#REF!</v>
      </c>
      <c r="AC317" t="str">
        <f>W317-AA317</f>
        <v>#REF!</v>
      </c>
      <c r="AD317" t="str">
        <f>AB317*0.01</f>
        <v>#REF!</v>
      </c>
      <c r="AE317" t="str">
        <f>AB317-Q317-AD317-R317</f>
        <v>#REF!</v>
      </c>
      <c r="AF317" t="str">
        <f>AC317-Q317-AD317-R317</f>
        <v>#REF!</v>
      </c>
      <c r="AG317" t="str">
        <f>AE317/V317</f>
        <v>#REF!</v>
      </c>
      <c r="AH317" t="str">
        <f>AF317/W317</f>
        <v>#REF!</v>
      </c>
    </row>
    <row r="318">
      <c r="G318" t="str">
        <v>A</v>
      </c>
      <c r="J318" t="str">
        <f>IF(K318&gt;0,K318*0.0625,IF(L318&gt;0,L318*2.204623,))</f>
        <v>#REF!</v>
      </c>
      <c r="K318" t="str">
        <f>IF(L318&gt;0,L318*35.273962,IF(J318&gt;0,J318*16,))</f>
        <v>#REF!</v>
      </c>
      <c r="L318" t="str">
        <f>IF(J318&gt;0,J318*0.453592,IF(K318&gt;0,K318*0.02835,))</f>
        <v>#REF!</v>
      </c>
      <c r="O318">
        <f>I318+N318+M318</f>
        <v>0</v>
      </c>
      <c r="P318">
        <f>O318*B$3</f>
        <v>0</v>
      </c>
      <c r="Q318">
        <f>ROUND(SUM(P318), -2)</f>
        <v>0</v>
      </c>
      <c r="R318" t="str">
        <f>ROUNDUP(HLOOKUP(IF(CEILING(L318,0.5)&lt;1,0.5,CEILING(L318,0.5)),'배송비 조회'!A$44:AO$56,7,0)*B$3,-2)</f>
        <v>#REF!</v>
      </c>
      <c r="S318">
        <v>0</v>
      </c>
      <c r="T318" t="str">
        <f>ROUND((Q318+R318)*0.3,-2)</f>
        <v>#REF!</v>
      </c>
      <c r="U318" t="str">
        <f>ROUND((Q318+R318)*0.4,-2)</f>
        <v>#REF!</v>
      </c>
      <c r="V318" t="str">
        <f>SUM(Q318:R318)+T318</f>
        <v>#REF!</v>
      </c>
      <c r="W318" t="str">
        <f>SUM(Q318:S318)+U318</f>
        <v>#REF!</v>
      </c>
      <c r="X318">
        <v>0</v>
      </c>
      <c r="Y318" t="str">
        <f>V318*0.038</f>
        <v>#REF!</v>
      </c>
      <c r="Z318" t="str">
        <f>V318*0.02</f>
        <v>#REF!</v>
      </c>
      <c r="AA318" t="str">
        <f>W318*0.1</f>
        <v>#REF!</v>
      </c>
      <c r="AB318" t="str">
        <f>V318-Y318-Z318</f>
        <v>#REF!</v>
      </c>
      <c r="AC318" t="str">
        <f>W318-AA318</f>
        <v>#REF!</v>
      </c>
      <c r="AD318" t="str">
        <f>AB318*0.01</f>
        <v>#REF!</v>
      </c>
      <c r="AE318" t="str">
        <f>AB318-Q318-AD318-R318</f>
        <v>#REF!</v>
      </c>
      <c r="AF318" t="str">
        <f>AC318-Q318-AD318-R318</f>
        <v>#REF!</v>
      </c>
      <c r="AG318" t="str">
        <f>AE318/V318</f>
        <v>#REF!</v>
      </c>
      <c r="AH318" t="str">
        <f>AF318/W318</f>
        <v>#REF!</v>
      </c>
    </row>
    <row r="319">
      <c r="G319" t="str">
        <v>A</v>
      </c>
      <c r="J319" t="str">
        <f>IF(K319&gt;0,K319*0.0625,IF(L319&gt;0,L319*2.204623,))</f>
        <v>#REF!</v>
      </c>
      <c r="K319" t="str">
        <f>IF(L319&gt;0,L319*35.273962,IF(J319&gt;0,J319*16,))</f>
        <v>#REF!</v>
      </c>
      <c r="L319" t="str">
        <f>IF(J319&gt;0,J319*0.453592,IF(K319&gt;0,K319*0.02835,))</f>
        <v>#REF!</v>
      </c>
      <c r="O319">
        <f>I319+N319+M319</f>
        <v>0</v>
      </c>
      <c r="P319">
        <f>O319*B$3</f>
        <v>0</v>
      </c>
      <c r="Q319">
        <f>ROUND(SUM(P319), -2)</f>
        <v>0</v>
      </c>
      <c r="R319" t="str">
        <f>ROUNDUP(HLOOKUP(IF(CEILING(L319,0.5)&lt;1,0.5,CEILING(L319,0.5)),'배송비 조회'!A$44:AO$56,7,0)*B$3,-2)</f>
        <v>#REF!</v>
      </c>
      <c r="S319">
        <v>0</v>
      </c>
      <c r="T319" t="str">
        <f>ROUND((Q319+R319)*0.3,-2)</f>
        <v>#REF!</v>
      </c>
      <c r="U319" t="str">
        <f>ROUND((Q319+R319)*0.4,-2)</f>
        <v>#REF!</v>
      </c>
      <c r="V319" t="str">
        <f>SUM(Q319:R319)+T319</f>
        <v>#REF!</v>
      </c>
      <c r="W319" t="str">
        <f>SUM(Q319:S319)+U319</f>
        <v>#REF!</v>
      </c>
      <c r="X319">
        <v>0</v>
      </c>
      <c r="Y319" t="str">
        <f>V319*0.038</f>
        <v>#REF!</v>
      </c>
      <c r="Z319" t="str">
        <f>V319*0.02</f>
        <v>#REF!</v>
      </c>
      <c r="AA319" t="str">
        <f>W319*0.1</f>
        <v>#REF!</v>
      </c>
      <c r="AB319" t="str">
        <f>V319-Y319-Z319</f>
        <v>#REF!</v>
      </c>
      <c r="AC319" t="str">
        <f>W319-AA319</f>
        <v>#REF!</v>
      </c>
      <c r="AD319" t="str">
        <f>AB319*0.01</f>
        <v>#REF!</v>
      </c>
      <c r="AE319" t="str">
        <f>AB319-Q319-AD319-R319</f>
        <v>#REF!</v>
      </c>
      <c r="AF319" t="str">
        <f>AC319-Q319-AD319-R319</f>
        <v>#REF!</v>
      </c>
      <c r="AG319" t="str">
        <f>AE319/V319</f>
        <v>#REF!</v>
      </c>
      <c r="AH319" t="str">
        <f>AF319/W319</f>
        <v>#REF!</v>
      </c>
    </row>
    <row r="320">
      <c r="G320" t="str">
        <v>A</v>
      </c>
      <c r="J320" t="str">
        <f>IF(K320&gt;0,K320*0.0625,IF(L320&gt;0,L320*2.204623,))</f>
        <v>#REF!</v>
      </c>
      <c r="K320" t="str">
        <f>IF(L320&gt;0,L320*35.273962,IF(J320&gt;0,J320*16,))</f>
        <v>#REF!</v>
      </c>
      <c r="L320" t="str">
        <f>IF(J320&gt;0,J320*0.453592,IF(K320&gt;0,K320*0.02835,))</f>
        <v>#REF!</v>
      </c>
      <c r="O320">
        <f>I320+N320+M320</f>
        <v>0</v>
      </c>
      <c r="P320">
        <f>O320*B$3</f>
        <v>0</v>
      </c>
      <c r="Q320">
        <f>ROUND(SUM(P320), -2)</f>
        <v>0</v>
      </c>
      <c r="R320" t="str">
        <f>ROUNDUP(HLOOKUP(IF(CEILING(L320,0.5)&lt;1,0.5,CEILING(L320,0.5)),'배송비 조회'!A$44:AO$56,7,0)*B$3,-2)</f>
        <v>#REF!</v>
      </c>
      <c r="S320">
        <v>0</v>
      </c>
      <c r="T320" t="str">
        <f>ROUND((Q320+R320)*0.3,-2)</f>
        <v>#REF!</v>
      </c>
      <c r="U320" t="str">
        <f>ROUND((Q320+R320)*0.4,-2)</f>
        <v>#REF!</v>
      </c>
      <c r="V320" t="str">
        <f>SUM(Q320:R320)+T320</f>
        <v>#REF!</v>
      </c>
      <c r="W320" t="str">
        <f>SUM(Q320:S320)+U320</f>
        <v>#REF!</v>
      </c>
      <c r="X320">
        <v>0</v>
      </c>
      <c r="Y320" t="str">
        <f>V320*0.038</f>
        <v>#REF!</v>
      </c>
      <c r="Z320" t="str">
        <f>V320*0.02</f>
        <v>#REF!</v>
      </c>
      <c r="AA320" t="str">
        <f>W320*0.1</f>
        <v>#REF!</v>
      </c>
      <c r="AB320" t="str">
        <f>V320-Y320-Z320</f>
        <v>#REF!</v>
      </c>
      <c r="AC320" t="str">
        <f>W320-AA320</f>
        <v>#REF!</v>
      </c>
      <c r="AD320" t="str">
        <f>AB320*0.01</f>
        <v>#REF!</v>
      </c>
      <c r="AE320" t="str">
        <f>AB320-Q320-AD320-R320</f>
        <v>#REF!</v>
      </c>
      <c r="AF320" t="str">
        <f>AC320-Q320-AD320-R320</f>
        <v>#REF!</v>
      </c>
      <c r="AG320" t="str">
        <f>AE320/V320</f>
        <v>#REF!</v>
      </c>
      <c r="AH320" t="str">
        <f>AF320/W320</f>
        <v>#REF!</v>
      </c>
    </row>
    <row r="321">
      <c r="G321" t="str">
        <v>A</v>
      </c>
      <c r="J321" t="str">
        <f>IF(K321&gt;0,K321*0.0625,IF(L321&gt;0,L321*2.204623,))</f>
        <v>#REF!</v>
      </c>
      <c r="K321" t="str">
        <f>IF(L321&gt;0,L321*35.273962,IF(J321&gt;0,J321*16,))</f>
        <v>#REF!</v>
      </c>
      <c r="L321" t="str">
        <f>IF(J321&gt;0,J321*0.453592,IF(K321&gt;0,K321*0.02835,))</f>
        <v>#REF!</v>
      </c>
      <c r="O321">
        <f>I321+N321+M321</f>
        <v>0</v>
      </c>
      <c r="P321">
        <f>O321*B$3</f>
        <v>0</v>
      </c>
      <c r="Q321">
        <f>ROUND(SUM(P321), -2)</f>
        <v>0</v>
      </c>
      <c r="R321" t="str">
        <f>ROUNDUP(HLOOKUP(IF(CEILING(L321,0.5)&lt;1,0.5,CEILING(L321,0.5)),'배송비 조회'!A$44:AO$56,7,0)*B$3,-2)</f>
        <v>#REF!</v>
      </c>
      <c r="S321">
        <v>0</v>
      </c>
      <c r="T321" t="str">
        <f>ROUND((Q321+R321)*0.3,-2)</f>
        <v>#REF!</v>
      </c>
      <c r="U321" t="str">
        <f>ROUND((Q321+R321)*0.4,-2)</f>
        <v>#REF!</v>
      </c>
      <c r="V321" t="str">
        <f>SUM(Q321:R321)+T321</f>
        <v>#REF!</v>
      </c>
      <c r="W321" t="str">
        <f>SUM(Q321:S321)+U321</f>
        <v>#REF!</v>
      </c>
      <c r="X321">
        <v>0</v>
      </c>
      <c r="Y321" t="str">
        <f>V321*0.038</f>
        <v>#REF!</v>
      </c>
      <c r="Z321" t="str">
        <f>V321*0.02</f>
        <v>#REF!</v>
      </c>
      <c r="AA321" t="str">
        <f>W321*0.1</f>
        <v>#REF!</v>
      </c>
      <c r="AB321" t="str">
        <f>V321-Y321-Z321</f>
        <v>#REF!</v>
      </c>
      <c r="AC321" t="str">
        <f>W321-AA321</f>
        <v>#REF!</v>
      </c>
      <c r="AD321" t="str">
        <f>AB321*0.01</f>
        <v>#REF!</v>
      </c>
      <c r="AE321" t="str">
        <f>AB321-Q321-AD321-R321</f>
        <v>#REF!</v>
      </c>
      <c r="AF321" t="str">
        <f>AC321-Q321-AD321-R321</f>
        <v>#REF!</v>
      </c>
      <c r="AG321" t="str">
        <f>AE321/V321</f>
        <v>#REF!</v>
      </c>
      <c r="AH321" t="str">
        <f>AF321/W321</f>
        <v>#REF!</v>
      </c>
    </row>
    <row r="322">
      <c r="G322" t="str">
        <v>A</v>
      </c>
      <c r="J322" t="str">
        <f>IF(K322&gt;0,K322*0.0625,IF(L322&gt;0,L322*2.204623,))</f>
        <v>#REF!</v>
      </c>
      <c r="K322" t="str">
        <f>IF(L322&gt;0,L322*35.273962,IF(J322&gt;0,J322*16,))</f>
        <v>#REF!</v>
      </c>
      <c r="L322" t="str">
        <f>IF(J322&gt;0,J322*0.453592,IF(K322&gt;0,K322*0.02835,))</f>
        <v>#REF!</v>
      </c>
      <c r="O322">
        <f>I322+N322+M322</f>
        <v>0</v>
      </c>
      <c r="P322">
        <f>O322*B$3</f>
        <v>0</v>
      </c>
      <c r="Q322">
        <f>ROUND(SUM(P322), -2)</f>
        <v>0</v>
      </c>
      <c r="R322" t="str">
        <f>ROUNDUP(HLOOKUP(IF(CEILING(L322,0.5)&lt;1,0.5,CEILING(L322,0.5)),'배송비 조회'!A$44:AO$56,7,0)*B$3,-2)</f>
        <v>#REF!</v>
      </c>
      <c r="S322">
        <v>0</v>
      </c>
      <c r="T322" t="str">
        <f>ROUND((Q322+R322)*0.3,-2)</f>
        <v>#REF!</v>
      </c>
      <c r="U322" t="str">
        <f>ROUND((Q322+R322)*0.4,-2)</f>
        <v>#REF!</v>
      </c>
      <c r="V322" t="str">
        <f>SUM(Q322:R322)+T322</f>
        <v>#REF!</v>
      </c>
      <c r="W322" t="str">
        <f>SUM(Q322:S322)+U322</f>
        <v>#REF!</v>
      </c>
      <c r="X322">
        <v>0</v>
      </c>
      <c r="Y322" t="str">
        <f>V322*0.038</f>
        <v>#REF!</v>
      </c>
      <c r="Z322" t="str">
        <f>V322*0.02</f>
        <v>#REF!</v>
      </c>
      <c r="AA322" t="str">
        <f>W322*0.1</f>
        <v>#REF!</v>
      </c>
      <c r="AB322" t="str">
        <f>V322-Y322-Z322</f>
        <v>#REF!</v>
      </c>
      <c r="AC322" t="str">
        <f>W322-AA322</f>
        <v>#REF!</v>
      </c>
      <c r="AD322" t="str">
        <f>AB322*0.01</f>
        <v>#REF!</v>
      </c>
      <c r="AE322" t="str">
        <f>AB322-Q322-AD322-R322</f>
        <v>#REF!</v>
      </c>
      <c r="AF322" t="str">
        <f>AC322-Q322-AD322-R322</f>
        <v>#REF!</v>
      </c>
      <c r="AG322" t="str">
        <f>AE322/V322</f>
        <v>#REF!</v>
      </c>
      <c r="AH322" t="str">
        <f>AF322/W322</f>
        <v>#REF!</v>
      </c>
    </row>
    <row r="323">
      <c r="G323" t="str">
        <v>A</v>
      </c>
      <c r="J323" t="str">
        <f>IF(K323&gt;0,K323*0.0625,IF(L323&gt;0,L323*2.204623,))</f>
        <v>#REF!</v>
      </c>
      <c r="K323" t="str">
        <f>IF(L323&gt;0,L323*35.273962,IF(J323&gt;0,J323*16,))</f>
        <v>#REF!</v>
      </c>
      <c r="L323" t="str">
        <f>IF(J323&gt;0,J323*0.453592,IF(K323&gt;0,K323*0.02835,))</f>
        <v>#REF!</v>
      </c>
      <c r="O323">
        <f>I323+N323+M323</f>
        <v>0</v>
      </c>
      <c r="P323">
        <f>O323*B$3</f>
        <v>0</v>
      </c>
      <c r="Q323">
        <f>ROUND(SUM(P323), -2)</f>
        <v>0</v>
      </c>
      <c r="R323" t="str">
        <f>ROUNDUP(HLOOKUP(IF(CEILING(L323,0.5)&lt;1,0.5,CEILING(L323,0.5)),'배송비 조회'!A$44:AO$56,7,0)*B$3,-2)</f>
        <v>#REF!</v>
      </c>
      <c r="S323">
        <v>0</v>
      </c>
      <c r="T323" t="str">
        <f>ROUND((Q323+R323)*0.3,-2)</f>
        <v>#REF!</v>
      </c>
      <c r="U323" t="str">
        <f>ROUND((Q323+R323)*0.4,-2)</f>
        <v>#REF!</v>
      </c>
      <c r="V323" t="str">
        <f>SUM(Q323:R323)+T323</f>
        <v>#REF!</v>
      </c>
      <c r="W323" t="str">
        <f>SUM(Q323:S323)+U323</f>
        <v>#REF!</v>
      </c>
      <c r="X323">
        <v>0</v>
      </c>
      <c r="Y323" t="str">
        <f>V323*0.038</f>
        <v>#REF!</v>
      </c>
      <c r="Z323" t="str">
        <f>V323*0.02</f>
        <v>#REF!</v>
      </c>
      <c r="AA323" t="str">
        <f>W323*0.1</f>
        <v>#REF!</v>
      </c>
      <c r="AB323" t="str">
        <f>V323-Y323-Z323</f>
        <v>#REF!</v>
      </c>
      <c r="AC323" t="str">
        <f>W323-AA323</f>
        <v>#REF!</v>
      </c>
      <c r="AD323" t="str">
        <f>AB323*0.01</f>
        <v>#REF!</v>
      </c>
      <c r="AE323" t="str">
        <f>AB323-Q323-AD323-R323</f>
        <v>#REF!</v>
      </c>
      <c r="AF323" t="str">
        <f>AC323-Q323-AD323-R323</f>
        <v>#REF!</v>
      </c>
      <c r="AG323" t="str">
        <f>AE323/V323</f>
        <v>#REF!</v>
      </c>
      <c r="AH323" t="str">
        <f>AF323/W323</f>
        <v>#REF!</v>
      </c>
    </row>
    <row r="324">
      <c r="G324" t="str">
        <v>A</v>
      </c>
      <c r="J324" t="str">
        <f>IF(K324&gt;0,K324*0.0625,IF(L324&gt;0,L324*2.204623,))</f>
        <v>#REF!</v>
      </c>
      <c r="K324" t="str">
        <f>IF(L324&gt;0,L324*35.273962,IF(J324&gt;0,J324*16,))</f>
        <v>#REF!</v>
      </c>
      <c r="L324" t="str">
        <f>IF(J324&gt;0,J324*0.453592,IF(K324&gt;0,K324*0.02835,))</f>
        <v>#REF!</v>
      </c>
      <c r="O324">
        <f>I324+N324+M324</f>
        <v>0</v>
      </c>
      <c r="P324">
        <f>O324*B$3</f>
        <v>0</v>
      </c>
      <c r="Q324">
        <f>ROUND(SUM(P324), -2)</f>
        <v>0</v>
      </c>
      <c r="R324" t="str">
        <f>ROUNDUP(HLOOKUP(IF(CEILING(L324,0.5)&lt;1,0.5,CEILING(L324,0.5)),'배송비 조회'!A$44:AO$56,7,0)*B$3,-2)</f>
        <v>#REF!</v>
      </c>
      <c r="S324">
        <v>0</v>
      </c>
      <c r="T324" t="str">
        <f>ROUND((Q324+R324)*0.3,-2)</f>
        <v>#REF!</v>
      </c>
      <c r="U324" t="str">
        <f>ROUND((Q324+R324)*0.4,-2)</f>
        <v>#REF!</v>
      </c>
      <c r="V324" t="str">
        <f>SUM(Q324:R324)+T324</f>
        <v>#REF!</v>
      </c>
      <c r="W324" t="str">
        <f>SUM(Q324:S324)+U324</f>
        <v>#REF!</v>
      </c>
      <c r="X324">
        <v>0</v>
      </c>
      <c r="Y324" t="str">
        <f>V324*0.038</f>
        <v>#REF!</v>
      </c>
      <c r="Z324" t="str">
        <f>V324*0.02</f>
        <v>#REF!</v>
      </c>
      <c r="AA324" t="str">
        <f>W324*0.1</f>
        <v>#REF!</v>
      </c>
      <c r="AB324" t="str">
        <f>V324-Y324-Z324</f>
        <v>#REF!</v>
      </c>
      <c r="AC324" t="str">
        <f>W324-AA324</f>
        <v>#REF!</v>
      </c>
      <c r="AD324" t="str">
        <f>AB324*0.01</f>
        <v>#REF!</v>
      </c>
      <c r="AE324" t="str">
        <f>AB324-Q324-AD324-R324</f>
        <v>#REF!</v>
      </c>
      <c r="AF324" t="str">
        <f>AC324-Q324-AD324-R324</f>
        <v>#REF!</v>
      </c>
      <c r="AG324" t="str">
        <f>AE324/V324</f>
        <v>#REF!</v>
      </c>
      <c r="AH324" t="str">
        <f>AF324/W324</f>
        <v>#REF!</v>
      </c>
    </row>
    <row r="325">
      <c r="G325" t="str">
        <v>A</v>
      </c>
      <c r="J325" t="str">
        <f>IF(K325&gt;0,K325*0.0625,IF(L325&gt;0,L325*2.204623,))</f>
        <v>#REF!</v>
      </c>
      <c r="K325" t="str">
        <f>IF(L325&gt;0,L325*35.273962,IF(J325&gt;0,J325*16,))</f>
        <v>#REF!</v>
      </c>
      <c r="L325" t="str">
        <f>IF(J325&gt;0,J325*0.453592,IF(K325&gt;0,K325*0.02835,))</f>
        <v>#REF!</v>
      </c>
      <c r="O325">
        <f>I325+N325+M325</f>
        <v>0</v>
      </c>
      <c r="P325">
        <f>O325*B$3</f>
        <v>0</v>
      </c>
      <c r="Q325">
        <f>ROUND(SUM(P325), -2)</f>
        <v>0</v>
      </c>
      <c r="R325" t="str">
        <f>ROUNDUP(HLOOKUP(IF(CEILING(L325,0.5)&lt;1,0.5,CEILING(L325,0.5)),'배송비 조회'!A$44:AO$56,7,0)*B$3,-2)</f>
        <v>#REF!</v>
      </c>
      <c r="S325">
        <v>0</v>
      </c>
      <c r="T325" t="str">
        <f>ROUND((Q325+R325)*0.3,-2)</f>
        <v>#REF!</v>
      </c>
      <c r="U325" t="str">
        <f>ROUND((Q325+R325)*0.4,-2)</f>
        <v>#REF!</v>
      </c>
      <c r="V325" t="str">
        <f>SUM(Q325:R325)+T325</f>
        <v>#REF!</v>
      </c>
      <c r="W325" t="str">
        <f>SUM(Q325:S325)+U325</f>
        <v>#REF!</v>
      </c>
      <c r="X325">
        <v>0</v>
      </c>
      <c r="Y325" t="str">
        <f>V325*0.038</f>
        <v>#REF!</v>
      </c>
      <c r="Z325" t="str">
        <f>V325*0.02</f>
        <v>#REF!</v>
      </c>
      <c r="AA325" t="str">
        <f>W325*0.1</f>
        <v>#REF!</v>
      </c>
      <c r="AB325" t="str">
        <f>V325-Y325-Z325</f>
        <v>#REF!</v>
      </c>
      <c r="AC325" t="str">
        <f>W325-AA325</f>
        <v>#REF!</v>
      </c>
      <c r="AD325" t="str">
        <f>AB325*0.01</f>
        <v>#REF!</v>
      </c>
      <c r="AE325" t="str">
        <f>AB325-Q325-AD325-R325</f>
        <v>#REF!</v>
      </c>
      <c r="AF325" t="str">
        <f>AC325-Q325-AD325-R325</f>
        <v>#REF!</v>
      </c>
      <c r="AG325" t="str">
        <f>AE325/V325</f>
        <v>#REF!</v>
      </c>
      <c r="AH325" t="str">
        <f>AF325/W325</f>
        <v>#REF!</v>
      </c>
    </row>
    <row r="326">
      <c r="G326" t="str">
        <v>A</v>
      </c>
      <c r="J326" t="str">
        <f>IF(K326&gt;0,K326*0.0625,IF(L326&gt;0,L326*2.204623,))</f>
        <v>#REF!</v>
      </c>
      <c r="K326" t="str">
        <f>IF(L326&gt;0,L326*35.273962,IF(J326&gt;0,J326*16,))</f>
        <v>#REF!</v>
      </c>
      <c r="L326" t="str">
        <f>IF(J326&gt;0,J326*0.453592,IF(K326&gt;0,K326*0.02835,))</f>
        <v>#REF!</v>
      </c>
      <c r="O326">
        <f>I326+N326+M326</f>
        <v>0</v>
      </c>
      <c r="P326">
        <f>O326*B$3</f>
        <v>0</v>
      </c>
      <c r="Q326">
        <f>ROUND(SUM(P326), -2)</f>
        <v>0</v>
      </c>
      <c r="R326" t="str">
        <f>ROUNDUP(HLOOKUP(IF(CEILING(L326,0.5)&lt;1,0.5,CEILING(L326,0.5)),'배송비 조회'!A$44:AO$56,7,0)*B$3,-2)</f>
        <v>#REF!</v>
      </c>
      <c r="S326">
        <v>0</v>
      </c>
      <c r="T326" t="str">
        <f>ROUND((Q326+R326)*0.3,-2)</f>
        <v>#REF!</v>
      </c>
      <c r="U326" t="str">
        <f>ROUND((Q326+R326)*0.4,-2)</f>
        <v>#REF!</v>
      </c>
      <c r="V326" t="str">
        <f>SUM(Q326:R326)+T326</f>
        <v>#REF!</v>
      </c>
      <c r="W326" t="str">
        <f>SUM(Q326:S326)+U326</f>
        <v>#REF!</v>
      </c>
      <c r="X326">
        <v>0</v>
      </c>
      <c r="Y326" t="str">
        <f>V326*0.038</f>
        <v>#REF!</v>
      </c>
      <c r="Z326" t="str">
        <f>V326*0.02</f>
        <v>#REF!</v>
      </c>
      <c r="AA326" t="str">
        <f>W326*0.1</f>
        <v>#REF!</v>
      </c>
      <c r="AB326" t="str">
        <f>V326-Y326-Z326</f>
        <v>#REF!</v>
      </c>
      <c r="AC326" t="str">
        <f>W326-AA326</f>
        <v>#REF!</v>
      </c>
      <c r="AD326" t="str">
        <f>AB326*0.01</f>
        <v>#REF!</v>
      </c>
      <c r="AE326" t="str">
        <f>AB326-Q326-AD326-R326</f>
        <v>#REF!</v>
      </c>
      <c r="AF326" t="str">
        <f>AC326-Q326-AD326-R326</f>
        <v>#REF!</v>
      </c>
      <c r="AG326" t="str">
        <f>AE326/V326</f>
        <v>#REF!</v>
      </c>
      <c r="AH326" t="str">
        <f>AF326/W326</f>
        <v>#REF!</v>
      </c>
    </row>
    <row r="327">
      <c r="G327" t="str">
        <v>A</v>
      </c>
      <c r="J327" t="str">
        <f>IF(K327&gt;0,K327*0.0625,IF(L327&gt;0,L327*2.204623,))</f>
        <v>#REF!</v>
      </c>
      <c r="K327" t="str">
        <f>IF(L327&gt;0,L327*35.273962,IF(J327&gt;0,J327*16,))</f>
        <v>#REF!</v>
      </c>
      <c r="L327" t="str">
        <f>IF(J327&gt;0,J327*0.453592,IF(K327&gt;0,K327*0.02835,))</f>
        <v>#REF!</v>
      </c>
      <c r="O327">
        <f>I327+N327+M327</f>
        <v>0</v>
      </c>
      <c r="P327">
        <f>O327*B$3</f>
        <v>0</v>
      </c>
      <c r="Q327">
        <f>ROUND(SUM(P327), -2)</f>
        <v>0</v>
      </c>
      <c r="R327" t="str">
        <f>ROUNDUP(HLOOKUP(IF(CEILING(L327,0.5)&lt;1,0.5,CEILING(L327,0.5)),'배송비 조회'!A$44:AO$56,7,0)*B$3,-2)</f>
        <v>#REF!</v>
      </c>
      <c r="S327">
        <v>0</v>
      </c>
      <c r="T327" t="str">
        <f>ROUND((Q327+R327)*0.3,-2)</f>
        <v>#REF!</v>
      </c>
      <c r="U327" t="str">
        <f>ROUND((Q327+R327)*0.4,-2)</f>
        <v>#REF!</v>
      </c>
      <c r="V327" t="str">
        <f>SUM(Q327:R327)+T327</f>
        <v>#REF!</v>
      </c>
      <c r="W327" t="str">
        <f>SUM(Q327:S327)+U327</f>
        <v>#REF!</v>
      </c>
      <c r="X327">
        <v>0</v>
      </c>
      <c r="Y327" t="str">
        <f>V327*0.038</f>
        <v>#REF!</v>
      </c>
      <c r="Z327" t="str">
        <f>V327*0.02</f>
        <v>#REF!</v>
      </c>
      <c r="AA327" t="str">
        <f>W327*0.1</f>
        <v>#REF!</v>
      </c>
      <c r="AB327" t="str">
        <f>V327-Y327-Z327</f>
        <v>#REF!</v>
      </c>
      <c r="AC327" t="str">
        <f>W327-AA327</f>
        <v>#REF!</v>
      </c>
      <c r="AD327" t="str">
        <f>AB327*0.01</f>
        <v>#REF!</v>
      </c>
      <c r="AE327" t="str">
        <f>AB327-Q327-AD327-R327</f>
        <v>#REF!</v>
      </c>
      <c r="AF327" t="str">
        <f>AC327-Q327-AD327-R327</f>
        <v>#REF!</v>
      </c>
      <c r="AG327" t="str">
        <f>AE327/V327</f>
        <v>#REF!</v>
      </c>
      <c r="AH327" t="str">
        <f>AF327/W327</f>
        <v>#REF!</v>
      </c>
    </row>
    <row r="328">
      <c r="G328" t="str">
        <v>A</v>
      </c>
      <c r="J328" t="str">
        <f>IF(K328&gt;0,K328*0.0625,IF(L328&gt;0,L328*2.204623,))</f>
        <v>#REF!</v>
      </c>
      <c r="K328" t="str">
        <f>IF(L328&gt;0,L328*35.273962,IF(J328&gt;0,J328*16,))</f>
        <v>#REF!</v>
      </c>
      <c r="L328" t="str">
        <f>IF(J328&gt;0,J328*0.453592,IF(K328&gt;0,K328*0.02835,))</f>
        <v>#REF!</v>
      </c>
      <c r="O328">
        <f>I328+N328+M328</f>
        <v>0</v>
      </c>
      <c r="P328">
        <f>O328*B$3</f>
        <v>0</v>
      </c>
      <c r="Q328">
        <f>ROUND(SUM(P328), -2)</f>
        <v>0</v>
      </c>
      <c r="R328" t="str">
        <f>ROUNDUP(HLOOKUP(IF(CEILING(L328,0.5)&lt;1,0.5,CEILING(L328,0.5)),'배송비 조회'!A$44:AO$56,7,0)*B$3,-2)</f>
        <v>#REF!</v>
      </c>
      <c r="S328">
        <v>0</v>
      </c>
      <c r="T328" t="str">
        <f>ROUND((Q328+R328)*0.3,-2)</f>
        <v>#REF!</v>
      </c>
      <c r="U328" t="str">
        <f>ROUND((Q328+R328)*0.4,-2)</f>
        <v>#REF!</v>
      </c>
      <c r="V328" t="str">
        <f>SUM(Q328:R328)+T328</f>
        <v>#REF!</v>
      </c>
      <c r="W328" t="str">
        <f>SUM(Q328:S328)+U328</f>
        <v>#REF!</v>
      </c>
      <c r="X328">
        <v>0</v>
      </c>
      <c r="Y328" t="str">
        <f>V328*0.038</f>
        <v>#REF!</v>
      </c>
      <c r="Z328" t="str">
        <f>V328*0.02</f>
        <v>#REF!</v>
      </c>
      <c r="AA328" t="str">
        <f>W328*0.1</f>
        <v>#REF!</v>
      </c>
      <c r="AB328" t="str">
        <f>V328-Y328-Z328</f>
        <v>#REF!</v>
      </c>
      <c r="AC328" t="str">
        <f>W328-AA328</f>
        <v>#REF!</v>
      </c>
      <c r="AD328" t="str">
        <f>AB328*0.01</f>
        <v>#REF!</v>
      </c>
      <c r="AE328" t="str">
        <f>AB328-Q328-AD328-R328</f>
        <v>#REF!</v>
      </c>
      <c r="AF328" t="str">
        <f>AC328-Q328-AD328-R328</f>
        <v>#REF!</v>
      </c>
      <c r="AG328" t="str">
        <f>AE328/V328</f>
        <v>#REF!</v>
      </c>
      <c r="AH328" t="str">
        <f>AF328/W328</f>
        <v>#REF!</v>
      </c>
    </row>
    <row r="329">
      <c r="G329" t="str">
        <v>A</v>
      </c>
      <c r="J329" t="str">
        <f>IF(K329&gt;0,K329*0.0625,IF(L329&gt;0,L329*2.204623,))</f>
        <v>#REF!</v>
      </c>
      <c r="K329" t="str">
        <f>IF(L329&gt;0,L329*35.273962,IF(J329&gt;0,J329*16,))</f>
        <v>#REF!</v>
      </c>
      <c r="L329" t="str">
        <f>IF(J329&gt;0,J329*0.453592,IF(K329&gt;0,K329*0.02835,))</f>
        <v>#REF!</v>
      </c>
      <c r="O329">
        <f>I329+N329+M329</f>
        <v>0</v>
      </c>
      <c r="P329">
        <f>O329*B$3</f>
        <v>0</v>
      </c>
      <c r="Q329">
        <f>ROUND(SUM(P329), -2)</f>
        <v>0</v>
      </c>
      <c r="R329" t="str">
        <f>ROUNDUP(HLOOKUP(IF(CEILING(L329,0.5)&lt;1,0.5,CEILING(L329,0.5)),'배송비 조회'!A$44:AO$56,7,0)*B$3,-2)</f>
        <v>#REF!</v>
      </c>
      <c r="S329">
        <v>0</v>
      </c>
      <c r="T329" t="str">
        <f>ROUND((Q329+R329)*0.3,-2)</f>
        <v>#REF!</v>
      </c>
      <c r="U329" t="str">
        <f>ROUND((Q329+R329)*0.4,-2)</f>
        <v>#REF!</v>
      </c>
      <c r="V329" t="str">
        <f>SUM(Q329:R329)+T329</f>
        <v>#REF!</v>
      </c>
      <c r="W329" t="str">
        <f>SUM(Q329:S329)+U329</f>
        <v>#REF!</v>
      </c>
      <c r="X329">
        <v>0</v>
      </c>
      <c r="Y329" t="str">
        <f>V329*0.038</f>
        <v>#REF!</v>
      </c>
      <c r="Z329" t="str">
        <f>V329*0.02</f>
        <v>#REF!</v>
      </c>
      <c r="AA329" t="str">
        <f>W329*0.1</f>
        <v>#REF!</v>
      </c>
      <c r="AB329" t="str">
        <f>V329-Y329-Z329</f>
        <v>#REF!</v>
      </c>
      <c r="AC329" t="str">
        <f>W329-AA329</f>
        <v>#REF!</v>
      </c>
      <c r="AD329" t="str">
        <f>AB329*0.01</f>
        <v>#REF!</v>
      </c>
      <c r="AE329" t="str">
        <f>AB329-Q329-AD329-R329</f>
        <v>#REF!</v>
      </c>
      <c r="AF329" t="str">
        <f>AC329-Q329-AD329-R329</f>
        <v>#REF!</v>
      </c>
      <c r="AG329" t="str">
        <f>AE329/V329</f>
        <v>#REF!</v>
      </c>
      <c r="AH329" t="str">
        <f>AF329/W329</f>
        <v>#REF!</v>
      </c>
    </row>
    <row r="330">
      <c r="G330" t="str">
        <v>A</v>
      </c>
      <c r="J330" t="str">
        <f>IF(K330&gt;0,K330*0.0625,IF(L330&gt;0,L330*2.204623,))</f>
        <v>#REF!</v>
      </c>
      <c r="K330" t="str">
        <f>IF(L330&gt;0,L330*35.273962,IF(J330&gt;0,J330*16,))</f>
        <v>#REF!</v>
      </c>
      <c r="L330" t="str">
        <f>IF(J330&gt;0,J330*0.453592,IF(K330&gt;0,K330*0.02835,))</f>
        <v>#REF!</v>
      </c>
      <c r="O330">
        <f>I330+N330+M330</f>
        <v>0</v>
      </c>
      <c r="P330">
        <f>O330*B$3</f>
        <v>0</v>
      </c>
      <c r="Q330">
        <f>ROUND(SUM(P330), -2)</f>
        <v>0</v>
      </c>
      <c r="R330" t="str">
        <f>ROUNDUP(HLOOKUP(IF(CEILING(L330,0.5)&lt;1,0.5,CEILING(L330,0.5)),'배송비 조회'!A$44:AO$56,7,0)*B$3,-2)</f>
        <v>#REF!</v>
      </c>
      <c r="S330">
        <v>0</v>
      </c>
      <c r="T330" t="str">
        <f>ROUND((Q330+R330)*0.3,-2)</f>
        <v>#REF!</v>
      </c>
      <c r="U330" t="str">
        <f>ROUND((Q330+R330)*0.4,-2)</f>
        <v>#REF!</v>
      </c>
      <c r="V330" t="str">
        <f>SUM(Q330:R330)+T330</f>
        <v>#REF!</v>
      </c>
      <c r="W330" t="str">
        <f>SUM(Q330:S330)+U330</f>
        <v>#REF!</v>
      </c>
      <c r="X330">
        <v>0</v>
      </c>
      <c r="Y330" t="str">
        <f>V330*0.038</f>
        <v>#REF!</v>
      </c>
      <c r="Z330" t="str">
        <f>V330*0.02</f>
        <v>#REF!</v>
      </c>
      <c r="AA330" t="str">
        <f>W330*0.1</f>
        <v>#REF!</v>
      </c>
      <c r="AB330" t="str">
        <f>V330-Y330-Z330</f>
        <v>#REF!</v>
      </c>
      <c r="AC330" t="str">
        <f>W330-AA330</f>
        <v>#REF!</v>
      </c>
      <c r="AD330" t="str">
        <f>AB330*0.01</f>
        <v>#REF!</v>
      </c>
      <c r="AE330" t="str">
        <f>AB330-Q330-AD330-R330</f>
        <v>#REF!</v>
      </c>
      <c r="AF330" t="str">
        <f>AC330-Q330-AD330-R330</f>
        <v>#REF!</v>
      </c>
      <c r="AG330" t="str">
        <f>AE330/V330</f>
        <v>#REF!</v>
      </c>
      <c r="AH330" t="str">
        <f>AF330/W330</f>
        <v>#REF!</v>
      </c>
    </row>
    <row r="331">
      <c r="G331" t="str">
        <v>A</v>
      </c>
      <c r="J331" t="str">
        <f>IF(K331&gt;0,K331*0.0625,IF(L331&gt;0,L331*2.204623,))</f>
        <v>#REF!</v>
      </c>
      <c r="K331" t="str">
        <f>IF(L331&gt;0,L331*35.273962,IF(J331&gt;0,J331*16,))</f>
        <v>#REF!</v>
      </c>
      <c r="L331" t="str">
        <f>IF(J331&gt;0,J331*0.453592,IF(K331&gt;0,K331*0.02835,))</f>
        <v>#REF!</v>
      </c>
      <c r="O331">
        <f>I331+N331+M331</f>
        <v>0</v>
      </c>
      <c r="P331">
        <f>O331*B$3</f>
        <v>0</v>
      </c>
      <c r="Q331">
        <f>ROUND(SUM(P331), -2)</f>
        <v>0</v>
      </c>
      <c r="R331" t="str">
        <f>ROUNDUP(HLOOKUP(IF(CEILING(L331,0.5)&lt;1,0.5,CEILING(L331,0.5)),'배송비 조회'!A$44:AO$56,7,0)*B$3,-2)</f>
        <v>#REF!</v>
      </c>
      <c r="S331">
        <v>0</v>
      </c>
      <c r="T331" t="str">
        <f>ROUND((Q331+R331)*0.3,-2)</f>
        <v>#REF!</v>
      </c>
      <c r="U331" t="str">
        <f>ROUND((Q331+R331)*0.4,-2)</f>
        <v>#REF!</v>
      </c>
      <c r="V331" t="str">
        <f>SUM(Q331:R331)+T331</f>
        <v>#REF!</v>
      </c>
      <c r="W331" t="str">
        <f>SUM(Q331:S331)+U331</f>
        <v>#REF!</v>
      </c>
      <c r="X331">
        <v>0</v>
      </c>
      <c r="Y331" t="str">
        <f>V331*0.038</f>
        <v>#REF!</v>
      </c>
      <c r="Z331" t="str">
        <f>V331*0.02</f>
        <v>#REF!</v>
      </c>
      <c r="AA331" t="str">
        <f>W331*0.1</f>
        <v>#REF!</v>
      </c>
      <c r="AB331" t="str">
        <f>V331-Y331-Z331</f>
        <v>#REF!</v>
      </c>
      <c r="AC331" t="str">
        <f>W331-AA331</f>
        <v>#REF!</v>
      </c>
      <c r="AD331" t="str">
        <f>AB331*0.01</f>
        <v>#REF!</v>
      </c>
      <c r="AE331" t="str">
        <f>AB331-Q331-AD331-R331</f>
        <v>#REF!</v>
      </c>
      <c r="AF331" t="str">
        <f>AC331-Q331-AD331-R331</f>
        <v>#REF!</v>
      </c>
      <c r="AG331" t="str">
        <f>AE331/V331</f>
        <v>#REF!</v>
      </c>
      <c r="AH331" t="str">
        <f>AF331/W331</f>
        <v>#REF!</v>
      </c>
    </row>
    <row r="332">
      <c r="G332" t="str">
        <v>A</v>
      </c>
      <c r="J332" t="str">
        <f>IF(K332&gt;0,K332*0.0625,IF(L332&gt;0,L332*2.204623,))</f>
        <v>#REF!</v>
      </c>
      <c r="K332" t="str">
        <f>IF(L332&gt;0,L332*35.273962,IF(J332&gt;0,J332*16,))</f>
        <v>#REF!</v>
      </c>
      <c r="L332" t="str">
        <f>IF(J332&gt;0,J332*0.453592,IF(K332&gt;0,K332*0.02835,))</f>
        <v>#REF!</v>
      </c>
      <c r="O332">
        <f>I332+N332+M332</f>
        <v>0</v>
      </c>
      <c r="P332">
        <f>O332*B$3</f>
        <v>0</v>
      </c>
      <c r="Q332">
        <f>ROUND(SUM(P332), -2)</f>
        <v>0</v>
      </c>
      <c r="R332" t="str">
        <f>ROUNDUP(HLOOKUP(IF(CEILING(L332,0.5)&lt;1,0.5,CEILING(L332,0.5)),'배송비 조회'!A$44:AO$56,7,0)*B$3,-2)</f>
        <v>#REF!</v>
      </c>
      <c r="S332">
        <v>0</v>
      </c>
      <c r="T332" t="str">
        <f>ROUND((Q332+R332)*0.3,-2)</f>
        <v>#REF!</v>
      </c>
      <c r="U332" t="str">
        <f>ROUND((Q332+R332)*0.4,-2)</f>
        <v>#REF!</v>
      </c>
      <c r="V332" t="str">
        <f>SUM(Q332:R332)+T332</f>
        <v>#REF!</v>
      </c>
      <c r="W332" t="str">
        <f>SUM(Q332:S332)+U332</f>
        <v>#REF!</v>
      </c>
      <c r="X332">
        <v>0</v>
      </c>
      <c r="Y332" t="str">
        <f>V332*0.038</f>
        <v>#REF!</v>
      </c>
      <c r="Z332" t="str">
        <f>V332*0.02</f>
        <v>#REF!</v>
      </c>
      <c r="AA332" t="str">
        <f>W332*0.1</f>
        <v>#REF!</v>
      </c>
      <c r="AB332" t="str">
        <f>V332-Y332-Z332</f>
        <v>#REF!</v>
      </c>
      <c r="AC332" t="str">
        <f>W332-AA332</f>
        <v>#REF!</v>
      </c>
      <c r="AD332" t="str">
        <f>AB332*0.01</f>
        <v>#REF!</v>
      </c>
      <c r="AE332" t="str">
        <f>AB332-Q332-AD332-R332</f>
        <v>#REF!</v>
      </c>
      <c r="AF332" t="str">
        <f>AC332-Q332-AD332-R332</f>
        <v>#REF!</v>
      </c>
      <c r="AG332" t="str">
        <f>AE332/V332</f>
        <v>#REF!</v>
      </c>
      <c r="AH332" t="str">
        <f>AF332/W332</f>
        <v>#REF!</v>
      </c>
    </row>
    <row r="333">
      <c r="G333" t="str">
        <v>A</v>
      </c>
      <c r="J333" t="str">
        <f>IF(K333&gt;0,K333*0.0625,IF(L333&gt;0,L333*2.204623,))</f>
        <v>#REF!</v>
      </c>
      <c r="K333" t="str">
        <f>IF(L333&gt;0,L333*35.273962,IF(J333&gt;0,J333*16,))</f>
        <v>#REF!</v>
      </c>
      <c r="L333" t="str">
        <f>IF(J333&gt;0,J333*0.453592,IF(K333&gt;0,K333*0.02835,))</f>
        <v>#REF!</v>
      </c>
      <c r="O333">
        <f>I333+N333+M333</f>
        <v>0</v>
      </c>
      <c r="P333">
        <f>O333*B$3</f>
        <v>0</v>
      </c>
      <c r="Q333">
        <f>ROUND(SUM(P333), -2)</f>
        <v>0</v>
      </c>
      <c r="R333" t="str">
        <f>ROUNDUP(HLOOKUP(IF(CEILING(L333,0.5)&lt;1,0.5,CEILING(L333,0.5)),'배송비 조회'!A$44:AO$56,7,0)*B$3,-2)</f>
        <v>#REF!</v>
      </c>
      <c r="S333">
        <v>0</v>
      </c>
      <c r="T333" t="str">
        <f>ROUND((Q333+R333)*0.3,-2)</f>
        <v>#REF!</v>
      </c>
      <c r="U333" t="str">
        <f>ROUND((Q333+R333)*0.4,-2)</f>
        <v>#REF!</v>
      </c>
      <c r="V333" t="str">
        <f>SUM(Q333:R333)+T333</f>
        <v>#REF!</v>
      </c>
      <c r="W333" t="str">
        <f>SUM(Q333:S333)+U333</f>
        <v>#REF!</v>
      </c>
      <c r="X333">
        <v>0</v>
      </c>
      <c r="Y333" t="str">
        <f>V333*0.038</f>
        <v>#REF!</v>
      </c>
      <c r="Z333" t="str">
        <f>V333*0.02</f>
        <v>#REF!</v>
      </c>
      <c r="AA333" t="str">
        <f>W333*0.1</f>
        <v>#REF!</v>
      </c>
      <c r="AB333" t="str">
        <f>V333-Y333-Z333</f>
        <v>#REF!</v>
      </c>
      <c r="AC333" t="str">
        <f>W333-AA333</f>
        <v>#REF!</v>
      </c>
      <c r="AD333" t="str">
        <f>AB333*0.01</f>
        <v>#REF!</v>
      </c>
      <c r="AE333" t="str">
        <f>AB333-Q333-AD333-R333</f>
        <v>#REF!</v>
      </c>
      <c r="AF333" t="str">
        <f>AC333-Q333-AD333-R333</f>
        <v>#REF!</v>
      </c>
      <c r="AG333" t="str">
        <f>AE333/V333</f>
        <v>#REF!</v>
      </c>
      <c r="AH333" t="str">
        <f>AF333/W333</f>
        <v>#REF!</v>
      </c>
    </row>
    <row r="334">
      <c r="G334" t="str">
        <v>A</v>
      </c>
      <c r="J334" t="str">
        <f>IF(K334&gt;0,K334*0.0625,IF(L334&gt;0,L334*2.204623,))</f>
        <v>#REF!</v>
      </c>
      <c r="K334" t="str">
        <f>IF(L334&gt;0,L334*35.273962,IF(J334&gt;0,J334*16,))</f>
        <v>#REF!</v>
      </c>
      <c r="L334" t="str">
        <f>IF(J334&gt;0,J334*0.453592,IF(K334&gt;0,K334*0.02835,))</f>
        <v>#REF!</v>
      </c>
      <c r="O334">
        <f>I334+N334+M334</f>
        <v>0</v>
      </c>
      <c r="P334">
        <f>O334*B$3</f>
        <v>0</v>
      </c>
      <c r="Q334">
        <f>ROUND(SUM(P334), -2)</f>
        <v>0</v>
      </c>
      <c r="R334" t="str">
        <f>ROUNDUP(HLOOKUP(IF(CEILING(L334,0.5)&lt;1,0.5,CEILING(L334,0.5)),'배송비 조회'!A$44:AO$56,7,0)*B$3,-2)</f>
        <v>#REF!</v>
      </c>
      <c r="S334">
        <v>0</v>
      </c>
      <c r="T334" t="str">
        <f>ROUND((Q334+R334)*0.3,-2)</f>
        <v>#REF!</v>
      </c>
      <c r="U334" t="str">
        <f>ROUND((Q334+R334)*0.4,-2)</f>
        <v>#REF!</v>
      </c>
      <c r="V334" t="str">
        <f>SUM(Q334:R334)+T334</f>
        <v>#REF!</v>
      </c>
      <c r="W334" t="str">
        <f>SUM(Q334:S334)+U334</f>
        <v>#REF!</v>
      </c>
      <c r="X334">
        <v>0</v>
      </c>
      <c r="Y334" t="str">
        <f>V334*0.038</f>
        <v>#REF!</v>
      </c>
      <c r="Z334" t="str">
        <f>V334*0.02</f>
        <v>#REF!</v>
      </c>
      <c r="AA334" t="str">
        <f>W334*0.1</f>
        <v>#REF!</v>
      </c>
      <c r="AB334" t="str">
        <f>V334-Y334-Z334</f>
        <v>#REF!</v>
      </c>
      <c r="AC334" t="str">
        <f>W334-AA334</f>
        <v>#REF!</v>
      </c>
      <c r="AD334" t="str">
        <f>AB334*0.01</f>
        <v>#REF!</v>
      </c>
      <c r="AE334" t="str">
        <f>AB334-Q334-AD334-R334</f>
        <v>#REF!</v>
      </c>
      <c r="AF334" t="str">
        <f>AC334-Q334-AD334-R334</f>
        <v>#REF!</v>
      </c>
      <c r="AG334" t="str">
        <f>AE334/V334</f>
        <v>#REF!</v>
      </c>
      <c r="AH334" t="str">
        <f>AF334/W334</f>
        <v>#REF!</v>
      </c>
    </row>
    <row r="335">
      <c r="G335" t="str">
        <v>A</v>
      </c>
      <c r="J335" t="str">
        <f>IF(K335&gt;0,K335*0.0625,IF(L335&gt;0,L335*2.204623,))</f>
        <v>#REF!</v>
      </c>
      <c r="K335" t="str">
        <f>IF(L335&gt;0,L335*35.273962,IF(J335&gt;0,J335*16,))</f>
        <v>#REF!</v>
      </c>
      <c r="L335" t="str">
        <f>IF(J335&gt;0,J335*0.453592,IF(K335&gt;0,K335*0.02835,))</f>
        <v>#REF!</v>
      </c>
      <c r="O335">
        <f>I335+N335+M335</f>
        <v>0</v>
      </c>
      <c r="P335">
        <f>O335*B$3</f>
        <v>0</v>
      </c>
      <c r="Q335">
        <f>ROUND(SUM(P335), -2)</f>
        <v>0</v>
      </c>
      <c r="R335" t="str">
        <f>ROUNDUP(HLOOKUP(IF(CEILING(L335,0.5)&lt;1,0.5,CEILING(L335,0.5)),'배송비 조회'!A$44:AO$56,7,0)*B$3,-2)</f>
        <v>#REF!</v>
      </c>
      <c r="S335">
        <v>0</v>
      </c>
      <c r="T335" t="str">
        <f>ROUND((Q335+R335)*0.3,-2)</f>
        <v>#REF!</v>
      </c>
      <c r="U335" t="str">
        <f>ROUND((Q335+R335)*0.4,-2)</f>
        <v>#REF!</v>
      </c>
      <c r="V335" t="str">
        <f>SUM(Q335:R335)+T335</f>
        <v>#REF!</v>
      </c>
      <c r="W335" t="str">
        <f>SUM(Q335:S335)+U335</f>
        <v>#REF!</v>
      </c>
      <c r="X335">
        <v>0</v>
      </c>
      <c r="Y335" t="str">
        <f>V335*0.038</f>
        <v>#REF!</v>
      </c>
      <c r="Z335" t="str">
        <f>V335*0.02</f>
        <v>#REF!</v>
      </c>
      <c r="AA335" t="str">
        <f>W335*0.1</f>
        <v>#REF!</v>
      </c>
      <c r="AB335" t="str">
        <f>V335-Y335-Z335</f>
        <v>#REF!</v>
      </c>
      <c r="AC335" t="str">
        <f>W335-AA335</f>
        <v>#REF!</v>
      </c>
      <c r="AD335" t="str">
        <f>AB335*0.01</f>
        <v>#REF!</v>
      </c>
      <c r="AE335" t="str">
        <f>AB335-Q335-AD335-R335</f>
        <v>#REF!</v>
      </c>
      <c r="AF335" t="str">
        <f>AC335-Q335-AD335-R335</f>
        <v>#REF!</v>
      </c>
      <c r="AG335" t="str">
        <f>AE335/V335</f>
        <v>#REF!</v>
      </c>
      <c r="AH335" t="str">
        <f>AF335/W335</f>
        <v>#REF!</v>
      </c>
    </row>
    <row r="336">
      <c r="G336" t="str">
        <v>A</v>
      </c>
      <c r="J336" t="str">
        <f>IF(K336&gt;0,K336*0.0625,IF(L336&gt;0,L336*2.204623,))</f>
        <v>#REF!</v>
      </c>
      <c r="K336" t="str">
        <f>IF(L336&gt;0,L336*35.273962,IF(J336&gt;0,J336*16,))</f>
        <v>#REF!</v>
      </c>
      <c r="L336" t="str">
        <f>IF(J336&gt;0,J336*0.453592,IF(K336&gt;0,K336*0.02835,))</f>
        <v>#REF!</v>
      </c>
      <c r="O336">
        <f>I336+N336+M336</f>
        <v>0</v>
      </c>
      <c r="P336">
        <f>O336*B$3</f>
        <v>0</v>
      </c>
      <c r="Q336">
        <f>ROUND(SUM(P336), -2)</f>
        <v>0</v>
      </c>
      <c r="R336" t="str">
        <f>ROUNDUP(HLOOKUP(IF(CEILING(L336,0.5)&lt;1,0.5,CEILING(L336,0.5)),'배송비 조회'!A$44:AO$56,7,0)*B$3,-2)</f>
        <v>#REF!</v>
      </c>
      <c r="S336">
        <v>0</v>
      </c>
      <c r="T336" t="str">
        <f>ROUND((Q336+R336)*0.3,-2)</f>
        <v>#REF!</v>
      </c>
      <c r="U336" t="str">
        <f>ROUND((Q336+R336)*0.4,-2)</f>
        <v>#REF!</v>
      </c>
      <c r="V336" t="str">
        <f>SUM(Q336:R336)+T336</f>
        <v>#REF!</v>
      </c>
      <c r="W336" t="str">
        <f>SUM(Q336:S336)+U336</f>
        <v>#REF!</v>
      </c>
      <c r="X336">
        <v>0</v>
      </c>
      <c r="Y336" t="str">
        <f>V336*0.038</f>
        <v>#REF!</v>
      </c>
      <c r="Z336" t="str">
        <f>V336*0.02</f>
        <v>#REF!</v>
      </c>
      <c r="AA336" t="str">
        <f>W336*0.1</f>
        <v>#REF!</v>
      </c>
      <c r="AB336" t="str">
        <f>V336-Y336-Z336</f>
        <v>#REF!</v>
      </c>
      <c r="AC336" t="str">
        <f>W336-AA336</f>
        <v>#REF!</v>
      </c>
      <c r="AD336" t="str">
        <f>AB336*0.01</f>
        <v>#REF!</v>
      </c>
      <c r="AE336" t="str">
        <f>AB336-Q336-AD336-R336</f>
        <v>#REF!</v>
      </c>
      <c r="AF336" t="str">
        <f>AC336-Q336-AD336-R336</f>
        <v>#REF!</v>
      </c>
      <c r="AG336" t="str">
        <f>AE336/V336</f>
        <v>#REF!</v>
      </c>
      <c r="AH336" t="str">
        <f>AF336/W336</f>
        <v>#REF!</v>
      </c>
    </row>
    <row r="337">
      <c r="G337" t="str">
        <v>A</v>
      </c>
      <c r="J337" t="str">
        <f>IF(K337&gt;0,K337*0.0625,IF(L337&gt;0,L337*2.204623,))</f>
        <v>#REF!</v>
      </c>
      <c r="K337" t="str">
        <f>IF(L337&gt;0,L337*35.273962,IF(J337&gt;0,J337*16,))</f>
        <v>#REF!</v>
      </c>
      <c r="L337" t="str">
        <f>IF(J337&gt;0,J337*0.453592,IF(K337&gt;0,K337*0.02835,))</f>
        <v>#REF!</v>
      </c>
      <c r="O337">
        <f>I337+N337+M337</f>
        <v>0</v>
      </c>
      <c r="P337">
        <f>O337*B$3</f>
        <v>0</v>
      </c>
      <c r="Q337">
        <f>ROUND(SUM(P337), -2)</f>
        <v>0</v>
      </c>
      <c r="R337" t="str">
        <f>ROUNDUP(HLOOKUP(IF(CEILING(L337,0.5)&lt;1,0.5,CEILING(L337,0.5)),'배송비 조회'!A$44:AO$56,7,0)*B$3,-2)</f>
        <v>#REF!</v>
      </c>
      <c r="S337">
        <v>0</v>
      </c>
      <c r="T337" t="str">
        <f>ROUND((Q337+R337)*0.3,-2)</f>
        <v>#REF!</v>
      </c>
      <c r="U337" t="str">
        <f>ROUND((Q337+R337)*0.4,-2)</f>
        <v>#REF!</v>
      </c>
      <c r="V337" t="str">
        <f>SUM(Q337:R337)+T337</f>
        <v>#REF!</v>
      </c>
      <c r="W337" t="str">
        <f>SUM(Q337:S337)+U337</f>
        <v>#REF!</v>
      </c>
      <c r="X337">
        <v>0</v>
      </c>
      <c r="Y337" t="str">
        <f>V337*0.038</f>
        <v>#REF!</v>
      </c>
      <c r="Z337" t="str">
        <f>V337*0.02</f>
        <v>#REF!</v>
      </c>
      <c r="AA337" t="str">
        <f>W337*0.1</f>
        <v>#REF!</v>
      </c>
      <c r="AB337" t="str">
        <f>V337-Y337-Z337</f>
        <v>#REF!</v>
      </c>
      <c r="AC337" t="str">
        <f>W337-AA337</f>
        <v>#REF!</v>
      </c>
      <c r="AD337" t="str">
        <f>AB337*0.01</f>
        <v>#REF!</v>
      </c>
      <c r="AE337" t="str">
        <f>AB337-Q337-AD337-R337</f>
        <v>#REF!</v>
      </c>
      <c r="AF337" t="str">
        <f>AC337-Q337-AD337-R337</f>
        <v>#REF!</v>
      </c>
      <c r="AG337" t="str">
        <f>AE337/V337</f>
        <v>#REF!</v>
      </c>
      <c r="AH337" t="str">
        <f>AF337/W337</f>
        <v>#REF!</v>
      </c>
    </row>
    <row r="338">
      <c r="G338" t="str">
        <v>A</v>
      </c>
      <c r="J338" t="str">
        <f>IF(K338&gt;0,K338*0.0625,IF(L338&gt;0,L338*2.204623,))</f>
        <v>#REF!</v>
      </c>
      <c r="K338" t="str">
        <f>IF(L338&gt;0,L338*35.273962,IF(J338&gt;0,J338*16,))</f>
        <v>#REF!</v>
      </c>
      <c r="L338" t="str">
        <f>IF(J338&gt;0,J338*0.453592,IF(K338&gt;0,K338*0.02835,))</f>
        <v>#REF!</v>
      </c>
      <c r="O338">
        <f>I338+N338+M338</f>
        <v>0</v>
      </c>
      <c r="P338">
        <f>O338*B$3</f>
        <v>0</v>
      </c>
      <c r="Q338">
        <f>ROUND(SUM(P338), -2)</f>
        <v>0</v>
      </c>
      <c r="R338" t="str">
        <f>ROUNDUP(HLOOKUP(IF(CEILING(L338,0.5)&lt;1,0.5,CEILING(L338,0.5)),'배송비 조회'!A$44:AO$56,7,0)*B$3,-2)</f>
        <v>#REF!</v>
      </c>
      <c r="S338">
        <v>0</v>
      </c>
      <c r="T338" t="str">
        <f>ROUND((Q338+R338)*0.3,-2)</f>
        <v>#REF!</v>
      </c>
      <c r="U338" t="str">
        <f>ROUND((Q338+R338)*0.4,-2)</f>
        <v>#REF!</v>
      </c>
      <c r="V338" t="str">
        <f>SUM(Q338:R338)+T338</f>
        <v>#REF!</v>
      </c>
      <c r="W338" t="str">
        <f>SUM(Q338:S338)+U338</f>
        <v>#REF!</v>
      </c>
      <c r="X338">
        <v>0</v>
      </c>
      <c r="Y338" t="str">
        <f>V338*0.038</f>
        <v>#REF!</v>
      </c>
      <c r="Z338" t="str">
        <f>V338*0.02</f>
        <v>#REF!</v>
      </c>
      <c r="AA338" t="str">
        <f>W338*0.1</f>
        <v>#REF!</v>
      </c>
      <c r="AB338" t="str">
        <f>V338-Y338-Z338</f>
        <v>#REF!</v>
      </c>
      <c r="AC338" t="str">
        <f>W338-AA338</f>
        <v>#REF!</v>
      </c>
      <c r="AD338" t="str">
        <f>AB338*0.01</f>
        <v>#REF!</v>
      </c>
      <c r="AE338" t="str">
        <f>AB338-Q338-AD338-R338</f>
        <v>#REF!</v>
      </c>
      <c r="AF338" t="str">
        <f>AC338-Q338-AD338-R338</f>
        <v>#REF!</v>
      </c>
      <c r="AG338" t="str">
        <f>AE338/V338</f>
        <v>#REF!</v>
      </c>
      <c r="AH338" t="str">
        <f>AF338/W338</f>
        <v>#REF!</v>
      </c>
    </row>
    <row r="339">
      <c r="G339" t="str">
        <v>A</v>
      </c>
      <c r="J339" t="str">
        <f>IF(K339&gt;0,K339*0.0625,IF(L339&gt;0,L339*2.204623,))</f>
        <v>#REF!</v>
      </c>
      <c r="K339" t="str">
        <f>IF(L339&gt;0,L339*35.273962,IF(J339&gt;0,J339*16,))</f>
        <v>#REF!</v>
      </c>
      <c r="L339" t="str">
        <f>IF(J339&gt;0,J339*0.453592,IF(K339&gt;0,K339*0.02835,))</f>
        <v>#REF!</v>
      </c>
      <c r="O339">
        <f>I339+N339+M339</f>
        <v>0</v>
      </c>
      <c r="P339">
        <f>O339*B$3</f>
        <v>0</v>
      </c>
      <c r="Q339">
        <f>ROUND(SUM(P339), -2)</f>
        <v>0</v>
      </c>
      <c r="R339" t="str">
        <f>ROUNDUP(HLOOKUP(IF(CEILING(L339,0.5)&lt;1,0.5,CEILING(L339,0.5)),'배송비 조회'!A$44:AO$56,7,0)*B$3,-2)</f>
        <v>#REF!</v>
      </c>
      <c r="S339">
        <v>0</v>
      </c>
      <c r="T339" t="str">
        <f>ROUND((Q339+R339)*0.3,-2)</f>
        <v>#REF!</v>
      </c>
      <c r="U339" t="str">
        <f>ROUND((Q339+R339)*0.4,-2)</f>
        <v>#REF!</v>
      </c>
      <c r="V339" t="str">
        <f>SUM(Q339:R339)+T339</f>
        <v>#REF!</v>
      </c>
      <c r="W339" t="str">
        <f>SUM(Q339:S339)+U339</f>
        <v>#REF!</v>
      </c>
      <c r="X339">
        <v>0</v>
      </c>
      <c r="Y339" t="str">
        <f>V339*0.038</f>
        <v>#REF!</v>
      </c>
      <c r="Z339" t="str">
        <f>V339*0.02</f>
        <v>#REF!</v>
      </c>
      <c r="AA339" t="str">
        <f>W339*0.1</f>
        <v>#REF!</v>
      </c>
      <c r="AB339" t="str">
        <f>V339-Y339-Z339</f>
        <v>#REF!</v>
      </c>
      <c r="AC339" t="str">
        <f>W339-AA339</f>
        <v>#REF!</v>
      </c>
      <c r="AD339" t="str">
        <f>AB339*0.01</f>
        <v>#REF!</v>
      </c>
      <c r="AE339" t="str">
        <f>AB339-Q339-AD339-R339</f>
        <v>#REF!</v>
      </c>
      <c r="AF339" t="str">
        <f>AC339-Q339-AD339-R339</f>
        <v>#REF!</v>
      </c>
      <c r="AG339" t="str">
        <f>AE339/V339</f>
        <v>#REF!</v>
      </c>
      <c r="AH339" t="str">
        <f>AF339/W339</f>
        <v>#REF!</v>
      </c>
    </row>
    <row r="340">
      <c r="G340" t="str">
        <v>A</v>
      </c>
      <c r="J340" t="str">
        <f>IF(K340&gt;0,K340*0.0625,IF(L340&gt;0,L340*2.204623,))</f>
        <v>#REF!</v>
      </c>
      <c r="K340" t="str">
        <f>IF(L340&gt;0,L340*35.273962,IF(J340&gt;0,J340*16,))</f>
        <v>#REF!</v>
      </c>
      <c r="L340" t="str">
        <f>IF(J340&gt;0,J340*0.453592,IF(K340&gt;0,K340*0.02835,))</f>
        <v>#REF!</v>
      </c>
      <c r="O340">
        <f>I340+N340+M340</f>
        <v>0</v>
      </c>
      <c r="P340">
        <f>O340*B$3</f>
        <v>0</v>
      </c>
      <c r="Q340">
        <f>ROUND(SUM(P340), -2)</f>
        <v>0</v>
      </c>
      <c r="R340" t="str">
        <f>ROUNDUP(HLOOKUP(IF(CEILING(L340,0.5)&lt;1,0.5,CEILING(L340,0.5)),'배송비 조회'!A$44:AO$56,7,0)*B$3,-2)</f>
        <v>#REF!</v>
      </c>
      <c r="S340">
        <v>0</v>
      </c>
      <c r="T340" t="str">
        <f>ROUND((Q340+R340)*0.3,-2)</f>
        <v>#REF!</v>
      </c>
      <c r="U340" t="str">
        <f>ROUND((Q340+R340)*0.4,-2)</f>
        <v>#REF!</v>
      </c>
      <c r="V340" t="str">
        <f>SUM(Q340:R340)+T340</f>
        <v>#REF!</v>
      </c>
      <c r="W340" t="str">
        <f>SUM(Q340:S340)+U340</f>
        <v>#REF!</v>
      </c>
      <c r="X340">
        <v>0</v>
      </c>
      <c r="Y340" t="str">
        <f>V340*0.038</f>
        <v>#REF!</v>
      </c>
      <c r="Z340" t="str">
        <f>V340*0.02</f>
        <v>#REF!</v>
      </c>
      <c r="AA340" t="str">
        <f>W340*0.1</f>
        <v>#REF!</v>
      </c>
      <c r="AB340" t="str">
        <f>V340-Y340-Z340</f>
        <v>#REF!</v>
      </c>
      <c r="AC340" t="str">
        <f>W340-AA340</f>
        <v>#REF!</v>
      </c>
      <c r="AD340" t="str">
        <f>AB340*0.01</f>
        <v>#REF!</v>
      </c>
      <c r="AE340" t="str">
        <f>AB340-Q340-AD340-R340</f>
        <v>#REF!</v>
      </c>
      <c r="AF340" t="str">
        <f>AC340-Q340-AD340-R340</f>
        <v>#REF!</v>
      </c>
      <c r="AG340" t="str">
        <f>AE340/V340</f>
        <v>#REF!</v>
      </c>
      <c r="AH340" t="str">
        <f>AF340/W340</f>
        <v>#REF!</v>
      </c>
    </row>
    <row r="341">
      <c r="G341" t="str">
        <v>A</v>
      </c>
      <c r="J341" t="str">
        <f>IF(K341&gt;0,K341*0.0625,IF(L341&gt;0,L341*2.204623,))</f>
        <v>#REF!</v>
      </c>
      <c r="K341" t="str">
        <f>IF(L341&gt;0,L341*35.273962,IF(J341&gt;0,J341*16,))</f>
        <v>#REF!</v>
      </c>
      <c r="L341" t="str">
        <f>IF(J341&gt;0,J341*0.453592,IF(K341&gt;0,K341*0.02835,))</f>
        <v>#REF!</v>
      </c>
      <c r="O341">
        <f>I341+N341+M341</f>
        <v>0</v>
      </c>
      <c r="P341">
        <f>O341*B$3</f>
        <v>0</v>
      </c>
      <c r="Q341">
        <f>ROUND(SUM(P341), -2)</f>
        <v>0</v>
      </c>
      <c r="R341" t="str">
        <f>ROUNDUP(HLOOKUP(IF(CEILING(L341,0.5)&lt;1,0.5,CEILING(L341,0.5)),'배송비 조회'!A$44:AO$56,7,0)*B$3,-2)</f>
        <v>#REF!</v>
      </c>
      <c r="S341">
        <v>0</v>
      </c>
      <c r="T341" t="str">
        <f>ROUND((Q341+R341)*0.3,-2)</f>
        <v>#REF!</v>
      </c>
      <c r="U341" t="str">
        <f>ROUND((Q341+R341)*0.4,-2)</f>
        <v>#REF!</v>
      </c>
      <c r="V341" t="str">
        <f>SUM(Q341:R341)+T341</f>
        <v>#REF!</v>
      </c>
      <c r="W341" t="str">
        <f>SUM(Q341:S341)+U341</f>
        <v>#REF!</v>
      </c>
      <c r="X341">
        <v>0</v>
      </c>
      <c r="Y341" t="str">
        <f>V341*0.038</f>
        <v>#REF!</v>
      </c>
      <c r="Z341" t="str">
        <f>V341*0.02</f>
        <v>#REF!</v>
      </c>
      <c r="AA341" t="str">
        <f>W341*0.1</f>
        <v>#REF!</v>
      </c>
      <c r="AB341" t="str">
        <f>V341-Y341-Z341</f>
        <v>#REF!</v>
      </c>
      <c r="AC341" t="str">
        <f>W341-AA341</f>
        <v>#REF!</v>
      </c>
      <c r="AD341" t="str">
        <f>AB341*0.01</f>
        <v>#REF!</v>
      </c>
      <c r="AE341" t="str">
        <f>AB341-Q341-AD341-R341</f>
        <v>#REF!</v>
      </c>
      <c r="AF341" t="str">
        <f>AC341-Q341-AD341-R341</f>
        <v>#REF!</v>
      </c>
      <c r="AG341" t="str">
        <f>AE341/V341</f>
        <v>#REF!</v>
      </c>
      <c r="AH341" t="str">
        <f>AF341/W341</f>
        <v>#REF!</v>
      </c>
    </row>
    <row r="342">
      <c r="G342" t="str">
        <v>A</v>
      </c>
      <c r="J342" t="str">
        <f>IF(K342&gt;0,K342*0.0625,IF(L342&gt;0,L342*2.204623,))</f>
        <v>#REF!</v>
      </c>
      <c r="K342" t="str">
        <f>IF(L342&gt;0,L342*35.273962,IF(J342&gt;0,J342*16,))</f>
        <v>#REF!</v>
      </c>
      <c r="L342" t="str">
        <f>IF(J342&gt;0,J342*0.453592,IF(K342&gt;0,K342*0.02835,))</f>
        <v>#REF!</v>
      </c>
      <c r="O342">
        <f>I342+N342+M342</f>
        <v>0</v>
      </c>
      <c r="P342">
        <f>O342*B$3</f>
        <v>0</v>
      </c>
      <c r="Q342">
        <f>ROUND(SUM(P342), -2)</f>
        <v>0</v>
      </c>
      <c r="R342" t="str">
        <f>ROUNDUP(HLOOKUP(IF(CEILING(L342,0.5)&lt;1,0.5,CEILING(L342,0.5)),'배송비 조회'!A$44:AO$56,7,0)*B$3,-2)</f>
        <v>#REF!</v>
      </c>
      <c r="S342">
        <v>0</v>
      </c>
      <c r="T342" t="str">
        <f>ROUND((Q342+R342)*0.3,-2)</f>
        <v>#REF!</v>
      </c>
      <c r="U342" t="str">
        <f>ROUND((Q342+R342)*0.4,-2)</f>
        <v>#REF!</v>
      </c>
      <c r="V342" t="str">
        <f>SUM(Q342:R342)+T342</f>
        <v>#REF!</v>
      </c>
      <c r="W342" t="str">
        <f>SUM(Q342:S342)+U342</f>
        <v>#REF!</v>
      </c>
      <c r="X342">
        <v>0</v>
      </c>
      <c r="Y342" t="str">
        <f>V342*0.038</f>
        <v>#REF!</v>
      </c>
      <c r="Z342" t="str">
        <f>V342*0.02</f>
        <v>#REF!</v>
      </c>
      <c r="AA342" t="str">
        <f>W342*0.1</f>
        <v>#REF!</v>
      </c>
      <c r="AB342" t="str">
        <f>V342-Y342-Z342</f>
        <v>#REF!</v>
      </c>
      <c r="AC342" t="str">
        <f>W342-AA342</f>
        <v>#REF!</v>
      </c>
      <c r="AD342" t="str">
        <f>AB342*0.01</f>
        <v>#REF!</v>
      </c>
      <c r="AE342" t="str">
        <f>AB342-Q342-AD342-R342</f>
        <v>#REF!</v>
      </c>
      <c r="AF342" t="str">
        <f>AC342-Q342-AD342-R342</f>
        <v>#REF!</v>
      </c>
      <c r="AG342" t="str">
        <f>AE342/V342</f>
        <v>#REF!</v>
      </c>
      <c r="AH342" t="str">
        <f>AF342/W342</f>
        <v>#REF!</v>
      </c>
    </row>
    <row r="343">
      <c r="G343" t="str">
        <v>A</v>
      </c>
      <c r="J343" t="str">
        <f>IF(K343&gt;0,K343*0.0625,IF(L343&gt;0,L343*2.204623,))</f>
        <v>#REF!</v>
      </c>
      <c r="K343" t="str">
        <f>IF(L343&gt;0,L343*35.273962,IF(J343&gt;0,J343*16,))</f>
        <v>#REF!</v>
      </c>
      <c r="L343" t="str">
        <f>IF(J343&gt;0,J343*0.453592,IF(K343&gt;0,K343*0.02835,))</f>
        <v>#REF!</v>
      </c>
      <c r="O343">
        <f>I343+N343+M343</f>
        <v>0</v>
      </c>
      <c r="P343">
        <f>O343*B$3</f>
        <v>0</v>
      </c>
      <c r="Q343">
        <f>ROUND(SUM(P343), -2)</f>
        <v>0</v>
      </c>
      <c r="R343" t="str">
        <f>ROUNDUP(HLOOKUP(IF(CEILING(L343,0.5)&lt;1,0.5,CEILING(L343,0.5)),'배송비 조회'!A$44:AO$56,7,0)*B$3,-2)</f>
        <v>#REF!</v>
      </c>
      <c r="S343">
        <v>0</v>
      </c>
      <c r="T343" t="str">
        <f>ROUND((Q343+R343)*0.3,-2)</f>
        <v>#REF!</v>
      </c>
      <c r="U343" t="str">
        <f>ROUND((Q343+R343)*0.4,-2)</f>
        <v>#REF!</v>
      </c>
      <c r="V343" t="str">
        <f>SUM(Q343:R343)+T343</f>
        <v>#REF!</v>
      </c>
      <c r="W343" t="str">
        <f>SUM(Q343:S343)+U343</f>
        <v>#REF!</v>
      </c>
      <c r="X343">
        <v>0</v>
      </c>
      <c r="Y343" t="str">
        <f>V343*0.038</f>
        <v>#REF!</v>
      </c>
      <c r="Z343" t="str">
        <f>V343*0.02</f>
        <v>#REF!</v>
      </c>
      <c r="AA343" t="str">
        <f>W343*0.1</f>
        <v>#REF!</v>
      </c>
      <c r="AB343" t="str">
        <f>V343-Y343-Z343</f>
        <v>#REF!</v>
      </c>
      <c r="AC343" t="str">
        <f>W343-AA343</f>
        <v>#REF!</v>
      </c>
      <c r="AD343" t="str">
        <f>AB343*0.01</f>
        <v>#REF!</v>
      </c>
      <c r="AE343" t="str">
        <f>AB343-Q343-AD343-R343</f>
        <v>#REF!</v>
      </c>
      <c r="AF343" t="str">
        <f>AC343-Q343-AD343-R343</f>
        <v>#REF!</v>
      </c>
      <c r="AG343" t="str">
        <f>AE343/V343</f>
        <v>#REF!</v>
      </c>
      <c r="AH343" t="str">
        <f>AF343/W343</f>
        <v>#REF!</v>
      </c>
    </row>
    <row r="344">
      <c r="G344" t="str">
        <v>A</v>
      </c>
      <c r="J344" t="str">
        <f>IF(K344&gt;0,K344*0.0625,IF(L344&gt;0,L344*2.204623,))</f>
        <v>#REF!</v>
      </c>
      <c r="K344" t="str">
        <f>IF(L344&gt;0,L344*35.273962,IF(J344&gt;0,J344*16,))</f>
        <v>#REF!</v>
      </c>
      <c r="L344" t="str">
        <f>IF(J344&gt;0,J344*0.453592,IF(K344&gt;0,K344*0.02835,))</f>
        <v>#REF!</v>
      </c>
      <c r="O344">
        <f>I344+N344+M344</f>
        <v>0</v>
      </c>
      <c r="P344">
        <f>O344*B$3</f>
        <v>0</v>
      </c>
      <c r="Q344">
        <f>ROUND(SUM(P344), -2)</f>
        <v>0</v>
      </c>
      <c r="R344" t="str">
        <f>ROUNDUP(HLOOKUP(IF(CEILING(L344,0.5)&lt;1,0.5,CEILING(L344,0.5)),'배송비 조회'!A$44:AO$56,7,0)*B$3,-2)</f>
        <v>#REF!</v>
      </c>
      <c r="S344">
        <v>0</v>
      </c>
      <c r="T344" t="str">
        <f>ROUND((Q344+R344)*0.3,-2)</f>
        <v>#REF!</v>
      </c>
      <c r="U344" t="str">
        <f>ROUND((Q344+R344)*0.4,-2)</f>
        <v>#REF!</v>
      </c>
      <c r="V344" t="str">
        <f>SUM(Q344:R344)+T344</f>
        <v>#REF!</v>
      </c>
      <c r="W344" t="str">
        <f>SUM(Q344:S344)+U344</f>
        <v>#REF!</v>
      </c>
      <c r="X344">
        <v>0</v>
      </c>
      <c r="Y344" t="str">
        <f>V344*0.038</f>
        <v>#REF!</v>
      </c>
      <c r="Z344" t="str">
        <f>V344*0.02</f>
        <v>#REF!</v>
      </c>
      <c r="AA344" t="str">
        <f>W344*0.1</f>
        <v>#REF!</v>
      </c>
      <c r="AB344" t="str">
        <f>V344-Y344-Z344</f>
        <v>#REF!</v>
      </c>
      <c r="AC344" t="str">
        <f>W344-AA344</f>
        <v>#REF!</v>
      </c>
      <c r="AD344" t="str">
        <f>AB344*0.01</f>
        <v>#REF!</v>
      </c>
      <c r="AE344" t="str">
        <f>AB344-Q344-AD344-R344</f>
        <v>#REF!</v>
      </c>
      <c r="AF344" t="str">
        <f>AC344-Q344-AD344-R344</f>
        <v>#REF!</v>
      </c>
      <c r="AG344" t="str">
        <f>AE344/V344</f>
        <v>#REF!</v>
      </c>
      <c r="AH344" t="str">
        <f>AF344/W344</f>
        <v>#REF!</v>
      </c>
    </row>
    <row r="345">
      <c r="G345" t="str">
        <v>A</v>
      </c>
      <c r="J345" t="str">
        <f>IF(K345&gt;0,K345*0.0625,IF(L345&gt;0,L345*2.204623,))</f>
        <v>#REF!</v>
      </c>
      <c r="K345" t="str">
        <f>IF(L345&gt;0,L345*35.273962,IF(J345&gt;0,J345*16,))</f>
        <v>#REF!</v>
      </c>
      <c r="L345" t="str">
        <f>IF(J345&gt;0,J345*0.453592,IF(K345&gt;0,K345*0.02835,))</f>
        <v>#REF!</v>
      </c>
      <c r="O345">
        <f>I345+N345+M345</f>
        <v>0</v>
      </c>
      <c r="P345">
        <f>O345*B$3</f>
        <v>0</v>
      </c>
      <c r="Q345">
        <f>ROUND(SUM(P345), -2)</f>
        <v>0</v>
      </c>
      <c r="R345" t="str">
        <f>ROUNDUP(HLOOKUP(IF(CEILING(L345,0.5)&lt;1,0.5,CEILING(L345,0.5)),'배송비 조회'!A$44:AO$56,7,0)*B$3,-2)</f>
        <v>#REF!</v>
      </c>
      <c r="S345">
        <v>0</v>
      </c>
      <c r="T345" t="str">
        <f>ROUND((Q345+R345)*0.3,-2)</f>
        <v>#REF!</v>
      </c>
      <c r="U345" t="str">
        <f>ROUND((Q345+R345)*0.4,-2)</f>
        <v>#REF!</v>
      </c>
      <c r="V345" t="str">
        <f>SUM(Q345:R345)+T345</f>
        <v>#REF!</v>
      </c>
      <c r="W345" t="str">
        <f>SUM(Q345:S345)+U345</f>
        <v>#REF!</v>
      </c>
      <c r="X345">
        <v>0</v>
      </c>
      <c r="Y345" t="str">
        <f>V345*0.038</f>
        <v>#REF!</v>
      </c>
      <c r="Z345" t="str">
        <f>V345*0.02</f>
        <v>#REF!</v>
      </c>
      <c r="AA345" t="str">
        <f>W345*0.1</f>
        <v>#REF!</v>
      </c>
      <c r="AB345" t="str">
        <f>V345-Y345-Z345</f>
        <v>#REF!</v>
      </c>
      <c r="AC345" t="str">
        <f>W345-AA345</f>
        <v>#REF!</v>
      </c>
      <c r="AD345" t="str">
        <f>AB345*0.01</f>
        <v>#REF!</v>
      </c>
      <c r="AE345" t="str">
        <f>AB345-Q345-AD345-R345</f>
        <v>#REF!</v>
      </c>
      <c r="AF345" t="str">
        <f>AC345-Q345-AD345-R345</f>
        <v>#REF!</v>
      </c>
      <c r="AG345" t="str">
        <f>AE345/V345</f>
        <v>#REF!</v>
      </c>
      <c r="AH345" t="str">
        <f>AF345/W345</f>
        <v>#REF!</v>
      </c>
    </row>
    <row r="346">
      <c r="G346" t="str">
        <v>A</v>
      </c>
      <c r="J346" t="str">
        <f>IF(K346&gt;0,K346*0.0625,IF(L346&gt;0,L346*2.204623,))</f>
        <v>#REF!</v>
      </c>
      <c r="K346" t="str">
        <f>IF(L346&gt;0,L346*35.273962,IF(J346&gt;0,J346*16,))</f>
        <v>#REF!</v>
      </c>
      <c r="L346" t="str">
        <f>IF(J346&gt;0,J346*0.453592,IF(K346&gt;0,K346*0.02835,))</f>
        <v>#REF!</v>
      </c>
      <c r="O346">
        <f>I346+N346+M346</f>
        <v>0</v>
      </c>
      <c r="P346">
        <f>O346*B$3</f>
        <v>0</v>
      </c>
      <c r="Q346">
        <f>ROUND(SUM(P346), -2)</f>
        <v>0</v>
      </c>
      <c r="R346" t="str">
        <f>ROUNDUP(HLOOKUP(IF(CEILING(L346,0.5)&lt;1,0.5,CEILING(L346,0.5)),'배송비 조회'!A$44:AO$56,7,0)*B$3,-2)</f>
        <v>#REF!</v>
      </c>
      <c r="S346">
        <v>0</v>
      </c>
      <c r="T346" t="str">
        <f>ROUND((Q346+R346)*0.3,-2)</f>
        <v>#REF!</v>
      </c>
      <c r="U346" t="str">
        <f>ROUND((Q346+R346)*0.4,-2)</f>
        <v>#REF!</v>
      </c>
      <c r="V346" t="str">
        <f>SUM(Q346:R346)+T346</f>
        <v>#REF!</v>
      </c>
      <c r="W346" t="str">
        <f>SUM(Q346:S346)+U346</f>
        <v>#REF!</v>
      </c>
      <c r="X346">
        <v>0</v>
      </c>
      <c r="Y346" t="str">
        <f>V346*0.038</f>
        <v>#REF!</v>
      </c>
      <c r="Z346" t="str">
        <f>V346*0.02</f>
        <v>#REF!</v>
      </c>
      <c r="AA346" t="str">
        <f>W346*0.1</f>
        <v>#REF!</v>
      </c>
      <c r="AB346" t="str">
        <f>V346-Y346-Z346</f>
        <v>#REF!</v>
      </c>
      <c r="AC346" t="str">
        <f>W346-AA346</f>
        <v>#REF!</v>
      </c>
      <c r="AD346" t="str">
        <f>AB346*0.01</f>
        <v>#REF!</v>
      </c>
      <c r="AE346" t="str">
        <f>AB346-Q346-AD346-R346</f>
        <v>#REF!</v>
      </c>
      <c r="AF346" t="str">
        <f>AC346-Q346-AD346-R346</f>
        <v>#REF!</v>
      </c>
      <c r="AG346" t="str">
        <f>AE346/V346</f>
        <v>#REF!</v>
      </c>
      <c r="AH346" t="str">
        <f>AF346/W346</f>
        <v>#REF!</v>
      </c>
    </row>
    <row r="347">
      <c r="G347" t="str">
        <v>A</v>
      </c>
      <c r="J347" t="str">
        <f>IF(K347&gt;0,K347*0.0625,IF(L347&gt;0,L347*2.204623,))</f>
        <v>#REF!</v>
      </c>
      <c r="K347" t="str">
        <f>IF(L347&gt;0,L347*35.273962,IF(J347&gt;0,J347*16,))</f>
        <v>#REF!</v>
      </c>
      <c r="L347" t="str">
        <f>IF(J347&gt;0,J347*0.453592,IF(K347&gt;0,K347*0.02835,))</f>
        <v>#REF!</v>
      </c>
      <c r="O347">
        <f>I347+N347+M347</f>
        <v>0</v>
      </c>
      <c r="P347">
        <f>O347*B$3</f>
        <v>0</v>
      </c>
      <c r="Q347">
        <f>ROUND(SUM(P347), -2)</f>
        <v>0</v>
      </c>
      <c r="R347" t="str">
        <f>ROUNDUP(HLOOKUP(IF(CEILING(L347,0.5)&lt;1,0.5,CEILING(L347,0.5)),'배송비 조회'!A$44:AO$56,7,0)*B$3,-2)</f>
        <v>#REF!</v>
      </c>
      <c r="S347">
        <v>0</v>
      </c>
      <c r="T347" t="str">
        <f>ROUND((Q347+R347)*0.3,-2)</f>
        <v>#REF!</v>
      </c>
      <c r="U347" t="str">
        <f>ROUND((Q347+R347)*0.4,-2)</f>
        <v>#REF!</v>
      </c>
      <c r="V347" t="str">
        <f>SUM(Q347:R347)+T347</f>
        <v>#REF!</v>
      </c>
      <c r="W347" t="str">
        <f>SUM(Q347:S347)+U347</f>
        <v>#REF!</v>
      </c>
      <c r="X347">
        <v>0</v>
      </c>
      <c r="Y347" t="str">
        <f>V347*0.038</f>
        <v>#REF!</v>
      </c>
      <c r="Z347" t="str">
        <f>V347*0.02</f>
        <v>#REF!</v>
      </c>
      <c r="AA347" t="str">
        <f>W347*0.1</f>
        <v>#REF!</v>
      </c>
      <c r="AB347" t="str">
        <f>V347-Y347-Z347</f>
        <v>#REF!</v>
      </c>
      <c r="AC347" t="str">
        <f>W347-AA347</f>
        <v>#REF!</v>
      </c>
      <c r="AD347" t="str">
        <f>AB347*0.01</f>
        <v>#REF!</v>
      </c>
      <c r="AE347" t="str">
        <f>AB347-Q347-AD347-R347</f>
        <v>#REF!</v>
      </c>
      <c r="AF347" t="str">
        <f>AC347-Q347-AD347-R347</f>
        <v>#REF!</v>
      </c>
      <c r="AG347" t="str">
        <f>AE347/V347</f>
        <v>#REF!</v>
      </c>
      <c r="AH347" t="str">
        <f>AF347/W347</f>
        <v>#REF!</v>
      </c>
    </row>
    <row r="348">
      <c r="G348" t="str">
        <v>A</v>
      </c>
      <c r="J348" t="str">
        <f>IF(K348&gt;0,K348*0.0625,IF(L348&gt;0,L348*2.204623,))</f>
        <v>#REF!</v>
      </c>
      <c r="K348" t="str">
        <f>IF(L348&gt;0,L348*35.273962,IF(J348&gt;0,J348*16,))</f>
        <v>#REF!</v>
      </c>
      <c r="L348" t="str">
        <f>IF(J348&gt;0,J348*0.453592,IF(K348&gt;0,K348*0.02835,))</f>
        <v>#REF!</v>
      </c>
      <c r="O348">
        <f>I348+N348+M348</f>
        <v>0</v>
      </c>
      <c r="P348">
        <f>O348*B$3</f>
        <v>0</v>
      </c>
      <c r="Q348">
        <f>ROUND(SUM(P348), -2)</f>
        <v>0</v>
      </c>
      <c r="R348" t="str">
        <f>ROUNDUP(HLOOKUP(IF(CEILING(L348,0.5)&lt;1,0.5,CEILING(L348,0.5)),'배송비 조회'!A$44:AO$56,7,0)*B$3,-2)</f>
        <v>#REF!</v>
      </c>
      <c r="S348">
        <v>0</v>
      </c>
      <c r="T348" t="str">
        <f>ROUND((Q348+R348)*0.3,-2)</f>
        <v>#REF!</v>
      </c>
      <c r="U348" t="str">
        <f>ROUND((Q348+R348)*0.4,-2)</f>
        <v>#REF!</v>
      </c>
      <c r="V348" t="str">
        <f>SUM(Q348:R348)+T348</f>
        <v>#REF!</v>
      </c>
      <c r="W348" t="str">
        <f>SUM(Q348:S348)+U348</f>
        <v>#REF!</v>
      </c>
      <c r="X348">
        <v>0</v>
      </c>
      <c r="Y348" t="str">
        <f>V348*0.038</f>
        <v>#REF!</v>
      </c>
      <c r="Z348" t="str">
        <f>V348*0.02</f>
        <v>#REF!</v>
      </c>
      <c r="AA348" t="str">
        <f>W348*0.1</f>
        <v>#REF!</v>
      </c>
      <c r="AB348" t="str">
        <f>V348-Y348-Z348</f>
        <v>#REF!</v>
      </c>
      <c r="AC348" t="str">
        <f>W348-AA348</f>
        <v>#REF!</v>
      </c>
      <c r="AD348" t="str">
        <f>AB348*0.01</f>
        <v>#REF!</v>
      </c>
      <c r="AE348" t="str">
        <f>AB348-Q348-AD348-R348</f>
        <v>#REF!</v>
      </c>
      <c r="AF348" t="str">
        <f>AC348-Q348-AD348-R348</f>
        <v>#REF!</v>
      </c>
      <c r="AG348" t="str">
        <f>AE348/V348</f>
        <v>#REF!</v>
      </c>
      <c r="AH348" t="str">
        <f>AF348/W348</f>
        <v>#REF!</v>
      </c>
    </row>
    <row r="349">
      <c r="G349" t="str">
        <v>A</v>
      </c>
      <c r="J349" t="str">
        <f>IF(K349&gt;0,K349*0.0625,IF(L349&gt;0,L349*2.204623,))</f>
        <v>#REF!</v>
      </c>
      <c r="K349" t="str">
        <f>IF(L349&gt;0,L349*35.273962,IF(J349&gt;0,J349*16,))</f>
        <v>#REF!</v>
      </c>
      <c r="L349" t="str">
        <f>IF(J349&gt;0,J349*0.453592,IF(K349&gt;0,K349*0.02835,))</f>
        <v>#REF!</v>
      </c>
      <c r="O349">
        <f>I349+N349+M349</f>
        <v>0</v>
      </c>
      <c r="P349">
        <f>O349*B$3</f>
        <v>0</v>
      </c>
      <c r="Q349">
        <f>ROUND(SUM(P349), -2)</f>
        <v>0</v>
      </c>
      <c r="R349" t="str">
        <f>ROUNDUP(HLOOKUP(IF(CEILING(L349,0.5)&lt;1,0.5,CEILING(L349,0.5)),'배송비 조회'!A$44:AO$56,7,0)*B$3,-2)</f>
        <v>#REF!</v>
      </c>
      <c r="S349">
        <v>0</v>
      </c>
      <c r="T349" t="str">
        <f>ROUND((Q349+R349)*0.3,-2)</f>
        <v>#REF!</v>
      </c>
      <c r="U349" t="str">
        <f>ROUND((Q349+R349)*0.4,-2)</f>
        <v>#REF!</v>
      </c>
      <c r="V349" t="str">
        <f>SUM(Q349:R349)+T349</f>
        <v>#REF!</v>
      </c>
      <c r="W349" t="str">
        <f>SUM(Q349:S349)+U349</f>
        <v>#REF!</v>
      </c>
      <c r="X349">
        <v>0</v>
      </c>
      <c r="Y349" t="str">
        <f>V349*0.038</f>
        <v>#REF!</v>
      </c>
      <c r="Z349" t="str">
        <f>V349*0.02</f>
        <v>#REF!</v>
      </c>
      <c r="AA349" t="str">
        <f>W349*0.1</f>
        <v>#REF!</v>
      </c>
      <c r="AB349" t="str">
        <f>V349-Y349-Z349</f>
        <v>#REF!</v>
      </c>
      <c r="AC349" t="str">
        <f>W349-AA349</f>
        <v>#REF!</v>
      </c>
      <c r="AD349" t="str">
        <f>AB349*0.01</f>
        <v>#REF!</v>
      </c>
      <c r="AE349" t="str">
        <f>AB349-Q349-AD349-R349</f>
        <v>#REF!</v>
      </c>
      <c r="AF349" t="str">
        <f>AC349-Q349-AD349-R349</f>
        <v>#REF!</v>
      </c>
      <c r="AG349" t="str">
        <f>AE349/V349</f>
        <v>#REF!</v>
      </c>
      <c r="AH349" t="str">
        <f>AF349/W349</f>
        <v>#REF!</v>
      </c>
    </row>
    <row r="350">
      <c r="G350" t="str">
        <v>A</v>
      </c>
      <c r="J350" t="str">
        <f>IF(K350&gt;0,K350*0.0625,IF(L350&gt;0,L350*2.204623,))</f>
        <v>#REF!</v>
      </c>
      <c r="K350" t="str">
        <f>IF(L350&gt;0,L350*35.273962,IF(J350&gt;0,J350*16,))</f>
        <v>#REF!</v>
      </c>
      <c r="L350" t="str">
        <f>IF(J350&gt;0,J350*0.453592,IF(K350&gt;0,K350*0.02835,))</f>
        <v>#REF!</v>
      </c>
      <c r="O350">
        <f>I350+N350+M350</f>
        <v>0</v>
      </c>
      <c r="P350">
        <f>O350*B$3</f>
        <v>0</v>
      </c>
      <c r="Q350">
        <f>ROUND(SUM(P350), -2)</f>
        <v>0</v>
      </c>
      <c r="R350" t="str">
        <f>ROUNDUP(HLOOKUP(IF(CEILING(L350,0.5)&lt;1,0.5,CEILING(L350,0.5)),'배송비 조회'!A$44:AO$56,7,0)*B$3,-2)</f>
        <v>#REF!</v>
      </c>
      <c r="S350">
        <v>0</v>
      </c>
      <c r="T350" t="str">
        <f>ROUND((Q350+R350)*0.3,-2)</f>
        <v>#REF!</v>
      </c>
      <c r="U350" t="str">
        <f>ROUND((Q350+R350)*0.4,-2)</f>
        <v>#REF!</v>
      </c>
      <c r="V350" t="str">
        <f>SUM(Q350:R350)+T350</f>
        <v>#REF!</v>
      </c>
      <c r="W350" t="str">
        <f>SUM(Q350:S350)+U350</f>
        <v>#REF!</v>
      </c>
      <c r="X350">
        <v>0</v>
      </c>
      <c r="Y350" t="str">
        <f>V350*0.038</f>
        <v>#REF!</v>
      </c>
      <c r="Z350" t="str">
        <f>V350*0.02</f>
        <v>#REF!</v>
      </c>
      <c r="AA350" t="str">
        <f>W350*0.1</f>
        <v>#REF!</v>
      </c>
      <c r="AB350" t="str">
        <f>V350-Y350-Z350</f>
        <v>#REF!</v>
      </c>
      <c r="AC350" t="str">
        <f>W350-AA350</f>
        <v>#REF!</v>
      </c>
      <c r="AD350" t="str">
        <f>AB350*0.01</f>
        <v>#REF!</v>
      </c>
      <c r="AE350" t="str">
        <f>AB350-Q350-AD350-R350</f>
        <v>#REF!</v>
      </c>
      <c r="AF350" t="str">
        <f>AC350-Q350-AD350-R350</f>
        <v>#REF!</v>
      </c>
      <c r="AG350" t="str">
        <f>AE350/V350</f>
        <v>#REF!</v>
      </c>
      <c r="AH350" t="str">
        <f>AF350/W350</f>
        <v>#REF!</v>
      </c>
    </row>
    <row r="351">
      <c r="G351" t="str">
        <v>A</v>
      </c>
      <c r="J351" t="str">
        <f>IF(K351&gt;0,K351*0.0625,IF(L351&gt;0,L351*2.204623,))</f>
        <v>#REF!</v>
      </c>
      <c r="K351" t="str">
        <f>IF(L351&gt;0,L351*35.273962,IF(J351&gt;0,J351*16,))</f>
        <v>#REF!</v>
      </c>
      <c r="L351" t="str">
        <f>IF(J351&gt;0,J351*0.453592,IF(K351&gt;0,K351*0.02835,))</f>
        <v>#REF!</v>
      </c>
      <c r="O351">
        <f>I351+N351+M351</f>
        <v>0</v>
      </c>
      <c r="P351">
        <f>O351*B$3</f>
        <v>0</v>
      </c>
      <c r="Q351">
        <f>ROUND(SUM(P351), -2)</f>
        <v>0</v>
      </c>
      <c r="R351" t="str">
        <f>ROUNDUP(HLOOKUP(IF(CEILING(L351,0.5)&lt;1,0.5,CEILING(L351,0.5)),'배송비 조회'!A$44:AO$56,7,0)*B$3,-2)</f>
        <v>#REF!</v>
      </c>
      <c r="S351">
        <v>0</v>
      </c>
      <c r="T351" t="str">
        <f>ROUND((Q351+R351)*0.3,-2)</f>
        <v>#REF!</v>
      </c>
      <c r="U351" t="str">
        <f>ROUND((Q351+R351)*0.4,-2)</f>
        <v>#REF!</v>
      </c>
      <c r="V351" t="str">
        <f>SUM(Q351:R351)+T351</f>
        <v>#REF!</v>
      </c>
      <c r="W351" t="str">
        <f>SUM(Q351:S351)+U351</f>
        <v>#REF!</v>
      </c>
      <c r="X351">
        <v>0</v>
      </c>
      <c r="Y351" t="str">
        <f>V351*0.038</f>
        <v>#REF!</v>
      </c>
      <c r="Z351" t="str">
        <f>V351*0.02</f>
        <v>#REF!</v>
      </c>
      <c r="AA351" t="str">
        <f>W351*0.1</f>
        <v>#REF!</v>
      </c>
      <c r="AB351" t="str">
        <f>V351-Y351-Z351</f>
        <v>#REF!</v>
      </c>
      <c r="AC351" t="str">
        <f>W351-AA351</f>
        <v>#REF!</v>
      </c>
      <c r="AD351" t="str">
        <f>AB351*0.01</f>
        <v>#REF!</v>
      </c>
      <c r="AE351" t="str">
        <f>AB351-Q351-AD351-R351</f>
        <v>#REF!</v>
      </c>
      <c r="AF351" t="str">
        <f>AC351-Q351-AD351-R351</f>
        <v>#REF!</v>
      </c>
      <c r="AG351" t="str">
        <f>AE351/V351</f>
        <v>#REF!</v>
      </c>
      <c r="AH351" t="str">
        <f>AF351/W351</f>
        <v>#REF!</v>
      </c>
    </row>
    <row r="352">
      <c r="G352" t="str">
        <v>A</v>
      </c>
      <c r="J352" t="str">
        <f>IF(K352&gt;0,K352*0.0625,IF(L352&gt;0,L352*2.204623,))</f>
        <v>#REF!</v>
      </c>
      <c r="K352" t="str">
        <f>IF(L352&gt;0,L352*35.273962,IF(J352&gt;0,J352*16,))</f>
        <v>#REF!</v>
      </c>
      <c r="L352" t="str">
        <f>IF(J352&gt;0,J352*0.453592,IF(K352&gt;0,K352*0.02835,))</f>
        <v>#REF!</v>
      </c>
      <c r="O352">
        <f>I352+N352+M352</f>
        <v>0</v>
      </c>
      <c r="P352">
        <f>O352*B$3</f>
        <v>0</v>
      </c>
      <c r="Q352">
        <f>ROUND(SUM(P352), -2)</f>
        <v>0</v>
      </c>
      <c r="R352" t="str">
        <f>ROUNDUP(HLOOKUP(IF(CEILING(L352,0.5)&lt;1,0.5,CEILING(L352,0.5)),'배송비 조회'!A$44:AO$56,7,0)*B$3,-2)</f>
        <v>#REF!</v>
      </c>
      <c r="S352">
        <v>0</v>
      </c>
      <c r="T352" t="str">
        <f>ROUND((Q352+R352)*0.3,-2)</f>
        <v>#REF!</v>
      </c>
      <c r="U352" t="str">
        <f>ROUND((Q352+R352)*0.4,-2)</f>
        <v>#REF!</v>
      </c>
      <c r="V352" t="str">
        <f>SUM(Q352:R352)+T352</f>
        <v>#REF!</v>
      </c>
      <c r="W352" t="str">
        <f>SUM(Q352:S352)+U352</f>
        <v>#REF!</v>
      </c>
      <c r="X352">
        <v>0</v>
      </c>
      <c r="Y352" t="str">
        <f>V352*0.038</f>
        <v>#REF!</v>
      </c>
      <c r="Z352" t="str">
        <f>V352*0.02</f>
        <v>#REF!</v>
      </c>
      <c r="AA352" t="str">
        <f>W352*0.1</f>
        <v>#REF!</v>
      </c>
      <c r="AB352" t="str">
        <f>V352-Y352-Z352</f>
        <v>#REF!</v>
      </c>
      <c r="AC352" t="str">
        <f>W352-AA352</f>
        <v>#REF!</v>
      </c>
      <c r="AD352" t="str">
        <f>AB352*0.01</f>
        <v>#REF!</v>
      </c>
      <c r="AE352" t="str">
        <f>AB352-Q352-AD352-R352</f>
        <v>#REF!</v>
      </c>
      <c r="AF352" t="str">
        <f>AC352-Q352-AD352-R352</f>
        <v>#REF!</v>
      </c>
      <c r="AG352" t="str">
        <f>AE352/V352</f>
        <v>#REF!</v>
      </c>
      <c r="AH352" t="str">
        <f>AF352/W352</f>
        <v>#REF!</v>
      </c>
    </row>
    <row r="353">
      <c r="G353" t="str">
        <v>A</v>
      </c>
      <c r="J353" t="str">
        <f>IF(K353&gt;0,K353*0.0625,IF(L353&gt;0,L353*2.204623,))</f>
        <v>#REF!</v>
      </c>
      <c r="K353" t="str">
        <f>IF(L353&gt;0,L353*35.273962,IF(J353&gt;0,J353*16,))</f>
        <v>#REF!</v>
      </c>
      <c r="L353" t="str">
        <f>IF(J353&gt;0,J353*0.453592,IF(K353&gt;0,K353*0.02835,))</f>
        <v>#REF!</v>
      </c>
      <c r="O353">
        <f>I353+N353+M353</f>
        <v>0</v>
      </c>
      <c r="P353">
        <f>O353*B$3</f>
        <v>0</v>
      </c>
      <c r="Q353">
        <f>ROUND(SUM(P353), -2)</f>
        <v>0</v>
      </c>
      <c r="R353" t="str">
        <f>ROUNDUP(HLOOKUP(IF(CEILING(L353,0.5)&lt;1,0.5,CEILING(L353,0.5)),'배송비 조회'!A$44:AO$56,7,0)*B$3,-2)</f>
        <v>#REF!</v>
      </c>
      <c r="S353">
        <v>0</v>
      </c>
      <c r="T353" t="str">
        <f>ROUND((Q353+R353)*0.3,-2)</f>
        <v>#REF!</v>
      </c>
      <c r="U353" t="str">
        <f>ROUND((Q353+R353)*0.4,-2)</f>
        <v>#REF!</v>
      </c>
      <c r="V353" t="str">
        <f>SUM(Q353:R353)+T353</f>
        <v>#REF!</v>
      </c>
      <c r="W353" t="str">
        <f>SUM(Q353:S353)+U353</f>
        <v>#REF!</v>
      </c>
      <c r="X353">
        <v>0</v>
      </c>
      <c r="Y353" t="str">
        <f>V353*0.038</f>
        <v>#REF!</v>
      </c>
      <c r="Z353" t="str">
        <f>V353*0.02</f>
        <v>#REF!</v>
      </c>
      <c r="AA353" t="str">
        <f>W353*0.1</f>
        <v>#REF!</v>
      </c>
      <c r="AB353" t="str">
        <f>V353-Y353-Z353</f>
        <v>#REF!</v>
      </c>
      <c r="AC353" t="str">
        <f>W353-AA353</f>
        <v>#REF!</v>
      </c>
      <c r="AD353" t="str">
        <f>AB353*0.01</f>
        <v>#REF!</v>
      </c>
      <c r="AE353" t="str">
        <f>AB353-Q353-AD353-R353</f>
        <v>#REF!</v>
      </c>
      <c r="AF353" t="str">
        <f>AC353-Q353-AD353-R353</f>
        <v>#REF!</v>
      </c>
      <c r="AG353" t="str">
        <f>AE353/V353</f>
        <v>#REF!</v>
      </c>
      <c r="AH353" t="str">
        <f>AF353/W353</f>
        <v>#REF!</v>
      </c>
    </row>
    <row r="354">
      <c r="G354" t="str">
        <v>A</v>
      </c>
      <c r="J354" t="str">
        <f>IF(K354&gt;0,K354*0.0625,IF(L354&gt;0,L354*2.204623,))</f>
        <v>#REF!</v>
      </c>
      <c r="K354" t="str">
        <f>IF(L354&gt;0,L354*35.273962,IF(J354&gt;0,J354*16,))</f>
        <v>#REF!</v>
      </c>
      <c r="L354" t="str">
        <f>IF(J354&gt;0,J354*0.453592,IF(K354&gt;0,K354*0.02835,))</f>
        <v>#REF!</v>
      </c>
      <c r="O354">
        <f>I354+N354+M354</f>
        <v>0</v>
      </c>
      <c r="P354">
        <f>O354*B$3</f>
        <v>0</v>
      </c>
      <c r="Q354">
        <f>ROUND(SUM(P354), -2)</f>
        <v>0</v>
      </c>
      <c r="R354" t="str">
        <f>ROUNDUP(HLOOKUP(IF(CEILING(L354,0.5)&lt;1,0.5,CEILING(L354,0.5)),'배송비 조회'!A$44:AO$56,7,0)*B$3,-2)</f>
        <v>#REF!</v>
      </c>
      <c r="S354">
        <v>0</v>
      </c>
      <c r="T354" t="str">
        <f>ROUND((Q354+R354)*0.3,-2)</f>
        <v>#REF!</v>
      </c>
      <c r="U354" t="str">
        <f>ROUND((Q354+R354)*0.4,-2)</f>
        <v>#REF!</v>
      </c>
      <c r="V354" t="str">
        <f>SUM(Q354:R354)+T354</f>
        <v>#REF!</v>
      </c>
      <c r="W354" t="str">
        <f>SUM(Q354:S354)+U354</f>
        <v>#REF!</v>
      </c>
      <c r="X354">
        <v>0</v>
      </c>
      <c r="Y354" t="str">
        <f>V354*0.038</f>
        <v>#REF!</v>
      </c>
      <c r="Z354" t="str">
        <f>V354*0.02</f>
        <v>#REF!</v>
      </c>
      <c r="AA354" t="str">
        <f>W354*0.1</f>
        <v>#REF!</v>
      </c>
      <c r="AB354" t="str">
        <f>V354-Y354-Z354</f>
        <v>#REF!</v>
      </c>
      <c r="AC354" t="str">
        <f>W354-AA354</f>
        <v>#REF!</v>
      </c>
      <c r="AD354" t="str">
        <f>AB354*0.01</f>
        <v>#REF!</v>
      </c>
      <c r="AE354" t="str">
        <f>AB354-Q354-AD354-R354</f>
        <v>#REF!</v>
      </c>
      <c r="AF354" t="str">
        <f>AC354-Q354-AD354-R354</f>
        <v>#REF!</v>
      </c>
      <c r="AG354" t="str">
        <f>AE354/V354</f>
        <v>#REF!</v>
      </c>
      <c r="AH354" t="str">
        <f>AF354/W354</f>
        <v>#REF!</v>
      </c>
    </row>
    <row r="355">
      <c r="G355" t="str">
        <v>A</v>
      </c>
      <c r="J355" t="str">
        <f>IF(K355&gt;0,K355*0.0625,IF(L355&gt;0,L355*2.204623,))</f>
        <v>#REF!</v>
      </c>
      <c r="K355" t="str">
        <f>IF(L355&gt;0,L355*35.273962,IF(J355&gt;0,J355*16,))</f>
        <v>#REF!</v>
      </c>
      <c r="L355" t="str">
        <f>IF(J355&gt;0,J355*0.453592,IF(K355&gt;0,K355*0.02835,))</f>
        <v>#REF!</v>
      </c>
      <c r="O355">
        <f>I355+N355+M355</f>
        <v>0</v>
      </c>
      <c r="P355">
        <f>O355*B$3</f>
        <v>0</v>
      </c>
      <c r="Q355">
        <f>ROUND(SUM(P355), -2)</f>
        <v>0</v>
      </c>
      <c r="R355" t="str">
        <f>ROUNDUP(HLOOKUP(IF(CEILING(L355,0.5)&lt;1,0.5,CEILING(L355,0.5)),'배송비 조회'!A$44:AO$56,7,0)*B$3,-2)</f>
        <v>#REF!</v>
      </c>
      <c r="S355">
        <v>0</v>
      </c>
      <c r="T355" t="str">
        <f>ROUND((Q355+R355)*0.3,-2)</f>
        <v>#REF!</v>
      </c>
      <c r="U355" t="str">
        <f>ROUND((Q355+R355)*0.4,-2)</f>
        <v>#REF!</v>
      </c>
      <c r="V355" t="str">
        <f>SUM(Q355:R355)+T355</f>
        <v>#REF!</v>
      </c>
      <c r="W355" t="str">
        <f>SUM(Q355:S355)+U355</f>
        <v>#REF!</v>
      </c>
      <c r="X355">
        <v>0</v>
      </c>
      <c r="Y355" t="str">
        <f>V355*0.038</f>
        <v>#REF!</v>
      </c>
      <c r="Z355" t="str">
        <f>V355*0.02</f>
        <v>#REF!</v>
      </c>
      <c r="AA355" t="str">
        <f>W355*0.1</f>
        <v>#REF!</v>
      </c>
      <c r="AB355" t="str">
        <f>V355-Y355-Z355</f>
        <v>#REF!</v>
      </c>
      <c r="AC355" t="str">
        <f>W355-AA355</f>
        <v>#REF!</v>
      </c>
      <c r="AD355" t="str">
        <f>AB355*0.01</f>
        <v>#REF!</v>
      </c>
      <c r="AE355" t="str">
        <f>AB355-Q355-AD355-R355</f>
        <v>#REF!</v>
      </c>
      <c r="AF355" t="str">
        <f>AC355-Q355-AD355-R355</f>
        <v>#REF!</v>
      </c>
      <c r="AG355" t="str">
        <f>AE355/V355</f>
        <v>#REF!</v>
      </c>
      <c r="AH355" t="str">
        <f>AF355/W355</f>
        <v>#REF!</v>
      </c>
    </row>
    <row r="356">
      <c r="G356" t="str">
        <v>A</v>
      </c>
      <c r="J356" t="str">
        <f>IF(K356&gt;0,K356*0.0625,IF(L356&gt;0,L356*2.204623,))</f>
        <v>#REF!</v>
      </c>
      <c r="K356" t="str">
        <f>IF(L356&gt;0,L356*35.273962,IF(J356&gt;0,J356*16,))</f>
        <v>#REF!</v>
      </c>
      <c r="L356" t="str">
        <f>IF(J356&gt;0,J356*0.453592,IF(K356&gt;0,K356*0.02835,))</f>
        <v>#REF!</v>
      </c>
      <c r="O356">
        <f>I356+N356+M356</f>
        <v>0</v>
      </c>
      <c r="P356">
        <f>O356*B$3</f>
        <v>0</v>
      </c>
      <c r="Q356">
        <f>ROUND(SUM(P356), -2)</f>
        <v>0</v>
      </c>
      <c r="R356" t="str">
        <f>ROUNDUP(HLOOKUP(IF(CEILING(L356,0.5)&lt;1,0.5,CEILING(L356,0.5)),'배송비 조회'!A$44:AO$56,7,0)*B$3,-2)</f>
        <v>#REF!</v>
      </c>
      <c r="S356">
        <v>0</v>
      </c>
      <c r="T356" t="str">
        <f>ROUND((Q356+R356)*0.3,-2)</f>
        <v>#REF!</v>
      </c>
      <c r="U356" t="str">
        <f>ROUND((Q356+R356)*0.4,-2)</f>
        <v>#REF!</v>
      </c>
      <c r="V356" t="str">
        <f>SUM(Q356:R356)+T356</f>
        <v>#REF!</v>
      </c>
      <c r="W356" t="str">
        <f>SUM(Q356:S356)+U356</f>
        <v>#REF!</v>
      </c>
      <c r="X356">
        <v>0</v>
      </c>
      <c r="Y356" t="str">
        <f>V356*0.038</f>
        <v>#REF!</v>
      </c>
      <c r="Z356" t="str">
        <f>V356*0.02</f>
        <v>#REF!</v>
      </c>
      <c r="AA356" t="str">
        <f>W356*0.1</f>
        <v>#REF!</v>
      </c>
      <c r="AB356" t="str">
        <f>V356-Y356-Z356</f>
        <v>#REF!</v>
      </c>
      <c r="AC356" t="str">
        <f>W356-AA356</f>
        <v>#REF!</v>
      </c>
      <c r="AD356" t="str">
        <f>AB356*0.01</f>
        <v>#REF!</v>
      </c>
      <c r="AE356" t="str">
        <f>AB356-Q356-AD356-R356</f>
        <v>#REF!</v>
      </c>
      <c r="AF356" t="str">
        <f>AC356-Q356-AD356-R356</f>
        <v>#REF!</v>
      </c>
      <c r="AG356" t="str">
        <f>AE356/V356</f>
        <v>#REF!</v>
      </c>
      <c r="AH356" t="str">
        <f>AF356/W356</f>
        <v>#REF!</v>
      </c>
    </row>
    <row r="357">
      <c r="G357" t="str">
        <v>A</v>
      </c>
      <c r="J357" t="str">
        <f>IF(K357&gt;0,K357*0.0625,IF(L357&gt;0,L357*2.204623,))</f>
        <v>#REF!</v>
      </c>
      <c r="K357" t="str">
        <f>IF(L357&gt;0,L357*35.273962,IF(J357&gt;0,J357*16,))</f>
        <v>#REF!</v>
      </c>
      <c r="L357" t="str">
        <f>IF(J357&gt;0,J357*0.453592,IF(K357&gt;0,K357*0.02835,))</f>
        <v>#REF!</v>
      </c>
      <c r="O357">
        <f>I357+N357+M357</f>
        <v>0</v>
      </c>
      <c r="P357">
        <f>O357*B$3</f>
        <v>0</v>
      </c>
      <c r="Q357">
        <f>ROUND(SUM(P357), -2)</f>
        <v>0</v>
      </c>
      <c r="R357" t="str">
        <f>ROUNDUP(HLOOKUP(IF(CEILING(L357,0.5)&lt;1,0.5,CEILING(L357,0.5)),'배송비 조회'!A$44:AO$56,7,0)*B$3,-2)</f>
        <v>#REF!</v>
      </c>
      <c r="S357">
        <v>0</v>
      </c>
      <c r="T357" t="str">
        <f>ROUND((Q357+R357)*0.3,-2)</f>
        <v>#REF!</v>
      </c>
      <c r="U357" t="str">
        <f>ROUND((Q357+R357)*0.4,-2)</f>
        <v>#REF!</v>
      </c>
      <c r="V357" t="str">
        <f>SUM(Q357:R357)+T357</f>
        <v>#REF!</v>
      </c>
      <c r="W357" t="str">
        <f>SUM(Q357:S357)+U357</f>
        <v>#REF!</v>
      </c>
      <c r="X357">
        <v>0</v>
      </c>
      <c r="Y357" t="str">
        <f>V357*0.038</f>
        <v>#REF!</v>
      </c>
      <c r="Z357" t="str">
        <f>V357*0.02</f>
        <v>#REF!</v>
      </c>
      <c r="AA357" t="str">
        <f>W357*0.1</f>
        <v>#REF!</v>
      </c>
      <c r="AB357" t="str">
        <f>V357-Y357-Z357</f>
        <v>#REF!</v>
      </c>
      <c r="AC357" t="str">
        <f>W357-AA357</f>
        <v>#REF!</v>
      </c>
      <c r="AD357" t="str">
        <f>AB357*0.01</f>
        <v>#REF!</v>
      </c>
      <c r="AE357" t="str">
        <f>AB357-Q357-AD357-R357</f>
        <v>#REF!</v>
      </c>
      <c r="AF357" t="str">
        <f>AC357-Q357-AD357-R357</f>
        <v>#REF!</v>
      </c>
      <c r="AG357" t="str">
        <f>AE357/V357</f>
        <v>#REF!</v>
      </c>
      <c r="AH357" t="str">
        <f>AF357/W357</f>
        <v>#REF!</v>
      </c>
    </row>
    <row r="358">
      <c r="G358" t="str">
        <v>A</v>
      </c>
      <c r="J358" t="str">
        <f>IF(K358&gt;0,K358*0.0625,IF(L358&gt;0,L358*2.204623,))</f>
        <v>#REF!</v>
      </c>
      <c r="K358" t="str">
        <f>IF(L358&gt;0,L358*35.273962,IF(J358&gt;0,J358*16,))</f>
        <v>#REF!</v>
      </c>
      <c r="L358" t="str">
        <f>IF(J358&gt;0,J358*0.453592,IF(K358&gt;0,K358*0.02835,))</f>
        <v>#REF!</v>
      </c>
      <c r="O358">
        <f>I358+N358+M358</f>
        <v>0</v>
      </c>
      <c r="P358">
        <f>O358*B$3</f>
        <v>0</v>
      </c>
      <c r="Q358">
        <f>ROUND(SUM(P358), -2)</f>
        <v>0</v>
      </c>
      <c r="R358" t="str">
        <f>ROUNDUP(HLOOKUP(IF(CEILING(L358,0.5)&lt;1,0.5,CEILING(L358,0.5)),'배송비 조회'!A$44:AO$56,7,0)*B$3,-2)</f>
        <v>#REF!</v>
      </c>
      <c r="S358">
        <v>0</v>
      </c>
      <c r="T358" t="str">
        <f>ROUND((Q358+R358)*0.3,-2)</f>
        <v>#REF!</v>
      </c>
      <c r="U358" t="str">
        <f>ROUND((Q358+R358)*0.4,-2)</f>
        <v>#REF!</v>
      </c>
      <c r="V358" t="str">
        <f>SUM(Q358:R358)+T358</f>
        <v>#REF!</v>
      </c>
      <c r="W358" t="str">
        <f>SUM(Q358:S358)+U358</f>
        <v>#REF!</v>
      </c>
      <c r="X358">
        <v>0</v>
      </c>
      <c r="Y358" t="str">
        <f>V358*0.038</f>
        <v>#REF!</v>
      </c>
      <c r="Z358" t="str">
        <f>V358*0.02</f>
        <v>#REF!</v>
      </c>
      <c r="AA358" t="str">
        <f>W358*0.1</f>
        <v>#REF!</v>
      </c>
      <c r="AB358" t="str">
        <f>V358-Y358-Z358</f>
        <v>#REF!</v>
      </c>
      <c r="AC358" t="str">
        <f>W358-AA358</f>
        <v>#REF!</v>
      </c>
      <c r="AD358" t="str">
        <f>AB358*0.01</f>
        <v>#REF!</v>
      </c>
      <c r="AE358" t="str">
        <f>AB358-Q358-AD358-R358</f>
        <v>#REF!</v>
      </c>
      <c r="AF358" t="str">
        <f>AC358-Q358-AD358-R358</f>
        <v>#REF!</v>
      </c>
      <c r="AG358" t="str">
        <f>AE358/V358</f>
        <v>#REF!</v>
      </c>
      <c r="AH358" t="str">
        <f>AF358/W358</f>
        <v>#REF!</v>
      </c>
    </row>
    <row r="359">
      <c r="G359" t="str">
        <v>A</v>
      </c>
      <c r="J359" t="str">
        <f>IF(K359&gt;0,K359*0.0625,IF(L359&gt;0,L359*2.204623,))</f>
        <v>#REF!</v>
      </c>
      <c r="K359" t="str">
        <f>IF(L359&gt;0,L359*35.273962,IF(J359&gt;0,J359*16,))</f>
        <v>#REF!</v>
      </c>
      <c r="L359" t="str">
        <f>IF(J359&gt;0,J359*0.453592,IF(K359&gt;0,K359*0.02835,))</f>
        <v>#REF!</v>
      </c>
      <c r="O359">
        <f>I359+N359+M359</f>
        <v>0</v>
      </c>
      <c r="P359">
        <f>O359*B$3</f>
        <v>0</v>
      </c>
      <c r="Q359">
        <f>ROUND(SUM(P359), -2)</f>
        <v>0</v>
      </c>
      <c r="R359" t="str">
        <f>ROUNDUP(HLOOKUP(IF(CEILING(L359,0.5)&lt;1,0.5,CEILING(L359,0.5)),'배송비 조회'!A$44:AO$56,7,0)*B$3,-2)</f>
        <v>#REF!</v>
      </c>
      <c r="S359">
        <v>0</v>
      </c>
      <c r="T359" t="str">
        <f>ROUND((Q359+R359)*0.3,-2)</f>
        <v>#REF!</v>
      </c>
      <c r="U359" t="str">
        <f>ROUND((Q359+R359)*0.4,-2)</f>
        <v>#REF!</v>
      </c>
      <c r="V359" t="str">
        <f>SUM(Q359:R359)+T359</f>
        <v>#REF!</v>
      </c>
      <c r="W359" t="str">
        <f>SUM(Q359:S359)+U359</f>
        <v>#REF!</v>
      </c>
      <c r="X359">
        <v>0</v>
      </c>
      <c r="Y359" t="str">
        <f>V359*0.038</f>
        <v>#REF!</v>
      </c>
      <c r="Z359" t="str">
        <f>V359*0.02</f>
        <v>#REF!</v>
      </c>
      <c r="AA359" t="str">
        <f>W359*0.1</f>
        <v>#REF!</v>
      </c>
      <c r="AB359" t="str">
        <f>V359-Y359-Z359</f>
        <v>#REF!</v>
      </c>
      <c r="AC359" t="str">
        <f>W359-AA359</f>
        <v>#REF!</v>
      </c>
      <c r="AD359" t="str">
        <f>AB359*0.01</f>
        <v>#REF!</v>
      </c>
      <c r="AE359" t="str">
        <f>AB359-Q359-AD359-R359</f>
        <v>#REF!</v>
      </c>
      <c r="AF359" t="str">
        <f>AC359-Q359-AD359-R359</f>
        <v>#REF!</v>
      </c>
      <c r="AG359" t="str">
        <f>AE359/V359</f>
        <v>#REF!</v>
      </c>
      <c r="AH359" t="str">
        <f>AF359/W359</f>
        <v>#REF!</v>
      </c>
    </row>
    <row r="360">
      <c r="G360" t="str">
        <v>A</v>
      </c>
      <c r="J360" t="str">
        <f>IF(K360&gt;0,K360*0.0625,IF(L360&gt;0,L360*2.204623,))</f>
        <v>#REF!</v>
      </c>
      <c r="K360" t="str">
        <f>IF(L360&gt;0,L360*35.273962,IF(J360&gt;0,J360*16,))</f>
        <v>#REF!</v>
      </c>
      <c r="L360" t="str">
        <f>IF(J360&gt;0,J360*0.453592,IF(K360&gt;0,K360*0.02835,))</f>
        <v>#REF!</v>
      </c>
      <c r="O360">
        <f>I360+N360+M360</f>
        <v>0</v>
      </c>
      <c r="P360">
        <f>O360*B$3</f>
        <v>0</v>
      </c>
      <c r="Q360">
        <f>ROUND(SUM(P360), -2)</f>
        <v>0</v>
      </c>
      <c r="R360" t="str">
        <f>ROUNDUP(HLOOKUP(IF(CEILING(L360,0.5)&lt;1,0.5,CEILING(L360,0.5)),'배송비 조회'!A$44:AO$56,7,0)*B$3,-2)</f>
        <v>#REF!</v>
      </c>
      <c r="S360">
        <v>0</v>
      </c>
      <c r="T360" t="str">
        <f>ROUND((Q360+R360)*0.3,-2)</f>
        <v>#REF!</v>
      </c>
      <c r="U360" t="str">
        <f>ROUND((Q360+R360)*0.4,-2)</f>
        <v>#REF!</v>
      </c>
      <c r="V360" t="str">
        <f>SUM(Q360:R360)+T360</f>
        <v>#REF!</v>
      </c>
      <c r="W360" t="str">
        <f>SUM(Q360:S360)+U360</f>
        <v>#REF!</v>
      </c>
      <c r="X360">
        <v>0</v>
      </c>
      <c r="Y360" t="str">
        <f>V360*0.038</f>
        <v>#REF!</v>
      </c>
      <c r="Z360" t="str">
        <f>V360*0.02</f>
        <v>#REF!</v>
      </c>
      <c r="AA360" t="str">
        <f>W360*0.1</f>
        <v>#REF!</v>
      </c>
      <c r="AB360" t="str">
        <f>V360-Y360-Z360</f>
        <v>#REF!</v>
      </c>
      <c r="AC360" t="str">
        <f>W360-AA360</f>
        <v>#REF!</v>
      </c>
      <c r="AD360" t="str">
        <f>AB360*0.01</f>
        <v>#REF!</v>
      </c>
      <c r="AE360" t="str">
        <f>AB360-Q360-AD360-R360</f>
        <v>#REF!</v>
      </c>
      <c r="AF360" t="str">
        <f>AC360-Q360-AD360-R360</f>
        <v>#REF!</v>
      </c>
      <c r="AG360" t="str">
        <f>AE360/V360</f>
        <v>#REF!</v>
      </c>
      <c r="AH360" t="str">
        <f>AF360/W360</f>
        <v>#REF!</v>
      </c>
    </row>
    <row r="361">
      <c r="G361" t="str">
        <v>A</v>
      </c>
      <c r="J361" t="str">
        <f>IF(K361&gt;0,K361*0.0625,IF(L361&gt;0,L361*2.204623,))</f>
        <v>#REF!</v>
      </c>
      <c r="K361" t="str">
        <f>IF(L361&gt;0,L361*35.273962,IF(J361&gt;0,J361*16,))</f>
        <v>#REF!</v>
      </c>
      <c r="L361" t="str">
        <f>IF(J361&gt;0,J361*0.453592,IF(K361&gt;0,K361*0.02835,))</f>
        <v>#REF!</v>
      </c>
      <c r="O361">
        <f>I361+N361+M361</f>
        <v>0</v>
      </c>
      <c r="P361">
        <f>O361*B$3</f>
        <v>0</v>
      </c>
      <c r="Q361">
        <f>ROUND(SUM(P361), -2)</f>
        <v>0</v>
      </c>
      <c r="R361" t="str">
        <f>ROUNDUP(HLOOKUP(IF(CEILING(L361,0.5)&lt;1,0.5,CEILING(L361,0.5)),'배송비 조회'!A$44:AO$56,7,0)*B$3,-2)</f>
        <v>#REF!</v>
      </c>
      <c r="S361">
        <v>0</v>
      </c>
      <c r="T361" t="str">
        <f>ROUND((Q361+R361)*0.3,-2)</f>
        <v>#REF!</v>
      </c>
      <c r="U361" t="str">
        <f>ROUND((Q361+R361)*0.4,-2)</f>
        <v>#REF!</v>
      </c>
      <c r="V361" t="str">
        <f>SUM(Q361:R361)+T361</f>
        <v>#REF!</v>
      </c>
      <c r="W361" t="str">
        <f>SUM(Q361:S361)+U361</f>
        <v>#REF!</v>
      </c>
      <c r="X361">
        <v>0</v>
      </c>
      <c r="Y361" t="str">
        <f>V361*0.038</f>
        <v>#REF!</v>
      </c>
      <c r="Z361" t="str">
        <f>V361*0.02</f>
        <v>#REF!</v>
      </c>
      <c r="AA361" t="str">
        <f>W361*0.1</f>
        <v>#REF!</v>
      </c>
      <c r="AB361" t="str">
        <f>V361-Y361-Z361</f>
        <v>#REF!</v>
      </c>
      <c r="AC361" t="str">
        <f>W361-AA361</f>
        <v>#REF!</v>
      </c>
      <c r="AD361" t="str">
        <f>AB361*0.01</f>
        <v>#REF!</v>
      </c>
      <c r="AE361" t="str">
        <f>AB361-Q361-AD361-R361</f>
        <v>#REF!</v>
      </c>
      <c r="AF361" t="str">
        <f>AC361-Q361-AD361-R361</f>
        <v>#REF!</v>
      </c>
      <c r="AG361" t="str">
        <f>AE361/V361</f>
        <v>#REF!</v>
      </c>
      <c r="AH361" t="str">
        <f>AF361/W361</f>
        <v>#REF!</v>
      </c>
    </row>
    <row r="362">
      <c r="G362" t="str">
        <v>A</v>
      </c>
      <c r="J362" t="str">
        <f>IF(K362&gt;0,K362*0.0625,IF(L362&gt;0,L362*2.204623,))</f>
        <v>#REF!</v>
      </c>
      <c r="K362" t="str">
        <f>IF(L362&gt;0,L362*35.273962,IF(J362&gt;0,J362*16,))</f>
        <v>#REF!</v>
      </c>
      <c r="L362" t="str">
        <f>IF(J362&gt;0,J362*0.453592,IF(K362&gt;0,K362*0.02835,))</f>
        <v>#REF!</v>
      </c>
      <c r="O362">
        <f>I362+N362+M362</f>
        <v>0</v>
      </c>
      <c r="P362">
        <f>O362*B$3</f>
        <v>0</v>
      </c>
      <c r="Q362">
        <f>ROUND(SUM(P362), -2)</f>
        <v>0</v>
      </c>
      <c r="R362" t="str">
        <f>ROUNDUP(HLOOKUP(IF(CEILING(L362,0.5)&lt;1,0.5,CEILING(L362,0.5)),'배송비 조회'!A$44:AO$56,7,0)*B$3,-2)</f>
        <v>#REF!</v>
      </c>
      <c r="S362">
        <v>0</v>
      </c>
      <c r="T362" t="str">
        <f>ROUND((Q362+R362)*0.3,-2)</f>
        <v>#REF!</v>
      </c>
      <c r="U362" t="str">
        <f>ROUND((Q362+R362)*0.4,-2)</f>
        <v>#REF!</v>
      </c>
      <c r="V362" t="str">
        <f>SUM(Q362:R362)+T362</f>
        <v>#REF!</v>
      </c>
      <c r="W362" t="str">
        <f>SUM(Q362:S362)+U362</f>
        <v>#REF!</v>
      </c>
      <c r="X362">
        <v>0</v>
      </c>
      <c r="Y362" t="str">
        <f>V362*0.038</f>
        <v>#REF!</v>
      </c>
      <c r="Z362" t="str">
        <f>V362*0.02</f>
        <v>#REF!</v>
      </c>
      <c r="AA362" t="str">
        <f>W362*0.1</f>
        <v>#REF!</v>
      </c>
      <c r="AB362" t="str">
        <f>V362-Y362-Z362</f>
        <v>#REF!</v>
      </c>
      <c r="AC362" t="str">
        <f>W362-AA362</f>
        <v>#REF!</v>
      </c>
      <c r="AD362" t="str">
        <f>AB362*0.01</f>
        <v>#REF!</v>
      </c>
      <c r="AE362" t="str">
        <f>AB362-Q362-AD362-R362</f>
        <v>#REF!</v>
      </c>
      <c r="AF362" t="str">
        <f>AC362-Q362-AD362-R362</f>
        <v>#REF!</v>
      </c>
      <c r="AG362" t="str">
        <f>AE362/V362</f>
        <v>#REF!</v>
      </c>
      <c r="AH362" t="str">
        <f>AF362/W362</f>
        <v>#REF!</v>
      </c>
    </row>
    <row r="363">
      <c r="G363" t="str">
        <v>A</v>
      </c>
      <c r="J363" t="str">
        <f>IF(K363&gt;0,K363*0.0625,IF(L363&gt;0,L363*2.204623,))</f>
        <v>#REF!</v>
      </c>
      <c r="K363" t="str">
        <f>IF(L363&gt;0,L363*35.273962,IF(J363&gt;0,J363*16,))</f>
        <v>#REF!</v>
      </c>
      <c r="L363" t="str">
        <f>IF(J363&gt;0,J363*0.453592,IF(K363&gt;0,K363*0.02835,))</f>
        <v>#REF!</v>
      </c>
      <c r="O363">
        <f>I363+N363+M363</f>
        <v>0</v>
      </c>
      <c r="P363">
        <f>O363*B$3</f>
        <v>0</v>
      </c>
      <c r="Q363">
        <f>ROUND(SUM(P363), -2)</f>
        <v>0</v>
      </c>
      <c r="R363" t="str">
        <f>ROUNDUP(HLOOKUP(IF(CEILING(L363,0.5)&lt;1,0.5,CEILING(L363,0.5)),'배송비 조회'!A$44:AO$56,7,0)*B$3,-2)</f>
        <v>#REF!</v>
      </c>
      <c r="S363">
        <v>0</v>
      </c>
      <c r="T363" t="str">
        <f>ROUND((Q363+R363)*0.3,-2)</f>
        <v>#REF!</v>
      </c>
      <c r="U363" t="str">
        <f>ROUND((Q363+R363)*0.4,-2)</f>
        <v>#REF!</v>
      </c>
      <c r="V363" t="str">
        <f>SUM(Q363:R363)+T363</f>
        <v>#REF!</v>
      </c>
      <c r="W363" t="str">
        <f>SUM(Q363:S363)+U363</f>
        <v>#REF!</v>
      </c>
      <c r="X363">
        <v>0</v>
      </c>
      <c r="Y363" t="str">
        <f>V363*0.038</f>
        <v>#REF!</v>
      </c>
      <c r="Z363" t="str">
        <f>V363*0.02</f>
        <v>#REF!</v>
      </c>
      <c r="AA363" t="str">
        <f>W363*0.1</f>
        <v>#REF!</v>
      </c>
      <c r="AB363" t="str">
        <f>V363-Y363-Z363</f>
        <v>#REF!</v>
      </c>
      <c r="AC363" t="str">
        <f>W363-AA363</f>
        <v>#REF!</v>
      </c>
      <c r="AD363" t="str">
        <f>AB363*0.01</f>
        <v>#REF!</v>
      </c>
      <c r="AE363" t="str">
        <f>AB363-Q363-AD363-R363</f>
        <v>#REF!</v>
      </c>
      <c r="AF363" t="str">
        <f>AC363-Q363-AD363-R363</f>
        <v>#REF!</v>
      </c>
      <c r="AG363" t="str">
        <f>AE363/V363</f>
        <v>#REF!</v>
      </c>
      <c r="AH363" t="str">
        <f>AF363/W363</f>
        <v>#REF!</v>
      </c>
    </row>
    <row r="364">
      <c r="G364" t="str">
        <v>A</v>
      </c>
      <c r="J364" t="str">
        <f>IF(K364&gt;0,K364*0.0625,IF(L364&gt;0,L364*2.204623,))</f>
        <v>#REF!</v>
      </c>
      <c r="K364" t="str">
        <f>IF(L364&gt;0,L364*35.273962,IF(J364&gt;0,J364*16,))</f>
        <v>#REF!</v>
      </c>
      <c r="L364" t="str">
        <f>IF(J364&gt;0,J364*0.453592,IF(K364&gt;0,K364*0.02835,))</f>
        <v>#REF!</v>
      </c>
      <c r="O364">
        <f>I364+N364+M364</f>
        <v>0</v>
      </c>
      <c r="P364">
        <f>O364*B$3</f>
        <v>0</v>
      </c>
      <c r="Q364">
        <f>ROUND(SUM(P364), -2)</f>
        <v>0</v>
      </c>
      <c r="R364" t="str">
        <f>ROUNDUP(HLOOKUP(IF(CEILING(L364,0.5)&lt;1,0.5,CEILING(L364,0.5)),'배송비 조회'!A$44:AO$56,7,0)*B$3,-2)</f>
        <v>#REF!</v>
      </c>
      <c r="S364">
        <v>0</v>
      </c>
      <c r="T364" t="str">
        <f>ROUND((Q364+R364)*0.3,-2)</f>
        <v>#REF!</v>
      </c>
      <c r="U364" t="str">
        <f>ROUND((Q364+R364)*0.4,-2)</f>
        <v>#REF!</v>
      </c>
      <c r="V364" t="str">
        <f>SUM(Q364:R364)+T364</f>
        <v>#REF!</v>
      </c>
      <c r="W364" t="str">
        <f>SUM(Q364:S364)+U364</f>
        <v>#REF!</v>
      </c>
      <c r="X364">
        <v>0</v>
      </c>
      <c r="Y364" t="str">
        <f>V364*0.038</f>
        <v>#REF!</v>
      </c>
      <c r="Z364" t="str">
        <f>V364*0.02</f>
        <v>#REF!</v>
      </c>
      <c r="AA364" t="str">
        <f>W364*0.1</f>
        <v>#REF!</v>
      </c>
      <c r="AB364" t="str">
        <f>V364-Y364-Z364</f>
        <v>#REF!</v>
      </c>
      <c r="AC364" t="str">
        <f>W364-AA364</f>
        <v>#REF!</v>
      </c>
      <c r="AD364" t="str">
        <f>AB364*0.01</f>
        <v>#REF!</v>
      </c>
      <c r="AE364" t="str">
        <f>AB364-Q364-AD364-R364</f>
        <v>#REF!</v>
      </c>
      <c r="AF364" t="str">
        <f>AC364-Q364-AD364-R364</f>
        <v>#REF!</v>
      </c>
      <c r="AG364" t="str">
        <f>AE364/V364</f>
        <v>#REF!</v>
      </c>
      <c r="AH364" t="str">
        <f>AF364/W364</f>
        <v>#REF!</v>
      </c>
    </row>
    <row r="365">
      <c r="G365" t="str">
        <v>A</v>
      </c>
      <c r="J365" t="str">
        <f>IF(K365&gt;0,K365*0.0625,IF(L365&gt;0,L365*2.204623,))</f>
        <v>#REF!</v>
      </c>
      <c r="K365" t="str">
        <f>IF(L365&gt;0,L365*35.273962,IF(J365&gt;0,J365*16,))</f>
        <v>#REF!</v>
      </c>
      <c r="L365" t="str">
        <f>IF(J365&gt;0,J365*0.453592,IF(K365&gt;0,K365*0.02835,))</f>
        <v>#REF!</v>
      </c>
      <c r="O365">
        <f>I365+N365+M365</f>
        <v>0</v>
      </c>
      <c r="P365">
        <f>O365*B$3</f>
        <v>0</v>
      </c>
      <c r="Q365">
        <f>ROUND(SUM(P365), -2)</f>
        <v>0</v>
      </c>
      <c r="R365" t="str">
        <f>ROUNDUP(HLOOKUP(IF(CEILING(L365,0.5)&lt;1,0.5,CEILING(L365,0.5)),'배송비 조회'!A$44:AO$56,7,0)*B$3,-2)</f>
        <v>#REF!</v>
      </c>
      <c r="S365">
        <v>0</v>
      </c>
      <c r="T365" t="str">
        <f>ROUND((Q365+R365)*0.3,-2)</f>
        <v>#REF!</v>
      </c>
      <c r="U365" t="str">
        <f>ROUND((Q365+R365)*0.4,-2)</f>
        <v>#REF!</v>
      </c>
      <c r="V365" t="str">
        <f>SUM(Q365:R365)+T365</f>
        <v>#REF!</v>
      </c>
      <c r="W365" t="str">
        <f>SUM(Q365:S365)+U365</f>
        <v>#REF!</v>
      </c>
      <c r="X365">
        <v>0</v>
      </c>
      <c r="Y365" t="str">
        <f>V365*0.038</f>
        <v>#REF!</v>
      </c>
      <c r="Z365" t="str">
        <f>V365*0.02</f>
        <v>#REF!</v>
      </c>
      <c r="AA365" t="str">
        <f>W365*0.1</f>
        <v>#REF!</v>
      </c>
      <c r="AB365" t="str">
        <f>V365-Y365-Z365</f>
        <v>#REF!</v>
      </c>
      <c r="AC365" t="str">
        <f>W365-AA365</f>
        <v>#REF!</v>
      </c>
      <c r="AD365" t="str">
        <f>AB365*0.01</f>
        <v>#REF!</v>
      </c>
      <c r="AE365" t="str">
        <f>AB365-Q365-AD365-R365</f>
        <v>#REF!</v>
      </c>
      <c r="AF365" t="str">
        <f>AC365-Q365-AD365-R365</f>
        <v>#REF!</v>
      </c>
      <c r="AG365" t="str">
        <f>AE365/V365</f>
        <v>#REF!</v>
      </c>
      <c r="AH365" t="str">
        <f>AF365/W365</f>
        <v>#REF!</v>
      </c>
    </row>
    <row r="366">
      <c r="G366" t="str">
        <v>A</v>
      </c>
      <c r="J366" t="str">
        <f>IF(K366&gt;0,K366*0.0625,IF(L366&gt;0,L366*2.204623,))</f>
        <v>#REF!</v>
      </c>
      <c r="K366" t="str">
        <f>IF(L366&gt;0,L366*35.273962,IF(J366&gt;0,J366*16,))</f>
        <v>#REF!</v>
      </c>
      <c r="L366" t="str">
        <f>IF(J366&gt;0,J366*0.453592,IF(K366&gt;0,K366*0.02835,))</f>
        <v>#REF!</v>
      </c>
      <c r="O366">
        <f>I366+N366+M366</f>
        <v>0</v>
      </c>
      <c r="P366">
        <f>O366*B$3</f>
        <v>0</v>
      </c>
      <c r="Q366">
        <f>ROUND(SUM(P366), -2)</f>
        <v>0</v>
      </c>
      <c r="R366" t="str">
        <f>ROUNDUP(HLOOKUP(IF(CEILING(L366,0.5)&lt;1,0.5,CEILING(L366,0.5)),'배송비 조회'!A$44:AO$56,7,0)*B$3,-2)</f>
        <v>#REF!</v>
      </c>
      <c r="S366">
        <v>0</v>
      </c>
      <c r="T366" t="str">
        <f>ROUND((Q366+R366)*0.3,-2)</f>
        <v>#REF!</v>
      </c>
      <c r="U366" t="str">
        <f>ROUND((Q366+R366)*0.4,-2)</f>
        <v>#REF!</v>
      </c>
      <c r="V366" t="str">
        <f>SUM(Q366:R366)+T366</f>
        <v>#REF!</v>
      </c>
      <c r="W366" t="str">
        <f>SUM(Q366:S366)+U366</f>
        <v>#REF!</v>
      </c>
      <c r="X366">
        <v>0</v>
      </c>
      <c r="Y366" t="str">
        <f>V366*0.038</f>
        <v>#REF!</v>
      </c>
      <c r="Z366" t="str">
        <f>V366*0.02</f>
        <v>#REF!</v>
      </c>
      <c r="AA366" t="str">
        <f>W366*0.1</f>
        <v>#REF!</v>
      </c>
      <c r="AB366" t="str">
        <f>V366-Y366-Z366</f>
        <v>#REF!</v>
      </c>
      <c r="AC366" t="str">
        <f>W366-AA366</f>
        <v>#REF!</v>
      </c>
      <c r="AD366" t="str">
        <f>AB366*0.01</f>
        <v>#REF!</v>
      </c>
      <c r="AE366" t="str">
        <f>AB366-Q366-AD366-R366</f>
        <v>#REF!</v>
      </c>
      <c r="AF366" t="str">
        <f>AC366-Q366-AD366-R366</f>
        <v>#REF!</v>
      </c>
      <c r="AG366" t="str">
        <f>AE366/V366</f>
        <v>#REF!</v>
      </c>
      <c r="AH366" t="str">
        <f>AF366/W366</f>
        <v>#REF!</v>
      </c>
    </row>
    <row r="367">
      <c r="G367" t="str">
        <v>A</v>
      </c>
      <c r="J367" t="str">
        <f>IF(K367&gt;0,K367*0.0625,IF(L367&gt;0,L367*2.204623,))</f>
        <v>#REF!</v>
      </c>
      <c r="K367" t="str">
        <f>IF(L367&gt;0,L367*35.273962,IF(J367&gt;0,J367*16,))</f>
        <v>#REF!</v>
      </c>
      <c r="L367" t="str">
        <f>IF(J367&gt;0,J367*0.453592,IF(K367&gt;0,K367*0.02835,))</f>
        <v>#REF!</v>
      </c>
      <c r="O367">
        <f>I367+N367+M367</f>
        <v>0</v>
      </c>
      <c r="P367">
        <f>O367*B$3</f>
        <v>0</v>
      </c>
      <c r="Q367">
        <f>ROUND(SUM(P367), -2)</f>
        <v>0</v>
      </c>
      <c r="R367" t="str">
        <f>ROUNDUP(HLOOKUP(IF(CEILING(L367,0.5)&lt;1,0.5,CEILING(L367,0.5)),'배송비 조회'!A$44:AO$56,7,0)*B$3,-2)</f>
        <v>#REF!</v>
      </c>
      <c r="S367">
        <v>0</v>
      </c>
      <c r="T367" t="str">
        <f>ROUND((Q367+R367)*0.3,-2)</f>
        <v>#REF!</v>
      </c>
      <c r="U367" t="str">
        <f>ROUND((Q367+R367)*0.4,-2)</f>
        <v>#REF!</v>
      </c>
      <c r="V367" t="str">
        <f>SUM(Q367:R367)+T367</f>
        <v>#REF!</v>
      </c>
      <c r="W367" t="str">
        <f>SUM(Q367:S367)+U367</f>
        <v>#REF!</v>
      </c>
      <c r="X367">
        <v>0</v>
      </c>
      <c r="Y367" t="str">
        <f>V367*0.038</f>
        <v>#REF!</v>
      </c>
      <c r="Z367" t="str">
        <f>V367*0.02</f>
        <v>#REF!</v>
      </c>
      <c r="AA367" t="str">
        <f>W367*0.1</f>
        <v>#REF!</v>
      </c>
      <c r="AB367" t="str">
        <f>V367-Y367-Z367</f>
        <v>#REF!</v>
      </c>
      <c r="AC367" t="str">
        <f>W367-AA367</f>
        <v>#REF!</v>
      </c>
      <c r="AD367" t="str">
        <f>AB367*0.01</f>
        <v>#REF!</v>
      </c>
      <c r="AE367" t="str">
        <f>AB367-Q367-AD367-R367</f>
        <v>#REF!</v>
      </c>
      <c r="AF367" t="str">
        <f>AC367-Q367-AD367-R367</f>
        <v>#REF!</v>
      </c>
      <c r="AG367" t="str">
        <f>AE367/V367</f>
        <v>#REF!</v>
      </c>
      <c r="AH367" t="str">
        <f>AF367/W367</f>
        <v>#REF!</v>
      </c>
    </row>
    <row r="368">
      <c r="G368" t="str">
        <v>A</v>
      </c>
      <c r="J368" t="str">
        <f>IF(K368&gt;0,K368*0.0625,IF(L368&gt;0,L368*2.204623,))</f>
        <v>#REF!</v>
      </c>
      <c r="K368" t="str">
        <f>IF(L368&gt;0,L368*35.273962,IF(J368&gt;0,J368*16,))</f>
        <v>#REF!</v>
      </c>
      <c r="L368" t="str">
        <f>IF(J368&gt;0,J368*0.453592,IF(K368&gt;0,K368*0.02835,))</f>
        <v>#REF!</v>
      </c>
      <c r="O368">
        <f>I368+N368+M368</f>
        <v>0</v>
      </c>
      <c r="P368">
        <f>O368*B$3</f>
        <v>0</v>
      </c>
      <c r="Q368">
        <f>ROUND(SUM(P368), -2)</f>
        <v>0</v>
      </c>
      <c r="R368" t="str">
        <f>ROUNDUP(HLOOKUP(IF(CEILING(L368,0.5)&lt;1,0.5,CEILING(L368,0.5)),'배송비 조회'!A$44:AO$56,7,0)*B$3,-2)</f>
        <v>#REF!</v>
      </c>
      <c r="S368">
        <v>0</v>
      </c>
      <c r="T368" t="str">
        <f>ROUND((Q368+R368)*0.3,-2)</f>
        <v>#REF!</v>
      </c>
      <c r="U368" t="str">
        <f>ROUND((Q368+R368)*0.4,-2)</f>
        <v>#REF!</v>
      </c>
      <c r="V368" t="str">
        <f>SUM(Q368:R368)+T368</f>
        <v>#REF!</v>
      </c>
      <c r="W368" t="str">
        <f>SUM(Q368:S368)+U368</f>
        <v>#REF!</v>
      </c>
      <c r="X368">
        <v>0</v>
      </c>
      <c r="Y368" t="str">
        <f>V368*0.038</f>
        <v>#REF!</v>
      </c>
      <c r="Z368" t="str">
        <f>V368*0.02</f>
        <v>#REF!</v>
      </c>
      <c r="AA368" t="str">
        <f>W368*0.1</f>
        <v>#REF!</v>
      </c>
      <c r="AB368" t="str">
        <f>V368-Y368-Z368</f>
        <v>#REF!</v>
      </c>
      <c r="AC368" t="str">
        <f>W368-AA368</f>
        <v>#REF!</v>
      </c>
      <c r="AD368" t="str">
        <f>AB368*0.01</f>
        <v>#REF!</v>
      </c>
      <c r="AE368" t="str">
        <f>AB368-Q368-AD368-R368</f>
        <v>#REF!</v>
      </c>
      <c r="AF368" t="str">
        <f>AC368-Q368-AD368-R368</f>
        <v>#REF!</v>
      </c>
      <c r="AG368" t="str">
        <f>AE368/V368</f>
        <v>#REF!</v>
      </c>
      <c r="AH368" t="str">
        <f>AF368/W368</f>
        <v>#REF!</v>
      </c>
    </row>
    <row r="369">
      <c r="G369" t="str">
        <v>A</v>
      </c>
      <c r="J369" t="str">
        <f>IF(K369&gt;0,K369*0.0625,IF(L369&gt;0,L369*2.204623,))</f>
        <v>#REF!</v>
      </c>
      <c r="K369" t="str">
        <f>IF(L369&gt;0,L369*35.273962,IF(J369&gt;0,J369*16,))</f>
        <v>#REF!</v>
      </c>
      <c r="L369" t="str">
        <f>IF(J369&gt;0,J369*0.453592,IF(K369&gt;0,K369*0.02835,))</f>
        <v>#REF!</v>
      </c>
      <c r="O369">
        <f>I369+N369+M369</f>
        <v>0</v>
      </c>
      <c r="P369">
        <f>O369*B$3</f>
        <v>0</v>
      </c>
      <c r="Q369">
        <f>ROUND(SUM(P369), -2)</f>
        <v>0</v>
      </c>
      <c r="R369" t="str">
        <f>ROUNDUP(HLOOKUP(IF(CEILING(L369,0.5)&lt;1,0.5,CEILING(L369,0.5)),'배송비 조회'!A$44:AO$56,7,0)*B$3,-2)</f>
        <v>#REF!</v>
      </c>
      <c r="S369">
        <v>0</v>
      </c>
      <c r="T369" t="str">
        <f>ROUND((Q369+R369)*0.3,-2)</f>
        <v>#REF!</v>
      </c>
      <c r="U369" t="str">
        <f>ROUND((Q369+R369)*0.4,-2)</f>
        <v>#REF!</v>
      </c>
      <c r="V369" t="str">
        <f>SUM(Q369:R369)+T369</f>
        <v>#REF!</v>
      </c>
      <c r="W369" t="str">
        <f>SUM(Q369:S369)+U369</f>
        <v>#REF!</v>
      </c>
      <c r="X369">
        <v>0</v>
      </c>
      <c r="Y369" t="str">
        <f>V369*0.038</f>
        <v>#REF!</v>
      </c>
      <c r="Z369" t="str">
        <f>V369*0.02</f>
        <v>#REF!</v>
      </c>
      <c r="AA369" t="str">
        <f>W369*0.1</f>
        <v>#REF!</v>
      </c>
      <c r="AB369" t="str">
        <f>V369-Y369-Z369</f>
        <v>#REF!</v>
      </c>
      <c r="AC369" t="str">
        <f>W369-AA369</f>
        <v>#REF!</v>
      </c>
      <c r="AD369" t="str">
        <f>AB369*0.01</f>
        <v>#REF!</v>
      </c>
      <c r="AE369" t="str">
        <f>AB369-Q369-AD369-R369</f>
        <v>#REF!</v>
      </c>
      <c r="AF369" t="str">
        <f>AC369-Q369-AD369-R369</f>
        <v>#REF!</v>
      </c>
      <c r="AG369" t="str">
        <f>AE369/V369</f>
        <v>#REF!</v>
      </c>
      <c r="AH369" t="str">
        <f>AF369/W369</f>
        <v>#REF!</v>
      </c>
    </row>
    <row r="370">
      <c r="G370" t="str">
        <v>A</v>
      </c>
      <c r="J370" t="str">
        <f>IF(K370&gt;0,K370*0.0625,IF(L370&gt;0,L370*2.204623,))</f>
        <v>#REF!</v>
      </c>
      <c r="K370" t="str">
        <f>IF(L370&gt;0,L370*35.273962,IF(J370&gt;0,J370*16,))</f>
        <v>#REF!</v>
      </c>
      <c r="L370" t="str">
        <f>IF(J370&gt;0,J370*0.453592,IF(K370&gt;0,K370*0.02835,))</f>
        <v>#REF!</v>
      </c>
      <c r="O370">
        <f>I370+N370+M370</f>
        <v>0</v>
      </c>
      <c r="P370">
        <f>O370*B$3</f>
        <v>0</v>
      </c>
      <c r="Q370">
        <f>ROUND(SUM(P370), -2)</f>
        <v>0</v>
      </c>
      <c r="R370" t="str">
        <f>ROUNDUP(HLOOKUP(IF(CEILING(L370,0.5)&lt;1,0.5,CEILING(L370,0.5)),'배송비 조회'!A$44:AO$56,7,0)*B$3,-2)</f>
        <v>#REF!</v>
      </c>
      <c r="S370">
        <v>0</v>
      </c>
      <c r="T370" t="str">
        <f>ROUND((Q370+R370)*0.3,-2)</f>
        <v>#REF!</v>
      </c>
      <c r="U370" t="str">
        <f>ROUND((Q370+R370)*0.4,-2)</f>
        <v>#REF!</v>
      </c>
      <c r="V370" t="str">
        <f>SUM(Q370:R370)+T370</f>
        <v>#REF!</v>
      </c>
      <c r="W370" t="str">
        <f>SUM(Q370:S370)+U370</f>
        <v>#REF!</v>
      </c>
      <c r="X370">
        <v>0</v>
      </c>
      <c r="Y370" t="str">
        <f>V370*0.038</f>
        <v>#REF!</v>
      </c>
      <c r="Z370" t="str">
        <f>V370*0.02</f>
        <v>#REF!</v>
      </c>
      <c r="AA370" t="str">
        <f>W370*0.1</f>
        <v>#REF!</v>
      </c>
      <c r="AB370" t="str">
        <f>V370-Y370-Z370</f>
        <v>#REF!</v>
      </c>
      <c r="AC370" t="str">
        <f>W370-AA370</f>
        <v>#REF!</v>
      </c>
      <c r="AD370" t="str">
        <f>AB370*0.01</f>
        <v>#REF!</v>
      </c>
      <c r="AE370" t="str">
        <f>AB370-Q370-AD370-R370</f>
        <v>#REF!</v>
      </c>
      <c r="AF370" t="str">
        <f>AC370-Q370-AD370-R370</f>
        <v>#REF!</v>
      </c>
      <c r="AG370" t="str">
        <f>AE370/V370</f>
        <v>#REF!</v>
      </c>
      <c r="AH370" t="str">
        <f>AF370/W370</f>
        <v>#REF!</v>
      </c>
    </row>
    <row r="371">
      <c r="G371" t="str">
        <v>A</v>
      </c>
      <c r="J371" t="str">
        <f>IF(K371&gt;0,K371*0.0625,IF(L371&gt;0,L371*2.204623,))</f>
        <v>#REF!</v>
      </c>
      <c r="K371" t="str">
        <f>IF(L371&gt;0,L371*35.273962,IF(J371&gt;0,J371*16,))</f>
        <v>#REF!</v>
      </c>
      <c r="L371" t="str">
        <f>IF(J371&gt;0,J371*0.453592,IF(K371&gt;0,K371*0.02835,))</f>
        <v>#REF!</v>
      </c>
      <c r="O371">
        <f>I371+N371+M371</f>
        <v>0</v>
      </c>
      <c r="P371">
        <f>O371*B$3</f>
        <v>0</v>
      </c>
      <c r="Q371">
        <f>ROUND(SUM(P371), -2)</f>
        <v>0</v>
      </c>
      <c r="R371" t="str">
        <f>ROUNDUP(HLOOKUP(IF(CEILING(L371,0.5)&lt;1,0.5,CEILING(L371,0.5)),'배송비 조회'!A$44:AO$56,7,0)*B$3,-2)</f>
        <v>#REF!</v>
      </c>
      <c r="S371">
        <v>0</v>
      </c>
      <c r="T371" t="str">
        <f>ROUND((Q371+R371)*0.3,-2)</f>
        <v>#REF!</v>
      </c>
      <c r="U371" t="str">
        <f>ROUND((Q371+R371)*0.4,-2)</f>
        <v>#REF!</v>
      </c>
      <c r="V371" t="str">
        <f>SUM(Q371:R371)+T371</f>
        <v>#REF!</v>
      </c>
      <c r="W371" t="str">
        <f>SUM(Q371:S371)+U371</f>
        <v>#REF!</v>
      </c>
      <c r="X371">
        <v>0</v>
      </c>
      <c r="Y371" t="str">
        <f>V371*0.038</f>
        <v>#REF!</v>
      </c>
      <c r="Z371" t="str">
        <f>V371*0.02</f>
        <v>#REF!</v>
      </c>
      <c r="AA371" t="str">
        <f>W371*0.1</f>
        <v>#REF!</v>
      </c>
      <c r="AB371" t="str">
        <f>V371-Y371-Z371</f>
        <v>#REF!</v>
      </c>
      <c r="AC371" t="str">
        <f>W371-AA371</f>
        <v>#REF!</v>
      </c>
      <c r="AD371" t="str">
        <f>AB371*0.01</f>
        <v>#REF!</v>
      </c>
      <c r="AE371" t="str">
        <f>AB371-Q371-AD371-R371</f>
        <v>#REF!</v>
      </c>
      <c r="AF371" t="str">
        <f>AC371-Q371-AD371-R371</f>
        <v>#REF!</v>
      </c>
      <c r="AG371" t="str">
        <f>AE371/V371</f>
        <v>#REF!</v>
      </c>
      <c r="AH371" t="str">
        <f>AF371/W371</f>
        <v>#REF!</v>
      </c>
    </row>
    <row r="372">
      <c r="G372" t="str">
        <v>A</v>
      </c>
      <c r="J372" t="str">
        <f>IF(K372&gt;0,K372*0.0625,IF(L372&gt;0,L372*2.204623,))</f>
        <v>#REF!</v>
      </c>
      <c r="K372" t="str">
        <f>IF(L372&gt;0,L372*35.273962,IF(J372&gt;0,J372*16,))</f>
        <v>#REF!</v>
      </c>
      <c r="L372" t="str">
        <f>IF(J372&gt;0,J372*0.453592,IF(K372&gt;0,K372*0.02835,))</f>
        <v>#REF!</v>
      </c>
      <c r="O372">
        <f>I372+N372+M372</f>
        <v>0</v>
      </c>
      <c r="P372">
        <f>O372*B$3</f>
        <v>0</v>
      </c>
      <c r="Q372">
        <f>ROUND(SUM(P372), -2)</f>
        <v>0</v>
      </c>
      <c r="R372" t="str">
        <f>ROUNDUP(HLOOKUP(IF(CEILING(L372,0.5)&lt;1,0.5,CEILING(L372,0.5)),'배송비 조회'!A$44:AO$56,7,0)*B$3,-2)</f>
        <v>#REF!</v>
      </c>
      <c r="S372">
        <v>0</v>
      </c>
      <c r="T372" t="str">
        <f>ROUND((Q372+R372)*0.3,-2)</f>
        <v>#REF!</v>
      </c>
      <c r="U372" t="str">
        <f>ROUND((Q372+R372)*0.4,-2)</f>
        <v>#REF!</v>
      </c>
      <c r="V372" t="str">
        <f>SUM(Q372:R372)+T372</f>
        <v>#REF!</v>
      </c>
      <c r="W372" t="str">
        <f>SUM(Q372:S372)+U372</f>
        <v>#REF!</v>
      </c>
      <c r="X372">
        <v>0</v>
      </c>
      <c r="Y372" t="str">
        <f>V372*0.038</f>
        <v>#REF!</v>
      </c>
      <c r="Z372" t="str">
        <f>V372*0.02</f>
        <v>#REF!</v>
      </c>
      <c r="AA372" t="str">
        <f>W372*0.1</f>
        <v>#REF!</v>
      </c>
      <c r="AB372" t="str">
        <f>V372-Y372-Z372</f>
        <v>#REF!</v>
      </c>
      <c r="AC372" t="str">
        <f>W372-AA372</f>
        <v>#REF!</v>
      </c>
      <c r="AD372" t="str">
        <f>AB372*0.01</f>
        <v>#REF!</v>
      </c>
      <c r="AE372" t="str">
        <f>AB372-Q372-AD372-R372</f>
        <v>#REF!</v>
      </c>
      <c r="AF372" t="str">
        <f>AC372-Q372-AD372-R372</f>
        <v>#REF!</v>
      </c>
      <c r="AG372" t="str">
        <f>AE372/V372</f>
        <v>#REF!</v>
      </c>
      <c r="AH372" t="str">
        <f>AF372/W372</f>
        <v>#REF!</v>
      </c>
    </row>
    <row r="373">
      <c r="G373" t="str">
        <v>A</v>
      </c>
      <c r="J373" t="str">
        <f>IF(K373&gt;0,K373*0.0625,IF(L373&gt;0,L373*2.204623,))</f>
        <v>#REF!</v>
      </c>
      <c r="K373" t="str">
        <f>IF(L373&gt;0,L373*35.273962,IF(J373&gt;0,J373*16,))</f>
        <v>#REF!</v>
      </c>
      <c r="L373" t="str">
        <f>IF(J373&gt;0,J373*0.453592,IF(K373&gt;0,K373*0.02835,))</f>
        <v>#REF!</v>
      </c>
      <c r="O373">
        <f>I373+N373+M373</f>
        <v>0</v>
      </c>
      <c r="P373">
        <f>O373*B$3</f>
        <v>0</v>
      </c>
      <c r="Q373">
        <f>ROUND(SUM(P373), -2)</f>
        <v>0</v>
      </c>
      <c r="R373" t="str">
        <f>ROUNDUP(HLOOKUP(IF(CEILING(L373,0.5)&lt;1,0.5,CEILING(L373,0.5)),'배송비 조회'!A$44:AO$56,7,0)*B$3,-2)</f>
        <v>#REF!</v>
      </c>
      <c r="S373">
        <v>0</v>
      </c>
      <c r="T373" t="str">
        <f>ROUND((Q373+R373)*0.3,-2)</f>
        <v>#REF!</v>
      </c>
      <c r="U373" t="str">
        <f>ROUND((Q373+R373)*0.4,-2)</f>
        <v>#REF!</v>
      </c>
      <c r="V373" t="str">
        <f>SUM(Q373:R373)+T373</f>
        <v>#REF!</v>
      </c>
      <c r="W373" t="str">
        <f>SUM(Q373:S373)+U373</f>
        <v>#REF!</v>
      </c>
      <c r="X373">
        <v>0</v>
      </c>
      <c r="Y373" t="str">
        <f>V373*0.038</f>
        <v>#REF!</v>
      </c>
      <c r="Z373" t="str">
        <f>V373*0.02</f>
        <v>#REF!</v>
      </c>
      <c r="AA373" t="str">
        <f>W373*0.1</f>
        <v>#REF!</v>
      </c>
      <c r="AB373" t="str">
        <f>V373-Y373-Z373</f>
        <v>#REF!</v>
      </c>
      <c r="AC373" t="str">
        <f>W373-AA373</f>
        <v>#REF!</v>
      </c>
      <c r="AD373" t="str">
        <f>AB373*0.01</f>
        <v>#REF!</v>
      </c>
      <c r="AE373" t="str">
        <f>AB373-Q373-AD373-R373</f>
        <v>#REF!</v>
      </c>
      <c r="AF373" t="str">
        <f>AC373-Q373-AD373-R373</f>
        <v>#REF!</v>
      </c>
      <c r="AG373" t="str">
        <f>AE373/V373</f>
        <v>#REF!</v>
      </c>
      <c r="AH373" t="str">
        <f>AF373/W373</f>
        <v>#REF!</v>
      </c>
    </row>
    <row r="374">
      <c r="G374" t="str">
        <v>A</v>
      </c>
      <c r="J374" t="str">
        <f>IF(K374&gt;0,K374*0.0625,IF(L374&gt;0,L374*2.204623,))</f>
        <v>#REF!</v>
      </c>
      <c r="K374" t="str">
        <f>IF(L374&gt;0,L374*35.273962,IF(J374&gt;0,J374*16,))</f>
        <v>#REF!</v>
      </c>
      <c r="L374" t="str">
        <f>IF(J374&gt;0,J374*0.453592,IF(K374&gt;0,K374*0.02835,))</f>
        <v>#REF!</v>
      </c>
      <c r="O374">
        <f>I374+N374+M374</f>
        <v>0</v>
      </c>
      <c r="P374">
        <f>O374*B$3</f>
        <v>0</v>
      </c>
      <c r="Q374">
        <f>ROUND(SUM(P374), -2)</f>
        <v>0</v>
      </c>
      <c r="R374" t="str">
        <f>ROUNDUP(HLOOKUP(IF(CEILING(L374,0.5)&lt;1,0.5,CEILING(L374,0.5)),'배송비 조회'!A$44:AO$56,7,0)*B$3,-2)</f>
        <v>#REF!</v>
      </c>
      <c r="S374">
        <v>0</v>
      </c>
      <c r="T374" t="str">
        <f>ROUND((Q374+R374)*0.3,-2)</f>
        <v>#REF!</v>
      </c>
      <c r="U374" t="str">
        <f>ROUND((Q374+R374)*0.4,-2)</f>
        <v>#REF!</v>
      </c>
      <c r="V374" t="str">
        <f>SUM(Q374:R374)+T374</f>
        <v>#REF!</v>
      </c>
      <c r="W374" t="str">
        <f>SUM(Q374:S374)+U374</f>
        <v>#REF!</v>
      </c>
      <c r="X374">
        <v>0</v>
      </c>
      <c r="Y374" t="str">
        <f>V374*0.038</f>
        <v>#REF!</v>
      </c>
      <c r="Z374" t="str">
        <f>V374*0.02</f>
        <v>#REF!</v>
      </c>
      <c r="AA374" t="str">
        <f>W374*0.1</f>
        <v>#REF!</v>
      </c>
      <c r="AB374" t="str">
        <f>V374-Y374-Z374</f>
        <v>#REF!</v>
      </c>
      <c r="AC374" t="str">
        <f>W374-AA374</f>
        <v>#REF!</v>
      </c>
      <c r="AD374" t="str">
        <f>AB374*0.01</f>
        <v>#REF!</v>
      </c>
      <c r="AE374" t="str">
        <f>AB374-Q374-AD374-R374</f>
        <v>#REF!</v>
      </c>
      <c r="AF374" t="str">
        <f>AC374-Q374-AD374-R374</f>
        <v>#REF!</v>
      </c>
      <c r="AG374" t="str">
        <f>AE374/V374</f>
        <v>#REF!</v>
      </c>
      <c r="AH374" t="str">
        <f>AF374/W374</f>
        <v>#REF!</v>
      </c>
    </row>
    <row r="375">
      <c r="G375" t="str">
        <v>A</v>
      </c>
      <c r="J375" t="str">
        <f>IF(K375&gt;0,K375*0.0625,IF(L375&gt;0,L375*2.204623,))</f>
        <v>#REF!</v>
      </c>
      <c r="K375" t="str">
        <f>IF(L375&gt;0,L375*35.273962,IF(J375&gt;0,J375*16,))</f>
        <v>#REF!</v>
      </c>
      <c r="L375" t="str">
        <f>IF(J375&gt;0,J375*0.453592,IF(K375&gt;0,K375*0.02835,))</f>
        <v>#REF!</v>
      </c>
      <c r="O375">
        <f>I375+N375+M375</f>
        <v>0</v>
      </c>
      <c r="P375">
        <f>O375*B$3</f>
        <v>0</v>
      </c>
      <c r="Q375">
        <f>ROUND(SUM(P375), -2)</f>
        <v>0</v>
      </c>
      <c r="R375" t="str">
        <f>ROUNDUP(HLOOKUP(IF(CEILING(L375,0.5)&lt;1,0.5,CEILING(L375,0.5)),'배송비 조회'!A$44:AO$56,7,0)*B$3,-2)</f>
        <v>#REF!</v>
      </c>
      <c r="S375">
        <v>0</v>
      </c>
      <c r="T375" t="str">
        <f>ROUND((Q375+R375)*0.3,-2)</f>
        <v>#REF!</v>
      </c>
      <c r="U375" t="str">
        <f>ROUND((Q375+R375)*0.4,-2)</f>
        <v>#REF!</v>
      </c>
      <c r="V375" t="str">
        <f>SUM(Q375:R375)+T375</f>
        <v>#REF!</v>
      </c>
      <c r="W375" t="str">
        <f>SUM(Q375:S375)+U375</f>
        <v>#REF!</v>
      </c>
      <c r="X375">
        <v>0</v>
      </c>
      <c r="Y375" t="str">
        <f>V375*0.038</f>
        <v>#REF!</v>
      </c>
      <c r="Z375" t="str">
        <f>V375*0.02</f>
        <v>#REF!</v>
      </c>
      <c r="AA375" t="str">
        <f>W375*0.1</f>
        <v>#REF!</v>
      </c>
      <c r="AB375" t="str">
        <f>V375-Y375-Z375</f>
        <v>#REF!</v>
      </c>
      <c r="AC375" t="str">
        <f>W375-AA375</f>
        <v>#REF!</v>
      </c>
      <c r="AD375" t="str">
        <f>AB375*0.01</f>
        <v>#REF!</v>
      </c>
      <c r="AE375" t="str">
        <f>AB375-Q375-AD375-R375</f>
        <v>#REF!</v>
      </c>
      <c r="AF375" t="str">
        <f>AC375-Q375-AD375-R375</f>
        <v>#REF!</v>
      </c>
      <c r="AG375" t="str">
        <f>AE375/V375</f>
        <v>#REF!</v>
      </c>
      <c r="AH375" t="str">
        <f>AF375/W375</f>
        <v>#REF!</v>
      </c>
    </row>
    <row r="376">
      <c r="G376" t="str">
        <v>A</v>
      </c>
      <c r="J376" t="str">
        <f>IF(K376&gt;0,K376*0.0625,IF(L376&gt;0,L376*2.204623,))</f>
        <v>#REF!</v>
      </c>
      <c r="K376" t="str">
        <f>IF(L376&gt;0,L376*35.273962,IF(J376&gt;0,J376*16,))</f>
        <v>#REF!</v>
      </c>
      <c r="L376" t="str">
        <f>IF(J376&gt;0,J376*0.453592,IF(K376&gt;0,K376*0.02835,))</f>
        <v>#REF!</v>
      </c>
      <c r="O376">
        <f>I376+N376+M376</f>
        <v>0</v>
      </c>
      <c r="P376">
        <f>O376*B$3</f>
        <v>0</v>
      </c>
      <c r="Q376">
        <f>ROUND(SUM(P376), -2)</f>
        <v>0</v>
      </c>
      <c r="R376" t="str">
        <f>ROUNDUP(HLOOKUP(IF(CEILING(L376,0.5)&lt;1,0.5,CEILING(L376,0.5)),'배송비 조회'!A$44:AO$56,7,0)*B$3,-2)</f>
        <v>#REF!</v>
      </c>
      <c r="S376">
        <v>0</v>
      </c>
      <c r="T376" t="str">
        <f>ROUND((Q376+R376)*0.3,-2)</f>
        <v>#REF!</v>
      </c>
      <c r="U376" t="str">
        <f>ROUND((Q376+R376)*0.4,-2)</f>
        <v>#REF!</v>
      </c>
      <c r="V376" t="str">
        <f>SUM(Q376:R376)+T376</f>
        <v>#REF!</v>
      </c>
      <c r="W376" t="str">
        <f>SUM(Q376:S376)+U376</f>
        <v>#REF!</v>
      </c>
      <c r="X376">
        <v>0</v>
      </c>
      <c r="Y376" t="str">
        <f>V376*0.038</f>
        <v>#REF!</v>
      </c>
      <c r="Z376" t="str">
        <f>V376*0.02</f>
        <v>#REF!</v>
      </c>
      <c r="AA376" t="str">
        <f>W376*0.1</f>
        <v>#REF!</v>
      </c>
      <c r="AB376" t="str">
        <f>V376-Y376-Z376</f>
        <v>#REF!</v>
      </c>
      <c r="AC376" t="str">
        <f>W376-AA376</f>
        <v>#REF!</v>
      </c>
      <c r="AD376" t="str">
        <f>AB376*0.01</f>
        <v>#REF!</v>
      </c>
      <c r="AE376" t="str">
        <f>AB376-Q376-AD376-R376</f>
        <v>#REF!</v>
      </c>
      <c r="AF376" t="str">
        <f>AC376-Q376-AD376-R376</f>
        <v>#REF!</v>
      </c>
      <c r="AG376" t="str">
        <f>AE376/V376</f>
        <v>#REF!</v>
      </c>
      <c r="AH376" t="str">
        <f>AF376/W376</f>
        <v>#REF!</v>
      </c>
    </row>
    <row r="377">
      <c r="G377" t="str">
        <v>A</v>
      </c>
      <c r="J377" t="str">
        <f>IF(K377&gt;0,K377*0.0625,IF(L377&gt;0,L377*2.204623,))</f>
        <v>#REF!</v>
      </c>
      <c r="K377" t="str">
        <f>IF(L377&gt;0,L377*35.273962,IF(J377&gt;0,J377*16,))</f>
        <v>#REF!</v>
      </c>
      <c r="L377" t="str">
        <f>IF(J377&gt;0,J377*0.453592,IF(K377&gt;0,K377*0.02835,))</f>
        <v>#REF!</v>
      </c>
      <c r="O377">
        <f>I377+N377+M377</f>
        <v>0</v>
      </c>
      <c r="P377">
        <f>O377*B$3</f>
        <v>0</v>
      </c>
      <c r="Q377">
        <f>ROUND(SUM(P377), -2)</f>
        <v>0</v>
      </c>
      <c r="R377" t="str">
        <f>ROUNDUP(HLOOKUP(IF(CEILING(L377,0.5)&lt;1,0.5,CEILING(L377,0.5)),'배송비 조회'!A$44:AO$56,7,0)*B$3,-2)</f>
        <v>#REF!</v>
      </c>
      <c r="S377">
        <v>0</v>
      </c>
      <c r="T377" t="str">
        <f>ROUND((Q377+R377)*0.3,-2)</f>
        <v>#REF!</v>
      </c>
      <c r="U377" t="str">
        <f>ROUND((Q377+R377)*0.4,-2)</f>
        <v>#REF!</v>
      </c>
      <c r="V377" t="str">
        <f>SUM(Q377:R377)+T377</f>
        <v>#REF!</v>
      </c>
      <c r="W377" t="str">
        <f>SUM(Q377:S377)+U377</f>
        <v>#REF!</v>
      </c>
      <c r="X377">
        <v>0</v>
      </c>
      <c r="Y377" t="str">
        <f>V377*0.038</f>
        <v>#REF!</v>
      </c>
      <c r="Z377" t="str">
        <f>V377*0.02</f>
        <v>#REF!</v>
      </c>
      <c r="AA377" t="str">
        <f>W377*0.1</f>
        <v>#REF!</v>
      </c>
      <c r="AB377" t="str">
        <f>V377-Y377-Z377</f>
        <v>#REF!</v>
      </c>
      <c r="AC377" t="str">
        <f>W377-AA377</f>
        <v>#REF!</v>
      </c>
      <c r="AD377" t="str">
        <f>AB377*0.01</f>
        <v>#REF!</v>
      </c>
      <c r="AE377" t="str">
        <f>AB377-Q377-AD377-R377</f>
        <v>#REF!</v>
      </c>
      <c r="AF377" t="str">
        <f>AC377-Q377-AD377-R377</f>
        <v>#REF!</v>
      </c>
      <c r="AG377" t="str">
        <f>AE377/V377</f>
        <v>#REF!</v>
      </c>
      <c r="AH377" t="str">
        <f>AF377/W377</f>
        <v>#REF!</v>
      </c>
    </row>
    <row r="378">
      <c r="G378" t="str">
        <v>A</v>
      </c>
      <c r="J378" t="str">
        <f>IF(K378&gt;0,K378*0.0625,IF(L378&gt;0,L378*2.204623,))</f>
        <v>#REF!</v>
      </c>
      <c r="K378" t="str">
        <f>IF(L378&gt;0,L378*35.273962,IF(J378&gt;0,J378*16,))</f>
        <v>#REF!</v>
      </c>
      <c r="L378" t="str">
        <f>IF(J378&gt;0,J378*0.453592,IF(K378&gt;0,K378*0.02835,))</f>
        <v>#REF!</v>
      </c>
      <c r="O378">
        <f>I378+N378+M378</f>
        <v>0</v>
      </c>
      <c r="P378">
        <f>O378*B$3</f>
        <v>0</v>
      </c>
      <c r="Q378">
        <f>ROUND(SUM(P378), -2)</f>
        <v>0</v>
      </c>
      <c r="R378" t="str">
        <f>ROUNDUP(HLOOKUP(IF(CEILING(L378,0.5)&lt;1,0.5,CEILING(L378,0.5)),'배송비 조회'!A$44:AO$56,7,0)*B$3,-2)</f>
        <v>#REF!</v>
      </c>
      <c r="S378">
        <v>0</v>
      </c>
      <c r="T378" t="str">
        <f>ROUND((Q378+R378)*0.3,-2)</f>
        <v>#REF!</v>
      </c>
      <c r="U378" t="str">
        <f>ROUND((Q378+R378)*0.4,-2)</f>
        <v>#REF!</v>
      </c>
      <c r="V378" t="str">
        <f>SUM(Q378:R378)+T378</f>
        <v>#REF!</v>
      </c>
      <c r="W378" t="str">
        <f>SUM(Q378:S378)+U378</f>
        <v>#REF!</v>
      </c>
      <c r="X378">
        <v>0</v>
      </c>
      <c r="Y378" t="str">
        <f>V378*0.038</f>
        <v>#REF!</v>
      </c>
      <c r="Z378" t="str">
        <f>V378*0.02</f>
        <v>#REF!</v>
      </c>
      <c r="AA378" t="str">
        <f>W378*0.1</f>
        <v>#REF!</v>
      </c>
      <c r="AB378" t="str">
        <f>V378-Y378-Z378</f>
        <v>#REF!</v>
      </c>
      <c r="AC378" t="str">
        <f>W378-AA378</f>
        <v>#REF!</v>
      </c>
      <c r="AD378" t="str">
        <f>AB378*0.01</f>
        <v>#REF!</v>
      </c>
      <c r="AE378" t="str">
        <f>AB378-Q378-AD378-R378</f>
        <v>#REF!</v>
      </c>
      <c r="AF378" t="str">
        <f>AC378-Q378-AD378-R378</f>
        <v>#REF!</v>
      </c>
      <c r="AG378" t="str">
        <f>AE378/V378</f>
        <v>#REF!</v>
      </c>
      <c r="AH378" t="str">
        <f>AF378/W378</f>
        <v>#REF!</v>
      </c>
    </row>
    <row r="379">
      <c r="G379" t="str">
        <v>A</v>
      </c>
      <c r="J379" t="str">
        <f>IF(K379&gt;0,K379*0.0625,IF(L379&gt;0,L379*2.204623,))</f>
        <v>#REF!</v>
      </c>
      <c r="K379" t="str">
        <f>IF(L379&gt;0,L379*35.273962,IF(J379&gt;0,J379*16,))</f>
        <v>#REF!</v>
      </c>
      <c r="L379" t="str">
        <f>IF(J379&gt;0,J379*0.453592,IF(K379&gt;0,K379*0.02835,))</f>
        <v>#REF!</v>
      </c>
      <c r="O379">
        <f>I379+N379+M379</f>
        <v>0</v>
      </c>
      <c r="P379">
        <f>O379*B$3</f>
        <v>0</v>
      </c>
      <c r="Q379">
        <f>ROUND(SUM(P379), -2)</f>
        <v>0</v>
      </c>
      <c r="R379" t="str">
        <f>ROUNDUP(HLOOKUP(IF(CEILING(L379,0.5)&lt;1,0.5,CEILING(L379,0.5)),'배송비 조회'!A$44:AO$56,7,0)*B$3,-2)</f>
        <v>#REF!</v>
      </c>
      <c r="S379">
        <v>0</v>
      </c>
      <c r="T379" t="str">
        <f>ROUND((Q379+R379)*0.3,-2)</f>
        <v>#REF!</v>
      </c>
      <c r="U379" t="str">
        <f>ROUND((Q379+R379)*0.4,-2)</f>
        <v>#REF!</v>
      </c>
      <c r="V379" t="str">
        <f>SUM(Q379:R379)+T379</f>
        <v>#REF!</v>
      </c>
      <c r="W379" t="str">
        <f>SUM(Q379:S379)+U379</f>
        <v>#REF!</v>
      </c>
      <c r="X379">
        <v>0</v>
      </c>
      <c r="Y379" t="str">
        <f>V379*0.038</f>
        <v>#REF!</v>
      </c>
      <c r="Z379" t="str">
        <f>V379*0.02</f>
        <v>#REF!</v>
      </c>
      <c r="AA379" t="str">
        <f>W379*0.1</f>
        <v>#REF!</v>
      </c>
      <c r="AB379" t="str">
        <f>V379-Y379-Z379</f>
        <v>#REF!</v>
      </c>
      <c r="AC379" t="str">
        <f>W379-AA379</f>
        <v>#REF!</v>
      </c>
      <c r="AD379" t="str">
        <f>AB379*0.01</f>
        <v>#REF!</v>
      </c>
      <c r="AE379" t="str">
        <f>AB379-Q379-AD379-R379</f>
        <v>#REF!</v>
      </c>
      <c r="AF379" t="str">
        <f>AC379-Q379-AD379-R379</f>
        <v>#REF!</v>
      </c>
      <c r="AG379" t="str">
        <f>AE379/V379</f>
        <v>#REF!</v>
      </c>
      <c r="AH379" t="str">
        <f>AF379/W379</f>
        <v>#REF!</v>
      </c>
    </row>
    <row r="380">
      <c r="G380" t="str">
        <v>A</v>
      </c>
      <c r="J380" t="str">
        <f>IF(K380&gt;0,K380*0.0625,IF(L380&gt;0,L380*2.204623,))</f>
        <v>#REF!</v>
      </c>
      <c r="K380" t="str">
        <f>IF(L380&gt;0,L380*35.273962,IF(J380&gt;0,J380*16,))</f>
        <v>#REF!</v>
      </c>
      <c r="L380" t="str">
        <f>IF(J380&gt;0,J380*0.453592,IF(K380&gt;0,K380*0.02835,))</f>
        <v>#REF!</v>
      </c>
      <c r="O380">
        <f>I380+N380+M380</f>
        <v>0</v>
      </c>
      <c r="P380">
        <f>O380*B$3</f>
        <v>0</v>
      </c>
      <c r="Q380">
        <f>ROUND(SUM(P380), -2)</f>
        <v>0</v>
      </c>
      <c r="R380" t="str">
        <f>ROUNDUP(HLOOKUP(IF(CEILING(L380,0.5)&lt;1,0.5,CEILING(L380,0.5)),'배송비 조회'!A$44:AO$56,7,0)*B$3,-2)</f>
        <v>#REF!</v>
      </c>
      <c r="S380">
        <v>0</v>
      </c>
      <c r="T380" t="str">
        <f>ROUND((Q380+R380)*0.3,-2)</f>
        <v>#REF!</v>
      </c>
      <c r="U380" t="str">
        <f>ROUND((Q380+R380)*0.4,-2)</f>
        <v>#REF!</v>
      </c>
      <c r="V380" t="str">
        <f>SUM(Q380:R380)+T380</f>
        <v>#REF!</v>
      </c>
      <c r="W380" t="str">
        <f>SUM(Q380:S380)+U380</f>
        <v>#REF!</v>
      </c>
      <c r="X380">
        <v>0</v>
      </c>
      <c r="Y380" t="str">
        <f>V380*0.038</f>
        <v>#REF!</v>
      </c>
      <c r="Z380" t="str">
        <f>V380*0.02</f>
        <v>#REF!</v>
      </c>
      <c r="AA380" t="str">
        <f>W380*0.1</f>
        <v>#REF!</v>
      </c>
      <c r="AB380" t="str">
        <f>V380-Y380-Z380</f>
        <v>#REF!</v>
      </c>
      <c r="AC380" t="str">
        <f>W380-AA380</f>
        <v>#REF!</v>
      </c>
      <c r="AD380" t="str">
        <f>AB380*0.01</f>
        <v>#REF!</v>
      </c>
      <c r="AE380" t="str">
        <f>AB380-Q380-AD380-R380</f>
        <v>#REF!</v>
      </c>
      <c r="AF380" t="str">
        <f>AC380-Q380-AD380-R380</f>
        <v>#REF!</v>
      </c>
      <c r="AG380" t="str">
        <f>AE380/V380</f>
        <v>#REF!</v>
      </c>
      <c r="AH380" t="str">
        <f>AF380/W380</f>
        <v>#REF!</v>
      </c>
    </row>
    <row r="381">
      <c r="G381" t="str">
        <v>A</v>
      </c>
      <c r="J381" t="str">
        <f>IF(K381&gt;0,K381*0.0625,IF(L381&gt;0,L381*2.204623,))</f>
        <v>#REF!</v>
      </c>
      <c r="K381" t="str">
        <f>IF(L381&gt;0,L381*35.273962,IF(J381&gt;0,J381*16,))</f>
        <v>#REF!</v>
      </c>
      <c r="L381" t="str">
        <f>IF(J381&gt;0,J381*0.453592,IF(K381&gt;0,K381*0.02835,))</f>
        <v>#REF!</v>
      </c>
      <c r="O381">
        <f>I381+N381+M381</f>
        <v>0</v>
      </c>
      <c r="P381">
        <f>O381*B$3</f>
        <v>0</v>
      </c>
      <c r="Q381">
        <f>ROUND(SUM(P381), -2)</f>
        <v>0</v>
      </c>
      <c r="R381" t="str">
        <f>ROUNDUP(HLOOKUP(IF(CEILING(L381,0.5)&lt;1,0.5,CEILING(L381,0.5)),'배송비 조회'!A$44:AO$56,7,0)*B$3,-2)</f>
        <v>#REF!</v>
      </c>
      <c r="S381">
        <v>0</v>
      </c>
      <c r="T381" t="str">
        <f>ROUND((Q381+R381)*0.3,-2)</f>
        <v>#REF!</v>
      </c>
      <c r="U381" t="str">
        <f>ROUND((Q381+R381)*0.4,-2)</f>
        <v>#REF!</v>
      </c>
      <c r="V381" t="str">
        <f>SUM(Q381:R381)+T381</f>
        <v>#REF!</v>
      </c>
      <c r="W381" t="str">
        <f>SUM(Q381:S381)+U381</f>
        <v>#REF!</v>
      </c>
      <c r="X381">
        <v>0</v>
      </c>
      <c r="Y381" t="str">
        <f>V381*0.038</f>
        <v>#REF!</v>
      </c>
      <c r="Z381" t="str">
        <f>V381*0.02</f>
        <v>#REF!</v>
      </c>
      <c r="AA381" t="str">
        <f>W381*0.1</f>
        <v>#REF!</v>
      </c>
      <c r="AB381" t="str">
        <f>V381-Y381-Z381</f>
        <v>#REF!</v>
      </c>
      <c r="AC381" t="str">
        <f>W381-AA381</f>
        <v>#REF!</v>
      </c>
      <c r="AD381" t="str">
        <f>AB381*0.01</f>
        <v>#REF!</v>
      </c>
      <c r="AE381" t="str">
        <f>AB381-Q381-AD381-R381</f>
        <v>#REF!</v>
      </c>
      <c r="AF381" t="str">
        <f>AC381-Q381-AD381-R381</f>
        <v>#REF!</v>
      </c>
      <c r="AG381" t="str">
        <f>AE381/V381</f>
        <v>#REF!</v>
      </c>
      <c r="AH381" t="str">
        <f>AF381/W381</f>
        <v>#REF!</v>
      </c>
    </row>
    <row r="382">
      <c r="G382" t="str">
        <v>A</v>
      </c>
      <c r="J382" t="str">
        <f>IF(K382&gt;0,K382*0.0625,IF(L382&gt;0,L382*2.204623,))</f>
        <v>#REF!</v>
      </c>
      <c r="K382" t="str">
        <f>IF(L382&gt;0,L382*35.273962,IF(J382&gt;0,J382*16,))</f>
        <v>#REF!</v>
      </c>
      <c r="L382" t="str">
        <f>IF(J382&gt;0,J382*0.453592,IF(K382&gt;0,K382*0.02835,))</f>
        <v>#REF!</v>
      </c>
      <c r="O382">
        <f>I382+N382+M382</f>
        <v>0</v>
      </c>
      <c r="P382">
        <f>O382*B$3</f>
        <v>0</v>
      </c>
      <c r="Q382">
        <f>ROUND(SUM(P382), -2)</f>
        <v>0</v>
      </c>
      <c r="R382" t="str">
        <f>ROUNDUP(HLOOKUP(IF(CEILING(L382,0.5)&lt;1,0.5,CEILING(L382,0.5)),'배송비 조회'!A$44:AO$56,7,0)*B$3,-2)</f>
        <v>#REF!</v>
      </c>
      <c r="S382">
        <v>0</v>
      </c>
      <c r="T382" t="str">
        <f>ROUND((Q382+R382)*0.3,-2)</f>
        <v>#REF!</v>
      </c>
      <c r="U382" t="str">
        <f>ROUND((Q382+R382)*0.4,-2)</f>
        <v>#REF!</v>
      </c>
      <c r="V382" t="str">
        <f>SUM(Q382:R382)+T382</f>
        <v>#REF!</v>
      </c>
      <c r="W382" t="str">
        <f>SUM(Q382:S382)+U382</f>
        <v>#REF!</v>
      </c>
      <c r="X382">
        <v>0</v>
      </c>
      <c r="Y382" t="str">
        <f>V382*0.038</f>
        <v>#REF!</v>
      </c>
      <c r="Z382" t="str">
        <f>V382*0.02</f>
        <v>#REF!</v>
      </c>
      <c r="AA382" t="str">
        <f>W382*0.1</f>
        <v>#REF!</v>
      </c>
      <c r="AB382" t="str">
        <f>V382-Y382-Z382</f>
        <v>#REF!</v>
      </c>
      <c r="AC382" t="str">
        <f>W382-AA382</f>
        <v>#REF!</v>
      </c>
      <c r="AD382" t="str">
        <f>AB382*0.01</f>
        <v>#REF!</v>
      </c>
      <c r="AE382" t="str">
        <f>AB382-Q382-AD382-R382</f>
        <v>#REF!</v>
      </c>
      <c r="AF382" t="str">
        <f>AC382-Q382-AD382-R382</f>
        <v>#REF!</v>
      </c>
      <c r="AG382" t="str">
        <f>AE382/V382</f>
        <v>#REF!</v>
      </c>
      <c r="AH382" t="str">
        <f>AF382/W382</f>
        <v>#REF!</v>
      </c>
    </row>
    <row r="383">
      <c r="G383" t="str">
        <v>A</v>
      </c>
      <c r="J383" t="str">
        <f>IF(K383&gt;0,K383*0.0625,IF(L383&gt;0,L383*2.204623,))</f>
        <v>#REF!</v>
      </c>
      <c r="K383" t="str">
        <f>IF(L383&gt;0,L383*35.273962,IF(J383&gt;0,J383*16,))</f>
        <v>#REF!</v>
      </c>
      <c r="L383" t="str">
        <f>IF(J383&gt;0,J383*0.453592,IF(K383&gt;0,K383*0.02835,))</f>
        <v>#REF!</v>
      </c>
      <c r="O383">
        <f>I383+N383+M383</f>
        <v>0</v>
      </c>
      <c r="P383">
        <f>O383*B$3</f>
        <v>0</v>
      </c>
      <c r="Q383">
        <f>ROUND(SUM(P383), -2)</f>
        <v>0</v>
      </c>
      <c r="R383" t="str">
        <f>ROUNDUP(HLOOKUP(IF(CEILING(L383,0.5)&lt;1,0.5,CEILING(L383,0.5)),'배송비 조회'!A$44:AO$56,7,0)*B$3,-2)</f>
        <v>#REF!</v>
      </c>
      <c r="S383">
        <v>0</v>
      </c>
      <c r="T383" t="str">
        <f>ROUND((Q383+R383)*0.3,-2)</f>
        <v>#REF!</v>
      </c>
      <c r="U383" t="str">
        <f>ROUND((Q383+R383)*0.4,-2)</f>
        <v>#REF!</v>
      </c>
      <c r="V383" t="str">
        <f>SUM(Q383:R383)+T383</f>
        <v>#REF!</v>
      </c>
      <c r="W383" t="str">
        <f>SUM(Q383:S383)+U383</f>
        <v>#REF!</v>
      </c>
      <c r="X383">
        <v>0</v>
      </c>
      <c r="Y383" t="str">
        <f>V383*0.038</f>
        <v>#REF!</v>
      </c>
      <c r="Z383" t="str">
        <f>V383*0.02</f>
        <v>#REF!</v>
      </c>
      <c r="AA383" t="str">
        <f>W383*0.1</f>
        <v>#REF!</v>
      </c>
      <c r="AB383" t="str">
        <f>V383-Y383-Z383</f>
        <v>#REF!</v>
      </c>
      <c r="AC383" t="str">
        <f>W383-AA383</f>
        <v>#REF!</v>
      </c>
      <c r="AD383" t="str">
        <f>AB383*0.01</f>
        <v>#REF!</v>
      </c>
      <c r="AE383" t="str">
        <f>AB383-Q383-AD383-R383</f>
        <v>#REF!</v>
      </c>
      <c r="AF383" t="str">
        <f>AC383-Q383-AD383-R383</f>
        <v>#REF!</v>
      </c>
      <c r="AG383" t="str">
        <f>AE383/V383</f>
        <v>#REF!</v>
      </c>
      <c r="AH383" t="str">
        <f>AF383/W383</f>
        <v>#REF!</v>
      </c>
    </row>
    <row r="384">
      <c r="G384" t="str">
        <v>A</v>
      </c>
      <c r="J384" t="str">
        <f>IF(K384&gt;0,K384*0.0625,IF(L384&gt;0,L384*2.204623,))</f>
        <v>#REF!</v>
      </c>
      <c r="K384" t="str">
        <f>IF(L384&gt;0,L384*35.273962,IF(J384&gt;0,J384*16,))</f>
        <v>#REF!</v>
      </c>
      <c r="L384" t="str">
        <f>IF(J384&gt;0,J384*0.453592,IF(K384&gt;0,K384*0.02835,))</f>
        <v>#REF!</v>
      </c>
      <c r="O384">
        <f>I384+N384+M384</f>
        <v>0</v>
      </c>
      <c r="P384">
        <f>O384*B$3</f>
        <v>0</v>
      </c>
      <c r="Q384">
        <f>ROUND(SUM(P384), -2)</f>
        <v>0</v>
      </c>
      <c r="R384" t="str">
        <f>ROUNDUP(HLOOKUP(IF(CEILING(L384,0.5)&lt;1,0.5,CEILING(L384,0.5)),'배송비 조회'!A$44:AO$56,7,0)*B$3,-2)</f>
        <v>#REF!</v>
      </c>
      <c r="S384">
        <v>0</v>
      </c>
      <c r="T384" t="str">
        <f>ROUND((Q384+R384)*0.3,-2)</f>
        <v>#REF!</v>
      </c>
      <c r="U384" t="str">
        <f>ROUND((Q384+R384)*0.4,-2)</f>
        <v>#REF!</v>
      </c>
      <c r="V384" t="str">
        <f>SUM(Q384:R384)+T384</f>
        <v>#REF!</v>
      </c>
      <c r="W384" t="str">
        <f>SUM(Q384:S384)+U384</f>
        <v>#REF!</v>
      </c>
      <c r="X384">
        <v>0</v>
      </c>
      <c r="Y384" t="str">
        <f>V384*0.038</f>
        <v>#REF!</v>
      </c>
      <c r="Z384" t="str">
        <f>V384*0.02</f>
        <v>#REF!</v>
      </c>
      <c r="AA384" t="str">
        <f>W384*0.1</f>
        <v>#REF!</v>
      </c>
      <c r="AB384" t="str">
        <f>V384-Y384-Z384</f>
        <v>#REF!</v>
      </c>
      <c r="AC384" t="str">
        <f>W384-AA384</f>
        <v>#REF!</v>
      </c>
      <c r="AD384" t="str">
        <f>AB384*0.01</f>
        <v>#REF!</v>
      </c>
      <c r="AE384" t="str">
        <f>AB384-Q384-AD384-R384</f>
        <v>#REF!</v>
      </c>
      <c r="AF384" t="str">
        <f>AC384-Q384-AD384-R384</f>
        <v>#REF!</v>
      </c>
      <c r="AG384" t="str">
        <f>AE384/V384</f>
        <v>#REF!</v>
      </c>
      <c r="AH384" t="str">
        <f>AF384/W384</f>
        <v>#REF!</v>
      </c>
    </row>
    <row r="385">
      <c r="G385" t="str">
        <v>A</v>
      </c>
      <c r="J385" t="str">
        <f>IF(K385&gt;0,K385*0.0625,IF(L385&gt;0,L385*2.204623,))</f>
        <v>#REF!</v>
      </c>
      <c r="K385" t="str">
        <f>IF(L385&gt;0,L385*35.273962,IF(J385&gt;0,J385*16,))</f>
        <v>#REF!</v>
      </c>
      <c r="L385" t="str">
        <f>IF(J385&gt;0,J385*0.453592,IF(K385&gt;0,K385*0.02835,))</f>
        <v>#REF!</v>
      </c>
      <c r="O385">
        <f>I385+N385+M385</f>
        <v>0</v>
      </c>
      <c r="P385">
        <f>O385*B$3</f>
        <v>0</v>
      </c>
      <c r="Q385">
        <f>ROUND(SUM(P385), -2)</f>
        <v>0</v>
      </c>
      <c r="R385" t="str">
        <f>ROUNDUP(HLOOKUP(IF(CEILING(L385,0.5)&lt;1,0.5,CEILING(L385,0.5)),'배송비 조회'!A$44:AO$56,7,0)*B$3,-2)</f>
        <v>#REF!</v>
      </c>
      <c r="S385">
        <v>0</v>
      </c>
      <c r="T385" t="str">
        <f>ROUND((Q385+R385)*0.3,-2)</f>
        <v>#REF!</v>
      </c>
      <c r="U385" t="str">
        <f>ROUND((Q385+R385)*0.4,-2)</f>
        <v>#REF!</v>
      </c>
      <c r="V385" t="str">
        <f>SUM(Q385:R385)+T385</f>
        <v>#REF!</v>
      </c>
      <c r="W385" t="str">
        <f>SUM(Q385:S385)+U385</f>
        <v>#REF!</v>
      </c>
      <c r="X385">
        <v>0</v>
      </c>
      <c r="Y385" t="str">
        <f>V385*0.038</f>
        <v>#REF!</v>
      </c>
      <c r="Z385" t="str">
        <f>V385*0.02</f>
        <v>#REF!</v>
      </c>
      <c r="AA385" t="str">
        <f>W385*0.1</f>
        <v>#REF!</v>
      </c>
      <c r="AB385" t="str">
        <f>V385-Y385-Z385</f>
        <v>#REF!</v>
      </c>
      <c r="AC385" t="str">
        <f>W385-AA385</f>
        <v>#REF!</v>
      </c>
      <c r="AD385" t="str">
        <f>AB385*0.01</f>
        <v>#REF!</v>
      </c>
      <c r="AE385" t="str">
        <f>AB385-Q385-AD385-R385</f>
        <v>#REF!</v>
      </c>
      <c r="AF385" t="str">
        <f>AC385-Q385-AD385-R385</f>
        <v>#REF!</v>
      </c>
      <c r="AG385" t="str">
        <f>AE385/V385</f>
        <v>#REF!</v>
      </c>
      <c r="AH385" t="str">
        <f>AF385/W385</f>
        <v>#REF!</v>
      </c>
    </row>
    <row r="386">
      <c r="G386" t="str">
        <v>A</v>
      </c>
      <c r="J386" t="str">
        <f>IF(K386&gt;0,K386*0.0625,IF(L386&gt;0,L386*2.204623,))</f>
        <v>#REF!</v>
      </c>
      <c r="K386" t="str">
        <f>IF(L386&gt;0,L386*35.273962,IF(J386&gt;0,J386*16,))</f>
        <v>#REF!</v>
      </c>
      <c r="L386" t="str">
        <f>IF(J386&gt;0,J386*0.453592,IF(K386&gt;0,K386*0.02835,))</f>
        <v>#REF!</v>
      </c>
      <c r="O386">
        <f>I386+N386+M386</f>
        <v>0</v>
      </c>
      <c r="P386">
        <f>O386*B$3</f>
        <v>0</v>
      </c>
      <c r="Q386">
        <f>ROUND(SUM(P386), -2)</f>
        <v>0</v>
      </c>
      <c r="R386" t="str">
        <f>ROUNDUP(HLOOKUP(IF(CEILING(L386,0.5)&lt;1,0.5,CEILING(L386,0.5)),'배송비 조회'!A$44:AO$56,7,0)*B$3,-2)</f>
        <v>#REF!</v>
      </c>
      <c r="S386">
        <v>0</v>
      </c>
      <c r="T386" t="str">
        <f>ROUND((Q386+R386)*0.3,-2)</f>
        <v>#REF!</v>
      </c>
      <c r="U386" t="str">
        <f>ROUND((Q386+R386)*0.4,-2)</f>
        <v>#REF!</v>
      </c>
      <c r="V386" t="str">
        <f>SUM(Q386:R386)+T386</f>
        <v>#REF!</v>
      </c>
      <c r="W386" t="str">
        <f>SUM(Q386:S386)+U386</f>
        <v>#REF!</v>
      </c>
      <c r="X386">
        <v>0</v>
      </c>
      <c r="Y386" t="str">
        <f>V386*0.038</f>
        <v>#REF!</v>
      </c>
      <c r="Z386" t="str">
        <f>V386*0.02</f>
        <v>#REF!</v>
      </c>
      <c r="AA386" t="str">
        <f>W386*0.1</f>
        <v>#REF!</v>
      </c>
      <c r="AB386" t="str">
        <f>V386-Y386-Z386</f>
        <v>#REF!</v>
      </c>
      <c r="AC386" t="str">
        <f>W386-AA386</f>
        <v>#REF!</v>
      </c>
      <c r="AD386" t="str">
        <f>AB386*0.01</f>
        <v>#REF!</v>
      </c>
      <c r="AE386" t="str">
        <f>AB386-Q386-AD386-R386</f>
        <v>#REF!</v>
      </c>
      <c r="AF386" t="str">
        <f>AC386-Q386-AD386-R386</f>
        <v>#REF!</v>
      </c>
      <c r="AG386" t="str">
        <f>AE386/V386</f>
        <v>#REF!</v>
      </c>
      <c r="AH386" t="str">
        <f>AF386/W386</f>
        <v>#REF!</v>
      </c>
    </row>
    <row r="387">
      <c r="G387" t="str">
        <v>A</v>
      </c>
      <c r="J387" t="str">
        <f>IF(K387&gt;0,K387*0.0625,IF(L387&gt;0,L387*2.204623,))</f>
        <v>#REF!</v>
      </c>
      <c r="K387" t="str">
        <f>IF(L387&gt;0,L387*35.273962,IF(J387&gt;0,J387*16,))</f>
        <v>#REF!</v>
      </c>
      <c r="L387" t="str">
        <f>IF(J387&gt;0,J387*0.453592,IF(K387&gt;0,K387*0.02835,))</f>
        <v>#REF!</v>
      </c>
      <c r="O387">
        <f>I387+N387+M387</f>
        <v>0</v>
      </c>
      <c r="P387">
        <f>O387*B$3</f>
        <v>0</v>
      </c>
      <c r="Q387">
        <f>ROUND(SUM(P387), -2)</f>
        <v>0</v>
      </c>
      <c r="R387" t="str">
        <f>ROUNDUP(HLOOKUP(IF(CEILING(L387,0.5)&lt;1,0.5,CEILING(L387,0.5)),'배송비 조회'!A$44:AO$56,7,0)*B$3,-2)</f>
        <v>#REF!</v>
      </c>
      <c r="S387">
        <v>0</v>
      </c>
      <c r="T387" t="str">
        <f>ROUND((Q387+R387)*0.3,-2)</f>
        <v>#REF!</v>
      </c>
      <c r="U387" t="str">
        <f>ROUND((Q387+R387)*0.4,-2)</f>
        <v>#REF!</v>
      </c>
      <c r="V387" t="str">
        <f>SUM(Q387:R387)+T387</f>
        <v>#REF!</v>
      </c>
      <c r="W387" t="str">
        <f>SUM(Q387:S387)+U387</f>
        <v>#REF!</v>
      </c>
      <c r="X387">
        <v>0</v>
      </c>
      <c r="Y387" t="str">
        <f>V387*0.038</f>
        <v>#REF!</v>
      </c>
      <c r="Z387" t="str">
        <f>V387*0.02</f>
        <v>#REF!</v>
      </c>
      <c r="AA387" t="str">
        <f>W387*0.1</f>
        <v>#REF!</v>
      </c>
      <c r="AB387" t="str">
        <f>V387-Y387-Z387</f>
        <v>#REF!</v>
      </c>
      <c r="AC387" t="str">
        <f>W387-AA387</f>
        <v>#REF!</v>
      </c>
      <c r="AD387" t="str">
        <f>AB387*0.01</f>
        <v>#REF!</v>
      </c>
      <c r="AE387" t="str">
        <f>AB387-Q387-AD387-R387</f>
        <v>#REF!</v>
      </c>
      <c r="AF387" t="str">
        <f>AC387-Q387-AD387-R387</f>
        <v>#REF!</v>
      </c>
      <c r="AG387" t="str">
        <f>AE387/V387</f>
        <v>#REF!</v>
      </c>
      <c r="AH387" t="str">
        <f>AF387/W387</f>
        <v>#REF!</v>
      </c>
    </row>
    <row r="388">
      <c r="G388" t="str">
        <v>A</v>
      </c>
      <c r="J388" t="str">
        <f>IF(K388&gt;0,K388*0.0625,IF(L388&gt;0,L388*2.204623,))</f>
        <v>#REF!</v>
      </c>
      <c r="K388" t="str">
        <f>IF(L388&gt;0,L388*35.273962,IF(J388&gt;0,J388*16,))</f>
        <v>#REF!</v>
      </c>
      <c r="L388" t="str">
        <f>IF(J388&gt;0,J388*0.453592,IF(K388&gt;0,K388*0.02835,))</f>
        <v>#REF!</v>
      </c>
      <c r="O388">
        <f>I388+N388+M388</f>
        <v>0</v>
      </c>
      <c r="P388">
        <f>O388*B$3</f>
        <v>0</v>
      </c>
      <c r="Q388">
        <f>ROUND(SUM(P388), -2)</f>
        <v>0</v>
      </c>
      <c r="R388" t="str">
        <f>ROUNDUP(HLOOKUP(IF(CEILING(L388,0.5)&lt;1,0.5,CEILING(L388,0.5)),'배송비 조회'!A$44:AO$56,7,0)*B$3,-2)</f>
        <v>#REF!</v>
      </c>
      <c r="S388">
        <v>0</v>
      </c>
      <c r="T388" t="str">
        <f>ROUND((Q388+R388)*0.3,-2)</f>
        <v>#REF!</v>
      </c>
      <c r="U388" t="str">
        <f>ROUND((Q388+R388)*0.4,-2)</f>
        <v>#REF!</v>
      </c>
      <c r="V388" t="str">
        <f>SUM(Q388:R388)+T388</f>
        <v>#REF!</v>
      </c>
      <c r="W388" t="str">
        <f>SUM(Q388:S388)+U388</f>
        <v>#REF!</v>
      </c>
      <c r="X388">
        <v>0</v>
      </c>
      <c r="Y388" t="str">
        <f>V388*0.038</f>
        <v>#REF!</v>
      </c>
      <c r="Z388" t="str">
        <f>V388*0.02</f>
        <v>#REF!</v>
      </c>
      <c r="AA388" t="str">
        <f>W388*0.1</f>
        <v>#REF!</v>
      </c>
      <c r="AB388" t="str">
        <f>V388-Y388-Z388</f>
        <v>#REF!</v>
      </c>
      <c r="AC388" t="str">
        <f>W388-AA388</f>
        <v>#REF!</v>
      </c>
      <c r="AD388" t="str">
        <f>AB388*0.01</f>
        <v>#REF!</v>
      </c>
      <c r="AE388" t="str">
        <f>AB388-Q388-AD388-R388</f>
        <v>#REF!</v>
      </c>
      <c r="AF388" t="str">
        <f>AC388-Q388-AD388-R388</f>
        <v>#REF!</v>
      </c>
      <c r="AG388" t="str">
        <f>AE388/V388</f>
        <v>#REF!</v>
      </c>
      <c r="AH388" t="str">
        <f>AF388/W388</f>
        <v>#REF!</v>
      </c>
    </row>
    <row r="389">
      <c r="G389" t="str">
        <v>A</v>
      </c>
      <c r="J389" t="str">
        <f>IF(K389&gt;0,K389*0.0625,IF(L389&gt;0,L389*2.204623,))</f>
        <v>#REF!</v>
      </c>
      <c r="K389" t="str">
        <f>IF(L389&gt;0,L389*35.273962,IF(J389&gt;0,J389*16,))</f>
        <v>#REF!</v>
      </c>
      <c r="L389" t="str">
        <f>IF(J389&gt;0,J389*0.453592,IF(K389&gt;0,K389*0.02835,))</f>
        <v>#REF!</v>
      </c>
      <c r="O389">
        <f>I389+N389+M389</f>
        <v>0</v>
      </c>
      <c r="P389">
        <f>O389*B$3</f>
        <v>0</v>
      </c>
      <c r="Q389">
        <f>ROUND(SUM(P389), -2)</f>
        <v>0</v>
      </c>
      <c r="R389" t="str">
        <f>ROUNDUP(HLOOKUP(IF(CEILING(L389,0.5)&lt;1,0.5,CEILING(L389,0.5)),'배송비 조회'!A$44:AO$56,7,0)*B$3,-2)</f>
        <v>#REF!</v>
      </c>
      <c r="S389">
        <v>0</v>
      </c>
      <c r="T389" t="str">
        <f>ROUND((Q389+R389)*0.3,-2)</f>
        <v>#REF!</v>
      </c>
      <c r="U389" t="str">
        <f>ROUND((Q389+R389)*0.4,-2)</f>
        <v>#REF!</v>
      </c>
      <c r="V389" t="str">
        <f>SUM(Q389:R389)+T389</f>
        <v>#REF!</v>
      </c>
      <c r="W389" t="str">
        <f>SUM(Q389:S389)+U389</f>
        <v>#REF!</v>
      </c>
      <c r="X389">
        <v>0</v>
      </c>
      <c r="Y389" t="str">
        <f>V389*0.038</f>
        <v>#REF!</v>
      </c>
      <c r="Z389" t="str">
        <f>V389*0.02</f>
        <v>#REF!</v>
      </c>
      <c r="AA389" t="str">
        <f>W389*0.1</f>
        <v>#REF!</v>
      </c>
      <c r="AB389" t="str">
        <f>V389-Y389-Z389</f>
        <v>#REF!</v>
      </c>
      <c r="AC389" t="str">
        <f>W389-AA389</f>
        <v>#REF!</v>
      </c>
      <c r="AD389" t="str">
        <f>AB389*0.01</f>
        <v>#REF!</v>
      </c>
      <c r="AE389" t="str">
        <f>AB389-Q389-AD389-R389</f>
        <v>#REF!</v>
      </c>
      <c r="AF389" t="str">
        <f>AC389-Q389-AD389-R389</f>
        <v>#REF!</v>
      </c>
      <c r="AG389" t="str">
        <f>AE389/V389</f>
        <v>#REF!</v>
      </c>
      <c r="AH389" t="str">
        <f>AF389/W389</f>
        <v>#REF!</v>
      </c>
    </row>
    <row r="390">
      <c r="G390" t="str">
        <v>A</v>
      </c>
      <c r="J390" t="str">
        <f>IF(K390&gt;0,K390*0.0625,IF(L390&gt;0,L390*2.204623,))</f>
        <v>#REF!</v>
      </c>
      <c r="K390" t="str">
        <f>IF(L390&gt;0,L390*35.273962,IF(J390&gt;0,J390*16,))</f>
        <v>#REF!</v>
      </c>
      <c r="L390" t="str">
        <f>IF(J390&gt;0,J390*0.453592,IF(K390&gt;0,K390*0.02835,))</f>
        <v>#REF!</v>
      </c>
      <c r="O390">
        <f>I390+N390+M390</f>
        <v>0</v>
      </c>
      <c r="P390">
        <f>O390*B$3</f>
        <v>0</v>
      </c>
      <c r="Q390">
        <f>ROUND(SUM(P390), -2)</f>
        <v>0</v>
      </c>
      <c r="R390" t="str">
        <f>ROUNDUP(HLOOKUP(IF(CEILING(L390,0.5)&lt;1,0.5,CEILING(L390,0.5)),'배송비 조회'!A$44:AO$56,7,0)*B$3,-2)</f>
        <v>#REF!</v>
      </c>
      <c r="S390">
        <v>0</v>
      </c>
      <c r="T390" t="str">
        <f>ROUND((Q390+R390)*0.3,-2)</f>
        <v>#REF!</v>
      </c>
      <c r="U390" t="str">
        <f>ROUND((Q390+R390)*0.4,-2)</f>
        <v>#REF!</v>
      </c>
      <c r="V390" t="str">
        <f>SUM(Q390:R390)+T390</f>
        <v>#REF!</v>
      </c>
      <c r="W390" t="str">
        <f>SUM(Q390:S390)+U390</f>
        <v>#REF!</v>
      </c>
      <c r="X390">
        <v>0</v>
      </c>
      <c r="Y390" t="str">
        <f>V390*0.038</f>
        <v>#REF!</v>
      </c>
      <c r="Z390" t="str">
        <f>V390*0.02</f>
        <v>#REF!</v>
      </c>
      <c r="AA390" t="str">
        <f>W390*0.1</f>
        <v>#REF!</v>
      </c>
      <c r="AB390" t="str">
        <f>V390-Y390-Z390</f>
        <v>#REF!</v>
      </c>
      <c r="AC390" t="str">
        <f>W390-AA390</f>
        <v>#REF!</v>
      </c>
      <c r="AD390" t="str">
        <f>AB390*0.01</f>
        <v>#REF!</v>
      </c>
      <c r="AE390" t="str">
        <f>AB390-Q390-AD390-R390</f>
        <v>#REF!</v>
      </c>
      <c r="AF390" t="str">
        <f>AC390-Q390-AD390-R390</f>
        <v>#REF!</v>
      </c>
      <c r="AG390" t="str">
        <f>AE390/V390</f>
        <v>#REF!</v>
      </c>
      <c r="AH390" t="str">
        <f>AF390/W390</f>
        <v>#REF!</v>
      </c>
    </row>
    <row r="391">
      <c r="G391" t="str">
        <v>A</v>
      </c>
      <c r="J391" t="str">
        <f>IF(K391&gt;0,K391*0.0625,IF(L391&gt;0,L391*2.204623,))</f>
        <v>#REF!</v>
      </c>
      <c r="K391" t="str">
        <f>IF(L391&gt;0,L391*35.273962,IF(J391&gt;0,J391*16,))</f>
        <v>#REF!</v>
      </c>
      <c r="L391" t="str">
        <f>IF(J391&gt;0,J391*0.453592,IF(K391&gt;0,K391*0.02835,))</f>
        <v>#REF!</v>
      </c>
      <c r="O391">
        <f>I391+N391+M391</f>
        <v>0</v>
      </c>
      <c r="P391">
        <f>O391*B$3</f>
        <v>0</v>
      </c>
      <c r="Q391">
        <f>ROUND(SUM(P391), -2)</f>
        <v>0</v>
      </c>
      <c r="R391" t="str">
        <f>ROUNDUP(HLOOKUP(IF(CEILING(L391,0.5)&lt;1,0.5,CEILING(L391,0.5)),'배송비 조회'!A$44:AO$56,7,0)*B$3,-2)</f>
        <v>#REF!</v>
      </c>
      <c r="S391">
        <v>0</v>
      </c>
      <c r="T391" t="str">
        <f>ROUND((Q391+R391)*0.3,-2)</f>
        <v>#REF!</v>
      </c>
      <c r="U391" t="str">
        <f>ROUND((Q391+R391)*0.4,-2)</f>
        <v>#REF!</v>
      </c>
      <c r="V391" t="str">
        <f>SUM(Q391:R391)+T391</f>
        <v>#REF!</v>
      </c>
      <c r="W391" t="str">
        <f>SUM(Q391:S391)+U391</f>
        <v>#REF!</v>
      </c>
      <c r="X391">
        <v>0</v>
      </c>
      <c r="Y391" t="str">
        <f>V391*0.038</f>
        <v>#REF!</v>
      </c>
      <c r="Z391" t="str">
        <f>V391*0.02</f>
        <v>#REF!</v>
      </c>
      <c r="AA391" t="str">
        <f>W391*0.1</f>
        <v>#REF!</v>
      </c>
      <c r="AB391" t="str">
        <f>V391-Y391-Z391</f>
        <v>#REF!</v>
      </c>
      <c r="AC391" t="str">
        <f>W391-AA391</f>
        <v>#REF!</v>
      </c>
      <c r="AD391" t="str">
        <f>AB391*0.01</f>
        <v>#REF!</v>
      </c>
      <c r="AE391" t="str">
        <f>AB391-Q391-AD391-R391</f>
        <v>#REF!</v>
      </c>
      <c r="AF391" t="str">
        <f>AC391-Q391-AD391-R391</f>
        <v>#REF!</v>
      </c>
      <c r="AG391" t="str">
        <f>AE391/V391</f>
        <v>#REF!</v>
      </c>
      <c r="AH391" t="str">
        <f>AF391/W391</f>
        <v>#REF!</v>
      </c>
    </row>
    <row r="392">
      <c r="G392" t="str">
        <v>A</v>
      </c>
      <c r="J392" t="str">
        <f>IF(K392&gt;0,K392*0.0625,IF(L392&gt;0,L392*2.204623,))</f>
        <v>#REF!</v>
      </c>
      <c r="K392" t="str">
        <f>IF(L392&gt;0,L392*35.273962,IF(J392&gt;0,J392*16,))</f>
        <v>#REF!</v>
      </c>
      <c r="L392" t="str">
        <f>IF(J392&gt;0,J392*0.453592,IF(K392&gt;0,K392*0.02835,))</f>
        <v>#REF!</v>
      </c>
      <c r="O392">
        <f>I392+N392+M392</f>
        <v>0</v>
      </c>
      <c r="P392">
        <f>O392*B$3</f>
        <v>0</v>
      </c>
      <c r="Q392">
        <f>ROUND(SUM(P392), -2)</f>
        <v>0</v>
      </c>
      <c r="R392" t="str">
        <f>ROUNDUP(HLOOKUP(IF(CEILING(L392,0.5)&lt;1,0.5,CEILING(L392,0.5)),'배송비 조회'!A$44:AO$56,7,0)*B$3,-2)</f>
        <v>#REF!</v>
      </c>
      <c r="S392">
        <v>0</v>
      </c>
      <c r="T392" t="str">
        <f>ROUND((Q392+R392)*0.3,-2)</f>
        <v>#REF!</v>
      </c>
      <c r="U392" t="str">
        <f>ROUND((Q392+R392)*0.4,-2)</f>
        <v>#REF!</v>
      </c>
      <c r="V392" t="str">
        <f>SUM(Q392:R392)+T392</f>
        <v>#REF!</v>
      </c>
      <c r="W392" t="str">
        <f>SUM(Q392:S392)+U392</f>
        <v>#REF!</v>
      </c>
      <c r="X392">
        <v>0</v>
      </c>
      <c r="Y392" t="str">
        <f>V392*0.038</f>
        <v>#REF!</v>
      </c>
      <c r="Z392" t="str">
        <f>V392*0.02</f>
        <v>#REF!</v>
      </c>
      <c r="AA392" t="str">
        <f>W392*0.1</f>
        <v>#REF!</v>
      </c>
      <c r="AB392" t="str">
        <f>V392-Y392-Z392</f>
        <v>#REF!</v>
      </c>
      <c r="AC392" t="str">
        <f>W392-AA392</f>
        <v>#REF!</v>
      </c>
      <c r="AD392" t="str">
        <f>AB392*0.01</f>
        <v>#REF!</v>
      </c>
      <c r="AE392" t="str">
        <f>AB392-Q392-AD392-R392</f>
        <v>#REF!</v>
      </c>
      <c r="AF392" t="str">
        <f>AC392-Q392-AD392-R392</f>
        <v>#REF!</v>
      </c>
      <c r="AG392" t="str">
        <f>AE392/V392</f>
        <v>#REF!</v>
      </c>
      <c r="AH392" t="str">
        <f>AF392/W392</f>
        <v>#REF!</v>
      </c>
    </row>
    <row r="393">
      <c r="G393" t="str">
        <v>A</v>
      </c>
      <c r="J393" t="str">
        <f>IF(K393&gt;0,K393*0.0625,IF(L393&gt;0,L393*2.204623,))</f>
        <v>#REF!</v>
      </c>
      <c r="K393" t="str">
        <f>IF(L393&gt;0,L393*35.273962,IF(J393&gt;0,J393*16,))</f>
        <v>#REF!</v>
      </c>
      <c r="L393" t="str">
        <f>IF(J393&gt;0,J393*0.453592,IF(K393&gt;0,K393*0.02835,))</f>
        <v>#REF!</v>
      </c>
      <c r="O393">
        <f>I393+N393+M393</f>
        <v>0</v>
      </c>
      <c r="P393">
        <f>O393*B$3</f>
        <v>0</v>
      </c>
      <c r="Q393">
        <f>ROUND(SUM(P393), -2)</f>
        <v>0</v>
      </c>
      <c r="R393" t="str">
        <f>ROUNDUP(HLOOKUP(IF(CEILING(L393,0.5)&lt;1,0.5,CEILING(L393,0.5)),'배송비 조회'!A$44:AO$56,7,0)*B$3,-2)</f>
        <v>#REF!</v>
      </c>
      <c r="S393">
        <v>0</v>
      </c>
      <c r="T393" t="str">
        <f>ROUND((Q393+R393)*0.3,-2)</f>
        <v>#REF!</v>
      </c>
      <c r="U393" t="str">
        <f>ROUND((Q393+R393)*0.4,-2)</f>
        <v>#REF!</v>
      </c>
      <c r="V393" t="str">
        <f>SUM(Q393:R393)+T393</f>
        <v>#REF!</v>
      </c>
      <c r="W393" t="str">
        <f>SUM(Q393:S393)+U393</f>
        <v>#REF!</v>
      </c>
      <c r="X393">
        <v>0</v>
      </c>
      <c r="Y393" t="str">
        <f>V393*0.038</f>
        <v>#REF!</v>
      </c>
      <c r="Z393" t="str">
        <f>V393*0.02</f>
        <v>#REF!</v>
      </c>
      <c r="AA393" t="str">
        <f>W393*0.1</f>
        <v>#REF!</v>
      </c>
      <c r="AB393" t="str">
        <f>V393-Y393-Z393</f>
        <v>#REF!</v>
      </c>
      <c r="AC393" t="str">
        <f>W393-AA393</f>
        <v>#REF!</v>
      </c>
      <c r="AD393" t="str">
        <f>AB393*0.01</f>
        <v>#REF!</v>
      </c>
      <c r="AE393" t="str">
        <f>AB393-Q393-AD393-R393</f>
        <v>#REF!</v>
      </c>
      <c r="AF393" t="str">
        <f>AC393-Q393-AD393-R393</f>
        <v>#REF!</v>
      </c>
      <c r="AG393" t="str">
        <f>AE393/V393</f>
        <v>#REF!</v>
      </c>
      <c r="AH393" t="str">
        <f>AF393/W393</f>
        <v>#REF!</v>
      </c>
    </row>
    <row r="394">
      <c r="G394" t="str">
        <v>A</v>
      </c>
      <c r="J394" t="str">
        <f>IF(K394&gt;0,K394*0.0625,IF(L394&gt;0,L394*2.204623,))</f>
        <v>#REF!</v>
      </c>
      <c r="K394" t="str">
        <f>IF(L394&gt;0,L394*35.273962,IF(J394&gt;0,J394*16,))</f>
        <v>#REF!</v>
      </c>
      <c r="L394" t="str">
        <f>IF(J394&gt;0,J394*0.453592,IF(K394&gt;0,K394*0.02835,))</f>
        <v>#REF!</v>
      </c>
      <c r="O394">
        <f>I394+N394+M394</f>
        <v>0</v>
      </c>
      <c r="P394">
        <f>O394*B$3</f>
        <v>0</v>
      </c>
      <c r="Q394">
        <f>ROUND(SUM(P394), -2)</f>
        <v>0</v>
      </c>
      <c r="R394" t="str">
        <f>ROUNDUP(HLOOKUP(IF(CEILING(L394,0.5)&lt;1,0.5,CEILING(L394,0.5)),'배송비 조회'!A$44:AO$56,7,0)*B$3,-2)</f>
        <v>#REF!</v>
      </c>
      <c r="S394">
        <v>0</v>
      </c>
      <c r="T394" t="str">
        <f>ROUND((Q394+R394)*0.3,-2)</f>
        <v>#REF!</v>
      </c>
      <c r="U394" t="str">
        <f>ROUND((Q394+R394)*0.4,-2)</f>
        <v>#REF!</v>
      </c>
      <c r="V394" t="str">
        <f>SUM(Q394:R394)+T394</f>
        <v>#REF!</v>
      </c>
      <c r="W394" t="str">
        <f>SUM(Q394:S394)+U394</f>
        <v>#REF!</v>
      </c>
      <c r="X394">
        <v>0</v>
      </c>
      <c r="Y394" t="str">
        <f>V394*0.038</f>
        <v>#REF!</v>
      </c>
      <c r="Z394" t="str">
        <f>V394*0.02</f>
        <v>#REF!</v>
      </c>
      <c r="AA394" t="str">
        <f>W394*0.1</f>
        <v>#REF!</v>
      </c>
      <c r="AB394" t="str">
        <f>V394-Y394-Z394</f>
        <v>#REF!</v>
      </c>
      <c r="AC394" t="str">
        <f>W394-AA394</f>
        <v>#REF!</v>
      </c>
      <c r="AD394" t="str">
        <f>AB394*0.01</f>
        <v>#REF!</v>
      </c>
      <c r="AE394" t="str">
        <f>AB394-Q394-AD394-R394</f>
        <v>#REF!</v>
      </c>
      <c r="AF394" t="str">
        <f>AC394-Q394-AD394-R394</f>
        <v>#REF!</v>
      </c>
      <c r="AG394" t="str">
        <f>AE394/V394</f>
        <v>#REF!</v>
      </c>
      <c r="AH394" t="str">
        <f>AF394/W394</f>
        <v>#REF!</v>
      </c>
    </row>
    <row r="395">
      <c r="G395" t="str">
        <v>A</v>
      </c>
      <c r="J395" t="str">
        <f>IF(K395&gt;0,K395*0.0625,IF(L395&gt;0,L395*2.204623,))</f>
        <v>#REF!</v>
      </c>
      <c r="K395" t="str">
        <f>IF(L395&gt;0,L395*35.273962,IF(J395&gt;0,J395*16,))</f>
        <v>#REF!</v>
      </c>
      <c r="L395" t="str">
        <f>IF(J395&gt;0,J395*0.453592,IF(K395&gt;0,K395*0.02835,))</f>
        <v>#REF!</v>
      </c>
      <c r="O395">
        <f>I395+N395+M395</f>
        <v>0</v>
      </c>
      <c r="P395">
        <f>O395*B$3</f>
        <v>0</v>
      </c>
      <c r="Q395">
        <f>ROUND(SUM(P395), -2)</f>
        <v>0</v>
      </c>
      <c r="R395" t="str">
        <f>ROUNDUP(HLOOKUP(IF(CEILING(L395,0.5)&lt;1,0.5,CEILING(L395,0.5)),'배송비 조회'!A$44:AO$56,7,0)*B$3,-2)</f>
        <v>#REF!</v>
      </c>
      <c r="S395">
        <v>0</v>
      </c>
      <c r="T395" t="str">
        <f>ROUND((Q395+R395)*0.3,-2)</f>
        <v>#REF!</v>
      </c>
      <c r="U395" t="str">
        <f>ROUND((Q395+R395)*0.4,-2)</f>
        <v>#REF!</v>
      </c>
      <c r="V395" t="str">
        <f>SUM(Q395:R395)+T395</f>
        <v>#REF!</v>
      </c>
      <c r="W395" t="str">
        <f>SUM(Q395:S395)+U395</f>
        <v>#REF!</v>
      </c>
      <c r="X395">
        <v>0</v>
      </c>
      <c r="Y395" t="str">
        <f>V395*0.038</f>
        <v>#REF!</v>
      </c>
      <c r="Z395" t="str">
        <f>V395*0.02</f>
        <v>#REF!</v>
      </c>
      <c r="AA395" t="str">
        <f>W395*0.1</f>
        <v>#REF!</v>
      </c>
      <c r="AB395" t="str">
        <f>V395-Y395-Z395</f>
        <v>#REF!</v>
      </c>
      <c r="AC395" t="str">
        <f>W395-AA395</f>
        <v>#REF!</v>
      </c>
      <c r="AD395" t="str">
        <f>AB395*0.01</f>
        <v>#REF!</v>
      </c>
      <c r="AE395" t="str">
        <f>AB395-Q395-AD395-R395</f>
        <v>#REF!</v>
      </c>
      <c r="AF395" t="str">
        <f>AC395-Q395-AD395-R395</f>
        <v>#REF!</v>
      </c>
      <c r="AG395" t="str">
        <f>AE395/V395</f>
        <v>#REF!</v>
      </c>
      <c r="AH395" t="str">
        <f>AF395/W395</f>
        <v>#REF!</v>
      </c>
    </row>
    <row r="396">
      <c r="G396" t="str">
        <v>A</v>
      </c>
      <c r="J396" t="str">
        <f>IF(K396&gt;0,K396*0.0625,IF(L396&gt;0,L396*2.204623,))</f>
        <v>#REF!</v>
      </c>
      <c r="K396" t="str">
        <f>IF(L396&gt;0,L396*35.273962,IF(J396&gt;0,J396*16,))</f>
        <v>#REF!</v>
      </c>
      <c r="L396" t="str">
        <f>IF(J396&gt;0,J396*0.453592,IF(K396&gt;0,K396*0.02835,))</f>
        <v>#REF!</v>
      </c>
      <c r="O396">
        <f>I396+N396+M396</f>
        <v>0</v>
      </c>
      <c r="P396">
        <f>O396*B$3</f>
        <v>0</v>
      </c>
      <c r="Q396">
        <f>ROUND(SUM(P396), -2)</f>
        <v>0</v>
      </c>
      <c r="R396" t="str">
        <f>ROUNDUP(HLOOKUP(IF(CEILING(L396,0.5)&lt;1,0.5,CEILING(L396,0.5)),'배송비 조회'!A$44:AO$56,7,0)*B$3,-2)</f>
        <v>#REF!</v>
      </c>
      <c r="S396">
        <v>0</v>
      </c>
      <c r="T396" t="str">
        <f>ROUND((Q396+R396)*0.3,-2)</f>
        <v>#REF!</v>
      </c>
      <c r="U396" t="str">
        <f>ROUND((Q396+R396)*0.4,-2)</f>
        <v>#REF!</v>
      </c>
      <c r="V396" t="str">
        <f>SUM(Q396:R396)+T396</f>
        <v>#REF!</v>
      </c>
      <c r="W396" t="str">
        <f>SUM(Q396:S396)+U396</f>
        <v>#REF!</v>
      </c>
      <c r="X396">
        <v>0</v>
      </c>
      <c r="Y396" t="str">
        <f>V396*0.038</f>
        <v>#REF!</v>
      </c>
      <c r="Z396" t="str">
        <f>V396*0.02</f>
        <v>#REF!</v>
      </c>
      <c r="AA396" t="str">
        <f>W396*0.1</f>
        <v>#REF!</v>
      </c>
      <c r="AB396" t="str">
        <f>V396-Y396-Z396</f>
        <v>#REF!</v>
      </c>
      <c r="AC396" t="str">
        <f>W396-AA396</f>
        <v>#REF!</v>
      </c>
      <c r="AD396" t="str">
        <f>AB396*0.01</f>
        <v>#REF!</v>
      </c>
      <c r="AE396" t="str">
        <f>AB396-Q396-AD396-R396</f>
        <v>#REF!</v>
      </c>
      <c r="AF396" t="str">
        <f>AC396-Q396-AD396-R396</f>
        <v>#REF!</v>
      </c>
      <c r="AG396" t="str">
        <f>AE396/V396</f>
        <v>#REF!</v>
      </c>
      <c r="AH396" t="str">
        <f>AF396/W396</f>
        <v>#REF!</v>
      </c>
    </row>
    <row r="397">
      <c r="G397" t="str">
        <v>A</v>
      </c>
      <c r="J397" t="str">
        <f>IF(K397&gt;0,K397*0.0625,IF(L397&gt;0,L397*2.204623,))</f>
        <v>#REF!</v>
      </c>
      <c r="K397" t="str">
        <f>IF(L397&gt;0,L397*35.273962,IF(J397&gt;0,J397*16,))</f>
        <v>#REF!</v>
      </c>
      <c r="L397" t="str">
        <f>IF(J397&gt;0,J397*0.453592,IF(K397&gt;0,K397*0.02835,))</f>
        <v>#REF!</v>
      </c>
      <c r="O397">
        <f>I397+N397+M397</f>
        <v>0</v>
      </c>
      <c r="P397">
        <f>O397*B$3</f>
        <v>0</v>
      </c>
      <c r="Q397">
        <f>ROUND(SUM(P397), -2)</f>
        <v>0</v>
      </c>
      <c r="R397" t="str">
        <f>ROUNDUP(HLOOKUP(IF(CEILING(L397,0.5)&lt;1,0.5,CEILING(L397,0.5)),'배송비 조회'!A$44:AO$56,7,0)*B$3,-2)</f>
        <v>#REF!</v>
      </c>
      <c r="S397">
        <v>0</v>
      </c>
      <c r="T397" t="str">
        <f>ROUND((Q397+R397)*0.3,-2)</f>
        <v>#REF!</v>
      </c>
      <c r="U397" t="str">
        <f>ROUND((Q397+R397)*0.4,-2)</f>
        <v>#REF!</v>
      </c>
      <c r="V397" t="str">
        <f>SUM(Q397:R397)+T397</f>
        <v>#REF!</v>
      </c>
      <c r="W397" t="str">
        <f>SUM(Q397:S397)+U397</f>
        <v>#REF!</v>
      </c>
      <c r="X397">
        <v>0</v>
      </c>
      <c r="Y397" t="str">
        <f>V397*0.038</f>
        <v>#REF!</v>
      </c>
      <c r="Z397" t="str">
        <f>V397*0.02</f>
        <v>#REF!</v>
      </c>
      <c r="AA397" t="str">
        <f>W397*0.1</f>
        <v>#REF!</v>
      </c>
      <c r="AB397" t="str">
        <f>V397-Y397-Z397</f>
        <v>#REF!</v>
      </c>
      <c r="AC397" t="str">
        <f>W397-AA397</f>
        <v>#REF!</v>
      </c>
      <c r="AD397" t="str">
        <f>AB397*0.01</f>
        <v>#REF!</v>
      </c>
      <c r="AE397" t="str">
        <f>AB397-Q397-AD397-R397</f>
        <v>#REF!</v>
      </c>
      <c r="AF397" t="str">
        <f>AC397-Q397-AD397-R397</f>
        <v>#REF!</v>
      </c>
      <c r="AG397" t="str">
        <f>AE397/V397</f>
        <v>#REF!</v>
      </c>
      <c r="AH397" t="str">
        <f>AF397/W397</f>
        <v>#REF!</v>
      </c>
    </row>
    <row r="398">
      <c r="G398" t="str">
        <v>A</v>
      </c>
      <c r="J398" t="str">
        <f>IF(K398&gt;0,K398*0.0625,IF(L398&gt;0,L398*2.204623,))</f>
        <v>#REF!</v>
      </c>
      <c r="K398" t="str">
        <f>IF(L398&gt;0,L398*35.273962,IF(J398&gt;0,J398*16,))</f>
        <v>#REF!</v>
      </c>
      <c r="L398" t="str">
        <f>IF(J398&gt;0,J398*0.453592,IF(K398&gt;0,K398*0.02835,))</f>
        <v>#REF!</v>
      </c>
      <c r="O398">
        <f>I398+N398+M398</f>
        <v>0</v>
      </c>
      <c r="P398">
        <f>O398*B$3</f>
        <v>0</v>
      </c>
      <c r="Q398">
        <f>ROUND(SUM(P398), -2)</f>
        <v>0</v>
      </c>
      <c r="R398" t="str">
        <f>ROUNDUP(HLOOKUP(IF(CEILING(L398,0.5)&lt;1,0.5,CEILING(L398,0.5)),'배송비 조회'!A$44:AO$56,7,0)*B$3,-2)</f>
        <v>#REF!</v>
      </c>
      <c r="S398">
        <v>0</v>
      </c>
      <c r="T398" t="str">
        <f>ROUND((Q398+R398)*0.3,-2)</f>
        <v>#REF!</v>
      </c>
      <c r="U398" t="str">
        <f>ROUND((Q398+R398)*0.4,-2)</f>
        <v>#REF!</v>
      </c>
      <c r="V398" t="str">
        <f>SUM(Q398:R398)+T398</f>
        <v>#REF!</v>
      </c>
      <c r="W398" t="str">
        <f>SUM(Q398:S398)+U398</f>
        <v>#REF!</v>
      </c>
      <c r="X398">
        <v>0</v>
      </c>
      <c r="Y398" t="str">
        <f>V398*0.038</f>
        <v>#REF!</v>
      </c>
      <c r="Z398" t="str">
        <f>V398*0.02</f>
        <v>#REF!</v>
      </c>
      <c r="AA398" t="str">
        <f>W398*0.1</f>
        <v>#REF!</v>
      </c>
      <c r="AB398" t="str">
        <f>V398-Y398-Z398</f>
        <v>#REF!</v>
      </c>
      <c r="AC398" t="str">
        <f>W398-AA398</f>
        <v>#REF!</v>
      </c>
      <c r="AD398" t="str">
        <f>AB398*0.01</f>
        <v>#REF!</v>
      </c>
      <c r="AE398" t="str">
        <f>AB398-Q398-AD398-R398</f>
        <v>#REF!</v>
      </c>
      <c r="AF398" t="str">
        <f>AC398-Q398-AD398-R398</f>
        <v>#REF!</v>
      </c>
      <c r="AG398" t="str">
        <f>AE398/V398</f>
        <v>#REF!</v>
      </c>
      <c r="AH398" t="str">
        <f>AF398/W398</f>
        <v>#REF!</v>
      </c>
    </row>
    <row r="399">
      <c r="G399" t="str">
        <v>A</v>
      </c>
      <c r="J399" t="str">
        <f>IF(K399&gt;0,K399*0.0625,IF(L399&gt;0,L399*2.204623,))</f>
        <v>#REF!</v>
      </c>
      <c r="K399" t="str">
        <f>IF(L399&gt;0,L399*35.273962,IF(J399&gt;0,J399*16,))</f>
        <v>#REF!</v>
      </c>
      <c r="L399" t="str">
        <f>IF(J399&gt;0,J399*0.453592,IF(K399&gt;0,K399*0.02835,))</f>
        <v>#REF!</v>
      </c>
      <c r="O399">
        <f>I399+N399+M399</f>
        <v>0</v>
      </c>
      <c r="P399">
        <f>O399*B$3</f>
        <v>0</v>
      </c>
      <c r="Q399">
        <f>ROUND(SUM(P399), -2)</f>
        <v>0</v>
      </c>
      <c r="R399" t="str">
        <f>ROUNDUP(HLOOKUP(IF(CEILING(L399,0.5)&lt;1,0.5,CEILING(L399,0.5)),'배송비 조회'!A$44:AO$56,7,0)*B$3,-2)</f>
        <v>#REF!</v>
      </c>
      <c r="S399">
        <v>0</v>
      </c>
      <c r="T399" t="str">
        <f>ROUND((Q399+R399)*0.3,-2)</f>
        <v>#REF!</v>
      </c>
      <c r="U399" t="str">
        <f>ROUND((Q399+R399)*0.4,-2)</f>
        <v>#REF!</v>
      </c>
      <c r="V399" t="str">
        <f>SUM(Q399:R399)+T399</f>
        <v>#REF!</v>
      </c>
      <c r="W399" t="str">
        <f>SUM(Q399:S399)+U399</f>
        <v>#REF!</v>
      </c>
      <c r="X399">
        <v>0</v>
      </c>
      <c r="Y399" t="str">
        <f>V399*0.038</f>
        <v>#REF!</v>
      </c>
      <c r="Z399" t="str">
        <f>V399*0.02</f>
        <v>#REF!</v>
      </c>
      <c r="AA399" t="str">
        <f>W399*0.1</f>
        <v>#REF!</v>
      </c>
      <c r="AB399" t="str">
        <f>V399-Y399-Z399</f>
        <v>#REF!</v>
      </c>
      <c r="AC399" t="str">
        <f>W399-AA399</f>
        <v>#REF!</v>
      </c>
      <c r="AD399" t="str">
        <f>AB399*0.01</f>
        <v>#REF!</v>
      </c>
      <c r="AE399" t="str">
        <f>AB399-Q399-AD399-R399</f>
        <v>#REF!</v>
      </c>
      <c r="AF399" t="str">
        <f>AC399-Q399-AD399-R399</f>
        <v>#REF!</v>
      </c>
      <c r="AG399" t="str">
        <f>AE399/V399</f>
        <v>#REF!</v>
      </c>
      <c r="AH399" t="str">
        <f>AF399/W399</f>
        <v>#REF!</v>
      </c>
    </row>
    <row r="400">
      <c r="G400" t="str">
        <v>A</v>
      </c>
      <c r="J400" t="str">
        <f>IF(K400&gt;0,K400*0.0625,IF(L400&gt;0,L400*2.204623,))</f>
        <v>#REF!</v>
      </c>
      <c r="K400" t="str">
        <f>IF(L400&gt;0,L400*35.273962,IF(J400&gt;0,J400*16,))</f>
        <v>#REF!</v>
      </c>
      <c r="L400" t="str">
        <f>IF(J400&gt;0,J400*0.453592,IF(K400&gt;0,K400*0.02835,))</f>
        <v>#REF!</v>
      </c>
      <c r="O400">
        <f>I400+N400+M400</f>
        <v>0</v>
      </c>
      <c r="P400">
        <f>O400*B$3</f>
        <v>0</v>
      </c>
      <c r="Q400">
        <f>ROUND(SUM(P400), -2)</f>
        <v>0</v>
      </c>
      <c r="R400" t="str">
        <f>ROUNDUP(HLOOKUP(IF(CEILING(L400,0.5)&lt;1,0.5,CEILING(L400,0.5)),'배송비 조회'!A$44:AO$56,7,0)*B$3,-2)</f>
        <v>#REF!</v>
      </c>
      <c r="S400">
        <v>0</v>
      </c>
      <c r="T400" t="str">
        <f>ROUND((Q400+R400)*0.3,-2)</f>
        <v>#REF!</v>
      </c>
      <c r="U400" t="str">
        <f>ROUND((Q400+R400)*0.4,-2)</f>
        <v>#REF!</v>
      </c>
      <c r="V400" t="str">
        <f>SUM(Q400:R400)+T400</f>
        <v>#REF!</v>
      </c>
      <c r="W400" t="str">
        <f>SUM(Q400:S400)+U400</f>
        <v>#REF!</v>
      </c>
      <c r="X400">
        <v>0</v>
      </c>
      <c r="Y400" t="str">
        <f>V400*0.038</f>
        <v>#REF!</v>
      </c>
      <c r="Z400" t="str">
        <f>V400*0.02</f>
        <v>#REF!</v>
      </c>
      <c r="AA400" t="str">
        <f>W400*0.1</f>
        <v>#REF!</v>
      </c>
      <c r="AB400" t="str">
        <f>V400-Y400-Z400</f>
        <v>#REF!</v>
      </c>
      <c r="AC400" t="str">
        <f>W400-AA400</f>
        <v>#REF!</v>
      </c>
      <c r="AD400" t="str">
        <f>AB400*0.01</f>
        <v>#REF!</v>
      </c>
      <c r="AE400" t="str">
        <f>AB400-Q400-AD400-R400</f>
        <v>#REF!</v>
      </c>
      <c r="AF400" t="str">
        <f>AC400-Q400-AD400-R400</f>
        <v>#REF!</v>
      </c>
      <c r="AG400" t="str">
        <f>AE400/V400</f>
        <v>#REF!</v>
      </c>
      <c r="AH400" t="str">
        <f>AF400/W400</f>
        <v>#REF!</v>
      </c>
    </row>
    <row r="401">
      <c r="G401" t="str">
        <v>A</v>
      </c>
      <c r="J401" t="str">
        <f>IF(K401&gt;0,K401*0.0625,IF(L401&gt;0,L401*2.204623,))</f>
        <v>#REF!</v>
      </c>
      <c r="K401" t="str">
        <f>IF(L401&gt;0,L401*35.273962,IF(J401&gt;0,J401*16,))</f>
        <v>#REF!</v>
      </c>
      <c r="L401" t="str">
        <f>IF(J401&gt;0,J401*0.453592,IF(K401&gt;0,K401*0.02835,))</f>
        <v>#REF!</v>
      </c>
      <c r="O401">
        <f>I401+N401+M401</f>
        <v>0</v>
      </c>
      <c r="P401">
        <f>O401*B$3</f>
        <v>0</v>
      </c>
      <c r="Q401">
        <f>ROUND(SUM(P401), -2)</f>
        <v>0</v>
      </c>
      <c r="R401" t="str">
        <f>ROUNDUP(HLOOKUP(IF(CEILING(L401,0.5)&lt;1,0.5,CEILING(L401,0.5)),'배송비 조회'!A$44:AO$56,7,0)*B$3,-2)</f>
        <v>#REF!</v>
      </c>
      <c r="S401">
        <v>0</v>
      </c>
      <c r="T401" t="str">
        <f>ROUND((Q401+R401)*0.3,-2)</f>
        <v>#REF!</v>
      </c>
      <c r="U401" t="str">
        <f>ROUND((Q401+R401)*0.4,-2)</f>
        <v>#REF!</v>
      </c>
      <c r="V401" t="str">
        <f>SUM(Q401:R401)+T401</f>
        <v>#REF!</v>
      </c>
      <c r="W401" t="str">
        <f>SUM(Q401:S401)+U401</f>
        <v>#REF!</v>
      </c>
      <c r="X401">
        <v>0</v>
      </c>
      <c r="Y401" t="str">
        <f>V401*0.038</f>
        <v>#REF!</v>
      </c>
      <c r="Z401" t="str">
        <f>V401*0.02</f>
        <v>#REF!</v>
      </c>
      <c r="AA401" t="str">
        <f>W401*0.1</f>
        <v>#REF!</v>
      </c>
      <c r="AB401" t="str">
        <f>V401-Y401-Z401</f>
        <v>#REF!</v>
      </c>
      <c r="AC401" t="str">
        <f>W401-AA401</f>
        <v>#REF!</v>
      </c>
      <c r="AD401" t="str">
        <f>AB401*0.01</f>
        <v>#REF!</v>
      </c>
      <c r="AE401" t="str">
        <f>AB401-Q401-AD401-R401</f>
        <v>#REF!</v>
      </c>
      <c r="AF401" t="str">
        <f>AC401-Q401-AD401-R401</f>
        <v>#REF!</v>
      </c>
      <c r="AG401" t="str">
        <f>AE401/V401</f>
        <v>#REF!</v>
      </c>
      <c r="AH401" t="str">
        <f>AF401/W401</f>
        <v>#REF!</v>
      </c>
    </row>
    <row r="402">
      <c r="G402" t="str">
        <v>A</v>
      </c>
      <c r="J402" t="str">
        <f>IF(K402&gt;0,K402*0.0625,IF(L402&gt;0,L402*2.204623,))</f>
        <v>#REF!</v>
      </c>
      <c r="K402" t="str">
        <f>IF(L402&gt;0,L402*35.273962,IF(J402&gt;0,J402*16,))</f>
        <v>#REF!</v>
      </c>
      <c r="L402" t="str">
        <f>IF(J402&gt;0,J402*0.453592,IF(K402&gt;0,K402*0.02835,))</f>
        <v>#REF!</v>
      </c>
      <c r="O402">
        <f>I402+N402+M402</f>
        <v>0</v>
      </c>
      <c r="P402">
        <f>O402*B$3</f>
        <v>0</v>
      </c>
      <c r="Q402">
        <f>ROUND(SUM(P402), -2)</f>
        <v>0</v>
      </c>
      <c r="R402" t="str">
        <f>ROUNDUP(HLOOKUP(IF(CEILING(L402,0.5)&lt;1,0.5,CEILING(L402,0.5)),'배송비 조회'!A$44:AO$56,7,0)*B$3,-2)</f>
        <v>#REF!</v>
      </c>
      <c r="S402">
        <v>0</v>
      </c>
      <c r="T402" t="str">
        <f>ROUND((Q402+R402)*0.3,-2)</f>
        <v>#REF!</v>
      </c>
      <c r="U402" t="str">
        <f>ROUND((Q402+R402)*0.4,-2)</f>
        <v>#REF!</v>
      </c>
      <c r="V402" t="str">
        <f>SUM(Q402:R402)+T402</f>
        <v>#REF!</v>
      </c>
      <c r="W402" t="str">
        <f>SUM(Q402:S402)+U402</f>
        <v>#REF!</v>
      </c>
      <c r="X402">
        <v>0</v>
      </c>
      <c r="Y402" t="str">
        <f>V402*0.038</f>
        <v>#REF!</v>
      </c>
      <c r="Z402" t="str">
        <f>V402*0.02</f>
        <v>#REF!</v>
      </c>
      <c r="AA402" t="str">
        <f>W402*0.1</f>
        <v>#REF!</v>
      </c>
      <c r="AB402" t="str">
        <f>V402-Y402-Z402</f>
        <v>#REF!</v>
      </c>
      <c r="AC402" t="str">
        <f>W402-AA402</f>
        <v>#REF!</v>
      </c>
      <c r="AD402" t="str">
        <f>AB402*0.01</f>
        <v>#REF!</v>
      </c>
      <c r="AE402" t="str">
        <f>AB402-Q402-AD402-R402</f>
        <v>#REF!</v>
      </c>
      <c r="AF402" t="str">
        <f>AC402-Q402-AD402-R402</f>
        <v>#REF!</v>
      </c>
      <c r="AG402" t="str">
        <f>AE402/V402</f>
        <v>#REF!</v>
      </c>
      <c r="AH402" t="str">
        <f>AF402/W402</f>
        <v>#REF!</v>
      </c>
    </row>
    <row r="403">
      <c r="G403" t="str">
        <v>A</v>
      </c>
      <c r="J403" t="str">
        <f>IF(K403&gt;0,K403*0.0625,IF(L403&gt;0,L403*2.204623,))</f>
        <v>#REF!</v>
      </c>
      <c r="K403" t="str">
        <f>IF(L403&gt;0,L403*35.273962,IF(J403&gt;0,J403*16,))</f>
        <v>#REF!</v>
      </c>
      <c r="L403" t="str">
        <f>IF(J403&gt;0,J403*0.453592,IF(K403&gt;0,K403*0.02835,))</f>
        <v>#REF!</v>
      </c>
      <c r="O403">
        <f>I403+N403+M403</f>
        <v>0</v>
      </c>
      <c r="P403">
        <f>O403*B$3</f>
        <v>0</v>
      </c>
      <c r="Q403">
        <f>ROUND(SUM(P403), -2)</f>
        <v>0</v>
      </c>
      <c r="R403" t="str">
        <f>ROUNDUP(HLOOKUP(IF(CEILING(L403,0.5)&lt;1,0.5,CEILING(L403,0.5)),'배송비 조회'!A$44:AO$56,7,0)*B$3,-2)</f>
        <v>#REF!</v>
      </c>
      <c r="S403">
        <v>0</v>
      </c>
      <c r="T403" t="str">
        <f>ROUND((Q403+R403)*0.3,-2)</f>
        <v>#REF!</v>
      </c>
      <c r="U403" t="str">
        <f>ROUND((Q403+R403)*0.4,-2)</f>
        <v>#REF!</v>
      </c>
      <c r="V403" t="str">
        <f>SUM(Q403:R403)+T403</f>
        <v>#REF!</v>
      </c>
      <c r="W403" t="str">
        <f>SUM(Q403:S403)+U403</f>
        <v>#REF!</v>
      </c>
      <c r="X403">
        <v>0</v>
      </c>
      <c r="Y403" t="str">
        <f>V403*0.038</f>
        <v>#REF!</v>
      </c>
      <c r="Z403" t="str">
        <f>V403*0.02</f>
        <v>#REF!</v>
      </c>
      <c r="AA403" t="str">
        <f>W403*0.1</f>
        <v>#REF!</v>
      </c>
      <c r="AB403" t="str">
        <f>V403-Y403-Z403</f>
        <v>#REF!</v>
      </c>
      <c r="AC403" t="str">
        <f>W403-AA403</f>
        <v>#REF!</v>
      </c>
      <c r="AD403" t="str">
        <f>AB403*0.01</f>
        <v>#REF!</v>
      </c>
      <c r="AE403" t="str">
        <f>AB403-Q403-AD403-R403</f>
        <v>#REF!</v>
      </c>
      <c r="AF403" t="str">
        <f>AC403-Q403-AD403-R403</f>
        <v>#REF!</v>
      </c>
      <c r="AG403" t="str">
        <f>AE403/V403</f>
        <v>#REF!</v>
      </c>
      <c r="AH403" t="str">
        <f>AF403/W403</f>
        <v>#REF!</v>
      </c>
    </row>
    <row r="404">
      <c r="G404" t="str">
        <v>A</v>
      </c>
      <c r="J404" t="str">
        <f>IF(K404&gt;0,K404*0.0625,IF(L404&gt;0,L404*2.204623,))</f>
        <v>#REF!</v>
      </c>
      <c r="K404" t="str">
        <f>IF(L404&gt;0,L404*35.273962,IF(J404&gt;0,J404*16,))</f>
        <v>#REF!</v>
      </c>
      <c r="L404" t="str">
        <f>IF(J404&gt;0,J404*0.453592,IF(K404&gt;0,K404*0.02835,))</f>
        <v>#REF!</v>
      </c>
      <c r="O404">
        <f>I404+N404+M404</f>
        <v>0</v>
      </c>
      <c r="P404">
        <f>O404*B$3</f>
        <v>0</v>
      </c>
      <c r="Q404">
        <f>ROUND(SUM(P404), -2)</f>
        <v>0</v>
      </c>
      <c r="R404" t="str">
        <f>ROUNDUP(HLOOKUP(IF(CEILING(L404,0.5)&lt;1,0.5,CEILING(L404,0.5)),'배송비 조회'!A$44:AO$56,7,0)*B$3,-2)</f>
        <v>#REF!</v>
      </c>
      <c r="S404">
        <v>0</v>
      </c>
      <c r="T404" t="str">
        <f>ROUND((Q404+R404)*0.3,-2)</f>
        <v>#REF!</v>
      </c>
      <c r="U404" t="str">
        <f>ROUND((Q404+R404)*0.4,-2)</f>
        <v>#REF!</v>
      </c>
      <c r="V404" t="str">
        <f>SUM(Q404:R404)+T404</f>
        <v>#REF!</v>
      </c>
      <c r="W404" t="str">
        <f>SUM(Q404:S404)+U404</f>
        <v>#REF!</v>
      </c>
      <c r="X404">
        <v>0</v>
      </c>
      <c r="Y404" t="str">
        <f>V404*0.038</f>
        <v>#REF!</v>
      </c>
      <c r="Z404" t="str">
        <f>V404*0.02</f>
        <v>#REF!</v>
      </c>
      <c r="AA404" t="str">
        <f>W404*0.1</f>
        <v>#REF!</v>
      </c>
      <c r="AB404" t="str">
        <f>V404-Y404-Z404</f>
        <v>#REF!</v>
      </c>
      <c r="AC404" t="str">
        <f>W404-AA404</f>
        <v>#REF!</v>
      </c>
      <c r="AD404" t="str">
        <f>AB404*0.01</f>
        <v>#REF!</v>
      </c>
      <c r="AE404" t="str">
        <f>AB404-Q404-AD404-R404</f>
        <v>#REF!</v>
      </c>
      <c r="AF404" t="str">
        <f>AC404-Q404-AD404-R404</f>
        <v>#REF!</v>
      </c>
      <c r="AG404" t="str">
        <f>AE404/V404</f>
        <v>#REF!</v>
      </c>
      <c r="AH404" t="str">
        <f>AF404/W404</f>
        <v>#REF!</v>
      </c>
    </row>
    <row r="405">
      <c r="G405" t="str">
        <v>A</v>
      </c>
      <c r="J405" t="str">
        <f>IF(K405&gt;0,K405*0.0625,IF(L405&gt;0,L405*2.204623,))</f>
        <v>#REF!</v>
      </c>
      <c r="K405" t="str">
        <f>IF(L405&gt;0,L405*35.273962,IF(J405&gt;0,J405*16,))</f>
        <v>#REF!</v>
      </c>
      <c r="L405" t="str">
        <f>IF(J405&gt;0,J405*0.453592,IF(K405&gt;0,K405*0.02835,))</f>
        <v>#REF!</v>
      </c>
      <c r="O405">
        <f>I405+N405+M405</f>
        <v>0</v>
      </c>
      <c r="P405">
        <f>O405*B$3</f>
        <v>0</v>
      </c>
      <c r="Q405">
        <f>ROUND(SUM(P405), -2)</f>
        <v>0</v>
      </c>
      <c r="R405" t="str">
        <f>ROUNDUP(HLOOKUP(IF(CEILING(L405,0.5)&lt;1,0.5,CEILING(L405,0.5)),'배송비 조회'!A$44:AO$56,7,0)*B$3,-2)</f>
        <v>#REF!</v>
      </c>
      <c r="S405">
        <v>0</v>
      </c>
      <c r="T405" t="str">
        <f>ROUND((Q405+R405)*0.3,-2)</f>
        <v>#REF!</v>
      </c>
      <c r="U405" t="str">
        <f>ROUND((Q405+R405)*0.4,-2)</f>
        <v>#REF!</v>
      </c>
      <c r="V405" t="str">
        <f>SUM(Q405:R405)+T405</f>
        <v>#REF!</v>
      </c>
      <c r="W405" t="str">
        <f>SUM(Q405:S405)+U405</f>
        <v>#REF!</v>
      </c>
      <c r="X405">
        <v>0</v>
      </c>
      <c r="Y405" t="str">
        <f>V405*0.038</f>
        <v>#REF!</v>
      </c>
      <c r="Z405" t="str">
        <f>V405*0.02</f>
        <v>#REF!</v>
      </c>
      <c r="AA405" t="str">
        <f>W405*0.1</f>
        <v>#REF!</v>
      </c>
      <c r="AB405" t="str">
        <f>V405-Y405-Z405</f>
        <v>#REF!</v>
      </c>
      <c r="AC405" t="str">
        <f>W405-AA405</f>
        <v>#REF!</v>
      </c>
      <c r="AD405" t="str">
        <f>AB405*0.01</f>
        <v>#REF!</v>
      </c>
      <c r="AE405" t="str">
        <f>AB405-Q405-AD405-R405</f>
        <v>#REF!</v>
      </c>
      <c r="AF405" t="str">
        <f>AC405-Q405-AD405-R405</f>
        <v>#REF!</v>
      </c>
      <c r="AG405" t="str">
        <f>AE405/V405</f>
        <v>#REF!</v>
      </c>
      <c r="AH405" t="str">
        <f>AF405/W405</f>
        <v>#REF!</v>
      </c>
    </row>
    <row r="406">
      <c r="G406" t="str">
        <v>A</v>
      </c>
      <c r="J406" t="str">
        <f>IF(K406&gt;0,K406*0.0625,IF(L406&gt;0,L406*2.204623,))</f>
        <v>#REF!</v>
      </c>
      <c r="K406" t="str">
        <f>IF(L406&gt;0,L406*35.273962,IF(J406&gt;0,J406*16,))</f>
        <v>#REF!</v>
      </c>
      <c r="L406" t="str">
        <f>IF(J406&gt;0,J406*0.453592,IF(K406&gt;0,K406*0.02835,))</f>
        <v>#REF!</v>
      </c>
      <c r="O406">
        <f>I406+N406+M406</f>
        <v>0</v>
      </c>
      <c r="P406">
        <f>O406*B$3</f>
        <v>0</v>
      </c>
      <c r="Q406">
        <f>ROUND(SUM(P406), -2)</f>
        <v>0</v>
      </c>
      <c r="R406" t="str">
        <f>ROUNDUP(HLOOKUP(IF(CEILING(L406,0.5)&lt;1,0.5,CEILING(L406,0.5)),'배송비 조회'!A$44:AO$56,7,0)*B$3,-2)</f>
        <v>#REF!</v>
      </c>
      <c r="S406">
        <v>0</v>
      </c>
      <c r="T406" t="str">
        <f>ROUND((Q406+R406)*0.3,-2)</f>
        <v>#REF!</v>
      </c>
      <c r="U406" t="str">
        <f>ROUND((Q406+R406)*0.4,-2)</f>
        <v>#REF!</v>
      </c>
      <c r="V406" t="str">
        <f>SUM(Q406:R406)+T406</f>
        <v>#REF!</v>
      </c>
      <c r="W406" t="str">
        <f>SUM(Q406:S406)+U406</f>
        <v>#REF!</v>
      </c>
      <c r="X406">
        <v>0</v>
      </c>
      <c r="Y406" t="str">
        <f>V406*0.038</f>
        <v>#REF!</v>
      </c>
      <c r="Z406" t="str">
        <f>V406*0.02</f>
        <v>#REF!</v>
      </c>
      <c r="AA406" t="str">
        <f>W406*0.1</f>
        <v>#REF!</v>
      </c>
      <c r="AB406" t="str">
        <f>V406-Y406-Z406</f>
        <v>#REF!</v>
      </c>
      <c r="AC406" t="str">
        <f>W406-AA406</f>
        <v>#REF!</v>
      </c>
      <c r="AD406" t="str">
        <f>AB406*0.01</f>
        <v>#REF!</v>
      </c>
      <c r="AE406" t="str">
        <f>AB406-Q406-AD406-R406</f>
        <v>#REF!</v>
      </c>
      <c r="AF406" t="str">
        <f>AC406-Q406-AD406-R406</f>
        <v>#REF!</v>
      </c>
      <c r="AG406" t="str">
        <f>AE406/V406</f>
        <v>#REF!</v>
      </c>
      <c r="AH406" t="str">
        <f>AF406/W406</f>
        <v>#REF!</v>
      </c>
    </row>
    <row r="407">
      <c r="G407" t="str">
        <v>A</v>
      </c>
      <c r="J407" t="str">
        <f>IF(K407&gt;0,K407*0.0625,IF(L407&gt;0,L407*2.204623,))</f>
        <v>#REF!</v>
      </c>
      <c r="K407" t="str">
        <f>IF(L407&gt;0,L407*35.273962,IF(J407&gt;0,J407*16,))</f>
        <v>#REF!</v>
      </c>
      <c r="L407" t="str">
        <f>IF(J407&gt;0,J407*0.453592,IF(K407&gt;0,K407*0.02835,))</f>
        <v>#REF!</v>
      </c>
      <c r="O407">
        <f>I407+N407+M407</f>
        <v>0</v>
      </c>
      <c r="P407">
        <f>O407*B$3</f>
        <v>0</v>
      </c>
      <c r="Q407">
        <f>ROUND(SUM(P407), -2)</f>
        <v>0</v>
      </c>
      <c r="R407" t="str">
        <f>ROUNDUP(HLOOKUP(IF(CEILING(L407,0.5)&lt;1,0.5,CEILING(L407,0.5)),'배송비 조회'!A$44:AO$56,7,0)*B$3,-2)</f>
        <v>#REF!</v>
      </c>
      <c r="S407">
        <v>0</v>
      </c>
      <c r="T407" t="str">
        <f>ROUND((Q407+R407)*0.3,-2)</f>
        <v>#REF!</v>
      </c>
      <c r="U407" t="str">
        <f>ROUND((Q407+R407)*0.4,-2)</f>
        <v>#REF!</v>
      </c>
      <c r="V407" t="str">
        <f>SUM(Q407:R407)+T407</f>
        <v>#REF!</v>
      </c>
      <c r="W407" t="str">
        <f>SUM(Q407:S407)+U407</f>
        <v>#REF!</v>
      </c>
      <c r="X407">
        <v>0</v>
      </c>
      <c r="Y407" t="str">
        <f>V407*0.038</f>
        <v>#REF!</v>
      </c>
      <c r="Z407" t="str">
        <f>V407*0.02</f>
        <v>#REF!</v>
      </c>
      <c r="AA407" t="str">
        <f>W407*0.1</f>
        <v>#REF!</v>
      </c>
      <c r="AB407" t="str">
        <f>V407-Y407-Z407</f>
        <v>#REF!</v>
      </c>
      <c r="AC407" t="str">
        <f>W407-AA407</f>
        <v>#REF!</v>
      </c>
      <c r="AD407" t="str">
        <f>AB407*0.01</f>
        <v>#REF!</v>
      </c>
      <c r="AE407" t="str">
        <f>AB407-Q407-AD407-R407</f>
        <v>#REF!</v>
      </c>
      <c r="AF407" t="str">
        <f>AC407-Q407-AD407-R407</f>
        <v>#REF!</v>
      </c>
      <c r="AG407" t="str">
        <f>AE407/V407</f>
        <v>#REF!</v>
      </c>
      <c r="AH407" t="str">
        <f>AF407/W407</f>
        <v>#REF!</v>
      </c>
    </row>
    <row r="408">
      <c r="G408" t="str">
        <v>A</v>
      </c>
      <c r="J408" t="str">
        <f>IF(K408&gt;0,K408*0.0625,IF(L408&gt;0,L408*2.204623,))</f>
        <v>#REF!</v>
      </c>
      <c r="K408" t="str">
        <f>IF(L408&gt;0,L408*35.273962,IF(J408&gt;0,J408*16,))</f>
        <v>#REF!</v>
      </c>
      <c r="L408" t="str">
        <f>IF(J408&gt;0,J408*0.453592,IF(K408&gt;0,K408*0.02835,))</f>
        <v>#REF!</v>
      </c>
      <c r="O408">
        <f>I408+N408+M408</f>
        <v>0</v>
      </c>
      <c r="P408">
        <f>O408*B$3</f>
        <v>0</v>
      </c>
      <c r="Q408">
        <f>ROUND(SUM(P408), -2)</f>
        <v>0</v>
      </c>
      <c r="R408" t="str">
        <f>ROUNDUP(HLOOKUP(IF(CEILING(L408,0.5)&lt;1,0.5,CEILING(L408,0.5)),'배송비 조회'!A$44:AO$56,7,0)*B$3,-2)</f>
        <v>#REF!</v>
      </c>
      <c r="S408">
        <v>0</v>
      </c>
      <c r="T408" t="str">
        <f>ROUND((Q408+R408)*0.3,-2)</f>
        <v>#REF!</v>
      </c>
      <c r="U408" t="str">
        <f>ROUND((Q408+R408)*0.4,-2)</f>
        <v>#REF!</v>
      </c>
      <c r="V408" t="str">
        <f>SUM(Q408:R408)+T408</f>
        <v>#REF!</v>
      </c>
      <c r="W408" t="str">
        <f>SUM(Q408:S408)+U408</f>
        <v>#REF!</v>
      </c>
      <c r="X408">
        <v>0</v>
      </c>
      <c r="Y408" t="str">
        <f>V408*0.038</f>
        <v>#REF!</v>
      </c>
      <c r="Z408" t="str">
        <f>V408*0.02</f>
        <v>#REF!</v>
      </c>
      <c r="AA408" t="str">
        <f>W408*0.1</f>
        <v>#REF!</v>
      </c>
      <c r="AB408" t="str">
        <f>V408-Y408-Z408</f>
        <v>#REF!</v>
      </c>
      <c r="AC408" t="str">
        <f>W408-AA408</f>
        <v>#REF!</v>
      </c>
      <c r="AD408" t="str">
        <f>AB408*0.01</f>
        <v>#REF!</v>
      </c>
      <c r="AE408" t="str">
        <f>AB408-Q408-AD408-R408</f>
        <v>#REF!</v>
      </c>
      <c r="AF408" t="str">
        <f>AC408-Q408-AD408-R408</f>
        <v>#REF!</v>
      </c>
      <c r="AG408" t="str">
        <f>AE408/V408</f>
        <v>#REF!</v>
      </c>
      <c r="AH408" t="str">
        <f>AF408/W408</f>
        <v>#REF!</v>
      </c>
    </row>
    <row r="409">
      <c r="G409" t="str">
        <v>A</v>
      </c>
      <c r="J409" t="str">
        <f>IF(K409&gt;0,K409*0.0625,IF(L409&gt;0,L409*2.204623,))</f>
        <v>#REF!</v>
      </c>
      <c r="K409" t="str">
        <f>IF(L409&gt;0,L409*35.273962,IF(J409&gt;0,J409*16,))</f>
        <v>#REF!</v>
      </c>
      <c r="L409" t="str">
        <f>IF(J409&gt;0,J409*0.453592,IF(K409&gt;0,K409*0.02835,))</f>
        <v>#REF!</v>
      </c>
      <c r="O409">
        <f>I409+N409+M409</f>
        <v>0</v>
      </c>
      <c r="P409">
        <f>O409*B$3</f>
        <v>0</v>
      </c>
      <c r="Q409">
        <f>ROUND(SUM(P409), -2)</f>
        <v>0</v>
      </c>
      <c r="R409" t="str">
        <f>ROUNDUP(HLOOKUP(IF(CEILING(L409,0.5)&lt;1,0.5,CEILING(L409,0.5)),'배송비 조회'!A$44:AO$56,7,0)*B$3,-2)</f>
        <v>#REF!</v>
      </c>
      <c r="S409">
        <v>0</v>
      </c>
      <c r="T409" t="str">
        <f>ROUND((Q409+R409)*0.3,-2)</f>
        <v>#REF!</v>
      </c>
      <c r="U409" t="str">
        <f>ROUND((Q409+R409)*0.4,-2)</f>
        <v>#REF!</v>
      </c>
      <c r="V409" t="str">
        <f>SUM(Q409:R409)+T409</f>
        <v>#REF!</v>
      </c>
      <c r="W409" t="str">
        <f>SUM(Q409:S409)+U409</f>
        <v>#REF!</v>
      </c>
      <c r="X409">
        <v>0</v>
      </c>
      <c r="Y409" t="str">
        <f>V409*0.038</f>
        <v>#REF!</v>
      </c>
      <c r="Z409" t="str">
        <f>V409*0.02</f>
        <v>#REF!</v>
      </c>
      <c r="AA409" t="str">
        <f>W409*0.1</f>
        <v>#REF!</v>
      </c>
      <c r="AB409" t="str">
        <f>V409-Y409-Z409</f>
        <v>#REF!</v>
      </c>
      <c r="AC409" t="str">
        <f>W409-AA409</f>
        <v>#REF!</v>
      </c>
      <c r="AD409" t="str">
        <f>AB409*0.01</f>
        <v>#REF!</v>
      </c>
      <c r="AE409" t="str">
        <f>AB409-Q409-AD409-R409</f>
        <v>#REF!</v>
      </c>
      <c r="AF409" t="str">
        <f>AC409-Q409-AD409-R409</f>
        <v>#REF!</v>
      </c>
      <c r="AG409" t="str">
        <f>AE409/V409</f>
        <v>#REF!</v>
      </c>
      <c r="AH409" t="str">
        <f>AF409/W409</f>
        <v>#REF!</v>
      </c>
    </row>
    <row r="410">
      <c r="G410" t="str">
        <v>A</v>
      </c>
      <c r="J410" t="str">
        <f>IF(K410&gt;0,K410*0.0625,IF(L410&gt;0,L410*2.204623,))</f>
        <v>#REF!</v>
      </c>
      <c r="K410" t="str">
        <f>IF(L410&gt;0,L410*35.273962,IF(J410&gt;0,J410*16,))</f>
        <v>#REF!</v>
      </c>
      <c r="L410" t="str">
        <f>IF(J410&gt;0,J410*0.453592,IF(K410&gt;0,K410*0.02835,))</f>
        <v>#REF!</v>
      </c>
      <c r="O410">
        <f>I410+N410+M410</f>
        <v>0</v>
      </c>
      <c r="P410">
        <f>O410*B$3</f>
        <v>0</v>
      </c>
      <c r="Q410">
        <f>ROUND(SUM(P410), -2)</f>
        <v>0</v>
      </c>
      <c r="R410" t="str">
        <f>ROUNDUP(HLOOKUP(IF(CEILING(L410,0.5)&lt;1,0.5,CEILING(L410,0.5)),'배송비 조회'!A$44:AO$56,7,0)*B$3,-2)</f>
        <v>#REF!</v>
      </c>
      <c r="S410">
        <v>0</v>
      </c>
      <c r="T410" t="str">
        <f>ROUND((Q410+R410)*0.3,-2)</f>
        <v>#REF!</v>
      </c>
      <c r="U410" t="str">
        <f>ROUND((Q410+R410)*0.4,-2)</f>
        <v>#REF!</v>
      </c>
      <c r="V410" t="str">
        <f>SUM(Q410:R410)+T410</f>
        <v>#REF!</v>
      </c>
      <c r="W410" t="str">
        <f>SUM(Q410:S410)+U410</f>
        <v>#REF!</v>
      </c>
      <c r="X410">
        <v>0</v>
      </c>
      <c r="Y410" t="str">
        <f>V410*0.038</f>
        <v>#REF!</v>
      </c>
      <c r="Z410" t="str">
        <f>V410*0.02</f>
        <v>#REF!</v>
      </c>
      <c r="AA410" t="str">
        <f>W410*0.1</f>
        <v>#REF!</v>
      </c>
      <c r="AB410" t="str">
        <f>V410-Y410-Z410</f>
        <v>#REF!</v>
      </c>
      <c r="AC410" t="str">
        <f>W410-AA410</f>
        <v>#REF!</v>
      </c>
      <c r="AD410" t="str">
        <f>AB410*0.01</f>
        <v>#REF!</v>
      </c>
      <c r="AE410" t="str">
        <f>AB410-Q410-AD410-R410</f>
        <v>#REF!</v>
      </c>
      <c r="AF410" t="str">
        <f>AC410-Q410-AD410-R410</f>
        <v>#REF!</v>
      </c>
      <c r="AG410" t="str">
        <f>AE410/V410</f>
        <v>#REF!</v>
      </c>
      <c r="AH410" t="str">
        <f>AF410/W410</f>
        <v>#REF!</v>
      </c>
    </row>
    <row r="411">
      <c r="G411" t="str">
        <v>A</v>
      </c>
      <c r="J411" t="str">
        <f>IF(K411&gt;0,K411*0.0625,IF(L411&gt;0,L411*2.204623,))</f>
        <v>#REF!</v>
      </c>
      <c r="K411" t="str">
        <f>IF(L411&gt;0,L411*35.273962,IF(J411&gt;0,J411*16,))</f>
        <v>#REF!</v>
      </c>
      <c r="L411" t="str">
        <f>IF(J411&gt;0,J411*0.453592,IF(K411&gt;0,K411*0.02835,))</f>
        <v>#REF!</v>
      </c>
      <c r="O411">
        <f>I411+N411+M411</f>
        <v>0</v>
      </c>
      <c r="P411">
        <f>O411*B$3</f>
        <v>0</v>
      </c>
      <c r="Q411">
        <f>ROUND(SUM(P411), -2)</f>
        <v>0</v>
      </c>
      <c r="R411" t="str">
        <f>ROUNDUP(HLOOKUP(IF(CEILING(L411,0.5)&lt;1,0.5,CEILING(L411,0.5)),'배송비 조회'!A$44:AO$56,7,0)*B$3,-2)</f>
        <v>#REF!</v>
      </c>
      <c r="S411">
        <v>0</v>
      </c>
      <c r="T411" t="str">
        <f>ROUND((Q411+R411)*0.3,-2)</f>
        <v>#REF!</v>
      </c>
      <c r="U411" t="str">
        <f>ROUND((Q411+R411)*0.4,-2)</f>
        <v>#REF!</v>
      </c>
      <c r="V411" t="str">
        <f>SUM(Q411:R411)+T411</f>
        <v>#REF!</v>
      </c>
      <c r="W411" t="str">
        <f>SUM(Q411:S411)+U411</f>
        <v>#REF!</v>
      </c>
      <c r="X411">
        <v>0</v>
      </c>
      <c r="Y411" t="str">
        <f>V411*0.038</f>
        <v>#REF!</v>
      </c>
      <c r="Z411" t="str">
        <f>V411*0.02</f>
        <v>#REF!</v>
      </c>
      <c r="AA411" t="str">
        <f>W411*0.1</f>
        <v>#REF!</v>
      </c>
      <c r="AB411" t="str">
        <f>V411-Y411-Z411</f>
        <v>#REF!</v>
      </c>
      <c r="AC411" t="str">
        <f>W411-AA411</f>
        <v>#REF!</v>
      </c>
      <c r="AD411" t="str">
        <f>AB411*0.01</f>
        <v>#REF!</v>
      </c>
      <c r="AE411" t="str">
        <f>AB411-Q411-AD411-R411</f>
        <v>#REF!</v>
      </c>
      <c r="AF411" t="str">
        <f>AC411-Q411-AD411-R411</f>
        <v>#REF!</v>
      </c>
      <c r="AG411" t="str">
        <f>AE411/V411</f>
        <v>#REF!</v>
      </c>
      <c r="AH411" t="str">
        <f>AF411/W411</f>
        <v>#REF!</v>
      </c>
    </row>
    <row r="412">
      <c r="G412" t="str">
        <v>A</v>
      </c>
      <c r="J412" t="str">
        <f>IF(K412&gt;0,K412*0.0625,IF(L412&gt;0,L412*2.204623,))</f>
        <v>#REF!</v>
      </c>
      <c r="K412" t="str">
        <f>IF(L412&gt;0,L412*35.273962,IF(J412&gt;0,J412*16,))</f>
        <v>#REF!</v>
      </c>
      <c r="L412" t="str">
        <f>IF(J412&gt;0,J412*0.453592,IF(K412&gt;0,K412*0.02835,))</f>
        <v>#REF!</v>
      </c>
      <c r="O412">
        <f>I412+N412+M412</f>
        <v>0</v>
      </c>
      <c r="P412">
        <f>O412*B$3</f>
        <v>0</v>
      </c>
      <c r="Q412">
        <f>ROUND(SUM(P412), -2)</f>
        <v>0</v>
      </c>
      <c r="R412" t="str">
        <f>ROUNDUP(HLOOKUP(IF(CEILING(L412,0.5)&lt;1,0.5,CEILING(L412,0.5)),'배송비 조회'!A$44:AO$56,7,0)*B$3,-2)</f>
        <v>#REF!</v>
      </c>
      <c r="S412">
        <v>0</v>
      </c>
      <c r="T412" t="str">
        <f>ROUND((Q412+R412)*0.3,-2)</f>
        <v>#REF!</v>
      </c>
      <c r="U412" t="str">
        <f>ROUND((Q412+R412)*0.4,-2)</f>
        <v>#REF!</v>
      </c>
      <c r="V412" t="str">
        <f>SUM(Q412:R412)+T412</f>
        <v>#REF!</v>
      </c>
      <c r="W412" t="str">
        <f>SUM(Q412:S412)+U412</f>
        <v>#REF!</v>
      </c>
      <c r="X412">
        <v>0</v>
      </c>
      <c r="Y412" t="str">
        <f>V412*0.038</f>
        <v>#REF!</v>
      </c>
      <c r="Z412" t="str">
        <f>V412*0.02</f>
        <v>#REF!</v>
      </c>
      <c r="AA412" t="str">
        <f>W412*0.1</f>
        <v>#REF!</v>
      </c>
      <c r="AB412" t="str">
        <f>V412-Y412-Z412</f>
        <v>#REF!</v>
      </c>
      <c r="AC412" t="str">
        <f>W412-AA412</f>
        <v>#REF!</v>
      </c>
      <c r="AD412" t="str">
        <f>AB412*0.01</f>
        <v>#REF!</v>
      </c>
      <c r="AE412" t="str">
        <f>AB412-Q412-AD412-R412</f>
        <v>#REF!</v>
      </c>
      <c r="AF412" t="str">
        <f>AC412-Q412-AD412-R412</f>
        <v>#REF!</v>
      </c>
      <c r="AG412" t="str">
        <f>AE412/V412</f>
        <v>#REF!</v>
      </c>
      <c r="AH412" t="str">
        <f>AF412/W412</f>
        <v>#REF!</v>
      </c>
    </row>
    <row r="413">
      <c r="G413" t="str">
        <v>A</v>
      </c>
      <c r="J413" t="str">
        <f>IF(K413&gt;0,K413*0.0625,IF(L413&gt;0,L413*2.204623,))</f>
        <v>#REF!</v>
      </c>
      <c r="K413" t="str">
        <f>IF(L413&gt;0,L413*35.273962,IF(J413&gt;0,J413*16,))</f>
        <v>#REF!</v>
      </c>
      <c r="L413" t="str">
        <f>IF(J413&gt;0,J413*0.453592,IF(K413&gt;0,K413*0.02835,))</f>
        <v>#REF!</v>
      </c>
      <c r="O413">
        <f>I413+N413+M413</f>
        <v>0</v>
      </c>
      <c r="P413">
        <f>O413*B$3</f>
        <v>0</v>
      </c>
      <c r="Q413">
        <f>ROUND(SUM(P413), -2)</f>
        <v>0</v>
      </c>
      <c r="R413" t="str">
        <f>ROUNDUP(HLOOKUP(IF(CEILING(L413,0.5)&lt;1,0.5,CEILING(L413,0.5)),'배송비 조회'!A$44:AO$56,7,0)*B$3,-2)</f>
        <v>#REF!</v>
      </c>
      <c r="S413">
        <v>0</v>
      </c>
      <c r="T413" t="str">
        <f>ROUND((Q413+R413)*0.3,-2)</f>
        <v>#REF!</v>
      </c>
      <c r="U413" t="str">
        <f>ROUND((Q413+R413)*0.4,-2)</f>
        <v>#REF!</v>
      </c>
      <c r="V413" t="str">
        <f>SUM(Q413:R413)+T413</f>
        <v>#REF!</v>
      </c>
      <c r="W413" t="str">
        <f>SUM(Q413:S413)+U413</f>
        <v>#REF!</v>
      </c>
      <c r="X413">
        <v>0</v>
      </c>
      <c r="Y413" t="str">
        <f>V413*0.038</f>
        <v>#REF!</v>
      </c>
      <c r="Z413" t="str">
        <f>V413*0.02</f>
        <v>#REF!</v>
      </c>
      <c r="AA413" t="str">
        <f>W413*0.1</f>
        <v>#REF!</v>
      </c>
      <c r="AB413" t="str">
        <f>V413-Y413-Z413</f>
        <v>#REF!</v>
      </c>
      <c r="AC413" t="str">
        <f>W413-AA413</f>
        <v>#REF!</v>
      </c>
      <c r="AD413" t="str">
        <f>AB413*0.01</f>
        <v>#REF!</v>
      </c>
      <c r="AE413" t="str">
        <f>AB413-Q413-AD413-R413</f>
        <v>#REF!</v>
      </c>
      <c r="AF413" t="str">
        <f>AC413-Q413-AD413-R413</f>
        <v>#REF!</v>
      </c>
      <c r="AG413" t="str">
        <f>AE413/V413</f>
        <v>#REF!</v>
      </c>
      <c r="AH413" t="str">
        <f>AF413/W413</f>
        <v>#REF!</v>
      </c>
    </row>
    <row r="414">
      <c r="G414" t="str">
        <v>A</v>
      </c>
      <c r="J414" t="str">
        <f>IF(K414&gt;0,K414*0.0625,IF(L414&gt;0,L414*2.204623,))</f>
        <v>#REF!</v>
      </c>
      <c r="K414" t="str">
        <f>IF(L414&gt;0,L414*35.273962,IF(J414&gt;0,J414*16,))</f>
        <v>#REF!</v>
      </c>
      <c r="L414" t="str">
        <f>IF(J414&gt;0,J414*0.453592,IF(K414&gt;0,K414*0.02835,))</f>
        <v>#REF!</v>
      </c>
      <c r="O414">
        <f>I414+N414+M414</f>
        <v>0</v>
      </c>
      <c r="P414">
        <f>O414*B$3</f>
        <v>0</v>
      </c>
      <c r="Q414">
        <f>ROUND(SUM(P414), -2)</f>
        <v>0</v>
      </c>
      <c r="R414" t="str">
        <f>ROUNDUP(HLOOKUP(IF(CEILING(L414,0.5)&lt;1,0.5,CEILING(L414,0.5)),'배송비 조회'!A$44:AO$56,7,0)*B$3,-2)</f>
        <v>#REF!</v>
      </c>
      <c r="S414">
        <v>0</v>
      </c>
      <c r="T414" t="str">
        <f>ROUND((Q414+R414)*0.3,-2)</f>
        <v>#REF!</v>
      </c>
      <c r="U414" t="str">
        <f>ROUND((Q414+R414)*0.4,-2)</f>
        <v>#REF!</v>
      </c>
      <c r="V414" t="str">
        <f>SUM(Q414:R414)+T414</f>
        <v>#REF!</v>
      </c>
      <c r="W414" t="str">
        <f>SUM(Q414:S414)+U414</f>
        <v>#REF!</v>
      </c>
      <c r="X414">
        <v>0</v>
      </c>
      <c r="Y414" t="str">
        <f>V414*0.038</f>
        <v>#REF!</v>
      </c>
      <c r="Z414" t="str">
        <f>V414*0.02</f>
        <v>#REF!</v>
      </c>
      <c r="AA414" t="str">
        <f>W414*0.1</f>
        <v>#REF!</v>
      </c>
      <c r="AB414" t="str">
        <f>V414-Y414-Z414</f>
        <v>#REF!</v>
      </c>
      <c r="AC414" t="str">
        <f>W414-AA414</f>
        <v>#REF!</v>
      </c>
      <c r="AD414" t="str">
        <f>AB414*0.01</f>
        <v>#REF!</v>
      </c>
      <c r="AE414" t="str">
        <f>AB414-Q414-AD414-R414</f>
        <v>#REF!</v>
      </c>
      <c r="AF414" t="str">
        <f>AC414-Q414-AD414-R414</f>
        <v>#REF!</v>
      </c>
      <c r="AG414" t="str">
        <f>AE414/V414</f>
        <v>#REF!</v>
      </c>
      <c r="AH414" t="str">
        <f>AF414/W414</f>
        <v>#REF!</v>
      </c>
    </row>
    <row r="415">
      <c r="G415" t="str">
        <v>A</v>
      </c>
      <c r="J415" t="str">
        <f>IF(K415&gt;0,K415*0.0625,IF(L415&gt;0,L415*2.204623,))</f>
        <v>#REF!</v>
      </c>
      <c r="K415" t="str">
        <f>IF(L415&gt;0,L415*35.273962,IF(J415&gt;0,J415*16,))</f>
        <v>#REF!</v>
      </c>
      <c r="L415" t="str">
        <f>IF(J415&gt;0,J415*0.453592,IF(K415&gt;0,K415*0.02835,))</f>
        <v>#REF!</v>
      </c>
      <c r="O415">
        <f>I415+N415+M415</f>
        <v>0</v>
      </c>
      <c r="P415">
        <f>O415*B$3</f>
        <v>0</v>
      </c>
      <c r="Q415">
        <f>ROUND(SUM(P415), -2)</f>
        <v>0</v>
      </c>
      <c r="R415" t="str">
        <f>ROUNDUP(HLOOKUP(IF(CEILING(L415,0.5)&lt;1,0.5,CEILING(L415,0.5)),'배송비 조회'!A$44:AO$56,7,0)*B$3,-2)</f>
        <v>#REF!</v>
      </c>
      <c r="S415">
        <v>0</v>
      </c>
      <c r="T415" t="str">
        <f>ROUND((Q415+R415)*0.3,-2)</f>
        <v>#REF!</v>
      </c>
      <c r="U415" t="str">
        <f>ROUND((Q415+R415)*0.4,-2)</f>
        <v>#REF!</v>
      </c>
      <c r="V415" t="str">
        <f>SUM(Q415:R415)+T415</f>
        <v>#REF!</v>
      </c>
      <c r="W415" t="str">
        <f>SUM(Q415:S415)+U415</f>
        <v>#REF!</v>
      </c>
      <c r="X415">
        <v>0</v>
      </c>
      <c r="Y415" t="str">
        <f>V415*0.038</f>
        <v>#REF!</v>
      </c>
      <c r="Z415" t="str">
        <f>V415*0.02</f>
        <v>#REF!</v>
      </c>
      <c r="AA415" t="str">
        <f>W415*0.1</f>
        <v>#REF!</v>
      </c>
      <c r="AB415" t="str">
        <f>V415-Y415-Z415</f>
        <v>#REF!</v>
      </c>
      <c r="AC415" t="str">
        <f>W415-AA415</f>
        <v>#REF!</v>
      </c>
      <c r="AD415" t="str">
        <f>AB415*0.01</f>
        <v>#REF!</v>
      </c>
      <c r="AE415" t="str">
        <f>AB415-Q415-AD415-R415</f>
        <v>#REF!</v>
      </c>
      <c r="AF415" t="str">
        <f>AC415-Q415-AD415-R415</f>
        <v>#REF!</v>
      </c>
      <c r="AG415" t="str">
        <f>AE415/V415</f>
        <v>#REF!</v>
      </c>
      <c r="AH415" t="str">
        <f>AF415/W415</f>
        <v>#REF!</v>
      </c>
    </row>
    <row r="416">
      <c r="G416" t="str">
        <v>A</v>
      </c>
      <c r="J416" t="str">
        <f>IF(K416&gt;0,K416*0.0625,IF(L416&gt;0,L416*2.204623,))</f>
        <v>#REF!</v>
      </c>
      <c r="K416" t="str">
        <f>IF(L416&gt;0,L416*35.273962,IF(J416&gt;0,J416*16,))</f>
        <v>#REF!</v>
      </c>
      <c r="L416" t="str">
        <f>IF(J416&gt;0,J416*0.453592,IF(K416&gt;0,K416*0.02835,))</f>
        <v>#REF!</v>
      </c>
      <c r="O416">
        <f>I416+N416+M416</f>
        <v>0</v>
      </c>
      <c r="P416">
        <f>O416*B$3</f>
        <v>0</v>
      </c>
      <c r="Q416">
        <f>ROUND(SUM(P416), -2)</f>
        <v>0</v>
      </c>
      <c r="R416" t="str">
        <f>ROUNDUP(HLOOKUP(IF(CEILING(L416,0.5)&lt;1,0.5,CEILING(L416,0.5)),'배송비 조회'!A$44:AO$56,7,0)*B$3,-2)</f>
        <v>#REF!</v>
      </c>
      <c r="S416">
        <v>0</v>
      </c>
      <c r="T416" t="str">
        <f>ROUND((Q416+R416)*0.3,-2)</f>
        <v>#REF!</v>
      </c>
      <c r="U416" t="str">
        <f>ROUND((Q416+R416)*0.4,-2)</f>
        <v>#REF!</v>
      </c>
      <c r="V416" t="str">
        <f>SUM(Q416:R416)+T416</f>
        <v>#REF!</v>
      </c>
      <c r="W416" t="str">
        <f>SUM(Q416:S416)+U416</f>
        <v>#REF!</v>
      </c>
      <c r="X416">
        <v>0</v>
      </c>
      <c r="Y416" t="str">
        <f>V416*0.038</f>
        <v>#REF!</v>
      </c>
      <c r="Z416" t="str">
        <f>V416*0.02</f>
        <v>#REF!</v>
      </c>
      <c r="AA416" t="str">
        <f>W416*0.1</f>
        <v>#REF!</v>
      </c>
      <c r="AB416" t="str">
        <f>V416-Y416-Z416</f>
        <v>#REF!</v>
      </c>
      <c r="AC416" t="str">
        <f>W416-AA416</f>
        <v>#REF!</v>
      </c>
      <c r="AD416" t="str">
        <f>AB416*0.01</f>
        <v>#REF!</v>
      </c>
      <c r="AE416" t="str">
        <f>AB416-Q416-AD416-R416</f>
        <v>#REF!</v>
      </c>
      <c r="AF416" t="str">
        <f>AC416-Q416-AD416-R416</f>
        <v>#REF!</v>
      </c>
      <c r="AG416" t="str">
        <f>AE416/V416</f>
        <v>#REF!</v>
      </c>
      <c r="AH416" t="str">
        <f>AF416/W416</f>
        <v>#REF!</v>
      </c>
    </row>
    <row r="417">
      <c r="G417" t="str">
        <v>A</v>
      </c>
      <c r="J417" t="str">
        <f>IF(K417&gt;0,K417*0.0625,IF(L417&gt;0,L417*2.204623,))</f>
        <v>#REF!</v>
      </c>
      <c r="K417" t="str">
        <f>IF(L417&gt;0,L417*35.273962,IF(J417&gt;0,J417*16,))</f>
        <v>#REF!</v>
      </c>
      <c r="L417" t="str">
        <f>IF(J417&gt;0,J417*0.453592,IF(K417&gt;0,K417*0.02835,))</f>
        <v>#REF!</v>
      </c>
      <c r="O417">
        <f>I417+N417+M417</f>
        <v>0</v>
      </c>
      <c r="P417">
        <f>O417*B$3</f>
        <v>0</v>
      </c>
      <c r="Q417">
        <f>ROUND(SUM(P417), -2)</f>
        <v>0</v>
      </c>
      <c r="R417" t="str">
        <f>ROUNDUP(HLOOKUP(IF(CEILING(L417,0.5)&lt;1,0.5,CEILING(L417,0.5)),'배송비 조회'!A$44:AO$56,7,0)*B$3,-2)</f>
        <v>#REF!</v>
      </c>
      <c r="S417">
        <v>0</v>
      </c>
      <c r="T417" t="str">
        <f>ROUND((Q417+R417)*0.3,-2)</f>
        <v>#REF!</v>
      </c>
      <c r="U417" t="str">
        <f>ROUND((Q417+R417)*0.4,-2)</f>
        <v>#REF!</v>
      </c>
      <c r="V417" t="str">
        <f>SUM(Q417:R417)+T417</f>
        <v>#REF!</v>
      </c>
      <c r="W417" t="str">
        <f>SUM(Q417:S417)+U417</f>
        <v>#REF!</v>
      </c>
      <c r="X417">
        <v>0</v>
      </c>
      <c r="Y417" t="str">
        <f>V417*0.038</f>
        <v>#REF!</v>
      </c>
      <c r="Z417" t="str">
        <f>V417*0.02</f>
        <v>#REF!</v>
      </c>
      <c r="AA417" t="str">
        <f>W417*0.1</f>
        <v>#REF!</v>
      </c>
      <c r="AB417" t="str">
        <f>V417-Y417-Z417</f>
        <v>#REF!</v>
      </c>
      <c r="AC417" t="str">
        <f>W417-AA417</f>
        <v>#REF!</v>
      </c>
      <c r="AD417" t="str">
        <f>AB417*0.01</f>
        <v>#REF!</v>
      </c>
      <c r="AE417" t="str">
        <f>AB417-Q417-AD417-R417</f>
        <v>#REF!</v>
      </c>
      <c r="AF417" t="str">
        <f>AC417-Q417-AD417-R417</f>
        <v>#REF!</v>
      </c>
      <c r="AG417" t="str">
        <f>AE417/V417</f>
        <v>#REF!</v>
      </c>
      <c r="AH417" t="str">
        <f>AF417/W417</f>
        <v>#REF!</v>
      </c>
    </row>
    <row r="418">
      <c r="G418" t="str">
        <v>A</v>
      </c>
      <c r="J418" t="str">
        <f>IF(K418&gt;0,K418*0.0625,IF(L418&gt;0,L418*2.204623,))</f>
        <v>#REF!</v>
      </c>
      <c r="K418" t="str">
        <f>IF(L418&gt;0,L418*35.273962,IF(J418&gt;0,J418*16,))</f>
        <v>#REF!</v>
      </c>
      <c r="L418" t="str">
        <f>IF(J418&gt;0,J418*0.453592,IF(K418&gt;0,K418*0.02835,))</f>
        <v>#REF!</v>
      </c>
      <c r="O418">
        <f>I418+N418+M418</f>
        <v>0</v>
      </c>
      <c r="P418">
        <f>O418*B$3</f>
        <v>0</v>
      </c>
      <c r="Q418">
        <f>ROUND(SUM(P418), -2)</f>
        <v>0</v>
      </c>
      <c r="R418" t="str">
        <f>ROUNDUP(HLOOKUP(IF(CEILING(L418,0.5)&lt;1,0.5,CEILING(L418,0.5)),'배송비 조회'!A$44:AO$56,7,0)*B$3,-2)</f>
        <v>#REF!</v>
      </c>
      <c r="S418">
        <v>0</v>
      </c>
      <c r="T418" t="str">
        <f>ROUND((Q418+R418)*0.3,-2)</f>
        <v>#REF!</v>
      </c>
      <c r="U418" t="str">
        <f>ROUND((Q418+R418)*0.4,-2)</f>
        <v>#REF!</v>
      </c>
      <c r="V418" t="str">
        <f>SUM(Q418:R418)+T418</f>
        <v>#REF!</v>
      </c>
      <c r="W418" t="str">
        <f>SUM(Q418:S418)+U418</f>
        <v>#REF!</v>
      </c>
      <c r="X418">
        <v>0</v>
      </c>
      <c r="Y418" t="str">
        <f>V418*0.038</f>
        <v>#REF!</v>
      </c>
      <c r="Z418" t="str">
        <f>V418*0.02</f>
        <v>#REF!</v>
      </c>
      <c r="AA418" t="str">
        <f>W418*0.1</f>
        <v>#REF!</v>
      </c>
      <c r="AB418" t="str">
        <f>V418-Y418-Z418</f>
        <v>#REF!</v>
      </c>
      <c r="AC418" t="str">
        <f>W418-AA418</f>
        <v>#REF!</v>
      </c>
      <c r="AD418" t="str">
        <f>AB418*0.01</f>
        <v>#REF!</v>
      </c>
      <c r="AE418" t="str">
        <f>AB418-Q418-AD418-R418</f>
        <v>#REF!</v>
      </c>
      <c r="AF418" t="str">
        <f>AC418-Q418-AD418-R418</f>
        <v>#REF!</v>
      </c>
      <c r="AG418" t="str">
        <f>AE418/V418</f>
        <v>#REF!</v>
      </c>
      <c r="AH418" t="str">
        <f>AF418/W418</f>
        <v>#REF!</v>
      </c>
    </row>
    <row r="419">
      <c r="G419" t="str">
        <v>A</v>
      </c>
      <c r="J419" t="str">
        <f>IF(K419&gt;0,K419*0.0625,IF(L419&gt;0,L419*2.204623,))</f>
        <v>#REF!</v>
      </c>
      <c r="K419" t="str">
        <f>IF(L419&gt;0,L419*35.273962,IF(J419&gt;0,J419*16,))</f>
        <v>#REF!</v>
      </c>
      <c r="L419" t="str">
        <f>IF(J419&gt;0,J419*0.453592,IF(K419&gt;0,K419*0.02835,))</f>
        <v>#REF!</v>
      </c>
      <c r="O419">
        <f>I419+N419+M419</f>
        <v>0</v>
      </c>
      <c r="P419">
        <f>O419*B$3</f>
        <v>0</v>
      </c>
      <c r="Q419">
        <f>ROUND(SUM(P419), -2)</f>
        <v>0</v>
      </c>
      <c r="R419" t="str">
        <f>ROUNDUP(HLOOKUP(IF(CEILING(L419,0.5)&lt;1,0.5,CEILING(L419,0.5)),'배송비 조회'!A$44:AO$56,7,0)*B$3,-2)</f>
        <v>#REF!</v>
      </c>
      <c r="S419">
        <v>0</v>
      </c>
      <c r="T419" t="str">
        <f>ROUND((Q419+R419)*0.3,-2)</f>
        <v>#REF!</v>
      </c>
      <c r="U419" t="str">
        <f>ROUND((Q419+R419)*0.4,-2)</f>
        <v>#REF!</v>
      </c>
      <c r="V419" t="str">
        <f>SUM(Q419:R419)+T419</f>
        <v>#REF!</v>
      </c>
      <c r="W419" t="str">
        <f>SUM(Q419:S419)+U419</f>
        <v>#REF!</v>
      </c>
      <c r="X419">
        <v>0</v>
      </c>
      <c r="Y419" t="str">
        <f>V419*0.038</f>
        <v>#REF!</v>
      </c>
      <c r="Z419" t="str">
        <f>V419*0.02</f>
        <v>#REF!</v>
      </c>
      <c r="AA419" t="str">
        <f>W419*0.1</f>
        <v>#REF!</v>
      </c>
      <c r="AB419" t="str">
        <f>V419-Y419-Z419</f>
        <v>#REF!</v>
      </c>
      <c r="AC419" t="str">
        <f>W419-AA419</f>
        <v>#REF!</v>
      </c>
      <c r="AD419" t="str">
        <f>AB419*0.01</f>
        <v>#REF!</v>
      </c>
      <c r="AE419" t="str">
        <f>AB419-Q419-AD419-R419</f>
        <v>#REF!</v>
      </c>
      <c r="AF419" t="str">
        <f>AC419-Q419-AD419-R419</f>
        <v>#REF!</v>
      </c>
      <c r="AG419" t="str">
        <f>AE419/V419</f>
        <v>#REF!</v>
      </c>
      <c r="AH419" t="str">
        <f>AF419/W419</f>
        <v>#REF!</v>
      </c>
    </row>
    <row r="420">
      <c r="G420" t="str">
        <v>A</v>
      </c>
      <c r="J420" t="str">
        <f>IF(K420&gt;0,K420*0.0625,IF(L420&gt;0,L420*2.204623,))</f>
        <v>#REF!</v>
      </c>
      <c r="K420" t="str">
        <f>IF(L420&gt;0,L420*35.273962,IF(J420&gt;0,J420*16,))</f>
        <v>#REF!</v>
      </c>
      <c r="L420" t="str">
        <f>IF(J420&gt;0,J420*0.453592,IF(K420&gt;0,K420*0.02835,))</f>
        <v>#REF!</v>
      </c>
      <c r="O420">
        <f>I420+N420+M420</f>
        <v>0</v>
      </c>
      <c r="P420">
        <f>O420*B$3</f>
        <v>0</v>
      </c>
      <c r="Q420">
        <f>ROUND(SUM(P420), -2)</f>
        <v>0</v>
      </c>
      <c r="R420" t="str">
        <f>ROUNDUP(HLOOKUP(IF(CEILING(L420,0.5)&lt;1,0.5,CEILING(L420,0.5)),'배송비 조회'!A$44:AO$56,7,0)*B$3,-2)</f>
        <v>#REF!</v>
      </c>
      <c r="S420">
        <v>0</v>
      </c>
      <c r="T420" t="str">
        <f>ROUND((Q420+R420)*0.3,-2)</f>
        <v>#REF!</v>
      </c>
      <c r="U420" t="str">
        <f>ROUND((Q420+R420)*0.4,-2)</f>
        <v>#REF!</v>
      </c>
      <c r="V420" t="str">
        <f>SUM(Q420:R420)+T420</f>
        <v>#REF!</v>
      </c>
      <c r="W420" t="str">
        <f>SUM(Q420:S420)+U420</f>
        <v>#REF!</v>
      </c>
      <c r="X420">
        <v>0</v>
      </c>
      <c r="Y420" t="str">
        <f>V420*0.038</f>
        <v>#REF!</v>
      </c>
      <c r="Z420" t="str">
        <f>V420*0.02</f>
        <v>#REF!</v>
      </c>
      <c r="AA420" t="str">
        <f>W420*0.1</f>
        <v>#REF!</v>
      </c>
      <c r="AB420" t="str">
        <f>V420-Y420-Z420</f>
        <v>#REF!</v>
      </c>
      <c r="AC420" t="str">
        <f>W420-AA420</f>
        <v>#REF!</v>
      </c>
      <c r="AD420" t="str">
        <f>AB420*0.01</f>
        <v>#REF!</v>
      </c>
      <c r="AE420" t="str">
        <f>AB420-Q420-AD420-R420</f>
        <v>#REF!</v>
      </c>
      <c r="AF420" t="str">
        <f>AC420-Q420-AD420-R420</f>
        <v>#REF!</v>
      </c>
      <c r="AG420" t="str">
        <f>AE420/V420</f>
        <v>#REF!</v>
      </c>
      <c r="AH420" t="str">
        <f>AF420/W420</f>
        <v>#REF!</v>
      </c>
    </row>
    <row r="421">
      <c r="G421" t="str">
        <v>A</v>
      </c>
      <c r="J421" t="str">
        <f>IF(K421&gt;0,K421*0.0625,IF(L421&gt;0,L421*2.204623,))</f>
        <v>#REF!</v>
      </c>
      <c r="K421" t="str">
        <f>IF(L421&gt;0,L421*35.273962,IF(J421&gt;0,J421*16,))</f>
        <v>#REF!</v>
      </c>
      <c r="L421" t="str">
        <f>IF(J421&gt;0,J421*0.453592,IF(K421&gt;0,K421*0.02835,))</f>
        <v>#REF!</v>
      </c>
      <c r="O421">
        <f>I421+N421+M421</f>
        <v>0</v>
      </c>
      <c r="P421">
        <f>O421*B$3</f>
        <v>0</v>
      </c>
      <c r="Q421">
        <f>ROUND(SUM(P421), -2)</f>
        <v>0</v>
      </c>
      <c r="R421" t="str">
        <f>ROUNDUP(HLOOKUP(IF(CEILING(L421,0.5)&lt;1,0.5,CEILING(L421,0.5)),'배송비 조회'!A$44:AO$56,7,0)*B$3,-2)</f>
        <v>#REF!</v>
      </c>
      <c r="S421">
        <v>0</v>
      </c>
      <c r="T421" t="str">
        <f>ROUND((Q421+R421)*0.3,-2)</f>
        <v>#REF!</v>
      </c>
      <c r="U421" t="str">
        <f>ROUND((Q421+R421)*0.4,-2)</f>
        <v>#REF!</v>
      </c>
      <c r="V421" t="str">
        <f>SUM(Q421:R421)+T421</f>
        <v>#REF!</v>
      </c>
      <c r="W421" t="str">
        <f>SUM(Q421:S421)+U421</f>
        <v>#REF!</v>
      </c>
      <c r="X421">
        <v>0</v>
      </c>
      <c r="Y421" t="str">
        <f>V421*0.038</f>
        <v>#REF!</v>
      </c>
      <c r="Z421" t="str">
        <f>V421*0.02</f>
        <v>#REF!</v>
      </c>
      <c r="AA421" t="str">
        <f>W421*0.1</f>
        <v>#REF!</v>
      </c>
      <c r="AB421" t="str">
        <f>V421-Y421-Z421</f>
        <v>#REF!</v>
      </c>
      <c r="AC421" t="str">
        <f>W421-AA421</f>
        <v>#REF!</v>
      </c>
      <c r="AD421" t="str">
        <f>AB421*0.01</f>
        <v>#REF!</v>
      </c>
      <c r="AE421" t="str">
        <f>AB421-Q421-AD421-R421</f>
        <v>#REF!</v>
      </c>
      <c r="AF421" t="str">
        <f>AC421-Q421-AD421-R421</f>
        <v>#REF!</v>
      </c>
      <c r="AG421" t="str">
        <f>AE421/V421</f>
        <v>#REF!</v>
      </c>
      <c r="AH421" t="str">
        <f>AF421/W421</f>
        <v>#REF!</v>
      </c>
    </row>
    <row r="422">
      <c r="G422" t="str">
        <v>A</v>
      </c>
      <c r="J422" t="str">
        <f>IF(K422&gt;0,K422*0.0625,IF(L422&gt;0,L422*2.204623,))</f>
        <v>#REF!</v>
      </c>
      <c r="K422" t="str">
        <f>IF(L422&gt;0,L422*35.273962,IF(J422&gt;0,J422*16,))</f>
        <v>#REF!</v>
      </c>
      <c r="L422" t="str">
        <f>IF(J422&gt;0,J422*0.453592,IF(K422&gt;0,K422*0.02835,))</f>
        <v>#REF!</v>
      </c>
      <c r="O422">
        <f>I422+N422+M422</f>
        <v>0</v>
      </c>
      <c r="P422">
        <f>O422*B$3</f>
        <v>0</v>
      </c>
      <c r="Q422">
        <f>ROUND(SUM(P422), -2)</f>
        <v>0</v>
      </c>
      <c r="R422" t="str">
        <f>ROUNDUP(HLOOKUP(IF(CEILING(L422,0.5)&lt;1,0.5,CEILING(L422,0.5)),'배송비 조회'!A$44:AO$56,7,0)*B$3,-2)</f>
        <v>#REF!</v>
      </c>
      <c r="S422">
        <v>0</v>
      </c>
      <c r="T422" t="str">
        <f>ROUND((Q422+R422)*0.3,-2)</f>
        <v>#REF!</v>
      </c>
      <c r="U422" t="str">
        <f>ROUND((Q422+R422)*0.4,-2)</f>
        <v>#REF!</v>
      </c>
      <c r="V422" t="str">
        <f>SUM(Q422:R422)+T422</f>
        <v>#REF!</v>
      </c>
      <c r="W422" t="str">
        <f>SUM(Q422:S422)+U422</f>
        <v>#REF!</v>
      </c>
      <c r="X422">
        <v>0</v>
      </c>
      <c r="Y422" t="str">
        <f>V422*0.038</f>
        <v>#REF!</v>
      </c>
      <c r="Z422" t="str">
        <f>V422*0.02</f>
        <v>#REF!</v>
      </c>
      <c r="AA422" t="str">
        <f>W422*0.1</f>
        <v>#REF!</v>
      </c>
      <c r="AB422" t="str">
        <f>V422-Y422-Z422</f>
        <v>#REF!</v>
      </c>
      <c r="AC422" t="str">
        <f>W422-AA422</f>
        <v>#REF!</v>
      </c>
      <c r="AD422" t="str">
        <f>AB422*0.01</f>
        <v>#REF!</v>
      </c>
      <c r="AE422" t="str">
        <f>AB422-Q422-AD422-R422</f>
        <v>#REF!</v>
      </c>
      <c r="AF422" t="str">
        <f>AC422-Q422-AD422-R422</f>
        <v>#REF!</v>
      </c>
      <c r="AG422" t="str">
        <f>AE422/V422</f>
        <v>#REF!</v>
      </c>
      <c r="AH422" t="str">
        <f>AF422/W422</f>
        <v>#REF!</v>
      </c>
    </row>
    <row r="423">
      <c r="G423" t="str">
        <v>A</v>
      </c>
      <c r="J423" t="str">
        <f>IF(K423&gt;0,K423*0.0625,IF(L423&gt;0,L423*2.204623,))</f>
        <v>#REF!</v>
      </c>
      <c r="K423" t="str">
        <f>IF(L423&gt;0,L423*35.273962,IF(J423&gt;0,J423*16,))</f>
        <v>#REF!</v>
      </c>
      <c r="L423" t="str">
        <f>IF(J423&gt;0,J423*0.453592,IF(K423&gt;0,K423*0.02835,))</f>
        <v>#REF!</v>
      </c>
      <c r="O423">
        <f>I423+N423+M423</f>
        <v>0</v>
      </c>
      <c r="P423">
        <f>O423*B$3</f>
        <v>0</v>
      </c>
      <c r="Q423">
        <f>ROUND(SUM(P423), -2)</f>
        <v>0</v>
      </c>
      <c r="R423" t="str">
        <f>ROUNDUP(HLOOKUP(IF(CEILING(L423,0.5)&lt;1,0.5,CEILING(L423,0.5)),'배송비 조회'!A$44:AO$56,7,0)*B$3,-2)</f>
        <v>#REF!</v>
      </c>
      <c r="S423">
        <v>0</v>
      </c>
      <c r="T423" t="str">
        <f>ROUND((Q423+R423)*0.3,-2)</f>
        <v>#REF!</v>
      </c>
      <c r="U423" t="str">
        <f>ROUND((Q423+R423)*0.4,-2)</f>
        <v>#REF!</v>
      </c>
      <c r="V423" t="str">
        <f>SUM(Q423:R423)+T423</f>
        <v>#REF!</v>
      </c>
      <c r="W423" t="str">
        <f>SUM(Q423:S423)+U423</f>
        <v>#REF!</v>
      </c>
      <c r="X423">
        <v>0</v>
      </c>
      <c r="Y423" t="str">
        <f>V423*0.038</f>
        <v>#REF!</v>
      </c>
      <c r="Z423" t="str">
        <f>V423*0.02</f>
        <v>#REF!</v>
      </c>
      <c r="AA423" t="str">
        <f>W423*0.1</f>
        <v>#REF!</v>
      </c>
      <c r="AB423" t="str">
        <f>V423-Y423-Z423</f>
        <v>#REF!</v>
      </c>
      <c r="AC423" t="str">
        <f>W423-AA423</f>
        <v>#REF!</v>
      </c>
      <c r="AD423" t="str">
        <f>AB423*0.01</f>
        <v>#REF!</v>
      </c>
      <c r="AE423" t="str">
        <f>AB423-Q423-AD423-R423</f>
        <v>#REF!</v>
      </c>
      <c r="AF423" t="str">
        <f>AC423-Q423-AD423-R423</f>
        <v>#REF!</v>
      </c>
      <c r="AG423" t="str">
        <f>AE423/V423</f>
        <v>#REF!</v>
      </c>
      <c r="AH423" t="str">
        <f>AF423/W423</f>
        <v>#REF!</v>
      </c>
    </row>
    <row r="424">
      <c r="G424" t="str">
        <v>A</v>
      </c>
      <c r="J424" t="str">
        <f>IF(K424&gt;0,K424*0.0625,IF(L424&gt;0,L424*2.204623,))</f>
        <v>#REF!</v>
      </c>
      <c r="K424" t="str">
        <f>IF(L424&gt;0,L424*35.273962,IF(J424&gt;0,J424*16,))</f>
        <v>#REF!</v>
      </c>
      <c r="L424" t="str">
        <f>IF(J424&gt;0,J424*0.453592,IF(K424&gt;0,K424*0.02835,))</f>
        <v>#REF!</v>
      </c>
      <c r="O424">
        <f>I424+N424+M424</f>
        <v>0</v>
      </c>
      <c r="P424">
        <f>O424*B$3</f>
        <v>0</v>
      </c>
      <c r="Q424">
        <f>ROUND(SUM(P424), -2)</f>
        <v>0</v>
      </c>
      <c r="R424" t="str">
        <f>ROUNDUP(HLOOKUP(IF(CEILING(L424,0.5)&lt;1,0.5,CEILING(L424,0.5)),'배송비 조회'!A$44:AO$56,7,0)*B$3,-2)</f>
        <v>#REF!</v>
      </c>
      <c r="S424">
        <v>0</v>
      </c>
      <c r="T424" t="str">
        <f>ROUND((Q424+R424)*0.3,-2)</f>
        <v>#REF!</v>
      </c>
      <c r="U424" t="str">
        <f>ROUND((Q424+R424)*0.4,-2)</f>
        <v>#REF!</v>
      </c>
      <c r="V424" t="str">
        <f>SUM(Q424:R424)+T424</f>
        <v>#REF!</v>
      </c>
      <c r="W424" t="str">
        <f>SUM(Q424:S424)+U424</f>
        <v>#REF!</v>
      </c>
      <c r="X424">
        <v>0</v>
      </c>
      <c r="Y424" t="str">
        <f>V424*0.038</f>
        <v>#REF!</v>
      </c>
      <c r="Z424" t="str">
        <f>V424*0.02</f>
        <v>#REF!</v>
      </c>
      <c r="AA424" t="str">
        <f>W424*0.1</f>
        <v>#REF!</v>
      </c>
      <c r="AB424" t="str">
        <f>V424-Y424-Z424</f>
        <v>#REF!</v>
      </c>
      <c r="AC424" t="str">
        <f>W424-AA424</f>
        <v>#REF!</v>
      </c>
      <c r="AD424" t="str">
        <f>AB424*0.01</f>
        <v>#REF!</v>
      </c>
      <c r="AE424" t="str">
        <f>AB424-Q424-AD424-R424</f>
        <v>#REF!</v>
      </c>
      <c r="AF424" t="str">
        <f>AC424-Q424-AD424-R424</f>
        <v>#REF!</v>
      </c>
      <c r="AG424" t="str">
        <f>AE424/V424</f>
        <v>#REF!</v>
      </c>
      <c r="AH424" t="str">
        <f>AF424/W424</f>
        <v>#REF!</v>
      </c>
    </row>
    <row r="425">
      <c r="G425" t="str">
        <v>A</v>
      </c>
      <c r="J425" t="str">
        <f>IF(K425&gt;0,K425*0.0625,IF(L425&gt;0,L425*2.204623,))</f>
        <v>#REF!</v>
      </c>
      <c r="K425" t="str">
        <f>IF(L425&gt;0,L425*35.273962,IF(J425&gt;0,J425*16,))</f>
        <v>#REF!</v>
      </c>
      <c r="L425" t="str">
        <f>IF(J425&gt;0,J425*0.453592,IF(K425&gt;0,K425*0.02835,))</f>
        <v>#REF!</v>
      </c>
      <c r="O425">
        <f>I425+N425+M425</f>
        <v>0</v>
      </c>
      <c r="P425">
        <f>O425*B$3</f>
        <v>0</v>
      </c>
      <c r="Q425">
        <f>ROUND(SUM(P425), -2)</f>
        <v>0</v>
      </c>
      <c r="R425" t="str">
        <f>ROUNDUP(HLOOKUP(IF(CEILING(L425,0.5)&lt;1,0.5,CEILING(L425,0.5)),'배송비 조회'!A$44:AO$56,7,0)*B$3,-2)</f>
        <v>#REF!</v>
      </c>
      <c r="S425">
        <v>0</v>
      </c>
      <c r="T425" t="str">
        <f>ROUND((Q425+R425)*0.3,-2)</f>
        <v>#REF!</v>
      </c>
      <c r="U425" t="str">
        <f>ROUND((Q425+R425)*0.4,-2)</f>
        <v>#REF!</v>
      </c>
      <c r="V425" t="str">
        <f>SUM(Q425:R425)+T425</f>
        <v>#REF!</v>
      </c>
      <c r="W425" t="str">
        <f>SUM(Q425:S425)+U425</f>
        <v>#REF!</v>
      </c>
      <c r="X425">
        <v>0</v>
      </c>
      <c r="Y425" t="str">
        <f>V425*0.038</f>
        <v>#REF!</v>
      </c>
      <c r="Z425" t="str">
        <f>V425*0.02</f>
        <v>#REF!</v>
      </c>
      <c r="AA425" t="str">
        <f>W425*0.1</f>
        <v>#REF!</v>
      </c>
      <c r="AB425" t="str">
        <f>V425-Y425-Z425</f>
        <v>#REF!</v>
      </c>
      <c r="AC425" t="str">
        <f>W425-AA425</f>
        <v>#REF!</v>
      </c>
      <c r="AD425" t="str">
        <f>AB425*0.01</f>
        <v>#REF!</v>
      </c>
      <c r="AE425" t="str">
        <f>AB425-Q425-AD425-R425</f>
        <v>#REF!</v>
      </c>
      <c r="AF425" t="str">
        <f>AC425-Q425-AD425-R425</f>
        <v>#REF!</v>
      </c>
      <c r="AG425" t="str">
        <f>AE425/V425</f>
        <v>#REF!</v>
      </c>
      <c r="AH425" t="str">
        <f>AF425/W425</f>
        <v>#REF!</v>
      </c>
    </row>
    <row r="426">
      <c r="G426" t="str">
        <v>A</v>
      </c>
      <c r="J426" t="str">
        <f>IF(K426&gt;0,K426*0.0625,IF(L426&gt;0,L426*2.204623,))</f>
        <v>#REF!</v>
      </c>
      <c r="K426" t="str">
        <f>IF(L426&gt;0,L426*35.273962,IF(J426&gt;0,J426*16,))</f>
        <v>#REF!</v>
      </c>
      <c r="L426" t="str">
        <f>IF(J426&gt;0,J426*0.453592,IF(K426&gt;0,K426*0.02835,))</f>
        <v>#REF!</v>
      </c>
      <c r="O426">
        <f>I426+N426+M426</f>
        <v>0</v>
      </c>
      <c r="P426">
        <f>O426*B$3</f>
        <v>0</v>
      </c>
      <c r="Q426">
        <f>ROUND(SUM(P426), -2)</f>
        <v>0</v>
      </c>
      <c r="R426" t="str">
        <f>ROUNDUP(HLOOKUP(IF(CEILING(L426,0.5)&lt;1,0.5,CEILING(L426,0.5)),'배송비 조회'!A$44:AO$56,7,0)*B$3,-2)</f>
        <v>#REF!</v>
      </c>
      <c r="S426">
        <v>0</v>
      </c>
      <c r="T426" t="str">
        <f>ROUND((Q426+R426)*0.3,-2)</f>
        <v>#REF!</v>
      </c>
      <c r="U426" t="str">
        <f>ROUND((Q426+R426)*0.4,-2)</f>
        <v>#REF!</v>
      </c>
      <c r="V426" t="str">
        <f>SUM(Q426:R426)+T426</f>
        <v>#REF!</v>
      </c>
      <c r="W426" t="str">
        <f>SUM(Q426:S426)+U426</f>
        <v>#REF!</v>
      </c>
      <c r="X426">
        <v>0</v>
      </c>
      <c r="Y426" t="str">
        <f>V426*0.038</f>
        <v>#REF!</v>
      </c>
      <c r="Z426" t="str">
        <f>V426*0.02</f>
        <v>#REF!</v>
      </c>
      <c r="AA426" t="str">
        <f>W426*0.1</f>
        <v>#REF!</v>
      </c>
      <c r="AB426" t="str">
        <f>V426-Y426-Z426</f>
        <v>#REF!</v>
      </c>
      <c r="AC426" t="str">
        <f>W426-AA426</f>
        <v>#REF!</v>
      </c>
      <c r="AD426" t="str">
        <f>AB426*0.01</f>
        <v>#REF!</v>
      </c>
      <c r="AE426" t="str">
        <f>AB426-Q426-AD426-R426</f>
        <v>#REF!</v>
      </c>
      <c r="AF426" t="str">
        <f>AC426-Q426-AD426-R426</f>
        <v>#REF!</v>
      </c>
      <c r="AG426" t="str">
        <f>AE426/V426</f>
        <v>#REF!</v>
      </c>
      <c r="AH426" t="str">
        <f>AF426/W426</f>
        <v>#REF!</v>
      </c>
    </row>
    <row r="427">
      <c r="G427" t="str">
        <v>A</v>
      </c>
      <c r="J427" t="str">
        <f>IF(K427&gt;0,K427*0.0625,IF(L427&gt;0,L427*2.204623,))</f>
        <v>#REF!</v>
      </c>
      <c r="K427" t="str">
        <f>IF(L427&gt;0,L427*35.273962,IF(J427&gt;0,J427*16,))</f>
        <v>#REF!</v>
      </c>
      <c r="L427" t="str">
        <f>IF(J427&gt;0,J427*0.453592,IF(K427&gt;0,K427*0.02835,))</f>
        <v>#REF!</v>
      </c>
      <c r="O427">
        <f>I427+N427+M427</f>
        <v>0</v>
      </c>
      <c r="P427">
        <f>O427*B$3</f>
        <v>0</v>
      </c>
      <c r="Q427">
        <f>ROUND(SUM(P427), -2)</f>
        <v>0</v>
      </c>
      <c r="R427" t="str">
        <f>ROUNDUP(HLOOKUP(IF(CEILING(L427,0.5)&lt;1,0.5,CEILING(L427,0.5)),'배송비 조회'!A$44:AO$56,7,0)*B$3,-2)</f>
        <v>#REF!</v>
      </c>
      <c r="S427">
        <v>0</v>
      </c>
      <c r="T427" t="str">
        <f>ROUND((Q427+R427)*0.3,-2)</f>
        <v>#REF!</v>
      </c>
      <c r="U427" t="str">
        <f>ROUND((Q427+R427)*0.4,-2)</f>
        <v>#REF!</v>
      </c>
      <c r="V427" t="str">
        <f>SUM(Q427:R427)+T427</f>
        <v>#REF!</v>
      </c>
      <c r="W427" t="str">
        <f>SUM(Q427:S427)+U427</f>
        <v>#REF!</v>
      </c>
      <c r="X427">
        <v>0</v>
      </c>
      <c r="Y427" t="str">
        <f>V427*0.038</f>
        <v>#REF!</v>
      </c>
      <c r="Z427" t="str">
        <f>V427*0.02</f>
        <v>#REF!</v>
      </c>
      <c r="AA427" t="str">
        <f>W427*0.1</f>
        <v>#REF!</v>
      </c>
      <c r="AB427" t="str">
        <f>V427-Y427-Z427</f>
        <v>#REF!</v>
      </c>
      <c r="AC427" t="str">
        <f>W427-AA427</f>
        <v>#REF!</v>
      </c>
      <c r="AD427" t="str">
        <f>AB427*0.01</f>
        <v>#REF!</v>
      </c>
      <c r="AE427" t="str">
        <f>AB427-Q427-AD427-R427</f>
        <v>#REF!</v>
      </c>
      <c r="AF427" t="str">
        <f>AC427-Q427-AD427-R427</f>
        <v>#REF!</v>
      </c>
      <c r="AG427" t="str">
        <f>AE427/V427</f>
        <v>#REF!</v>
      </c>
      <c r="AH427" t="str">
        <f>AF427/W427</f>
        <v>#REF!</v>
      </c>
    </row>
    <row r="428">
      <c r="G428" t="str">
        <v>A</v>
      </c>
      <c r="J428" t="str">
        <f>IF(K428&gt;0,K428*0.0625,IF(L428&gt;0,L428*2.204623,))</f>
        <v>#REF!</v>
      </c>
      <c r="K428" t="str">
        <f>IF(L428&gt;0,L428*35.273962,IF(J428&gt;0,J428*16,))</f>
        <v>#REF!</v>
      </c>
      <c r="L428" t="str">
        <f>IF(J428&gt;0,J428*0.453592,IF(K428&gt;0,K428*0.02835,))</f>
        <v>#REF!</v>
      </c>
      <c r="O428">
        <f>I428+N428+M428</f>
        <v>0</v>
      </c>
      <c r="P428">
        <f>O428*B$3</f>
        <v>0</v>
      </c>
      <c r="Q428">
        <f>ROUND(SUM(P428), -2)</f>
        <v>0</v>
      </c>
      <c r="R428" t="str">
        <f>ROUNDUP(HLOOKUP(IF(CEILING(L428,0.5)&lt;1,0.5,CEILING(L428,0.5)),'배송비 조회'!A$44:AO$56,7,0)*B$3,-2)</f>
        <v>#REF!</v>
      </c>
      <c r="S428">
        <v>0</v>
      </c>
      <c r="T428" t="str">
        <f>ROUND((Q428+R428)*0.3,-2)</f>
        <v>#REF!</v>
      </c>
      <c r="U428" t="str">
        <f>ROUND((Q428+R428)*0.4,-2)</f>
        <v>#REF!</v>
      </c>
      <c r="V428" t="str">
        <f>SUM(Q428:R428)+T428</f>
        <v>#REF!</v>
      </c>
      <c r="W428" t="str">
        <f>SUM(Q428:S428)+U428</f>
        <v>#REF!</v>
      </c>
      <c r="X428">
        <v>0</v>
      </c>
      <c r="Y428" t="str">
        <f>V428*0.038</f>
        <v>#REF!</v>
      </c>
      <c r="Z428" t="str">
        <f>V428*0.02</f>
        <v>#REF!</v>
      </c>
      <c r="AA428" t="str">
        <f>W428*0.1</f>
        <v>#REF!</v>
      </c>
      <c r="AB428" t="str">
        <f>V428-Y428-Z428</f>
        <v>#REF!</v>
      </c>
      <c r="AC428" t="str">
        <f>W428-AA428</f>
        <v>#REF!</v>
      </c>
      <c r="AD428" t="str">
        <f>AB428*0.01</f>
        <v>#REF!</v>
      </c>
      <c r="AE428" t="str">
        <f>AB428-Q428-AD428-R428</f>
        <v>#REF!</v>
      </c>
      <c r="AF428" t="str">
        <f>AC428-Q428-AD428-R428</f>
        <v>#REF!</v>
      </c>
      <c r="AG428" t="str">
        <f>AE428/V428</f>
        <v>#REF!</v>
      </c>
      <c r="AH428" t="str">
        <f>AF428/W428</f>
        <v>#REF!</v>
      </c>
    </row>
    <row r="429">
      <c r="G429" t="str">
        <v>A</v>
      </c>
      <c r="J429" t="str">
        <f>IF(K429&gt;0,K429*0.0625,IF(L429&gt;0,L429*2.204623,))</f>
        <v>#REF!</v>
      </c>
      <c r="K429" t="str">
        <f>IF(L429&gt;0,L429*35.273962,IF(J429&gt;0,J429*16,))</f>
        <v>#REF!</v>
      </c>
      <c r="L429" t="str">
        <f>IF(J429&gt;0,J429*0.453592,IF(K429&gt;0,K429*0.02835,))</f>
        <v>#REF!</v>
      </c>
      <c r="O429">
        <f>I429+N429+M429</f>
        <v>0</v>
      </c>
      <c r="P429">
        <f>O429*B$3</f>
        <v>0</v>
      </c>
      <c r="Q429">
        <f>ROUND(SUM(P429), -2)</f>
        <v>0</v>
      </c>
      <c r="R429" t="str">
        <f>ROUNDUP(HLOOKUP(IF(CEILING(L429,0.5)&lt;1,0.5,CEILING(L429,0.5)),'배송비 조회'!A$44:AO$56,7,0)*B$3,-2)</f>
        <v>#REF!</v>
      </c>
      <c r="S429">
        <v>0</v>
      </c>
      <c r="T429" t="str">
        <f>ROUND((Q429+R429)*0.3,-2)</f>
        <v>#REF!</v>
      </c>
      <c r="U429" t="str">
        <f>ROUND((Q429+R429)*0.4,-2)</f>
        <v>#REF!</v>
      </c>
      <c r="V429" t="str">
        <f>SUM(Q429:R429)+T429</f>
        <v>#REF!</v>
      </c>
      <c r="W429" t="str">
        <f>SUM(Q429:S429)+U429</f>
        <v>#REF!</v>
      </c>
      <c r="X429">
        <v>0</v>
      </c>
      <c r="Y429" t="str">
        <f>V429*0.038</f>
        <v>#REF!</v>
      </c>
      <c r="Z429" t="str">
        <f>V429*0.02</f>
        <v>#REF!</v>
      </c>
      <c r="AA429" t="str">
        <f>W429*0.1</f>
        <v>#REF!</v>
      </c>
      <c r="AB429" t="str">
        <f>V429-Y429-Z429</f>
        <v>#REF!</v>
      </c>
      <c r="AC429" t="str">
        <f>W429-AA429</f>
        <v>#REF!</v>
      </c>
      <c r="AD429" t="str">
        <f>AB429*0.01</f>
        <v>#REF!</v>
      </c>
      <c r="AE429" t="str">
        <f>AB429-Q429-AD429-R429</f>
        <v>#REF!</v>
      </c>
      <c r="AF429" t="str">
        <f>AC429-Q429-AD429-R429</f>
        <v>#REF!</v>
      </c>
      <c r="AG429" t="str">
        <f>AE429/V429</f>
        <v>#REF!</v>
      </c>
      <c r="AH429" t="str">
        <f>AF429/W429</f>
        <v>#REF!</v>
      </c>
    </row>
    <row r="430">
      <c r="G430" t="str">
        <v>A</v>
      </c>
      <c r="J430" t="str">
        <f>IF(K430&gt;0,K430*0.0625,IF(L430&gt;0,L430*2.204623,))</f>
        <v>#REF!</v>
      </c>
      <c r="K430" t="str">
        <f>IF(L430&gt;0,L430*35.273962,IF(J430&gt;0,J430*16,))</f>
        <v>#REF!</v>
      </c>
      <c r="L430" t="str">
        <f>IF(J430&gt;0,J430*0.453592,IF(K430&gt;0,K430*0.02835,))</f>
        <v>#REF!</v>
      </c>
      <c r="O430">
        <f>I430+N430+M430</f>
        <v>0</v>
      </c>
      <c r="P430">
        <f>O430*B$3</f>
        <v>0</v>
      </c>
      <c r="Q430">
        <f>ROUND(SUM(P430), -2)</f>
        <v>0</v>
      </c>
      <c r="R430" t="str">
        <f>ROUNDUP(HLOOKUP(IF(CEILING(L430,0.5)&lt;1,0.5,CEILING(L430,0.5)),'배송비 조회'!A$44:AO$56,7,0)*B$3,-2)</f>
        <v>#REF!</v>
      </c>
      <c r="S430">
        <v>0</v>
      </c>
      <c r="T430" t="str">
        <f>ROUND((Q430+R430)*0.3,-2)</f>
        <v>#REF!</v>
      </c>
      <c r="U430" t="str">
        <f>ROUND((Q430+R430)*0.4,-2)</f>
        <v>#REF!</v>
      </c>
      <c r="V430" t="str">
        <f>SUM(Q430:R430)+T430</f>
        <v>#REF!</v>
      </c>
      <c r="W430" t="str">
        <f>SUM(Q430:S430)+U430</f>
        <v>#REF!</v>
      </c>
      <c r="X430">
        <v>0</v>
      </c>
      <c r="Y430" t="str">
        <f>V430*0.038</f>
        <v>#REF!</v>
      </c>
      <c r="Z430" t="str">
        <f>V430*0.02</f>
        <v>#REF!</v>
      </c>
      <c r="AA430" t="str">
        <f>W430*0.1</f>
        <v>#REF!</v>
      </c>
      <c r="AB430" t="str">
        <f>V430-Y430-Z430</f>
        <v>#REF!</v>
      </c>
      <c r="AC430" t="str">
        <f>W430-AA430</f>
        <v>#REF!</v>
      </c>
      <c r="AD430" t="str">
        <f>AB430*0.01</f>
        <v>#REF!</v>
      </c>
      <c r="AE430" t="str">
        <f>AB430-Q430-AD430-R430</f>
        <v>#REF!</v>
      </c>
      <c r="AF430" t="str">
        <f>AC430-Q430-AD430-R430</f>
        <v>#REF!</v>
      </c>
      <c r="AG430" t="str">
        <f>AE430/V430</f>
        <v>#REF!</v>
      </c>
      <c r="AH430" t="str">
        <f>AF430/W430</f>
        <v>#REF!</v>
      </c>
    </row>
    <row r="431">
      <c r="G431" t="str">
        <v>A</v>
      </c>
      <c r="J431" t="str">
        <f>IF(K431&gt;0,K431*0.0625,IF(L431&gt;0,L431*2.204623,))</f>
        <v>#REF!</v>
      </c>
      <c r="K431" t="str">
        <f>IF(L431&gt;0,L431*35.273962,IF(J431&gt;0,J431*16,))</f>
        <v>#REF!</v>
      </c>
      <c r="L431" t="str">
        <f>IF(J431&gt;0,J431*0.453592,IF(K431&gt;0,K431*0.02835,))</f>
        <v>#REF!</v>
      </c>
      <c r="O431">
        <f>I431+N431+M431</f>
        <v>0</v>
      </c>
      <c r="P431">
        <f>O431*B$3</f>
        <v>0</v>
      </c>
      <c r="Q431">
        <f>ROUND(SUM(P431), -2)</f>
        <v>0</v>
      </c>
      <c r="R431" t="str">
        <f>ROUNDUP(HLOOKUP(IF(CEILING(L431,0.5)&lt;1,0.5,CEILING(L431,0.5)),'배송비 조회'!A$44:AO$56,7,0)*B$3,-2)</f>
        <v>#REF!</v>
      </c>
      <c r="S431">
        <v>0</v>
      </c>
      <c r="T431" t="str">
        <f>ROUND((Q431+R431)*0.3,-2)</f>
        <v>#REF!</v>
      </c>
      <c r="U431" t="str">
        <f>ROUND((Q431+R431)*0.4,-2)</f>
        <v>#REF!</v>
      </c>
      <c r="V431" t="str">
        <f>SUM(Q431:R431)+T431</f>
        <v>#REF!</v>
      </c>
      <c r="W431" t="str">
        <f>SUM(Q431:S431)+U431</f>
        <v>#REF!</v>
      </c>
      <c r="X431">
        <v>0</v>
      </c>
      <c r="Y431" t="str">
        <f>V431*0.038</f>
        <v>#REF!</v>
      </c>
      <c r="Z431" t="str">
        <f>V431*0.02</f>
        <v>#REF!</v>
      </c>
      <c r="AA431" t="str">
        <f>W431*0.1</f>
        <v>#REF!</v>
      </c>
      <c r="AB431" t="str">
        <f>V431-Y431-Z431</f>
        <v>#REF!</v>
      </c>
      <c r="AC431" t="str">
        <f>W431-AA431</f>
        <v>#REF!</v>
      </c>
      <c r="AD431" t="str">
        <f>AB431*0.01</f>
        <v>#REF!</v>
      </c>
      <c r="AE431" t="str">
        <f>AB431-Q431-AD431-R431</f>
        <v>#REF!</v>
      </c>
      <c r="AF431" t="str">
        <f>AC431-Q431-AD431-R431</f>
        <v>#REF!</v>
      </c>
      <c r="AG431" t="str">
        <f>AE431/V431</f>
        <v>#REF!</v>
      </c>
      <c r="AH431" t="str">
        <f>AF431/W431</f>
        <v>#REF!</v>
      </c>
    </row>
    <row r="432">
      <c r="G432" t="str">
        <v>A</v>
      </c>
      <c r="J432" t="str">
        <f>IF(K432&gt;0,K432*0.0625,IF(L432&gt;0,L432*2.204623,))</f>
        <v>#REF!</v>
      </c>
      <c r="K432" t="str">
        <f>IF(L432&gt;0,L432*35.273962,IF(J432&gt;0,J432*16,))</f>
        <v>#REF!</v>
      </c>
      <c r="L432" t="str">
        <f>IF(J432&gt;0,J432*0.453592,IF(K432&gt;0,K432*0.02835,))</f>
        <v>#REF!</v>
      </c>
      <c r="O432">
        <f>I432+N432+M432</f>
        <v>0</v>
      </c>
      <c r="P432">
        <f>O432*B$3</f>
        <v>0</v>
      </c>
      <c r="Q432">
        <f>ROUND(SUM(P432), -2)</f>
        <v>0</v>
      </c>
      <c r="R432" t="str">
        <f>ROUNDUP(HLOOKUP(IF(CEILING(L432,0.5)&lt;1,0.5,CEILING(L432,0.5)),'배송비 조회'!A$44:AO$56,7,0)*B$3,-2)</f>
        <v>#REF!</v>
      </c>
      <c r="S432">
        <v>0</v>
      </c>
      <c r="T432" t="str">
        <f>ROUND((Q432+R432)*0.3,-2)</f>
        <v>#REF!</v>
      </c>
      <c r="U432" t="str">
        <f>ROUND((Q432+R432)*0.4,-2)</f>
        <v>#REF!</v>
      </c>
      <c r="V432" t="str">
        <f>SUM(Q432:R432)+T432</f>
        <v>#REF!</v>
      </c>
      <c r="W432" t="str">
        <f>SUM(Q432:S432)+U432</f>
        <v>#REF!</v>
      </c>
      <c r="X432">
        <v>0</v>
      </c>
      <c r="Y432" t="str">
        <f>V432*0.038</f>
        <v>#REF!</v>
      </c>
      <c r="Z432" t="str">
        <f>V432*0.02</f>
        <v>#REF!</v>
      </c>
      <c r="AA432" t="str">
        <f>W432*0.1</f>
        <v>#REF!</v>
      </c>
      <c r="AB432" t="str">
        <f>V432-Y432-Z432</f>
        <v>#REF!</v>
      </c>
      <c r="AC432" t="str">
        <f>W432-AA432</f>
        <v>#REF!</v>
      </c>
      <c r="AD432" t="str">
        <f>AB432*0.01</f>
        <v>#REF!</v>
      </c>
      <c r="AE432" t="str">
        <f>AB432-Q432-AD432-R432</f>
        <v>#REF!</v>
      </c>
      <c r="AF432" t="str">
        <f>AC432-Q432-AD432-R432</f>
        <v>#REF!</v>
      </c>
      <c r="AG432" t="str">
        <f>AE432/V432</f>
        <v>#REF!</v>
      </c>
      <c r="AH432" t="str">
        <f>AF432/W432</f>
        <v>#REF!</v>
      </c>
    </row>
    <row r="433">
      <c r="G433" t="str">
        <v>A</v>
      </c>
      <c r="J433" t="str">
        <f>IF(K433&gt;0,K433*0.0625,IF(L433&gt;0,L433*2.204623,))</f>
        <v>#REF!</v>
      </c>
      <c r="K433" t="str">
        <f>IF(L433&gt;0,L433*35.273962,IF(J433&gt;0,J433*16,))</f>
        <v>#REF!</v>
      </c>
      <c r="L433" t="str">
        <f>IF(J433&gt;0,J433*0.453592,IF(K433&gt;0,K433*0.02835,))</f>
        <v>#REF!</v>
      </c>
      <c r="O433">
        <f>I433+N433+M433</f>
        <v>0</v>
      </c>
      <c r="P433">
        <f>O433*B$3</f>
        <v>0</v>
      </c>
      <c r="Q433">
        <f>ROUND(SUM(P433), -2)</f>
        <v>0</v>
      </c>
      <c r="R433" t="str">
        <f>ROUNDUP(HLOOKUP(IF(CEILING(L433,0.5)&lt;1,0.5,CEILING(L433,0.5)),'배송비 조회'!A$44:AO$56,7,0)*B$3,-2)</f>
        <v>#REF!</v>
      </c>
      <c r="S433">
        <v>0</v>
      </c>
      <c r="T433" t="str">
        <f>ROUND((Q433+R433)*0.3,-2)</f>
        <v>#REF!</v>
      </c>
      <c r="U433" t="str">
        <f>ROUND((Q433+R433)*0.4,-2)</f>
        <v>#REF!</v>
      </c>
      <c r="V433" t="str">
        <f>SUM(Q433:R433)+T433</f>
        <v>#REF!</v>
      </c>
      <c r="W433" t="str">
        <f>SUM(Q433:S433)+U433</f>
        <v>#REF!</v>
      </c>
      <c r="X433">
        <v>0</v>
      </c>
      <c r="Y433" t="str">
        <f>V433*0.038</f>
        <v>#REF!</v>
      </c>
      <c r="Z433" t="str">
        <f>V433*0.02</f>
        <v>#REF!</v>
      </c>
      <c r="AA433" t="str">
        <f>W433*0.1</f>
        <v>#REF!</v>
      </c>
      <c r="AB433" t="str">
        <f>V433-Y433-Z433</f>
        <v>#REF!</v>
      </c>
      <c r="AC433" t="str">
        <f>W433-AA433</f>
        <v>#REF!</v>
      </c>
      <c r="AD433" t="str">
        <f>AB433*0.01</f>
        <v>#REF!</v>
      </c>
      <c r="AE433" t="str">
        <f>AB433-Q433-AD433-R433</f>
        <v>#REF!</v>
      </c>
      <c r="AF433" t="str">
        <f>AC433-Q433-AD433-R433</f>
        <v>#REF!</v>
      </c>
      <c r="AG433" t="str">
        <f>AE433/V433</f>
        <v>#REF!</v>
      </c>
      <c r="AH433" t="str">
        <f>AF433/W433</f>
        <v>#REF!</v>
      </c>
    </row>
    <row r="434">
      <c r="G434" t="str">
        <v>A</v>
      </c>
      <c r="J434" t="str">
        <f>IF(K434&gt;0,K434*0.0625,IF(L434&gt;0,L434*2.204623,))</f>
        <v>#REF!</v>
      </c>
      <c r="K434" t="str">
        <f>IF(L434&gt;0,L434*35.273962,IF(J434&gt;0,J434*16,))</f>
        <v>#REF!</v>
      </c>
      <c r="L434" t="str">
        <f>IF(J434&gt;0,J434*0.453592,IF(K434&gt;0,K434*0.02835,))</f>
        <v>#REF!</v>
      </c>
      <c r="O434">
        <f>I434+N434+M434</f>
        <v>0</v>
      </c>
      <c r="P434">
        <f>O434*B$3</f>
        <v>0</v>
      </c>
      <c r="Q434">
        <f>ROUND(SUM(P434), -2)</f>
        <v>0</v>
      </c>
      <c r="R434" t="str">
        <f>ROUNDUP(HLOOKUP(IF(CEILING(L434,0.5)&lt;1,0.5,CEILING(L434,0.5)),'배송비 조회'!A$44:AO$56,7,0)*B$3,-2)</f>
        <v>#REF!</v>
      </c>
      <c r="S434">
        <v>0</v>
      </c>
      <c r="T434" t="str">
        <f>ROUND((Q434+R434)*0.3,-2)</f>
        <v>#REF!</v>
      </c>
      <c r="U434" t="str">
        <f>ROUND((Q434+R434)*0.4,-2)</f>
        <v>#REF!</v>
      </c>
      <c r="V434" t="str">
        <f>SUM(Q434:R434)+T434</f>
        <v>#REF!</v>
      </c>
      <c r="W434" t="str">
        <f>SUM(Q434:S434)+U434</f>
        <v>#REF!</v>
      </c>
      <c r="X434">
        <v>0</v>
      </c>
      <c r="Y434" t="str">
        <f>V434*0.038</f>
        <v>#REF!</v>
      </c>
      <c r="Z434" t="str">
        <f>V434*0.02</f>
        <v>#REF!</v>
      </c>
      <c r="AA434" t="str">
        <f>W434*0.1</f>
        <v>#REF!</v>
      </c>
      <c r="AB434" t="str">
        <f>V434-Y434-Z434</f>
        <v>#REF!</v>
      </c>
      <c r="AC434" t="str">
        <f>W434-AA434</f>
        <v>#REF!</v>
      </c>
      <c r="AD434" t="str">
        <f>AB434*0.01</f>
        <v>#REF!</v>
      </c>
      <c r="AE434" t="str">
        <f>AB434-Q434-AD434-R434</f>
        <v>#REF!</v>
      </c>
      <c r="AF434" t="str">
        <f>AC434-Q434-AD434-R434</f>
        <v>#REF!</v>
      </c>
      <c r="AG434" t="str">
        <f>AE434/V434</f>
        <v>#REF!</v>
      </c>
      <c r="AH434" t="str">
        <f>AF434/W434</f>
        <v>#REF!</v>
      </c>
    </row>
    <row r="435">
      <c r="G435" t="str">
        <v>A</v>
      </c>
      <c r="J435" t="str">
        <f>IF(K435&gt;0,K435*0.0625,IF(L435&gt;0,L435*2.204623,))</f>
        <v>#REF!</v>
      </c>
      <c r="K435" t="str">
        <f>IF(L435&gt;0,L435*35.273962,IF(J435&gt;0,J435*16,))</f>
        <v>#REF!</v>
      </c>
      <c r="L435" t="str">
        <f>IF(J435&gt;0,J435*0.453592,IF(K435&gt;0,K435*0.02835,))</f>
        <v>#REF!</v>
      </c>
      <c r="O435">
        <f>I435+N435+M435</f>
        <v>0</v>
      </c>
      <c r="P435">
        <f>O435*B$3</f>
        <v>0</v>
      </c>
      <c r="Q435">
        <f>ROUND(SUM(P435), -2)</f>
        <v>0</v>
      </c>
      <c r="R435" t="str">
        <f>ROUNDUP(HLOOKUP(IF(CEILING(L435,0.5)&lt;1,0.5,CEILING(L435,0.5)),'배송비 조회'!A$44:AO$56,7,0)*B$3,-2)</f>
        <v>#REF!</v>
      </c>
      <c r="S435">
        <v>0</v>
      </c>
      <c r="T435" t="str">
        <f>ROUND((Q435+R435)*0.3,-2)</f>
        <v>#REF!</v>
      </c>
      <c r="U435" t="str">
        <f>ROUND((Q435+R435)*0.4,-2)</f>
        <v>#REF!</v>
      </c>
      <c r="V435" t="str">
        <f>SUM(Q435:R435)+T435</f>
        <v>#REF!</v>
      </c>
      <c r="W435" t="str">
        <f>SUM(Q435:S435)+U435</f>
        <v>#REF!</v>
      </c>
      <c r="X435">
        <v>0</v>
      </c>
      <c r="Y435" t="str">
        <f>V435*0.038</f>
        <v>#REF!</v>
      </c>
      <c r="Z435" t="str">
        <f>V435*0.02</f>
        <v>#REF!</v>
      </c>
      <c r="AA435" t="str">
        <f>W435*0.1</f>
        <v>#REF!</v>
      </c>
      <c r="AB435" t="str">
        <f>V435-Y435-Z435</f>
        <v>#REF!</v>
      </c>
      <c r="AC435" t="str">
        <f>W435-AA435</f>
        <v>#REF!</v>
      </c>
      <c r="AD435" t="str">
        <f>AB435*0.01</f>
        <v>#REF!</v>
      </c>
      <c r="AE435" t="str">
        <f>AB435-Q435-AD435-R435</f>
        <v>#REF!</v>
      </c>
      <c r="AF435" t="str">
        <f>AC435-Q435-AD435-R435</f>
        <v>#REF!</v>
      </c>
      <c r="AG435" t="str">
        <f>AE435/V435</f>
        <v>#REF!</v>
      </c>
      <c r="AH435" t="str">
        <f>AF435/W435</f>
        <v>#REF!</v>
      </c>
    </row>
    <row r="436">
      <c r="G436" t="str">
        <v>A</v>
      </c>
      <c r="J436" t="str">
        <f>IF(K436&gt;0,K436*0.0625,IF(L436&gt;0,L436*2.204623,))</f>
        <v>#REF!</v>
      </c>
      <c r="K436" t="str">
        <f>IF(L436&gt;0,L436*35.273962,IF(J436&gt;0,J436*16,))</f>
        <v>#REF!</v>
      </c>
      <c r="L436" t="str">
        <f>IF(J436&gt;0,J436*0.453592,IF(K436&gt;0,K436*0.02835,))</f>
        <v>#REF!</v>
      </c>
      <c r="O436">
        <f>I436+N436+M436</f>
        <v>0</v>
      </c>
      <c r="P436">
        <f>O436*B$3</f>
        <v>0</v>
      </c>
      <c r="Q436">
        <f>ROUND(SUM(P436), -2)</f>
        <v>0</v>
      </c>
      <c r="R436" t="str">
        <f>ROUNDUP(HLOOKUP(IF(CEILING(L436,0.5)&lt;1,0.5,CEILING(L436,0.5)),'배송비 조회'!A$44:AO$56,7,0)*B$3,-2)</f>
        <v>#REF!</v>
      </c>
      <c r="S436">
        <v>0</v>
      </c>
      <c r="T436" t="str">
        <f>ROUND((Q436+R436)*0.3,-2)</f>
        <v>#REF!</v>
      </c>
      <c r="U436" t="str">
        <f>ROUND((Q436+R436)*0.4,-2)</f>
        <v>#REF!</v>
      </c>
      <c r="V436" t="str">
        <f>SUM(Q436:R436)+T436</f>
        <v>#REF!</v>
      </c>
      <c r="W436" t="str">
        <f>SUM(Q436:S436)+U436</f>
        <v>#REF!</v>
      </c>
      <c r="X436">
        <v>0</v>
      </c>
      <c r="Y436" t="str">
        <f>V436*0.038</f>
        <v>#REF!</v>
      </c>
      <c r="Z436" t="str">
        <f>V436*0.02</f>
        <v>#REF!</v>
      </c>
      <c r="AA436" t="str">
        <f>W436*0.1</f>
        <v>#REF!</v>
      </c>
      <c r="AB436" t="str">
        <f>V436-Y436-Z436</f>
        <v>#REF!</v>
      </c>
      <c r="AC436" t="str">
        <f>W436-AA436</f>
        <v>#REF!</v>
      </c>
      <c r="AD436" t="str">
        <f>AB436*0.01</f>
        <v>#REF!</v>
      </c>
      <c r="AE436" t="str">
        <f>AB436-Q436-AD436-R436</f>
        <v>#REF!</v>
      </c>
      <c r="AF436" t="str">
        <f>AC436-Q436-AD436-R436</f>
        <v>#REF!</v>
      </c>
      <c r="AG436" t="str">
        <f>AE436/V436</f>
        <v>#REF!</v>
      </c>
      <c r="AH436" t="str">
        <f>AF436/W436</f>
        <v>#REF!</v>
      </c>
    </row>
    <row r="437">
      <c r="G437" t="str">
        <v>A</v>
      </c>
      <c r="J437" t="str">
        <f>IF(K437&gt;0,K437*0.0625,IF(L437&gt;0,L437*2.204623,))</f>
        <v>#REF!</v>
      </c>
      <c r="K437" t="str">
        <f>IF(L437&gt;0,L437*35.273962,IF(J437&gt;0,J437*16,))</f>
        <v>#REF!</v>
      </c>
      <c r="L437" t="str">
        <f>IF(J437&gt;0,J437*0.453592,IF(K437&gt;0,K437*0.02835,))</f>
        <v>#REF!</v>
      </c>
      <c r="O437">
        <f>I437+N437+M437</f>
        <v>0</v>
      </c>
      <c r="P437">
        <f>O437*B$3</f>
        <v>0</v>
      </c>
      <c r="Q437">
        <f>ROUND(SUM(P437), -2)</f>
        <v>0</v>
      </c>
      <c r="R437" t="str">
        <f>ROUNDUP(HLOOKUP(IF(CEILING(L437,0.5)&lt;1,0.5,CEILING(L437,0.5)),'배송비 조회'!A$44:AO$56,7,0)*B$3,-2)</f>
        <v>#REF!</v>
      </c>
      <c r="S437">
        <v>0</v>
      </c>
      <c r="T437" t="str">
        <f>ROUND((Q437+R437)*0.3,-2)</f>
        <v>#REF!</v>
      </c>
      <c r="U437" t="str">
        <f>ROUND((Q437+R437)*0.4,-2)</f>
        <v>#REF!</v>
      </c>
      <c r="V437" t="str">
        <f>SUM(Q437:R437)+T437</f>
        <v>#REF!</v>
      </c>
      <c r="W437" t="str">
        <f>SUM(Q437:S437)+U437</f>
        <v>#REF!</v>
      </c>
      <c r="X437">
        <v>0</v>
      </c>
      <c r="Y437" t="str">
        <f>V437*0.038</f>
        <v>#REF!</v>
      </c>
      <c r="Z437" t="str">
        <f>V437*0.02</f>
        <v>#REF!</v>
      </c>
      <c r="AA437" t="str">
        <f>W437*0.1</f>
        <v>#REF!</v>
      </c>
      <c r="AB437" t="str">
        <f>V437-Y437-Z437</f>
        <v>#REF!</v>
      </c>
      <c r="AC437" t="str">
        <f>W437-AA437</f>
        <v>#REF!</v>
      </c>
      <c r="AD437" t="str">
        <f>AB437*0.01</f>
        <v>#REF!</v>
      </c>
      <c r="AE437" t="str">
        <f>AB437-Q437-AD437-R437</f>
        <v>#REF!</v>
      </c>
      <c r="AF437" t="str">
        <f>AC437-Q437-AD437-R437</f>
        <v>#REF!</v>
      </c>
      <c r="AG437" t="str">
        <f>AE437/V437</f>
        <v>#REF!</v>
      </c>
      <c r="AH437" t="str">
        <f>AF437/W437</f>
        <v>#REF!</v>
      </c>
    </row>
    <row r="438">
      <c r="G438" t="str">
        <v>A</v>
      </c>
      <c r="J438" t="str">
        <f>IF(K438&gt;0,K438*0.0625,IF(L438&gt;0,L438*2.204623,))</f>
        <v>#REF!</v>
      </c>
      <c r="K438" t="str">
        <f>IF(L438&gt;0,L438*35.273962,IF(J438&gt;0,J438*16,))</f>
        <v>#REF!</v>
      </c>
      <c r="L438" t="str">
        <f>IF(J438&gt;0,J438*0.453592,IF(K438&gt;0,K438*0.02835,))</f>
        <v>#REF!</v>
      </c>
      <c r="O438">
        <f>I438+N438+M438</f>
        <v>0</v>
      </c>
      <c r="P438">
        <f>O438*B$3</f>
        <v>0</v>
      </c>
      <c r="Q438">
        <f>ROUND(SUM(P438), -2)</f>
        <v>0</v>
      </c>
      <c r="R438" t="str">
        <f>ROUNDUP(HLOOKUP(IF(CEILING(L438,0.5)&lt;1,0.5,CEILING(L438,0.5)),'배송비 조회'!A$44:AO$56,7,0)*B$3,-2)</f>
        <v>#REF!</v>
      </c>
      <c r="S438">
        <v>0</v>
      </c>
      <c r="T438" t="str">
        <f>ROUND((Q438+R438)*0.3,-2)</f>
        <v>#REF!</v>
      </c>
      <c r="U438" t="str">
        <f>ROUND((Q438+R438)*0.4,-2)</f>
        <v>#REF!</v>
      </c>
      <c r="V438" t="str">
        <f>SUM(Q438:R438)+T438</f>
        <v>#REF!</v>
      </c>
      <c r="W438" t="str">
        <f>SUM(Q438:S438)+U438</f>
        <v>#REF!</v>
      </c>
      <c r="X438">
        <v>0</v>
      </c>
      <c r="Y438" t="str">
        <f>V438*0.038</f>
        <v>#REF!</v>
      </c>
      <c r="Z438" t="str">
        <f>V438*0.02</f>
        <v>#REF!</v>
      </c>
      <c r="AA438" t="str">
        <f>W438*0.1</f>
        <v>#REF!</v>
      </c>
      <c r="AB438" t="str">
        <f>V438-Y438-Z438</f>
        <v>#REF!</v>
      </c>
      <c r="AC438" t="str">
        <f>W438-AA438</f>
        <v>#REF!</v>
      </c>
      <c r="AD438" t="str">
        <f>AB438*0.01</f>
        <v>#REF!</v>
      </c>
      <c r="AE438" t="str">
        <f>AB438-Q438-AD438-R438</f>
        <v>#REF!</v>
      </c>
      <c r="AF438" t="str">
        <f>AC438-Q438-AD438-R438</f>
        <v>#REF!</v>
      </c>
      <c r="AG438" t="str">
        <f>AE438/V438</f>
        <v>#REF!</v>
      </c>
      <c r="AH438" t="str">
        <f>AF438/W438</f>
        <v>#REF!</v>
      </c>
    </row>
    <row r="439">
      <c r="G439" t="str">
        <v>A</v>
      </c>
      <c r="J439" t="str">
        <f>IF(K439&gt;0,K439*0.0625,IF(L439&gt;0,L439*2.204623,))</f>
        <v>#REF!</v>
      </c>
      <c r="K439" t="str">
        <f>IF(L439&gt;0,L439*35.273962,IF(J439&gt;0,J439*16,))</f>
        <v>#REF!</v>
      </c>
      <c r="L439" t="str">
        <f>IF(J439&gt;0,J439*0.453592,IF(K439&gt;0,K439*0.02835,))</f>
        <v>#REF!</v>
      </c>
      <c r="O439">
        <f>I439+N439+M439</f>
        <v>0</v>
      </c>
      <c r="P439">
        <f>O439*B$3</f>
        <v>0</v>
      </c>
      <c r="Q439">
        <f>ROUND(SUM(P439), -2)</f>
        <v>0</v>
      </c>
      <c r="R439" t="str">
        <f>ROUNDUP(HLOOKUP(IF(CEILING(L439,0.5)&lt;1,0.5,CEILING(L439,0.5)),'배송비 조회'!A$44:AO$56,7,0)*B$3,-2)</f>
        <v>#REF!</v>
      </c>
      <c r="S439">
        <v>0</v>
      </c>
      <c r="T439" t="str">
        <f>ROUND((Q439+R439)*0.3,-2)</f>
        <v>#REF!</v>
      </c>
      <c r="U439" t="str">
        <f>ROUND((Q439+R439)*0.4,-2)</f>
        <v>#REF!</v>
      </c>
      <c r="V439" t="str">
        <f>SUM(Q439:R439)+T439</f>
        <v>#REF!</v>
      </c>
      <c r="W439" t="str">
        <f>SUM(Q439:S439)+U439</f>
        <v>#REF!</v>
      </c>
      <c r="X439">
        <v>0</v>
      </c>
      <c r="Y439" t="str">
        <f>V439*0.038</f>
        <v>#REF!</v>
      </c>
      <c r="Z439" t="str">
        <f>V439*0.02</f>
        <v>#REF!</v>
      </c>
      <c r="AA439" t="str">
        <f>W439*0.1</f>
        <v>#REF!</v>
      </c>
      <c r="AB439" t="str">
        <f>V439-Y439-Z439</f>
        <v>#REF!</v>
      </c>
      <c r="AC439" t="str">
        <f>W439-AA439</f>
        <v>#REF!</v>
      </c>
      <c r="AD439" t="str">
        <f>AB439*0.01</f>
        <v>#REF!</v>
      </c>
      <c r="AE439" t="str">
        <f>AB439-Q439-AD439-R439</f>
        <v>#REF!</v>
      </c>
      <c r="AF439" t="str">
        <f>AC439-Q439-AD439-R439</f>
        <v>#REF!</v>
      </c>
      <c r="AG439" t="str">
        <f>AE439/V439</f>
        <v>#REF!</v>
      </c>
      <c r="AH439" t="str">
        <f>AF439/W439</f>
        <v>#REF!</v>
      </c>
    </row>
    <row r="440">
      <c r="G440" t="str">
        <v>A</v>
      </c>
      <c r="J440" t="str">
        <f>IF(K440&gt;0,K440*0.0625,IF(L440&gt;0,L440*2.204623,))</f>
        <v>#REF!</v>
      </c>
      <c r="K440" t="str">
        <f>IF(L440&gt;0,L440*35.273962,IF(J440&gt;0,J440*16,))</f>
        <v>#REF!</v>
      </c>
      <c r="L440" t="str">
        <f>IF(J440&gt;0,J440*0.453592,IF(K440&gt;0,K440*0.02835,))</f>
        <v>#REF!</v>
      </c>
      <c r="O440">
        <f>I440+N440+M440</f>
        <v>0</v>
      </c>
      <c r="P440">
        <f>O440*B$3</f>
        <v>0</v>
      </c>
      <c r="Q440">
        <f>ROUND(SUM(P440), -2)</f>
        <v>0</v>
      </c>
      <c r="R440" t="str">
        <f>ROUNDUP(HLOOKUP(IF(CEILING(L440,0.5)&lt;1,0.5,CEILING(L440,0.5)),'배송비 조회'!A$44:AO$56,7,0)*B$3,-2)</f>
        <v>#REF!</v>
      </c>
      <c r="S440">
        <v>0</v>
      </c>
      <c r="T440" t="str">
        <f>ROUND((Q440+R440)*0.3,-2)</f>
        <v>#REF!</v>
      </c>
      <c r="U440" t="str">
        <f>ROUND((Q440+R440)*0.4,-2)</f>
        <v>#REF!</v>
      </c>
      <c r="V440" t="str">
        <f>SUM(Q440:R440)+T440</f>
        <v>#REF!</v>
      </c>
      <c r="W440" t="str">
        <f>SUM(Q440:S440)+U440</f>
        <v>#REF!</v>
      </c>
      <c r="X440">
        <v>0</v>
      </c>
      <c r="Y440" t="str">
        <f>V440*0.038</f>
        <v>#REF!</v>
      </c>
      <c r="Z440" t="str">
        <f>V440*0.02</f>
        <v>#REF!</v>
      </c>
      <c r="AA440" t="str">
        <f>W440*0.1</f>
        <v>#REF!</v>
      </c>
      <c r="AB440" t="str">
        <f>V440-Y440-Z440</f>
        <v>#REF!</v>
      </c>
      <c r="AC440" t="str">
        <f>W440-AA440</f>
        <v>#REF!</v>
      </c>
      <c r="AD440" t="str">
        <f>AB440*0.01</f>
        <v>#REF!</v>
      </c>
      <c r="AE440" t="str">
        <f>AB440-Q440-AD440-R440</f>
        <v>#REF!</v>
      </c>
      <c r="AF440" t="str">
        <f>AC440-Q440-AD440-R440</f>
        <v>#REF!</v>
      </c>
      <c r="AG440" t="str">
        <f>AE440/V440</f>
        <v>#REF!</v>
      </c>
      <c r="AH440" t="str">
        <f>AF440/W440</f>
        <v>#REF!</v>
      </c>
    </row>
    <row r="441">
      <c r="G441" t="str">
        <v>A</v>
      </c>
      <c r="J441" t="str">
        <f>IF(K441&gt;0,K441*0.0625,IF(L441&gt;0,L441*2.204623,))</f>
        <v>#REF!</v>
      </c>
      <c r="K441" t="str">
        <f>IF(L441&gt;0,L441*35.273962,IF(J441&gt;0,J441*16,))</f>
        <v>#REF!</v>
      </c>
      <c r="L441" t="str">
        <f>IF(J441&gt;0,J441*0.453592,IF(K441&gt;0,K441*0.02835,))</f>
        <v>#REF!</v>
      </c>
      <c r="O441">
        <f>I441+N441+M441</f>
        <v>0</v>
      </c>
      <c r="P441">
        <f>O441*B$3</f>
        <v>0</v>
      </c>
      <c r="Q441">
        <f>ROUND(SUM(P441), -2)</f>
        <v>0</v>
      </c>
      <c r="R441" t="str">
        <f>ROUNDUP(HLOOKUP(IF(CEILING(L441,0.5)&lt;1,0.5,CEILING(L441,0.5)),'배송비 조회'!A$44:AO$56,7,0)*B$3,-2)</f>
        <v>#REF!</v>
      </c>
      <c r="S441">
        <v>0</v>
      </c>
      <c r="T441" t="str">
        <f>ROUND((Q441+R441)*0.3,-2)</f>
        <v>#REF!</v>
      </c>
      <c r="U441" t="str">
        <f>ROUND((Q441+R441)*0.4,-2)</f>
        <v>#REF!</v>
      </c>
      <c r="V441" t="str">
        <f>SUM(Q441:R441)+T441</f>
        <v>#REF!</v>
      </c>
      <c r="W441" t="str">
        <f>SUM(Q441:S441)+U441</f>
        <v>#REF!</v>
      </c>
      <c r="X441">
        <v>0</v>
      </c>
      <c r="Y441" t="str">
        <f>V441*0.038</f>
        <v>#REF!</v>
      </c>
      <c r="Z441" t="str">
        <f>V441*0.02</f>
        <v>#REF!</v>
      </c>
      <c r="AA441" t="str">
        <f>W441*0.1</f>
        <v>#REF!</v>
      </c>
      <c r="AB441" t="str">
        <f>V441-Y441-Z441</f>
        <v>#REF!</v>
      </c>
      <c r="AC441" t="str">
        <f>W441-AA441</f>
        <v>#REF!</v>
      </c>
      <c r="AD441" t="str">
        <f>AB441*0.01</f>
        <v>#REF!</v>
      </c>
      <c r="AE441" t="str">
        <f>AB441-Q441-AD441-R441</f>
        <v>#REF!</v>
      </c>
      <c r="AF441" t="str">
        <f>AC441-Q441-AD441-R441</f>
        <v>#REF!</v>
      </c>
      <c r="AG441" t="str">
        <f>AE441/V441</f>
        <v>#REF!</v>
      </c>
      <c r="AH441" t="str">
        <f>AF441/W441</f>
        <v>#REF!</v>
      </c>
    </row>
    <row r="442">
      <c r="G442" t="str">
        <v>A</v>
      </c>
      <c r="J442" t="str">
        <f>IF(K442&gt;0,K442*0.0625,IF(L442&gt;0,L442*2.204623,))</f>
        <v>#REF!</v>
      </c>
      <c r="K442" t="str">
        <f>IF(L442&gt;0,L442*35.273962,IF(J442&gt;0,J442*16,))</f>
        <v>#REF!</v>
      </c>
      <c r="L442" t="str">
        <f>IF(J442&gt;0,J442*0.453592,IF(K442&gt;0,K442*0.02835,))</f>
        <v>#REF!</v>
      </c>
      <c r="O442">
        <f>I442+N442+M442</f>
        <v>0</v>
      </c>
      <c r="P442">
        <f>O442*B$3</f>
        <v>0</v>
      </c>
      <c r="Q442">
        <f>ROUND(SUM(P442), -2)</f>
        <v>0</v>
      </c>
      <c r="R442" t="str">
        <f>ROUNDUP(HLOOKUP(IF(CEILING(L442,0.5)&lt;1,0.5,CEILING(L442,0.5)),'배송비 조회'!A$44:AO$56,7,0)*B$3,-2)</f>
        <v>#REF!</v>
      </c>
      <c r="S442">
        <v>0</v>
      </c>
      <c r="T442" t="str">
        <f>ROUND((Q442+R442)*0.3,-2)</f>
        <v>#REF!</v>
      </c>
      <c r="U442" t="str">
        <f>ROUND((Q442+R442)*0.4,-2)</f>
        <v>#REF!</v>
      </c>
      <c r="V442" t="str">
        <f>SUM(Q442:R442)+T442</f>
        <v>#REF!</v>
      </c>
      <c r="W442" t="str">
        <f>SUM(Q442:S442)+U442</f>
        <v>#REF!</v>
      </c>
      <c r="X442">
        <v>0</v>
      </c>
      <c r="Y442" t="str">
        <f>V442*0.038</f>
        <v>#REF!</v>
      </c>
      <c r="Z442" t="str">
        <f>V442*0.02</f>
        <v>#REF!</v>
      </c>
      <c r="AA442" t="str">
        <f>W442*0.1</f>
        <v>#REF!</v>
      </c>
      <c r="AB442" t="str">
        <f>V442-Y442-Z442</f>
        <v>#REF!</v>
      </c>
      <c r="AC442" t="str">
        <f>W442-AA442</f>
        <v>#REF!</v>
      </c>
      <c r="AD442" t="str">
        <f>AB442*0.01</f>
        <v>#REF!</v>
      </c>
      <c r="AE442" t="str">
        <f>AB442-Q442-AD442-R442</f>
        <v>#REF!</v>
      </c>
      <c r="AF442" t="str">
        <f>AC442-Q442-AD442-R442</f>
        <v>#REF!</v>
      </c>
      <c r="AG442" t="str">
        <f>AE442/V442</f>
        <v>#REF!</v>
      </c>
      <c r="AH442" t="str">
        <f>AF442/W442</f>
        <v>#REF!</v>
      </c>
    </row>
    <row r="443">
      <c r="G443" t="str">
        <v>A</v>
      </c>
      <c r="J443" t="str">
        <f>IF(K443&gt;0,K443*0.0625,IF(L443&gt;0,L443*2.204623,))</f>
        <v>#REF!</v>
      </c>
      <c r="K443" t="str">
        <f>IF(L443&gt;0,L443*35.273962,IF(J443&gt;0,J443*16,))</f>
        <v>#REF!</v>
      </c>
      <c r="L443" t="str">
        <f>IF(J443&gt;0,J443*0.453592,IF(K443&gt;0,K443*0.02835,))</f>
        <v>#REF!</v>
      </c>
      <c r="O443">
        <f>I443+N443+M443</f>
        <v>0</v>
      </c>
      <c r="P443">
        <f>O443*B$3</f>
        <v>0</v>
      </c>
      <c r="Q443">
        <f>ROUND(SUM(P443), -2)</f>
        <v>0</v>
      </c>
      <c r="R443" t="str">
        <f>ROUNDUP(HLOOKUP(IF(CEILING(L443,0.5)&lt;1,0.5,CEILING(L443,0.5)),'배송비 조회'!A$44:AO$56,7,0)*B$3,-2)</f>
        <v>#REF!</v>
      </c>
      <c r="S443">
        <v>0</v>
      </c>
      <c r="T443" t="str">
        <f>ROUND((Q443+R443)*0.3,-2)</f>
        <v>#REF!</v>
      </c>
      <c r="U443" t="str">
        <f>ROUND((Q443+R443)*0.4,-2)</f>
        <v>#REF!</v>
      </c>
      <c r="V443" t="str">
        <f>SUM(Q443:R443)+T443</f>
        <v>#REF!</v>
      </c>
      <c r="W443" t="str">
        <f>SUM(Q443:S443)+U443</f>
        <v>#REF!</v>
      </c>
      <c r="X443">
        <v>0</v>
      </c>
      <c r="Y443" t="str">
        <f>V443*0.038</f>
        <v>#REF!</v>
      </c>
      <c r="Z443" t="str">
        <f>V443*0.02</f>
        <v>#REF!</v>
      </c>
      <c r="AA443" t="str">
        <f>W443*0.1</f>
        <v>#REF!</v>
      </c>
      <c r="AB443" t="str">
        <f>V443-Y443-Z443</f>
        <v>#REF!</v>
      </c>
      <c r="AC443" t="str">
        <f>W443-AA443</f>
        <v>#REF!</v>
      </c>
      <c r="AD443" t="str">
        <f>AB443*0.01</f>
        <v>#REF!</v>
      </c>
      <c r="AE443" t="str">
        <f>AB443-Q443-AD443-R443</f>
        <v>#REF!</v>
      </c>
      <c r="AF443" t="str">
        <f>AC443-Q443-AD443-R443</f>
        <v>#REF!</v>
      </c>
      <c r="AG443" t="str">
        <f>AE443/V443</f>
        <v>#REF!</v>
      </c>
      <c r="AH443" t="str">
        <f>AF443/W443</f>
        <v>#REF!</v>
      </c>
    </row>
    <row r="444">
      <c r="G444" t="str">
        <v>A</v>
      </c>
      <c r="J444" t="str">
        <f>IF(K444&gt;0,K444*0.0625,IF(L444&gt;0,L444*2.204623,))</f>
        <v>#REF!</v>
      </c>
      <c r="K444" t="str">
        <f>IF(L444&gt;0,L444*35.273962,IF(J444&gt;0,J444*16,))</f>
        <v>#REF!</v>
      </c>
      <c r="L444" t="str">
        <f>IF(J444&gt;0,J444*0.453592,IF(K444&gt;0,K444*0.02835,))</f>
        <v>#REF!</v>
      </c>
      <c r="O444">
        <f>I444+N444+M444</f>
        <v>0</v>
      </c>
      <c r="P444">
        <f>O444*B$3</f>
        <v>0</v>
      </c>
      <c r="Q444">
        <f>ROUND(SUM(P444), -2)</f>
        <v>0</v>
      </c>
      <c r="R444" t="str">
        <f>ROUNDUP(HLOOKUP(IF(CEILING(L444,0.5)&lt;1,0.5,CEILING(L444,0.5)),'배송비 조회'!A$44:AO$56,7,0)*B$3,-2)</f>
        <v>#REF!</v>
      </c>
      <c r="S444">
        <v>0</v>
      </c>
      <c r="T444" t="str">
        <f>ROUND((Q444+R444)*0.3,-2)</f>
        <v>#REF!</v>
      </c>
      <c r="U444" t="str">
        <f>ROUND((Q444+R444)*0.4,-2)</f>
        <v>#REF!</v>
      </c>
      <c r="V444" t="str">
        <f>SUM(Q444:R444)+T444</f>
        <v>#REF!</v>
      </c>
      <c r="W444" t="str">
        <f>SUM(Q444:S444)+U444</f>
        <v>#REF!</v>
      </c>
      <c r="X444">
        <v>0</v>
      </c>
      <c r="Y444" t="str">
        <f>V444*0.038</f>
        <v>#REF!</v>
      </c>
      <c r="Z444" t="str">
        <f>V444*0.02</f>
        <v>#REF!</v>
      </c>
      <c r="AA444" t="str">
        <f>W444*0.1</f>
        <v>#REF!</v>
      </c>
      <c r="AB444" t="str">
        <f>V444-Y444-Z444</f>
        <v>#REF!</v>
      </c>
      <c r="AC444" t="str">
        <f>W444-AA444</f>
        <v>#REF!</v>
      </c>
      <c r="AD444" t="str">
        <f>AB444*0.01</f>
        <v>#REF!</v>
      </c>
      <c r="AE444" t="str">
        <f>AB444-Q444-AD444-R444</f>
        <v>#REF!</v>
      </c>
      <c r="AF444" t="str">
        <f>AC444-Q444-AD444-R444</f>
        <v>#REF!</v>
      </c>
      <c r="AG444" t="str">
        <f>AE444/V444</f>
        <v>#REF!</v>
      </c>
      <c r="AH444" t="str">
        <f>AF444/W444</f>
        <v>#REF!</v>
      </c>
    </row>
    <row r="445">
      <c r="G445" t="str">
        <v>A</v>
      </c>
      <c r="J445" t="str">
        <f>IF(K445&gt;0,K445*0.0625,IF(L445&gt;0,L445*2.204623,))</f>
        <v>#REF!</v>
      </c>
      <c r="K445" t="str">
        <f>IF(L445&gt;0,L445*35.273962,IF(J445&gt;0,J445*16,))</f>
        <v>#REF!</v>
      </c>
      <c r="L445" t="str">
        <f>IF(J445&gt;0,J445*0.453592,IF(K445&gt;0,K445*0.02835,))</f>
        <v>#REF!</v>
      </c>
      <c r="O445">
        <f>I445+N445+M445</f>
        <v>0</v>
      </c>
      <c r="P445">
        <f>O445*B$3</f>
        <v>0</v>
      </c>
      <c r="Q445">
        <f>ROUND(SUM(P445), -2)</f>
        <v>0</v>
      </c>
      <c r="R445" t="str">
        <f>ROUNDUP(HLOOKUP(IF(CEILING(L445,0.5)&lt;1,0.5,CEILING(L445,0.5)),'배송비 조회'!A$44:AO$56,7,0)*B$3,-2)</f>
        <v>#REF!</v>
      </c>
      <c r="S445">
        <v>0</v>
      </c>
      <c r="T445" t="str">
        <f>ROUND((Q445+R445)*0.3,-2)</f>
        <v>#REF!</v>
      </c>
      <c r="U445" t="str">
        <f>ROUND((Q445+R445)*0.4,-2)</f>
        <v>#REF!</v>
      </c>
      <c r="V445" t="str">
        <f>SUM(Q445:R445)+T445</f>
        <v>#REF!</v>
      </c>
      <c r="W445" t="str">
        <f>SUM(Q445:S445)+U445</f>
        <v>#REF!</v>
      </c>
      <c r="X445">
        <v>0</v>
      </c>
      <c r="Y445" t="str">
        <f>V445*0.038</f>
        <v>#REF!</v>
      </c>
      <c r="Z445" t="str">
        <f>V445*0.02</f>
        <v>#REF!</v>
      </c>
      <c r="AA445" t="str">
        <f>W445*0.1</f>
        <v>#REF!</v>
      </c>
      <c r="AB445" t="str">
        <f>V445-Y445-Z445</f>
        <v>#REF!</v>
      </c>
      <c r="AC445" t="str">
        <f>W445-AA445</f>
        <v>#REF!</v>
      </c>
      <c r="AD445" t="str">
        <f>AB445*0.01</f>
        <v>#REF!</v>
      </c>
      <c r="AE445" t="str">
        <f>AB445-Q445-AD445-R445</f>
        <v>#REF!</v>
      </c>
      <c r="AF445" t="str">
        <f>AC445-Q445-AD445-R445</f>
        <v>#REF!</v>
      </c>
      <c r="AG445" t="str">
        <f>AE445/V445</f>
        <v>#REF!</v>
      </c>
      <c r="AH445" t="str">
        <f>AF445/W445</f>
        <v>#REF!</v>
      </c>
    </row>
    <row r="446">
      <c r="G446" t="str">
        <v>A</v>
      </c>
      <c r="J446" t="str">
        <f>IF(K446&gt;0,K446*0.0625,IF(L446&gt;0,L446*2.204623,))</f>
        <v>#REF!</v>
      </c>
      <c r="K446" t="str">
        <f>IF(L446&gt;0,L446*35.273962,IF(J446&gt;0,J446*16,))</f>
        <v>#REF!</v>
      </c>
      <c r="L446" t="str">
        <f>IF(J446&gt;0,J446*0.453592,IF(K446&gt;0,K446*0.02835,))</f>
        <v>#REF!</v>
      </c>
      <c r="O446">
        <f>I446+N446+M446</f>
        <v>0</v>
      </c>
      <c r="P446">
        <f>O446*B$3</f>
        <v>0</v>
      </c>
      <c r="Q446">
        <f>ROUND(SUM(P446), -2)</f>
        <v>0</v>
      </c>
      <c r="R446" t="str">
        <f>ROUNDUP(HLOOKUP(IF(CEILING(L446,0.5)&lt;1,0.5,CEILING(L446,0.5)),'배송비 조회'!A$44:AO$56,7,0)*B$3,-2)</f>
        <v>#REF!</v>
      </c>
      <c r="S446">
        <v>0</v>
      </c>
      <c r="T446" t="str">
        <f>ROUND((Q446+R446)*0.3,-2)</f>
        <v>#REF!</v>
      </c>
      <c r="U446" t="str">
        <f>ROUND((Q446+R446)*0.4,-2)</f>
        <v>#REF!</v>
      </c>
      <c r="V446" t="str">
        <f>SUM(Q446:R446)+T446</f>
        <v>#REF!</v>
      </c>
      <c r="W446" t="str">
        <f>SUM(Q446:S446)+U446</f>
        <v>#REF!</v>
      </c>
      <c r="X446">
        <v>0</v>
      </c>
      <c r="Y446" t="str">
        <f>V446*0.038</f>
        <v>#REF!</v>
      </c>
      <c r="Z446" t="str">
        <f>V446*0.02</f>
        <v>#REF!</v>
      </c>
      <c r="AA446" t="str">
        <f>W446*0.1</f>
        <v>#REF!</v>
      </c>
      <c r="AB446" t="str">
        <f>V446-Y446-Z446</f>
        <v>#REF!</v>
      </c>
      <c r="AC446" t="str">
        <f>W446-AA446</f>
        <v>#REF!</v>
      </c>
      <c r="AD446" t="str">
        <f>AB446*0.01</f>
        <v>#REF!</v>
      </c>
      <c r="AE446" t="str">
        <f>AB446-Q446-AD446-R446</f>
        <v>#REF!</v>
      </c>
      <c r="AF446" t="str">
        <f>AC446-Q446-AD446-R446</f>
        <v>#REF!</v>
      </c>
      <c r="AG446" t="str">
        <f>AE446/V446</f>
        <v>#REF!</v>
      </c>
      <c r="AH446" t="str">
        <f>AF446/W446</f>
        <v>#REF!</v>
      </c>
    </row>
    <row r="447">
      <c r="G447" t="str">
        <v>A</v>
      </c>
      <c r="J447" t="str">
        <f>IF(K447&gt;0,K447*0.0625,IF(L447&gt;0,L447*2.204623,))</f>
        <v>#REF!</v>
      </c>
      <c r="K447" t="str">
        <f>IF(L447&gt;0,L447*35.273962,IF(J447&gt;0,J447*16,))</f>
        <v>#REF!</v>
      </c>
      <c r="L447" t="str">
        <f>IF(J447&gt;0,J447*0.453592,IF(K447&gt;0,K447*0.02835,))</f>
        <v>#REF!</v>
      </c>
      <c r="O447">
        <f>I447+N447+M447</f>
        <v>0</v>
      </c>
      <c r="P447">
        <f>O447*B$3</f>
        <v>0</v>
      </c>
      <c r="Q447">
        <f>ROUND(SUM(P447), -2)</f>
        <v>0</v>
      </c>
      <c r="R447" t="str">
        <f>ROUNDUP(HLOOKUP(IF(CEILING(L447,0.5)&lt;1,0.5,CEILING(L447,0.5)),'배송비 조회'!A$44:AO$56,7,0)*B$3,-2)</f>
        <v>#REF!</v>
      </c>
      <c r="S447">
        <v>0</v>
      </c>
      <c r="T447" t="str">
        <f>ROUND((Q447+R447)*0.3,-2)</f>
        <v>#REF!</v>
      </c>
      <c r="U447" t="str">
        <f>ROUND((Q447+R447)*0.4,-2)</f>
        <v>#REF!</v>
      </c>
      <c r="V447" t="str">
        <f>SUM(Q447:R447)+T447</f>
        <v>#REF!</v>
      </c>
      <c r="W447" t="str">
        <f>SUM(Q447:S447)+U447</f>
        <v>#REF!</v>
      </c>
      <c r="X447">
        <v>0</v>
      </c>
      <c r="Y447" t="str">
        <f>V447*0.038</f>
        <v>#REF!</v>
      </c>
      <c r="Z447" t="str">
        <f>V447*0.02</f>
        <v>#REF!</v>
      </c>
      <c r="AA447" t="str">
        <f>W447*0.1</f>
        <v>#REF!</v>
      </c>
      <c r="AB447" t="str">
        <f>V447-Y447-Z447</f>
        <v>#REF!</v>
      </c>
      <c r="AC447" t="str">
        <f>W447-AA447</f>
        <v>#REF!</v>
      </c>
      <c r="AD447" t="str">
        <f>AB447*0.01</f>
        <v>#REF!</v>
      </c>
      <c r="AE447" t="str">
        <f>AB447-Q447-AD447-R447</f>
        <v>#REF!</v>
      </c>
      <c r="AF447" t="str">
        <f>AC447-Q447-AD447-R447</f>
        <v>#REF!</v>
      </c>
      <c r="AG447" t="str">
        <f>AE447/V447</f>
        <v>#REF!</v>
      </c>
      <c r="AH447" t="str">
        <f>AF447/W447</f>
        <v>#REF!</v>
      </c>
    </row>
    <row r="448">
      <c r="G448" t="str">
        <v>A</v>
      </c>
      <c r="J448" t="str">
        <f>IF(K448&gt;0,K448*0.0625,IF(L448&gt;0,L448*2.204623,))</f>
        <v>#REF!</v>
      </c>
      <c r="K448" t="str">
        <f>IF(L448&gt;0,L448*35.273962,IF(J448&gt;0,J448*16,))</f>
        <v>#REF!</v>
      </c>
      <c r="L448" t="str">
        <f>IF(J448&gt;0,J448*0.453592,IF(K448&gt;0,K448*0.02835,))</f>
        <v>#REF!</v>
      </c>
      <c r="O448">
        <f>I448+N448+M448</f>
        <v>0</v>
      </c>
      <c r="P448">
        <f>O448*B$3</f>
        <v>0</v>
      </c>
      <c r="Q448">
        <f>ROUND(SUM(P448), -2)</f>
        <v>0</v>
      </c>
      <c r="R448" t="str">
        <f>ROUNDUP(HLOOKUP(IF(CEILING(L448,0.5)&lt;1,0.5,CEILING(L448,0.5)),'배송비 조회'!A$44:AO$56,7,0)*B$3,-2)</f>
        <v>#REF!</v>
      </c>
      <c r="S448">
        <v>0</v>
      </c>
      <c r="T448" t="str">
        <f>ROUND((Q448+R448)*0.3,-2)</f>
        <v>#REF!</v>
      </c>
      <c r="U448" t="str">
        <f>ROUND((Q448+R448)*0.4,-2)</f>
        <v>#REF!</v>
      </c>
      <c r="V448" t="str">
        <f>SUM(Q448:R448)+T448</f>
        <v>#REF!</v>
      </c>
      <c r="W448" t="str">
        <f>SUM(Q448:S448)+U448</f>
        <v>#REF!</v>
      </c>
      <c r="X448">
        <v>0</v>
      </c>
      <c r="Y448" t="str">
        <f>V448*0.038</f>
        <v>#REF!</v>
      </c>
      <c r="Z448" t="str">
        <f>V448*0.02</f>
        <v>#REF!</v>
      </c>
      <c r="AA448" t="str">
        <f>W448*0.1</f>
        <v>#REF!</v>
      </c>
      <c r="AB448" t="str">
        <f>V448-Y448-Z448</f>
        <v>#REF!</v>
      </c>
      <c r="AC448" t="str">
        <f>W448-AA448</f>
        <v>#REF!</v>
      </c>
      <c r="AD448" t="str">
        <f>AB448*0.01</f>
        <v>#REF!</v>
      </c>
      <c r="AE448" t="str">
        <f>AB448-Q448-AD448-R448</f>
        <v>#REF!</v>
      </c>
      <c r="AF448" t="str">
        <f>AC448-Q448-AD448-R448</f>
        <v>#REF!</v>
      </c>
      <c r="AG448" t="str">
        <f>AE448/V448</f>
        <v>#REF!</v>
      </c>
      <c r="AH448" t="str">
        <f>AF448/W448</f>
        <v>#REF!</v>
      </c>
    </row>
    <row r="449">
      <c r="G449" t="str">
        <v>A</v>
      </c>
      <c r="J449" t="str">
        <f>IF(K449&gt;0,K449*0.0625,IF(L449&gt;0,L449*2.204623,))</f>
        <v>#REF!</v>
      </c>
      <c r="K449" t="str">
        <f>IF(L449&gt;0,L449*35.273962,IF(J449&gt;0,J449*16,))</f>
        <v>#REF!</v>
      </c>
      <c r="L449" t="str">
        <f>IF(J449&gt;0,J449*0.453592,IF(K449&gt;0,K449*0.02835,))</f>
        <v>#REF!</v>
      </c>
      <c r="O449">
        <f>I449+N449+M449</f>
        <v>0</v>
      </c>
      <c r="P449">
        <f>O449*B$3</f>
        <v>0</v>
      </c>
      <c r="Q449">
        <f>ROUND(SUM(P449), -2)</f>
        <v>0</v>
      </c>
      <c r="R449" t="str">
        <f>ROUNDUP(HLOOKUP(IF(CEILING(L449,0.5)&lt;1,0.5,CEILING(L449,0.5)),'배송비 조회'!A$44:AO$56,7,0)*B$3,-2)</f>
        <v>#REF!</v>
      </c>
      <c r="S449">
        <v>0</v>
      </c>
      <c r="T449" t="str">
        <f>ROUND((Q449+R449)*0.3,-2)</f>
        <v>#REF!</v>
      </c>
      <c r="U449" t="str">
        <f>ROUND((Q449+R449)*0.4,-2)</f>
        <v>#REF!</v>
      </c>
      <c r="V449" t="str">
        <f>SUM(Q449:R449)+T449</f>
        <v>#REF!</v>
      </c>
      <c r="W449" t="str">
        <f>SUM(Q449:S449)+U449</f>
        <v>#REF!</v>
      </c>
      <c r="X449">
        <v>0</v>
      </c>
      <c r="Y449" t="str">
        <f>V449*0.038</f>
        <v>#REF!</v>
      </c>
      <c r="Z449" t="str">
        <f>V449*0.02</f>
        <v>#REF!</v>
      </c>
      <c r="AA449" t="str">
        <f>W449*0.1</f>
        <v>#REF!</v>
      </c>
      <c r="AB449" t="str">
        <f>V449-Y449-Z449</f>
        <v>#REF!</v>
      </c>
      <c r="AC449" t="str">
        <f>W449-AA449</f>
        <v>#REF!</v>
      </c>
      <c r="AD449" t="str">
        <f>AB449*0.01</f>
        <v>#REF!</v>
      </c>
      <c r="AE449" t="str">
        <f>AB449-Q449-AD449-R449</f>
        <v>#REF!</v>
      </c>
      <c r="AF449" t="str">
        <f>AC449-Q449-AD449-R449</f>
        <v>#REF!</v>
      </c>
      <c r="AG449" t="str">
        <f>AE449/V449</f>
        <v>#REF!</v>
      </c>
      <c r="AH449" t="str">
        <f>AF449/W449</f>
        <v>#REF!</v>
      </c>
    </row>
    <row r="450">
      <c r="G450" t="str">
        <v>A</v>
      </c>
      <c r="J450" t="str">
        <f>IF(K450&gt;0,K450*0.0625,IF(L450&gt;0,L450*2.204623,))</f>
        <v>#REF!</v>
      </c>
      <c r="K450" t="str">
        <f>IF(L450&gt;0,L450*35.273962,IF(J450&gt;0,J450*16,))</f>
        <v>#REF!</v>
      </c>
      <c r="L450" t="str">
        <f>IF(J450&gt;0,J450*0.453592,IF(K450&gt;0,K450*0.02835,))</f>
        <v>#REF!</v>
      </c>
      <c r="O450">
        <f>I450+N450+M450</f>
        <v>0</v>
      </c>
      <c r="P450">
        <f>O450*B$3</f>
        <v>0</v>
      </c>
      <c r="Q450">
        <f>ROUND(SUM(P450), -2)</f>
        <v>0</v>
      </c>
      <c r="R450" t="str">
        <f>ROUNDUP(HLOOKUP(IF(CEILING(L450,0.5)&lt;1,0.5,CEILING(L450,0.5)),'배송비 조회'!A$44:AO$56,7,0)*B$3,-2)</f>
        <v>#REF!</v>
      </c>
      <c r="S450">
        <v>0</v>
      </c>
      <c r="T450" t="str">
        <f>ROUND((Q450+R450)*0.3,-2)</f>
        <v>#REF!</v>
      </c>
      <c r="U450" t="str">
        <f>ROUND((Q450+R450)*0.4,-2)</f>
        <v>#REF!</v>
      </c>
      <c r="V450" t="str">
        <f>SUM(Q450:R450)+T450</f>
        <v>#REF!</v>
      </c>
      <c r="W450" t="str">
        <f>SUM(Q450:S450)+U450</f>
        <v>#REF!</v>
      </c>
      <c r="X450">
        <v>0</v>
      </c>
      <c r="Y450" t="str">
        <f>V450*0.038</f>
        <v>#REF!</v>
      </c>
      <c r="Z450" t="str">
        <f>V450*0.02</f>
        <v>#REF!</v>
      </c>
      <c r="AA450" t="str">
        <f>W450*0.1</f>
        <v>#REF!</v>
      </c>
      <c r="AB450" t="str">
        <f>V450-Y450-Z450</f>
        <v>#REF!</v>
      </c>
      <c r="AC450" t="str">
        <f>W450-AA450</f>
        <v>#REF!</v>
      </c>
      <c r="AD450" t="str">
        <f>AB450*0.01</f>
        <v>#REF!</v>
      </c>
      <c r="AE450" t="str">
        <f>AB450-Q450-AD450-R450</f>
        <v>#REF!</v>
      </c>
      <c r="AF450" t="str">
        <f>AC450-Q450-AD450-R450</f>
        <v>#REF!</v>
      </c>
      <c r="AG450" t="str">
        <f>AE450/V450</f>
        <v>#REF!</v>
      </c>
      <c r="AH450" t="str">
        <f>AF450/W450</f>
        <v>#REF!</v>
      </c>
    </row>
    <row r="451">
      <c r="G451" t="str">
        <v>A</v>
      </c>
      <c r="J451" t="str">
        <f>IF(K451&gt;0,K451*0.0625,IF(L451&gt;0,L451*2.204623,))</f>
        <v>#REF!</v>
      </c>
      <c r="K451" t="str">
        <f>IF(L451&gt;0,L451*35.273962,IF(J451&gt;0,J451*16,))</f>
        <v>#REF!</v>
      </c>
      <c r="L451" t="str">
        <f>IF(J451&gt;0,J451*0.453592,IF(K451&gt;0,K451*0.02835,))</f>
        <v>#REF!</v>
      </c>
      <c r="O451">
        <f>I451+N451+M451</f>
        <v>0</v>
      </c>
      <c r="P451">
        <f>O451*B$3</f>
        <v>0</v>
      </c>
      <c r="Q451">
        <f>ROUND(SUM(P451), -2)</f>
        <v>0</v>
      </c>
      <c r="R451" t="str">
        <f>ROUNDUP(HLOOKUP(IF(CEILING(L451,0.5)&lt;1,0.5,CEILING(L451,0.5)),'배송비 조회'!A$44:AO$56,7,0)*B$3,-2)</f>
        <v>#REF!</v>
      </c>
      <c r="S451">
        <v>0</v>
      </c>
      <c r="T451" t="str">
        <f>ROUND((Q451+R451)*0.3,-2)</f>
        <v>#REF!</v>
      </c>
      <c r="U451" t="str">
        <f>ROUND((Q451+R451)*0.4,-2)</f>
        <v>#REF!</v>
      </c>
      <c r="V451" t="str">
        <f>SUM(Q451:R451)+T451</f>
        <v>#REF!</v>
      </c>
      <c r="W451" t="str">
        <f>SUM(Q451:S451)+U451</f>
        <v>#REF!</v>
      </c>
      <c r="X451">
        <v>0</v>
      </c>
      <c r="Y451" t="str">
        <f>V451*0.038</f>
        <v>#REF!</v>
      </c>
      <c r="Z451" t="str">
        <f>V451*0.02</f>
        <v>#REF!</v>
      </c>
      <c r="AA451" t="str">
        <f>W451*0.1</f>
        <v>#REF!</v>
      </c>
      <c r="AB451" t="str">
        <f>V451-Y451-Z451</f>
        <v>#REF!</v>
      </c>
      <c r="AC451" t="str">
        <f>W451-AA451</f>
        <v>#REF!</v>
      </c>
      <c r="AD451" t="str">
        <f>AB451*0.01</f>
        <v>#REF!</v>
      </c>
      <c r="AE451" t="str">
        <f>AB451-Q451-AD451-R451</f>
        <v>#REF!</v>
      </c>
      <c r="AF451" t="str">
        <f>AC451-Q451-AD451-R451</f>
        <v>#REF!</v>
      </c>
      <c r="AG451" t="str">
        <f>AE451/V451</f>
        <v>#REF!</v>
      </c>
      <c r="AH451" t="str">
        <f>AF451/W451</f>
        <v>#REF!</v>
      </c>
    </row>
    <row r="452">
      <c r="G452" t="str">
        <v>A</v>
      </c>
      <c r="J452" t="str">
        <f>IF(K452&gt;0,K452*0.0625,IF(L452&gt;0,L452*2.204623,))</f>
        <v>#REF!</v>
      </c>
      <c r="K452" t="str">
        <f>IF(L452&gt;0,L452*35.273962,IF(J452&gt;0,J452*16,))</f>
        <v>#REF!</v>
      </c>
      <c r="L452" t="str">
        <f>IF(J452&gt;0,J452*0.453592,IF(K452&gt;0,K452*0.02835,))</f>
        <v>#REF!</v>
      </c>
      <c r="O452">
        <f>I452+N452+M452</f>
        <v>0</v>
      </c>
      <c r="P452">
        <f>O452*B$3</f>
        <v>0</v>
      </c>
      <c r="Q452">
        <f>ROUND(SUM(P452), -2)</f>
        <v>0</v>
      </c>
      <c r="R452" t="str">
        <f>ROUNDUP(HLOOKUP(IF(CEILING(L452,0.5)&lt;1,0.5,CEILING(L452,0.5)),'배송비 조회'!A$44:AO$56,7,0)*B$3,-2)</f>
        <v>#REF!</v>
      </c>
      <c r="S452">
        <v>0</v>
      </c>
      <c r="T452" t="str">
        <f>ROUND((Q452+R452)*0.3,-2)</f>
        <v>#REF!</v>
      </c>
      <c r="U452" t="str">
        <f>ROUND((Q452+R452)*0.4,-2)</f>
        <v>#REF!</v>
      </c>
      <c r="V452" t="str">
        <f>SUM(Q452:R452)+T452</f>
        <v>#REF!</v>
      </c>
      <c r="W452" t="str">
        <f>SUM(Q452:S452)+U452</f>
        <v>#REF!</v>
      </c>
      <c r="X452">
        <v>0</v>
      </c>
      <c r="Y452" t="str">
        <f>V452*0.038</f>
        <v>#REF!</v>
      </c>
      <c r="Z452" t="str">
        <f>V452*0.02</f>
        <v>#REF!</v>
      </c>
      <c r="AA452" t="str">
        <f>W452*0.1</f>
        <v>#REF!</v>
      </c>
      <c r="AB452" t="str">
        <f>V452-Y452-Z452</f>
        <v>#REF!</v>
      </c>
      <c r="AC452" t="str">
        <f>W452-AA452</f>
        <v>#REF!</v>
      </c>
      <c r="AD452" t="str">
        <f>AB452*0.01</f>
        <v>#REF!</v>
      </c>
      <c r="AE452" t="str">
        <f>AB452-Q452-AD452-R452</f>
        <v>#REF!</v>
      </c>
      <c r="AF452" t="str">
        <f>AC452-Q452-AD452-R452</f>
        <v>#REF!</v>
      </c>
      <c r="AG452" t="str">
        <f>AE452/V452</f>
        <v>#REF!</v>
      </c>
      <c r="AH452" t="str">
        <f>AF452/W452</f>
        <v>#REF!</v>
      </c>
    </row>
    <row r="453">
      <c r="G453" t="str">
        <v>A</v>
      </c>
      <c r="J453" t="str">
        <f>IF(K453&gt;0,K453*0.0625,IF(L453&gt;0,L453*2.204623,))</f>
        <v>#REF!</v>
      </c>
      <c r="K453" t="str">
        <f>IF(L453&gt;0,L453*35.273962,IF(J453&gt;0,J453*16,))</f>
        <v>#REF!</v>
      </c>
      <c r="L453" t="str">
        <f>IF(J453&gt;0,J453*0.453592,IF(K453&gt;0,K453*0.02835,))</f>
        <v>#REF!</v>
      </c>
      <c r="O453">
        <f>I453+N453+M453</f>
        <v>0</v>
      </c>
      <c r="P453">
        <f>O453*B$3</f>
        <v>0</v>
      </c>
      <c r="Q453">
        <f>ROUND(SUM(P453), -2)</f>
        <v>0</v>
      </c>
      <c r="R453" t="str">
        <f>ROUNDUP(HLOOKUP(IF(CEILING(L453,0.5)&lt;1,0.5,CEILING(L453,0.5)),'배송비 조회'!A$44:AO$56,7,0)*B$3,-2)</f>
        <v>#REF!</v>
      </c>
      <c r="S453">
        <v>0</v>
      </c>
      <c r="T453" t="str">
        <f>ROUND((Q453+R453)*0.3,-2)</f>
        <v>#REF!</v>
      </c>
      <c r="U453" t="str">
        <f>ROUND((Q453+R453)*0.4,-2)</f>
        <v>#REF!</v>
      </c>
      <c r="V453" t="str">
        <f>SUM(Q453:R453)+T453</f>
        <v>#REF!</v>
      </c>
      <c r="W453" t="str">
        <f>SUM(Q453:S453)+U453</f>
        <v>#REF!</v>
      </c>
      <c r="X453">
        <v>0</v>
      </c>
      <c r="Y453" t="str">
        <f>V453*0.038</f>
        <v>#REF!</v>
      </c>
      <c r="Z453" t="str">
        <f>V453*0.02</f>
        <v>#REF!</v>
      </c>
      <c r="AA453" t="str">
        <f>W453*0.1</f>
        <v>#REF!</v>
      </c>
      <c r="AB453" t="str">
        <f>V453-Y453-Z453</f>
        <v>#REF!</v>
      </c>
      <c r="AC453" t="str">
        <f>W453-AA453</f>
        <v>#REF!</v>
      </c>
      <c r="AD453" t="str">
        <f>AB453*0.01</f>
        <v>#REF!</v>
      </c>
      <c r="AE453" t="str">
        <f>AB453-Q453-AD453-R453</f>
        <v>#REF!</v>
      </c>
      <c r="AF453" t="str">
        <f>AC453-Q453-AD453-R453</f>
        <v>#REF!</v>
      </c>
      <c r="AG453" t="str">
        <f>AE453/V453</f>
        <v>#REF!</v>
      </c>
      <c r="AH453" t="str">
        <f>AF453/W453</f>
        <v>#REF!</v>
      </c>
    </row>
    <row r="454">
      <c r="G454" t="str">
        <v>A</v>
      </c>
      <c r="J454" t="str">
        <f>IF(K454&gt;0,K454*0.0625,IF(L454&gt;0,L454*2.204623,))</f>
        <v>#REF!</v>
      </c>
      <c r="K454" t="str">
        <f>IF(L454&gt;0,L454*35.273962,IF(J454&gt;0,J454*16,))</f>
        <v>#REF!</v>
      </c>
      <c r="L454" t="str">
        <f>IF(J454&gt;0,J454*0.453592,IF(K454&gt;0,K454*0.02835,))</f>
        <v>#REF!</v>
      </c>
      <c r="O454">
        <f>I454+N454+M454</f>
        <v>0</v>
      </c>
      <c r="P454">
        <f>O454*B$3</f>
        <v>0</v>
      </c>
      <c r="Q454">
        <f>ROUND(SUM(P454), -2)</f>
        <v>0</v>
      </c>
      <c r="R454" t="str">
        <f>ROUNDUP(HLOOKUP(IF(CEILING(L454,0.5)&lt;1,0.5,CEILING(L454,0.5)),'배송비 조회'!A$44:AO$56,7,0)*B$3,-2)</f>
        <v>#REF!</v>
      </c>
      <c r="S454">
        <v>0</v>
      </c>
      <c r="T454" t="str">
        <f>ROUND((Q454+R454)*0.3,-2)</f>
        <v>#REF!</v>
      </c>
      <c r="U454" t="str">
        <f>ROUND((Q454+R454)*0.4,-2)</f>
        <v>#REF!</v>
      </c>
      <c r="V454" t="str">
        <f>SUM(Q454:R454)+T454</f>
        <v>#REF!</v>
      </c>
      <c r="W454" t="str">
        <f>SUM(Q454:S454)+U454</f>
        <v>#REF!</v>
      </c>
      <c r="X454">
        <v>0</v>
      </c>
      <c r="Y454" t="str">
        <f>V454*0.038</f>
        <v>#REF!</v>
      </c>
      <c r="Z454" t="str">
        <f>V454*0.02</f>
        <v>#REF!</v>
      </c>
      <c r="AA454" t="str">
        <f>W454*0.1</f>
        <v>#REF!</v>
      </c>
      <c r="AB454" t="str">
        <f>V454-Y454-Z454</f>
        <v>#REF!</v>
      </c>
      <c r="AC454" t="str">
        <f>W454-AA454</f>
        <v>#REF!</v>
      </c>
      <c r="AD454" t="str">
        <f>AB454*0.01</f>
        <v>#REF!</v>
      </c>
      <c r="AE454" t="str">
        <f>AB454-Q454-AD454-R454</f>
        <v>#REF!</v>
      </c>
      <c r="AF454" t="str">
        <f>AC454-Q454-AD454-R454</f>
        <v>#REF!</v>
      </c>
      <c r="AG454" t="str">
        <f>AE454/V454</f>
        <v>#REF!</v>
      </c>
      <c r="AH454" t="str">
        <f>AF454/W454</f>
        <v>#REF!</v>
      </c>
    </row>
    <row r="455">
      <c r="G455" t="str">
        <v>A</v>
      </c>
      <c r="J455" t="str">
        <f>IF(K455&gt;0,K455*0.0625,IF(L455&gt;0,L455*2.204623,))</f>
        <v>#REF!</v>
      </c>
      <c r="K455" t="str">
        <f>IF(L455&gt;0,L455*35.273962,IF(J455&gt;0,J455*16,))</f>
        <v>#REF!</v>
      </c>
      <c r="L455" t="str">
        <f>IF(J455&gt;0,J455*0.453592,IF(K455&gt;0,K455*0.02835,))</f>
        <v>#REF!</v>
      </c>
      <c r="O455">
        <f>I455+N455+M455</f>
        <v>0</v>
      </c>
      <c r="P455">
        <f>O455*B$3</f>
        <v>0</v>
      </c>
      <c r="Q455">
        <f>ROUND(SUM(P455), -2)</f>
        <v>0</v>
      </c>
      <c r="R455" t="str">
        <f>ROUNDUP(HLOOKUP(IF(CEILING(L455,0.5)&lt;1,0.5,CEILING(L455,0.5)),'배송비 조회'!A$44:AO$56,7,0)*B$3,-2)</f>
        <v>#REF!</v>
      </c>
      <c r="S455">
        <v>0</v>
      </c>
      <c r="T455" t="str">
        <f>ROUND((Q455+R455)*0.3,-2)</f>
        <v>#REF!</v>
      </c>
      <c r="U455" t="str">
        <f>ROUND((Q455+R455)*0.4,-2)</f>
        <v>#REF!</v>
      </c>
      <c r="V455" t="str">
        <f>SUM(Q455:R455)+T455</f>
        <v>#REF!</v>
      </c>
      <c r="W455" t="str">
        <f>SUM(Q455:S455)+U455</f>
        <v>#REF!</v>
      </c>
      <c r="X455">
        <v>0</v>
      </c>
      <c r="Y455" t="str">
        <f>V455*0.038</f>
        <v>#REF!</v>
      </c>
      <c r="Z455" t="str">
        <f>V455*0.02</f>
        <v>#REF!</v>
      </c>
      <c r="AA455" t="str">
        <f>W455*0.1</f>
        <v>#REF!</v>
      </c>
      <c r="AB455" t="str">
        <f>V455-Y455-Z455</f>
        <v>#REF!</v>
      </c>
      <c r="AC455" t="str">
        <f>W455-AA455</f>
        <v>#REF!</v>
      </c>
      <c r="AD455" t="str">
        <f>AB455*0.01</f>
        <v>#REF!</v>
      </c>
      <c r="AE455" t="str">
        <f>AB455-Q455-AD455-R455</f>
        <v>#REF!</v>
      </c>
      <c r="AF455" t="str">
        <f>AC455-Q455-AD455-R455</f>
        <v>#REF!</v>
      </c>
      <c r="AG455" t="str">
        <f>AE455/V455</f>
        <v>#REF!</v>
      </c>
      <c r="AH455" t="str">
        <f>AF455/W455</f>
        <v>#REF!</v>
      </c>
    </row>
    <row r="456">
      <c r="G456" t="str">
        <v>A</v>
      </c>
      <c r="J456" t="str">
        <f>IF(K456&gt;0,K456*0.0625,IF(L456&gt;0,L456*2.204623,))</f>
        <v>#REF!</v>
      </c>
      <c r="K456" t="str">
        <f>IF(L456&gt;0,L456*35.273962,IF(J456&gt;0,J456*16,))</f>
        <v>#REF!</v>
      </c>
      <c r="L456" t="str">
        <f>IF(J456&gt;0,J456*0.453592,IF(K456&gt;0,K456*0.02835,))</f>
        <v>#REF!</v>
      </c>
      <c r="O456">
        <f>I456+N456+M456</f>
        <v>0</v>
      </c>
      <c r="P456">
        <f>O456*B$3</f>
        <v>0</v>
      </c>
      <c r="Q456">
        <f>ROUND(SUM(P456), -2)</f>
        <v>0</v>
      </c>
      <c r="R456" t="str">
        <f>ROUNDUP(HLOOKUP(IF(CEILING(L456,0.5)&lt;1,0.5,CEILING(L456,0.5)),'배송비 조회'!A$44:AO$56,7,0)*B$3,-2)</f>
        <v>#REF!</v>
      </c>
      <c r="S456">
        <v>0</v>
      </c>
      <c r="T456" t="str">
        <f>ROUND((Q456+R456)*0.3,-2)</f>
        <v>#REF!</v>
      </c>
      <c r="U456" t="str">
        <f>ROUND((Q456+R456)*0.4,-2)</f>
        <v>#REF!</v>
      </c>
      <c r="V456" t="str">
        <f>SUM(Q456:R456)+T456</f>
        <v>#REF!</v>
      </c>
      <c r="W456" t="str">
        <f>SUM(Q456:S456)+U456</f>
        <v>#REF!</v>
      </c>
      <c r="X456">
        <v>0</v>
      </c>
      <c r="Y456" t="str">
        <f>V456*0.038</f>
        <v>#REF!</v>
      </c>
      <c r="Z456" t="str">
        <f>V456*0.02</f>
        <v>#REF!</v>
      </c>
      <c r="AA456" t="str">
        <f>W456*0.1</f>
        <v>#REF!</v>
      </c>
      <c r="AB456" t="str">
        <f>V456-Y456-Z456</f>
        <v>#REF!</v>
      </c>
      <c r="AC456" t="str">
        <f>W456-AA456</f>
        <v>#REF!</v>
      </c>
      <c r="AD456" t="str">
        <f>AB456*0.01</f>
        <v>#REF!</v>
      </c>
      <c r="AE456" t="str">
        <f>AB456-Q456-AD456-R456</f>
        <v>#REF!</v>
      </c>
      <c r="AF456" t="str">
        <f>AC456-Q456-AD456-R456</f>
        <v>#REF!</v>
      </c>
      <c r="AG456" t="str">
        <f>AE456/V456</f>
        <v>#REF!</v>
      </c>
      <c r="AH456" t="str">
        <f>AF456/W456</f>
        <v>#REF!</v>
      </c>
    </row>
    <row r="457">
      <c r="G457" t="str">
        <v>A</v>
      </c>
      <c r="J457" t="str">
        <f>IF(K457&gt;0,K457*0.0625,IF(L457&gt;0,L457*2.204623,))</f>
        <v>#REF!</v>
      </c>
      <c r="K457" t="str">
        <f>IF(L457&gt;0,L457*35.273962,IF(J457&gt;0,J457*16,))</f>
        <v>#REF!</v>
      </c>
      <c r="L457" t="str">
        <f>IF(J457&gt;0,J457*0.453592,IF(K457&gt;0,K457*0.02835,))</f>
        <v>#REF!</v>
      </c>
      <c r="O457">
        <f>I457+N457+M457</f>
        <v>0</v>
      </c>
      <c r="P457">
        <f>O457*B$3</f>
        <v>0</v>
      </c>
      <c r="Q457">
        <f>ROUND(SUM(P457), -2)</f>
        <v>0</v>
      </c>
      <c r="R457" t="str">
        <f>ROUNDUP(HLOOKUP(IF(CEILING(L457,0.5)&lt;1,0.5,CEILING(L457,0.5)),'배송비 조회'!A$44:AO$56,7,0)*B$3,-2)</f>
        <v>#REF!</v>
      </c>
      <c r="S457">
        <v>0</v>
      </c>
      <c r="T457" t="str">
        <f>ROUND((Q457+R457)*0.3,-2)</f>
        <v>#REF!</v>
      </c>
      <c r="U457" t="str">
        <f>ROUND((Q457+R457)*0.4,-2)</f>
        <v>#REF!</v>
      </c>
      <c r="V457" t="str">
        <f>SUM(Q457:R457)+T457</f>
        <v>#REF!</v>
      </c>
      <c r="W457" t="str">
        <f>SUM(Q457:S457)+U457</f>
        <v>#REF!</v>
      </c>
      <c r="X457">
        <v>0</v>
      </c>
      <c r="Y457" t="str">
        <f>V457*0.038</f>
        <v>#REF!</v>
      </c>
      <c r="Z457" t="str">
        <f>V457*0.02</f>
        <v>#REF!</v>
      </c>
      <c r="AA457" t="str">
        <f>W457*0.1</f>
        <v>#REF!</v>
      </c>
      <c r="AB457" t="str">
        <f>V457-Y457-Z457</f>
        <v>#REF!</v>
      </c>
      <c r="AC457" t="str">
        <f>W457-AA457</f>
        <v>#REF!</v>
      </c>
      <c r="AD457" t="str">
        <f>AB457*0.01</f>
        <v>#REF!</v>
      </c>
      <c r="AE457" t="str">
        <f>AB457-Q457-AD457-R457</f>
        <v>#REF!</v>
      </c>
      <c r="AF457" t="str">
        <f>AC457-Q457-AD457-R457</f>
        <v>#REF!</v>
      </c>
      <c r="AG457" t="str">
        <f>AE457/V457</f>
        <v>#REF!</v>
      </c>
      <c r="AH457" t="str">
        <f>AF457/W457</f>
        <v>#REF!</v>
      </c>
    </row>
    <row r="458">
      <c r="G458" t="str">
        <v>A</v>
      </c>
      <c r="J458" t="str">
        <f>IF(K458&gt;0,K458*0.0625,IF(L458&gt;0,L458*2.204623,))</f>
        <v>#REF!</v>
      </c>
      <c r="K458" t="str">
        <f>IF(L458&gt;0,L458*35.273962,IF(J458&gt;0,J458*16,))</f>
        <v>#REF!</v>
      </c>
      <c r="L458" t="str">
        <f>IF(J458&gt;0,J458*0.453592,IF(K458&gt;0,K458*0.02835,))</f>
        <v>#REF!</v>
      </c>
      <c r="O458">
        <f>I458+N458+M458</f>
        <v>0</v>
      </c>
      <c r="P458">
        <f>O458*B$3</f>
        <v>0</v>
      </c>
      <c r="Q458">
        <f>ROUND(SUM(P458), -2)</f>
        <v>0</v>
      </c>
      <c r="R458" t="str">
        <f>ROUNDUP(HLOOKUP(IF(CEILING(L458,0.5)&lt;1,0.5,CEILING(L458,0.5)),'배송비 조회'!A$44:AO$56,7,0)*B$3,-2)</f>
        <v>#REF!</v>
      </c>
      <c r="S458">
        <v>0</v>
      </c>
      <c r="T458" t="str">
        <f>ROUND((Q458+R458)*0.3,-2)</f>
        <v>#REF!</v>
      </c>
      <c r="U458" t="str">
        <f>ROUND((Q458+R458)*0.4,-2)</f>
        <v>#REF!</v>
      </c>
      <c r="V458" t="str">
        <f>SUM(Q458:R458)+T458</f>
        <v>#REF!</v>
      </c>
      <c r="W458" t="str">
        <f>SUM(Q458:S458)+U458</f>
        <v>#REF!</v>
      </c>
      <c r="X458">
        <v>0</v>
      </c>
      <c r="Y458" t="str">
        <f>V458*0.038</f>
        <v>#REF!</v>
      </c>
      <c r="Z458" t="str">
        <f>V458*0.02</f>
        <v>#REF!</v>
      </c>
      <c r="AA458" t="str">
        <f>W458*0.1</f>
        <v>#REF!</v>
      </c>
      <c r="AB458" t="str">
        <f>V458-Y458-Z458</f>
        <v>#REF!</v>
      </c>
      <c r="AC458" t="str">
        <f>W458-AA458</f>
        <v>#REF!</v>
      </c>
      <c r="AD458" t="str">
        <f>AB458*0.01</f>
        <v>#REF!</v>
      </c>
      <c r="AE458" t="str">
        <f>AB458-Q458-AD458-R458</f>
        <v>#REF!</v>
      </c>
      <c r="AF458" t="str">
        <f>AC458-Q458-AD458-R458</f>
        <v>#REF!</v>
      </c>
      <c r="AG458" t="str">
        <f>AE458/V458</f>
        <v>#REF!</v>
      </c>
      <c r="AH458" t="str">
        <f>AF458/W458</f>
        <v>#REF!</v>
      </c>
    </row>
    <row r="459">
      <c r="G459" t="str">
        <v>A</v>
      </c>
      <c r="J459" t="str">
        <f>IF(K459&gt;0,K459*0.0625,IF(L459&gt;0,L459*2.204623,))</f>
        <v>#REF!</v>
      </c>
      <c r="K459" t="str">
        <f>IF(L459&gt;0,L459*35.273962,IF(J459&gt;0,J459*16,))</f>
        <v>#REF!</v>
      </c>
      <c r="L459" t="str">
        <f>IF(J459&gt;0,J459*0.453592,IF(K459&gt;0,K459*0.02835,))</f>
        <v>#REF!</v>
      </c>
      <c r="O459">
        <f>I459+N459+M459</f>
        <v>0</v>
      </c>
      <c r="P459">
        <f>O459*B$3</f>
        <v>0</v>
      </c>
      <c r="Q459">
        <f>ROUND(SUM(P459), -2)</f>
        <v>0</v>
      </c>
      <c r="R459" t="str">
        <f>ROUNDUP(HLOOKUP(IF(CEILING(L459,0.5)&lt;1,0.5,CEILING(L459,0.5)),'배송비 조회'!A$44:AO$56,7,0)*B$3,-2)</f>
        <v>#REF!</v>
      </c>
      <c r="S459">
        <v>0</v>
      </c>
      <c r="T459" t="str">
        <f>ROUND((Q459+R459)*0.3,-2)</f>
        <v>#REF!</v>
      </c>
      <c r="U459" t="str">
        <f>ROUND((Q459+R459)*0.4,-2)</f>
        <v>#REF!</v>
      </c>
      <c r="V459" t="str">
        <f>SUM(Q459:R459)+T459</f>
        <v>#REF!</v>
      </c>
      <c r="W459" t="str">
        <f>SUM(Q459:S459)+U459</f>
        <v>#REF!</v>
      </c>
      <c r="X459">
        <v>0</v>
      </c>
      <c r="Y459" t="str">
        <f>V459*0.038</f>
        <v>#REF!</v>
      </c>
      <c r="Z459" t="str">
        <f>V459*0.02</f>
        <v>#REF!</v>
      </c>
      <c r="AA459" t="str">
        <f>W459*0.1</f>
        <v>#REF!</v>
      </c>
      <c r="AB459" t="str">
        <f>V459-Y459-Z459</f>
        <v>#REF!</v>
      </c>
      <c r="AC459" t="str">
        <f>W459-AA459</f>
        <v>#REF!</v>
      </c>
      <c r="AD459" t="str">
        <f>AB459*0.01</f>
        <v>#REF!</v>
      </c>
      <c r="AE459" t="str">
        <f>AB459-Q459-AD459-R459</f>
        <v>#REF!</v>
      </c>
      <c r="AF459" t="str">
        <f>AC459-Q459-AD459-R459</f>
        <v>#REF!</v>
      </c>
      <c r="AG459" t="str">
        <f>AE459/V459</f>
        <v>#REF!</v>
      </c>
      <c r="AH459" t="str">
        <f>AF459/W459</f>
        <v>#REF!</v>
      </c>
    </row>
    <row r="460">
      <c r="G460" t="str">
        <v>A</v>
      </c>
      <c r="J460" t="str">
        <f>IF(K460&gt;0,K460*0.0625,IF(L460&gt;0,L460*2.204623,))</f>
        <v>#REF!</v>
      </c>
      <c r="K460" t="str">
        <f>IF(L460&gt;0,L460*35.273962,IF(J460&gt;0,J460*16,))</f>
        <v>#REF!</v>
      </c>
      <c r="L460" t="str">
        <f>IF(J460&gt;0,J460*0.453592,IF(K460&gt;0,K460*0.02835,))</f>
        <v>#REF!</v>
      </c>
      <c r="O460">
        <f>I460+N460+M460</f>
        <v>0</v>
      </c>
      <c r="P460">
        <f>O460*B$3</f>
        <v>0</v>
      </c>
      <c r="Q460">
        <f>ROUND(SUM(P460), -2)</f>
        <v>0</v>
      </c>
      <c r="R460" t="str">
        <f>ROUNDUP(HLOOKUP(IF(CEILING(L460,0.5)&lt;1,0.5,CEILING(L460,0.5)),'배송비 조회'!A$44:AO$56,7,0)*B$3,-2)</f>
        <v>#REF!</v>
      </c>
      <c r="S460">
        <v>0</v>
      </c>
      <c r="T460" t="str">
        <f>ROUND((Q460+R460)*0.3,-2)</f>
        <v>#REF!</v>
      </c>
      <c r="U460" t="str">
        <f>ROUND((Q460+R460)*0.4,-2)</f>
        <v>#REF!</v>
      </c>
      <c r="V460" t="str">
        <f>SUM(Q460:R460)+T460</f>
        <v>#REF!</v>
      </c>
      <c r="W460" t="str">
        <f>SUM(Q460:S460)+U460</f>
        <v>#REF!</v>
      </c>
      <c r="X460">
        <v>0</v>
      </c>
      <c r="Y460" t="str">
        <f>V460*0.038</f>
        <v>#REF!</v>
      </c>
      <c r="Z460" t="str">
        <f>V460*0.02</f>
        <v>#REF!</v>
      </c>
      <c r="AA460" t="str">
        <f>W460*0.1</f>
        <v>#REF!</v>
      </c>
      <c r="AB460" t="str">
        <f>V460-Y460-Z460</f>
        <v>#REF!</v>
      </c>
      <c r="AC460" t="str">
        <f>W460-AA460</f>
        <v>#REF!</v>
      </c>
      <c r="AD460" t="str">
        <f>AB460*0.01</f>
        <v>#REF!</v>
      </c>
      <c r="AE460" t="str">
        <f>AB460-Q460-AD460-R460</f>
        <v>#REF!</v>
      </c>
      <c r="AF460" t="str">
        <f>AC460-Q460-AD460-R460</f>
        <v>#REF!</v>
      </c>
      <c r="AG460" t="str">
        <f>AE460/V460</f>
        <v>#REF!</v>
      </c>
      <c r="AH460" t="str">
        <f>AF460/W460</f>
        <v>#REF!</v>
      </c>
    </row>
    <row r="461">
      <c r="G461" t="str">
        <v>A</v>
      </c>
      <c r="J461" t="str">
        <f>IF(K461&gt;0,K461*0.0625,IF(L461&gt;0,L461*2.204623,))</f>
        <v>#REF!</v>
      </c>
      <c r="K461" t="str">
        <f>IF(L461&gt;0,L461*35.273962,IF(J461&gt;0,J461*16,))</f>
        <v>#REF!</v>
      </c>
      <c r="L461" t="str">
        <f>IF(J461&gt;0,J461*0.453592,IF(K461&gt;0,K461*0.02835,))</f>
        <v>#REF!</v>
      </c>
      <c r="O461">
        <f>I461+N461+M461</f>
        <v>0</v>
      </c>
      <c r="P461">
        <f>O461*B$3</f>
        <v>0</v>
      </c>
      <c r="Q461">
        <f>ROUND(SUM(P461), -2)</f>
        <v>0</v>
      </c>
      <c r="R461" t="str">
        <f>ROUNDUP(HLOOKUP(IF(CEILING(L461,0.5)&lt;1,0.5,CEILING(L461,0.5)),'배송비 조회'!A$44:AO$56,7,0)*B$3,-2)</f>
        <v>#REF!</v>
      </c>
      <c r="S461">
        <v>0</v>
      </c>
      <c r="T461" t="str">
        <f>ROUND((Q461+R461)*0.3,-2)</f>
        <v>#REF!</v>
      </c>
      <c r="U461" t="str">
        <f>ROUND((Q461+R461)*0.4,-2)</f>
        <v>#REF!</v>
      </c>
      <c r="V461" t="str">
        <f>SUM(Q461:R461)+T461</f>
        <v>#REF!</v>
      </c>
      <c r="W461" t="str">
        <f>SUM(Q461:S461)+U461</f>
        <v>#REF!</v>
      </c>
      <c r="X461">
        <v>0</v>
      </c>
      <c r="Y461" t="str">
        <f>V461*0.038</f>
        <v>#REF!</v>
      </c>
      <c r="Z461" t="str">
        <f>V461*0.02</f>
        <v>#REF!</v>
      </c>
      <c r="AA461" t="str">
        <f>W461*0.1</f>
        <v>#REF!</v>
      </c>
      <c r="AB461" t="str">
        <f>V461-Y461-Z461</f>
        <v>#REF!</v>
      </c>
      <c r="AC461" t="str">
        <f>W461-AA461</f>
        <v>#REF!</v>
      </c>
      <c r="AD461" t="str">
        <f>AB461*0.01</f>
        <v>#REF!</v>
      </c>
      <c r="AE461" t="str">
        <f>AB461-Q461-AD461-R461</f>
        <v>#REF!</v>
      </c>
      <c r="AF461" t="str">
        <f>AC461-Q461-AD461-R461</f>
        <v>#REF!</v>
      </c>
      <c r="AG461" t="str">
        <f>AE461/V461</f>
        <v>#REF!</v>
      </c>
      <c r="AH461" t="str">
        <f>AF461/W461</f>
        <v>#REF!</v>
      </c>
    </row>
    <row r="462">
      <c r="G462" t="str">
        <v>A</v>
      </c>
      <c r="J462" t="str">
        <f>IF(K462&gt;0,K462*0.0625,IF(L462&gt;0,L462*2.204623,))</f>
        <v>#REF!</v>
      </c>
      <c r="K462" t="str">
        <f>IF(L462&gt;0,L462*35.273962,IF(J462&gt;0,J462*16,))</f>
        <v>#REF!</v>
      </c>
      <c r="L462" t="str">
        <f>IF(J462&gt;0,J462*0.453592,IF(K462&gt;0,K462*0.02835,))</f>
        <v>#REF!</v>
      </c>
      <c r="O462">
        <f>I462+N462+M462</f>
        <v>0</v>
      </c>
      <c r="P462">
        <f>O462*B$3</f>
        <v>0</v>
      </c>
      <c r="Q462">
        <f>ROUND(SUM(P462), -2)</f>
        <v>0</v>
      </c>
      <c r="R462" t="str">
        <f>ROUNDUP(HLOOKUP(IF(CEILING(L462,0.5)&lt;1,0.5,CEILING(L462,0.5)),'배송비 조회'!A$44:AO$56,7,0)*B$3,-2)</f>
        <v>#REF!</v>
      </c>
      <c r="S462">
        <v>0</v>
      </c>
      <c r="T462" t="str">
        <f>ROUND((Q462+R462)*0.3,-2)</f>
        <v>#REF!</v>
      </c>
      <c r="U462" t="str">
        <f>ROUND((Q462+R462)*0.4,-2)</f>
        <v>#REF!</v>
      </c>
      <c r="V462" t="str">
        <f>SUM(Q462:R462)+T462</f>
        <v>#REF!</v>
      </c>
      <c r="W462" t="str">
        <f>SUM(Q462:S462)+U462</f>
        <v>#REF!</v>
      </c>
      <c r="X462">
        <v>0</v>
      </c>
      <c r="Y462" t="str">
        <f>V462*0.038</f>
        <v>#REF!</v>
      </c>
      <c r="Z462" t="str">
        <f>V462*0.02</f>
        <v>#REF!</v>
      </c>
      <c r="AA462" t="str">
        <f>W462*0.1</f>
        <v>#REF!</v>
      </c>
      <c r="AB462" t="str">
        <f>V462-Y462-Z462</f>
        <v>#REF!</v>
      </c>
      <c r="AC462" t="str">
        <f>W462-AA462</f>
        <v>#REF!</v>
      </c>
      <c r="AD462" t="str">
        <f>AB462*0.01</f>
        <v>#REF!</v>
      </c>
      <c r="AE462" t="str">
        <f>AB462-Q462-AD462-R462</f>
        <v>#REF!</v>
      </c>
      <c r="AF462" t="str">
        <f>AC462-Q462-AD462-R462</f>
        <v>#REF!</v>
      </c>
      <c r="AG462" t="str">
        <f>AE462/V462</f>
        <v>#REF!</v>
      </c>
      <c r="AH462" t="str">
        <f>AF462/W462</f>
        <v>#REF!</v>
      </c>
    </row>
    <row r="463">
      <c r="G463" t="str">
        <v>A</v>
      </c>
      <c r="J463" t="str">
        <f>IF(K463&gt;0,K463*0.0625,IF(L463&gt;0,L463*2.204623,))</f>
        <v>#REF!</v>
      </c>
      <c r="K463" t="str">
        <f>IF(L463&gt;0,L463*35.273962,IF(J463&gt;0,J463*16,))</f>
        <v>#REF!</v>
      </c>
      <c r="L463" t="str">
        <f>IF(J463&gt;0,J463*0.453592,IF(K463&gt;0,K463*0.02835,))</f>
        <v>#REF!</v>
      </c>
      <c r="O463">
        <f>I463+N463+M463</f>
        <v>0</v>
      </c>
      <c r="P463">
        <f>O463*B$3</f>
        <v>0</v>
      </c>
      <c r="Q463">
        <f>ROUND(SUM(P463), -2)</f>
        <v>0</v>
      </c>
      <c r="R463" t="str">
        <f>ROUNDUP(HLOOKUP(IF(CEILING(L463,0.5)&lt;1,0.5,CEILING(L463,0.5)),'배송비 조회'!A$44:AO$56,7,0)*B$3,-2)</f>
        <v>#REF!</v>
      </c>
      <c r="S463">
        <v>0</v>
      </c>
      <c r="T463" t="str">
        <f>ROUND((Q463+R463)*0.3,-2)</f>
        <v>#REF!</v>
      </c>
      <c r="U463" t="str">
        <f>ROUND((Q463+R463)*0.4,-2)</f>
        <v>#REF!</v>
      </c>
      <c r="V463" t="str">
        <f>SUM(Q463:R463)+T463</f>
        <v>#REF!</v>
      </c>
      <c r="W463" t="str">
        <f>SUM(Q463:S463)+U463</f>
        <v>#REF!</v>
      </c>
      <c r="X463">
        <v>0</v>
      </c>
      <c r="Y463" t="str">
        <f>V463*0.038</f>
        <v>#REF!</v>
      </c>
      <c r="Z463" t="str">
        <f>V463*0.02</f>
        <v>#REF!</v>
      </c>
      <c r="AA463" t="str">
        <f>W463*0.1</f>
        <v>#REF!</v>
      </c>
      <c r="AB463" t="str">
        <f>V463-Y463-Z463</f>
        <v>#REF!</v>
      </c>
      <c r="AC463" t="str">
        <f>W463-AA463</f>
        <v>#REF!</v>
      </c>
      <c r="AD463" t="str">
        <f>AB463*0.01</f>
        <v>#REF!</v>
      </c>
      <c r="AE463" t="str">
        <f>AB463-Q463-AD463-R463</f>
        <v>#REF!</v>
      </c>
      <c r="AF463" t="str">
        <f>AC463-Q463-AD463-R463</f>
        <v>#REF!</v>
      </c>
      <c r="AG463" t="str">
        <f>AE463/V463</f>
        <v>#REF!</v>
      </c>
      <c r="AH463" t="str">
        <f>AF463/W463</f>
        <v>#REF!</v>
      </c>
    </row>
    <row r="464">
      <c r="G464" t="str">
        <v>A</v>
      </c>
      <c r="J464" t="str">
        <f>IF(K464&gt;0,K464*0.0625,IF(L464&gt;0,L464*2.204623,))</f>
        <v>#REF!</v>
      </c>
      <c r="K464" t="str">
        <f>IF(L464&gt;0,L464*35.273962,IF(J464&gt;0,J464*16,))</f>
        <v>#REF!</v>
      </c>
      <c r="L464" t="str">
        <f>IF(J464&gt;0,J464*0.453592,IF(K464&gt;0,K464*0.02835,))</f>
        <v>#REF!</v>
      </c>
      <c r="O464">
        <f>I464+N464+M464</f>
        <v>0</v>
      </c>
      <c r="P464">
        <f>O464*B$3</f>
        <v>0</v>
      </c>
      <c r="Q464">
        <f>ROUND(SUM(P464), -2)</f>
        <v>0</v>
      </c>
      <c r="R464" t="str">
        <f>ROUNDUP(HLOOKUP(IF(CEILING(L464,0.5)&lt;1,0.5,CEILING(L464,0.5)),'배송비 조회'!A$44:AO$56,7,0)*B$3,-2)</f>
        <v>#REF!</v>
      </c>
      <c r="S464">
        <v>0</v>
      </c>
      <c r="T464" t="str">
        <f>ROUND((Q464+R464)*0.3,-2)</f>
        <v>#REF!</v>
      </c>
      <c r="U464" t="str">
        <f>ROUND((Q464+R464)*0.4,-2)</f>
        <v>#REF!</v>
      </c>
      <c r="V464" t="str">
        <f>SUM(Q464:R464)+T464</f>
        <v>#REF!</v>
      </c>
      <c r="W464" t="str">
        <f>SUM(Q464:S464)+U464</f>
        <v>#REF!</v>
      </c>
      <c r="X464">
        <v>0</v>
      </c>
      <c r="Y464" t="str">
        <f>V464*0.038</f>
        <v>#REF!</v>
      </c>
      <c r="Z464" t="str">
        <f>V464*0.02</f>
        <v>#REF!</v>
      </c>
      <c r="AA464" t="str">
        <f>W464*0.1</f>
        <v>#REF!</v>
      </c>
      <c r="AB464" t="str">
        <f>V464-Y464-Z464</f>
        <v>#REF!</v>
      </c>
      <c r="AC464" t="str">
        <f>W464-AA464</f>
        <v>#REF!</v>
      </c>
      <c r="AD464" t="str">
        <f>AB464*0.01</f>
        <v>#REF!</v>
      </c>
      <c r="AE464" t="str">
        <f>AB464-Q464-AD464-R464</f>
        <v>#REF!</v>
      </c>
      <c r="AF464" t="str">
        <f>AC464-Q464-AD464-R464</f>
        <v>#REF!</v>
      </c>
      <c r="AG464" t="str">
        <f>AE464/V464</f>
        <v>#REF!</v>
      </c>
      <c r="AH464" t="str">
        <f>AF464/W464</f>
        <v>#REF!</v>
      </c>
    </row>
    <row r="465">
      <c r="G465" t="str">
        <v>A</v>
      </c>
      <c r="J465" t="str">
        <f>IF(K465&gt;0,K465*0.0625,IF(L465&gt;0,L465*2.204623,))</f>
        <v>#REF!</v>
      </c>
      <c r="K465" t="str">
        <f>IF(L465&gt;0,L465*35.273962,IF(J465&gt;0,J465*16,))</f>
        <v>#REF!</v>
      </c>
      <c r="L465" t="str">
        <f>IF(J465&gt;0,J465*0.453592,IF(K465&gt;0,K465*0.02835,))</f>
        <v>#REF!</v>
      </c>
      <c r="O465">
        <f>I465+N465+M465</f>
        <v>0</v>
      </c>
      <c r="P465">
        <f>O465*B$3</f>
        <v>0</v>
      </c>
      <c r="Q465">
        <f>ROUND(SUM(P465), -2)</f>
        <v>0</v>
      </c>
      <c r="R465" t="str">
        <f>ROUNDUP(HLOOKUP(IF(CEILING(L465,0.5)&lt;1,0.5,CEILING(L465,0.5)),'배송비 조회'!A$44:AO$56,7,0)*B$3,-2)</f>
        <v>#REF!</v>
      </c>
      <c r="S465">
        <v>0</v>
      </c>
      <c r="T465" t="str">
        <f>ROUND((Q465+R465)*0.3,-2)</f>
        <v>#REF!</v>
      </c>
      <c r="U465" t="str">
        <f>ROUND((Q465+R465)*0.4,-2)</f>
        <v>#REF!</v>
      </c>
      <c r="V465" t="str">
        <f>SUM(Q465:R465)+T465</f>
        <v>#REF!</v>
      </c>
      <c r="W465" t="str">
        <f>SUM(Q465:S465)+U465</f>
        <v>#REF!</v>
      </c>
      <c r="X465">
        <v>0</v>
      </c>
      <c r="Y465" t="str">
        <f>V465*0.038</f>
        <v>#REF!</v>
      </c>
      <c r="Z465" t="str">
        <f>V465*0.02</f>
        <v>#REF!</v>
      </c>
      <c r="AA465" t="str">
        <f>W465*0.1</f>
        <v>#REF!</v>
      </c>
      <c r="AB465" t="str">
        <f>V465-Y465-Z465</f>
        <v>#REF!</v>
      </c>
      <c r="AC465" t="str">
        <f>W465-AA465</f>
        <v>#REF!</v>
      </c>
      <c r="AD465" t="str">
        <f>AB465*0.01</f>
        <v>#REF!</v>
      </c>
      <c r="AE465" t="str">
        <f>AB465-Q465-AD465-R465</f>
        <v>#REF!</v>
      </c>
      <c r="AF465" t="str">
        <f>AC465-Q465-AD465-R465</f>
        <v>#REF!</v>
      </c>
      <c r="AG465" t="str">
        <f>AE465/V465</f>
        <v>#REF!</v>
      </c>
      <c r="AH465" t="str">
        <f>AF465/W465</f>
        <v>#REF!</v>
      </c>
    </row>
    <row r="466">
      <c r="G466" t="str">
        <v>A</v>
      </c>
      <c r="J466" t="str">
        <f>IF(K466&gt;0,K466*0.0625,IF(L466&gt;0,L466*2.204623,))</f>
        <v>#REF!</v>
      </c>
      <c r="K466" t="str">
        <f>IF(L466&gt;0,L466*35.273962,IF(J466&gt;0,J466*16,))</f>
        <v>#REF!</v>
      </c>
      <c r="L466" t="str">
        <f>IF(J466&gt;0,J466*0.453592,IF(K466&gt;0,K466*0.02835,))</f>
        <v>#REF!</v>
      </c>
      <c r="O466">
        <f>I466+N466+M466</f>
        <v>0</v>
      </c>
      <c r="P466">
        <f>O466*B$3</f>
        <v>0</v>
      </c>
      <c r="Q466">
        <f>ROUND(SUM(P466), -2)</f>
        <v>0</v>
      </c>
      <c r="R466" t="str">
        <f>ROUNDUP(HLOOKUP(IF(CEILING(L466,0.5)&lt;1,0.5,CEILING(L466,0.5)),'배송비 조회'!A$44:AO$56,7,0)*B$3,-2)</f>
        <v>#REF!</v>
      </c>
      <c r="S466">
        <v>0</v>
      </c>
      <c r="T466" t="str">
        <f>ROUND((Q466+R466)*0.3,-2)</f>
        <v>#REF!</v>
      </c>
      <c r="U466" t="str">
        <f>ROUND((Q466+R466)*0.4,-2)</f>
        <v>#REF!</v>
      </c>
      <c r="V466" t="str">
        <f>SUM(Q466:R466)+T466</f>
        <v>#REF!</v>
      </c>
      <c r="W466" t="str">
        <f>SUM(Q466:S466)+U466</f>
        <v>#REF!</v>
      </c>
      <c r="X466">
        <v>0</v>
      </c>
      <c r="Y466" t="str">
        <f>V466*0.038</f>
        <v>#REF!</v>
      </c>
      <c r="Z466" t="str">
        <f>V466*0.02</f>
        <v>#REF!</v>
      </c>
      <c r="AA466" t="str">
        <f>W466*0.1</f>
        <v>#REF!</v>
      </c>
      <c r="AB466" t="str">
        <f>V466-Y466-Z466</f>
        <v>#REF!</v>
      </c>
      <c r="AC466" t="str">
        <f>W466-AA466</f>
        <v>#REF!</v>
      </c>
      <c r="AD466" t="str">
        <f>AB466*0.01</f>
        <v>#REF!</v>
      </c>
      <c r="AE466" t="str">
        <f>AB466-Q466-AD466-R466</f>
        <v>#REF!</v>
      </c>
      <c r="AF466" t="str">
        <f>AC466-Q466-AD466-R466</f>
        <v>#REF!</v>
      </c>
      <c r="AG466" t="str">
        <f>AE466/V466</f>
        <v>#REF!</v>
      </c>
      <c r="AH466" t="str">
        <f>AF466/W466</f>
        <v>#REF!</v>
      </c>
    </row>
    <row r="467">
      <c r="G467" t="str">
        <v>A</v>
      </c>
      <c r="J467" t="str">
        <f>IF(K467&gt;0,K467*0.0625,IF(L467&gt;0,L467*2.204623,))</f>
        <v>#REF!</v>
      </c>
      <c r="K467" t="str">
        <f>IF(L467&gt;0,L467*35.273962,IF(J467&gt;0,J467*16,))</f>
        <v>#REF!</v>
      </c>
      <c r="L467" t="str">
        <f>IF(J467&gt;0,J467*0.453592,IF(K467&gt;0,K467*0.02835,))</f>
        <v>#REF!</v>
      </c>
      <c r="O467">
        <f>I467+N467+M467</f>
        <v>0</v>
      </c>
      <c r="P467">
        <f>O467*B$3</f>
        <v>0</v>
      </c>
      <c r="Q467">
        <f>ROUND(SUM(P467), -2)</f>
        <v>0</v>
      </c>
      <c r="R467" t="str">
        <f>ROUNDUP(HLOOKUP(IF(CEILING(L467,0.5)&lt;1,0.5,CEILING(L467,0.5)),'배송비 조회'!A$44:AO$56,7,0)*B$3,-2)</f>
        <v>#REF!</v>
      </c>
      <c r="S467">
        <v>0</v>
      </c>
      <c r="T467" t="str">
        <f>ROUND((Q467+R467)*0.3,-2)</f>
        <v>#REF!</v>
      </c>
      <c r="U467" t="str">
        <f>ROUND((Q467+R467)*0.4,-2)</f>
        <v>#REF!</v>
      </c>
      <c r="V467" t="str">
        <f>SUM(Q467:R467)+T467</f>
        <v>#REF!</v>
      </c>
      <c r="W467" t="str">
        <f>SUM(Q467:S467)+U467</f>
        <v>#REF!</v>
      </c>
      <c r="X467">
        <v>0</v>
      </c>
      <c r="Y467" t="str">
        <f>V467*0.038</f>
        <v>#REF!</v>
      </c>
      <c r="Z467" t="str">
        <f>V467*0.02</f>
        <v>#REF!</v>
      </c>
      <c r="AA467" t="str">
        <f>W467*0.1</f>
        <v>#REF!</v>
      </c>
      <c r="AB467" t="str">
        <f>V467-Y467-Z467</f>
        <v>#REF!</v>
      </c>
      <c r="AC467" t="str">
        <f>W467-AA467</f>
        <v>#REF!</v>
      </c>
      <c r="AD467" t="str">
        <f>AB467*0.01</f>
        <v>#REF!</v>
      </c>
      <c r="AE467" t="str">
        <f>AB467-Q467-AD467-R467</f>
        <v>#REF!</v>
      </c>
      <c r="AF467" t="str">
        <f>AC467-Q467-AD467-R467</f>
        <v>#REF!</v>
      </c>
      <c r="AG467" t="str">
        <f>AE467/V467</f>
        <v>#REF!</v>
      </c>
      <c r="AH467" t="str">
        <f>AF467/W467</f>
        <v>#REF!</v>
      </c>
    </row>
    <row r="468">
      <c r="G468" t="str">
        <v>A</v>
      </c>
      <c r="J468" t="str">
        <f>IF(K468&gt;0,K468*0.0625,IF(L468&gt;0,L468*2.204623,))</f>
        <v>#REF!</v>
      </c>
      <c r="K468" t="str">
        <f>IF(L468&gt;0,L468*35.273962,IF(J468&gt;0,J468*16,))</f>
        <v>#REF!</v>
      </c>
      <c r="L468" t="str">
        <f>IF(J468&gt;0,J468*0.453592,IF(K468&gt;0,K468*0.02835,))</f>
        <v>#REF!</v>
      </c>
      <c r="O468">
        <f>I468+N468+M468</f>
        <v>0</v>
      </c>
      <c r="P468">
        <f>O468*B$3</f>
        <v>0</v>
      </c>
      <c r="Q468">
        <f>ROUND(SUM(P468), -2)</f>
        <v>0</v>
      </c>
      <c r="R468" t="str">
        <f>ROUNDUP(HLOOKUP(IF(CEILING(L468,0.5)&lt;1,0.5,CEILING(L468,0.5)),'배송비 조회'!A$44:AO$56,7,0)*B$3,-2)</f>
        <v>#REF!</v>
      </c>
      <c r="S468">
        <v>0</v>
      </c>
      <c r="T468" t="str">
        <f>ROUND((Q468+R468)*0.3,-2)</f>
        <v>#REF!</v>
      </c>
      <c r="U468" t="str">
        <f>ROUND((Q468+R468)*0.4,-2)</f>
        <v>#REF!</v>
      </c>
      <c r="V468" t="str">
        <f>SUM(Q468:R468)+T468</f>
        <v>#REF!</v>
      </c>
      <c r="W468" t="str">
        <f>SUM(Q468:S468)+U468</f>
        <v>#REF!</v>
      </c>
      <c r="X468">
        <v>0</v>
      </c>
      <c r="Y468" t="str">
        <f>V468*0.038</f>
        <v>#REF!</v>
      </c>
      <c r="Z468" t="str">
        <f>V468*0.02</f>
        <v>#REF!</v>
      </c>
      <c r="AA468" t="str">
        <f>W468*0.1</f>
        <v>#REF!</v>
      </c>
      <c r="AB468" t="str">
        <f>V468-Y468-Z468</f>
        <v>#REF!</v>
      </c>
      <c r="AC468" t="str">
        <f>W468-AA468</f>
        <v>#REF!</v>
      </c>
      <c r="AD468" t="str">
        <f>AB468*0.01</f>
        <v>#REF!</v>
      </c>
      <c r="AE468" t="str">
        <f>AB468-Q468-AD468-R468</f>
        <v>#REF!</v>
      </c>
      <c r="AF468" t="str">
        <f>AC468-Q468-AD468-R468</f>
        <v>#REF!</v>
      </c>
      <c r="AG468" t="str">
        <f>AE468/V468</f>
        <v>#REF!</v>
      </c>
      <c r="AH468" t="str">
        <f>AF468/W468</f>
        <v>#REF!</v>
      </c>
    </row>
    <row r="469">
      <c r="G469" t="str">
        <v>A</v>
      </c>
      <c r="J469" t="str">
        <f>IF(K469&gt;0,K469*0.0625,IF(L469&gt;0,L469*2.204623,))</f>
        <v>#REF!</v>
      </c>
      <c r="K469" t="str">
        <f>IF(L469&gt;0,L469*35.273962,IF(J469&gt;0,J469*16,))</f>
        <v>#REF!</v>
      </c>
      <c r="L469" t="str">
        <f>IF(J469&gt;0,J469*0.453592,IF(K469&gt;0,K469*0.02835,))</f>
        <v>#REF!</v>
      </c>
      <c r="O469">
        <f>I469+N469+M469</f>
        <v>0</v>
      </c>
      <c r="P469">
        <f>O469*B$3</f>
        <v>0</v>
      </c>
      <c r="Q469">
        <f>ROUND(SUM(P469), -2)</f>
        <v>0</v>
      </c>
      <c r="R469" t="str">
        <f>ROUNDUP(HLOOKUP(IF(CEILING(L469,0.5)&lt;1,0.5,CEILING(L469,0.5)),'배송비 조회'!A$44:AO$56,7,0)*B$3,-2)</f>
        <v>#REF!</v>
      </c>
      <c r="S469">
        <v>0</v>
      </c>
      <c r="T469" t="str">
        <f>ROUND((Q469+R469)*0.3,-2)</f>
        <v>#REF!</v>
      </c>
      <c r="U469" t="str">
        <f>ROUND((Q469+R469)*0.4,-2)</f>
        <v>#REF!</v>
      </c>
      <c r="V469" t="str">
        <f>SUM(Q469:R469)+T469</f>
        <v>#REF!</v>
      </c>
      <c r="W469" t="str">
        <f>SUM(Q469:S469)+U469</f>
        <v>#REF!</v>
      </c>
      <c r="X469">
        <v>0</v>
      </c>
      <c r="Y469" t="str">
        <f>V469*0.038</f>
        <v>#REF!</v>
      </c>
      <c r="Z469" t="str">
        <f>V469*0.02</f>
        <v>#REF!</v>
      </c>
      <c r="AA469" t="str">
        <f>W469*0.1</f>
        <v>#REF!</v>
      </c>
      <c r="AB469" t="str">
        <f>V469-Y469-Z469</f>
        <v>#REF!</v>
      </c>
      <c r="AC469" t="str">
        <f>W469-AA469</f>
        <v>#REF!</v>
      </c>
      <c r="AD469" t="str">
        <f>AB469*0.01</f>
        <v>#REF!</v>
      </c>
      <c r="AE469" t="str">
        <f>AB469-Q469-AD469-R469</f>
        <v>#REF!</v>
      </c>
      <c r="AF469" t="str">
        <f>AC469-Q469-AD469-R469</f>
        <v>#REF!</v>
      </c>
      <c r="AG469" t="str">
        <f>AE469/V469</f>
        <v>#REF!</v>
      </c>
      <c r="AH469" t="str">
        <f>AF469/W469</f>
        <v>#REF!</v>
      </c>
    </row>
    <row r="470">
      <c r="G470" t="str">
        <v>A</v>
      </c>
      <c r="J470" t="str">
        <f>IF(K470&gt;0,K470*0.0625,IF(L470&gt;0,L470*2.204623,))</f>
        <v>#REF!</v>
      </c>
      <c r="K470" t="str">
        <f>IF(L470&gt;0,L470*35.273962,IF(J470&gt;0,J470*16,))</f>
        <v>#REF!</v>
      </c>
      <c r="L470" t="str">
        <f>IF(J470&gt;0,J470*0.453592,IF(K470&gt;0,K470*0.02835,))</f>
        <v>#REF!</v>
      </c>
      <c r="O470">
        <f>I470+N470+M470</f>
        <v>0</v>
      </c>
      <c r="P470">
        <f>O470*B$3</f>
        <v>0</v>
      </c>
      <c r="Q470">
        <f>ROUND(SUM(P470), -2)</f>
        <v>0</v>
      </c>
      <c r="R470" t="str">
        <f>ROUNDUP(HLOOKUP(IF(CEILING(L470,0.5)&lt;1,0.5,CEILING(L470,0.5)),'배송비 조회'!A$44:AO$56,7,0)*B$3,-2)</f>
        <v>#REF!</v>
      </c>
      <c r="S470">
        <v>0</v>
      </c>
      <c r="T470" t="str">
        <f>ROUND((Q470+R470)*0.3,-2)</f>
        <v>#REF!</v>
      </c>
      <c r="U470" t="str">
        <f>ROUND((Q470+R470)*0.4,-2)</f>
        <v>#REF!</v>
      </c>
      <c r="V470" t="str">
        <f>SUM(Q470:R470)+T470</f>
        <v>#REF!</v>
      </c>
      <c r="W470" t="str">
        <f>SUM(Q470:S470)+U470</f>
        <v>#REF!</v>
      </c>
      <c r="X470">
        <v>0</v>
      </c>
      <c r="Y470" t="str">
        <f>V470*0.038</f>
        <v>#REF!</v>
      </c>
      <c r="Z470" t="str">
        <f>V470*0.02</f>
        <v>#REF!</v>
      </c>
      <c r="AA470" t="str">
        <f>W470*0.1</f>
        <v>#REF!</v>
      </c>
      <c r="AB470" t="str">
        <f>V470-Y470-Z470</f>
        <v>#REF!</v>
      </c>
      <c r="AC470" t="str">
        <f>W470-AA470</f>
        <v>#REF!</v>
      </c>
      <c r="AD470" t="str">
        <f>AB470*0.01</f>
        <v>#REF!</v>
      </c>
      <c r="AE470" t="str">
        <f>AB470-Q470-AD470-R470</f>
        <v>#REF!</v>
      </c>
      <c r="AF470" t="str">
        <f>AC470-Q470-AD470-R470</f>
        <v>#REF!</v>
      </c>
      <c r="AG470" t="str">
        <f>AE470/V470</f>
        <v>#REF!</v>
      </c>
      <c r="AH470" t="str">
        <f>AF470/W470</f>
        <v>#REF!</v>
      </c>
    </row>
    <row r="471">
      <c r="G471" t="str">
        <v>A</v>
      </c>
      <c r="J471" t="str">
        <f>IF(K471&gt;0,K471*0.0625,IF(L471&gt;0,L471*2.204623,))</f>
        <v>#REF!</v>
      </c>
      <c r="K471" t="str">
        <f>IF(L471&gt;0,L471*35.273962,IF(J471&gt;0,J471*16,))</f>
        <v>#REF!</v>
      </c>
      <c r="L471" t="str">
        <f>IF(J471&gt;0,J471*0.453592,IF(K471&gt;0,K471*0.02835,))</f>
        <v>#REF!</v>
      </c>
      <c r="O471">
        <f>I471+N471+M471</f>
        <v>0</v>
      </c>
      <c r="P471">
        <f>O471*B$3</f>
        <v>0</v>
      </c>
      <c r="Q471">
        <f>ROUND(SUM(P471), -2)</f>
        <v>0</v>
      </c>
      <c r="R471" t="str">
        <f>ROUNDUP(HLOOKUP(IF(CEILING(L471,0.5)&lt;1,0.5,CEILING(L471,0.5)),'배송비 조회'!A$44:AO$56,7,0)*B$3,-2)</f>
        <v>#REF!</v>
      </c>
      <c r="S471">
        <v>0</v>
      </c>
      <c r="T471" t="str">
        <f>ROUND((Q471+R471)*0.3,-2)</f>
        <v>#REF!</v>
      </c>
      <c r="U471" t="str">
        <f>ROUND((Q471+R471)*0.4,-2)</f>
        <v>#REF!</v>
      </c>
      <c r="V471" t="str">
        <f>SUM(Q471:R471)+T471</f>
        <v>#REF!</v>
      </c>
      <c r="W471" t="str">
        <f>SUM(Q471:S471)+U471</f>
        <v>#REF!</v>
      </c>
      <c r="X471">
        <v>0</v>
      </c>
      <c r="Y471" t="str">
        <f>V471*0.038</f>
        <v>#REF!</v>
      </c>
      <c r="Z471" t="str">
        <f>V471*0.02</f>
        <v>#REF!</v>
      </c>
      <c r="AA471" t="str">
        <f>W471*0.1</f>
        <v>#REF!</v>
      </c>
      <c r="AB471" t="str">
        <f>V471-Y471-Z471</f>
        <v>#REF!</v>
      </c>
      <c r="AC471" t="str">
        <f>W471-AA471</f>
        <v>#REF!</v>
      </c>
      <c r="AD471" t="str">
        <f>AB471*0.01</f>
        <v>#REF!</v>
      </c>
      <c r="AE471" t="str">
        <f>AB471-Q471-AD471-R471</f>
        <v>#REF!</v>
      </c>
      <c r="AF471" t="str">
        <f>AC471-Q471-AD471-R471</f>
        <v>#REF!</v>
      </c>
      <c r="AG471" t="str">
        <f>AE471/V471</f>
        <v>#REF!</v>
      </c>
      <c r="AH471" t="str">
        <f>AF471/W471</f>
        <v>#REF!</v>
      </c>
    </row>
    <row r="472">
      <c r="G472" t="str">
        <v>A</v>
      </c>
      <c r="J472" t="str">
        <f>IF(K472&gt;0,K472*0.0625,IF(L472&gt;0,L472*2.204623,))</f>
        <v>#REF!</v>
      </c>
      <c r="K472" t="str">
        <f>IF(L472&gt;0,L472*35.273962,IF(J472&gt;0,J472*16,))</f>
        <v>#REF!</v>
      </c>
      <c r="L472" t="str">
        <f>IF(J472&gt;0,J472*0.453592,IF(K472&gt;0,K472*0.02835,))</f>
        <v>#REF!</v>
      </c>
      <c r="O472">
        <f>I472+N472+M472</f>
        <v>0</v>
      </c>
      <c r="P472">
        <f>O472*B$3</f>
        <v>0</v>
      </c>
      <c r="Q472">
        <f>ROUND(SUM(P472), -2)</f>
        <v>0</v>
      </c>
      <c r="R472" t="str">
        <f>ROUNDUP(HLOOKUP(IF(CEILING(L472,0.5)&lt;1,0.5,CEILING(L472,0.5)),'배송비 조회'!A$44:AO$56,7,0)*B$3,-2)</f>
        <v>#REF!</v>
      </c>
      <c r="S472">
        <v>0</v>
      </c>
      <c r="T472" t="str">
        <f>ROUND((Q472+R472)*0.3,-2)</f>
        <v>#REF!</v>
      </c>
      <c r="U472" t="str">
        <f>ROUND((Q472+R472)*0.4,-2)</f>
        <v>#REF!</v>
      </c>
      <c r="V472" t="str">
        <f>SUM(Q472:R472)+T472</f>
        <v>#REF!</v>
      </c>
      <c r="W472" t="str">
        <f>SUM(Q472:S472)+U472</f>
        <v>#REF!</v>
      </c>
      <c r="X472">
        <v>0</v>
      </c>
      <c r="Y472" t="str">
        <f>V472*0.038</f>
        <v>#REF!</v>
      </c>
      <c r="Z472" t="str">
        <f>V472*0.02</f>
        <v>#REF!</v>
      </c>
      <c r="AA472" t="str">
        <f>W472*0.1</f>
        <v>#REF!</v>
      </c>
      <c r="AB472" t="str">
        <f>V472-Y472-Z472</f>
        <v>#REF!</v>
      </c>
      <c r="AC472" t="str">
        <f>W472-AA472</f>
        <v>#REF!</v>
      </c>
      <c r="AD472" t="str">
        <f>AB472*0.01</f>
        <v>#REF!</v>
      </c>
      <c r="AE472" t="str">
        <f>AB472-Q472-AD472-R472</f>
        <v>#REF!</v>
      </c>
      <c r="AF472" t="str">
        <f>AC472-Q472-AD472-R472</f>
        <v>#REF!</v>
      </c>
      <c r="AG472" t="str">
        <f>AE472/V472</f>
        <v>#REF!</v>
      </c>
      <c r="AH472" t="str">
        <f>AF472/W472</f>
        <v>#REF!</v>
      </c>
    </row>
    <row r="473">
      <c r="G473" t="str">
        <v>A</v>
      </c>
      <c r="J473" t="str">
        <f>IF(K473&gt;0,K473*0.0625,IF(L473&gt;0,L473*2.204623,))</f>
        <v>#REF!</v>
      </c>
      <c r="K473" t="str">
        <f>IF(L473&gt;0,L473*35.273962,IF(J473&gt;0,J473*16,))</f>
        <v>#REF!</v>
      </c>
      <c r="L473" t="str">
        <f>IF(J473&gt;0,J473*0.453592,IF(K473&gt;0,K473*0.02835,))</f>
        <v>#REF!</v>
      </c>
      <c r="O473">
        <f>I473+N473+M473</f>
        <v>0</v>
      </c>
      <c r="P473">
        <f>O473*B$3</f>
        <v>0</v>
      </c>
      <c r="Q473">
        <f>ROUND(SUM(P473), -2)</f>
        <v>0</v>
      </c>
      <c r="R473" t="str">
        <f>ROUNDUP(HLOOKUP(IF(CEILING(L473,0.5)&lt;1,0.5,CEILING(L473,0.5)),'배송비 조회'!A$44:AO$56,7,0)*B$3,-2)</f>
        <v>#REF!</v>
      </c>
      <c r="S473">
        <v>0</v>
      </c>
      <c r="T473" t="str">
        <f>ROUND((Q473+R473)*0.3,-2)</f>
        <v>#REF!</v>
      </c>
      <c r="U473" t="str">
        <f>ROUND((Q473+R473)*0.4,-2)</f>
        <v>#REF!</v>
      </c>
      <c r="V473" t="str">
        <f>SUM(Q473:R473)+T473</f>
        <v>#REF!</v>
      </c>
      <c r="W473" t="str">
        <f>SUM(Q473:S473)+U473</f>
        <v>#REF!</v>
      </c>
      <c r="X473">
        <v>0</v>
      </c>
      <c r="Y473" t="str">
        <f>V473*0.038</f>
        <v>#REF!</v>
      </c>
      <c r="Z473" t="str">
        <f>V473*0.02</f>
        <v>#REF!</v>
      </c>
      <c r="AA473" t="str">
        <f>W473*0.1</f>
        <v>#REF!</v>
      </c>
      <c r="AB473" t="str">
        <f>V473-Y473-Z473</f>
        <v>#REF!</v>
      </c>
      <c r="AC473" t="str">
        <f>W473-AA473</f>
        <v>#REF!</v>
      </c>
      <c r="AD473" t="str">
        <f>AB473*0.01</f>
        <v>#REF!</v>
      </c>
      <c r="AE473" t="str">
        <f>AB473-Q473-AD473-R473</f>
        <v>#REF!</v>
      </c>
      <c r="AF473" t="str">
        <f>AC473-Q473-AD473-R473</f>
        <v>#REF!</v>
      </c>
      <c r="AG473" t="str">
        <f>AE473/V473</f>
        <v>#REF!</v>
      </c>
      <c r="AH473" t="str">
        <f>AF473/W473</f>
        <v>#REF!</v>
      </c>
    </row>
    <row r="474">
      <c r="G474" t="str">
        <v>A</v>
      </c>
      <c r="J474" t="str">
        <f>IF(K474&gt;0,K474*0.0625,IF(L474&gt;0,L474*2.204623,))</f>
        <v>#REF!</v>
      </c>
      <c r="K474" t="str">
        <f>IF(L474&gt;0,L474*35.273962,IF(J474&gt;0,J474*16,))</f>
        <v>#REF!</v>
      </c>
      <c r="L474" t="str">
        <f>IF(J474&gt;0,J474*0.453592,IF(K474&gt;0,K474*0.02835,))</f>
        <v>#REF!</v>
      </c>
      <c r="O474">
        <f>I474+N474+M474</f>
        <v>0</v>
      </c>
      <c r="P474">
        <f>O474*B$3</f>
        <v>0</v>
      </c>
      <c r="Q474">
        <f>ROUND(SUM(P474), -2)</f>
        <v>0</v>
      </c>
      <c r="R474" t="str">
        <f>ROUNDUP(HLOOKUP(IF(CEILING(L474,0.5)&lt;1,0.5,CEILING(L474,0.5)),'배송비 조회'!A$44:AO$56,7,0)*B$3,-2)</f>
        <v>#REF!</v>
      </c>
      <c r="S474">
        <v>0</v>
      </c>
      <c r="T474" t="str">
        <f>ROUND((Q474+R474)*0.3,-2)</f>
        <v>#REF!</v>
      </c>
      <c r="U474" t="str">
        <f>ROUND((Q474+R474)*0.4,-2)</f>
        <v>#REF!</v>
      </c>
      <c r="V474" t="str">
        <f>SUM(Q474:R474)+T474</f>
        <v>#REF!</v>
      </c>
      <c r="W474" t="str">
        <f>SUM(Q474:S474)+U474</f>
        <v>#REF!</v>
      </c>
      <c r="X474">
        <v>0</v>
      </c>
      <c r="Y474" t="str">
        <f>V474*0.038</f>
        <v>#REF!</v>
      </c>
      <c r="Z474" t="str">
        <f>V474*0.02</f>
        <v>#REF!</v>
      </c>
      <c r="AA474" t="str">
        <f>W474*0.1</f>
        <v>#REF!</v>
      </c>
      <c r="AB474" t="str">
        <f>V474-Y474-Z474</f>
        <v>#REF!</v>
      </c>
      <c r="AC474" t="str">
        <f>W474-AA474</f>
        <v>#REF!</v>
      </c>
      <c r="AD474" t="str">
        <f>AB474*0.01</f>
        <v>#REF!</v>
      </c>
      <c r="AE474" t="str">
        <f>AB474-Q474-AD474-R474</f>
        <v>#REF!</v>
      </c>
      <c r="AF474" t="str">
        <f>AC474-Q474-AD474-R474</f>
        <v>#REF!</v>
      </c>
      <c r="AG474" t="str">
        <f>AE474/V474</f>
        <v>#REF!</v>
      </c>
      <c r="AH474" t="str">
        <f>AF474/W474</f>
        <v>#REF!</v>
      </c>
    </row>
    <row r="475">
      <c r="G475" t="str">
        <v>A</v>
      </c>
      <c r="J475" t="str">
        <f>IF(K475&gt;0,K475*0.0625,IF(L475&gt;0,L475*2.204623,))</f>
        <v>#REF!</v>
      </c>
      <c r="K475" t="str">
        <f>IF(L475&gt;0,L475*35.273962,IF(J475&gt;0,J475*16,))</f>
        <v>#REF!</v>
      </c>
      <c r="L475" t="str">
        <f>IF(J475&gt;0,J475*0.453592,IF(K475&gt;0,K475*0.02835,))</f>
        <v>#REF!</v>
      </c>
      <c r="O475">
        <f>I475+N475+M475</f>
        <v>0</v>
      </c>
      <c r="P475">
        <f>O475*B$3</f>
        <v>0</v>
      </c>
      <c r="Q475">
        <f>ROUND(SUM(P475), -2)</f>
        <v>0</v>
      </c>
      <c r="R475" t="str">
        <f>ROUNDUP(HLOOKUP(IF(CEILING(L475,0.5)&lt;1,0.5,CEILING(L475,0.5)),'배송비 조회'!A$44:AO$56,7,0)*B$3,-2)</f>
        <v>#REF!</v>
      </c>
      <c r="S475">
        <v>0</v>
      </c>
      <c r="T475" t="str">
        <f>ROUND((Q475+R475)*0.3,-2)</f>
        <v>#REF!</v>
      </c>
      <c r="U475" t="str">
        <f>ROUND((Q475+R475)*0.4,-2)</f>
        <v>#REF!</v>
      </c>
      <c r="V475" t="str">
        <f>SUM(Q475:R475)+T475</f>
        <v>#REF!</v>
      </c>
      <c r="W475" t="str">
        <f>SUM(Q475:S475)+U475</f>
        <v>#REF!</v>
      </c>
      <c r="X475">
        <v>0</v>
      </c>
      <c r="Y475" t="str">
        <f>V475*0.038</f>
        <v>#REF!</v>
      </c>
      <c r="Z475" t="str">
        <f>V475*0.02</f>
        <v>#REF!</v>
      </c>
      <c r="AA475" t="str">
        <f>W475*0.1</f>
        <v>#REF!</v>
      </c>
      <c r="AB475" t="str">
        <f>V475-Y475-Z475</f>
        <v>#REF!</v>
      </c>
      <c r="AC475" t="str">
        <f>W475-AA475</f>
        <v>#REF!</v>
      </c>
      <c r="AD475" t="str">
        <f>AB475*0.01</f>
        <v>#REF!</v>
      </c>
      <c r="AE475" t="str">
        <f>AB475-Q475-AD475-R475</f>
        <v>#REF!</v>
      </c>
      <c r="AF475" t="str">
        <f>AC475-Q475-AD475-R475</f>
        <v>#REF!</v>
      </c>
      <c r="AG475" t="str">
        <f>AE475/V475</f>
        <v>#REF!</v>
      </c>
      <c r="AH475" t="str">
        <f>AF475/W475</f>
        <v>#REF!</v>
      </c>
    </row>
    <row r="476">
      <c r="G476" t="str">
        <v>A</v>
      </c>
      <c r="J476" t="str">
        <f>IF(K476&gt;0,K476*0.0625,IF(L476&gt;0,L476*2.204623,))</f>
        <v>#REF!</v>
      </c>
      <c r="K476" t="str">
        <f>IF(L476&gt;0,L476*35.273962,IF(J476&gt;0,J476*16,))</f>
        <v>#REF!</v>
      </c>
      <c r="L476" t="str">
        <f>IF(J476&gt;0,J476*0.453592,IF(K476&gt;0,K476*0.02835,))</f>
        <v>#REF!</v>
      </c>
      <c r="O476">
        <f>I476+N476+M476</f>
        <v>0</v>
      </c>
      <c r="P476">
        <f>O476*B$3</f>
        <v>0</v>
      </c>
      <c r="Q476">
        <f>ROUND(SUM(P476), -2)</f>
        <v>0</v>
      </c>
      <c r="R476" t="str">
        <f>ROUNDUP(HLOOKUP(IF(CEILING(L476,0.5)&lt;1,0.5,CEILING(L476,0.5)),'배송비 조회'!A$44:AO$56,7,0)*B$3,-2)</f>
        <v>#REF!</v>
      </c>
      <c r="S476">
        <v>0</v>
      </c>
      <c r="T476" t="str">
        <f>ROUND((Q476+R476)*0.3,-2)</f>
        <v>#REF!</v>
      </c>
      <c r="U476" t="str">
        <f>ROUND((Q476+R476)*0.4,-2)</f>
        <v>#REF!</v>
      </c>
      <c r="V476" t="str">
        <f>SUM(Q476:R476)+T476</f>
        <v>#REF!</v>
      </c>
      <c r="W476" t="str">
        <f>SUM(Q476:S476)+U476</f>
        <v>#REF!</v>
      </c>
      <c r="X476">
        <v>0</v>
      </c>
      <c r="Y476" t="str">
        <f>V476*0.038</f>
        <v>#REF!</v>
      </c>
      <c r="Z476" t="str">
        <f>V476*0.02</f>
        <v>#REF!</v>
      </c>
      <c r="AA476" t="str">
        <f>W476*0.1</f>
        <v>#REF!</v>
      </c>
      <c r="AB476" t="str">
        <f>V476-Y476-Z476</f>
        <v>#REF!</v>
      </c>
      <c r="AC476" t="str">
        <f>W476-AA476</f>
        <v>#REF!</v>
      </c>
      <c r="AD476" t="str">
        <f>AB476*0.01</f>
        <v>#REF!</v>
      </c>
      <c r="AE476" t="str">
        <f>AB476-Q476-AD476-R476</f>
        <v>#REF!</v>
      </c>
      <c r="AF476" t="str">
        <f>AC476-Q476-AD476-R476</f>
        <v>#REF!</v>
      </c>
      <c r="AG476" t="str">
        <f>AE476/V476</f>
        <v>#REF!</v>
      </c>
      <c r="AH476" t="str">
        <f>AF476/W476</f>
        <v>#REF!</v>
      </c>
    </row>
    <row r="477">
      <c r="G477" t="str">
        <v>A</v>
      </c>
      <c r="J477" t="str">
        <f>IF(K477&gt;0,K477*0.0625,IF(L477&gt;0,L477*2.204623,))</f>
        <v>#REF!</v>
      </c>
      <c r="K477" t="str">
        <f>IF(L477&gt;0,L477*35.273962,IF(J477&gt;0,J477*16,))</f>
        <v>#REF!</v>
      </c>
      <c r="L477" t="str">
        <f>IF(J477&gt;0,J477*0.453592,IF(K477&gt;0,K477*0.02835,))</f>
        <v>#REF!</v>
      </c>
      <c r="O477">
        <f>I477+N477+M477</f>
        <v>0</v>
      </c>
      <c r="P477">
        <f>O477*B$3</f>
        <v>0</v>
      </c>
      <c r="Q477">
        <f>ROUND(SUM(P477), -2)</f>
        <v>0</v>
      </c>
      <c r="R477" t="str">
        <f>ROUNDUP(HLOOKUP(IF(CEILING(L477,0.5)&lt;1,0.5,CEILING(L477,0.5)),'배송비 조회'!A$44:AO$56,7,0)*B$3,-2)</f>
        <v>#REF!</v>
      </c>
      <c r="S477">
        <v>0</v>
      </c>
      <c r="T477" t="str">
        <f>ROUND((Q477+R477)*0.3,-2)</f>
        <v>#REF!</v>
      </c>
      <c r="U477" t="str">
        <f>ROUND((Q477+R477)*0.4,-2)</f>
        <v>#REF!</v>
      </c>
      <c r="V477" t="str">
        <f>SUM(Q477:R477)+T477</f>
        <v>#REF!</v>
      </c>
      <c r="W477" t="str">
        <f>SUM(Q477:S477)+U477</f>
        <v>#REF!</v>
      </c>
      <c r="X477">
        <v>0</v>
      </c>
      <c r="Y477" t="str">
        <f>V477*0.038</f>
        <v>#REF!</v>
      </c>
      <c r="Z477" t="str">
        <f>V477*0.02</f>
        <v>#REF!</v>
      </c>
      <c r="AA477" t="str">
        <f>W477*0.1</f>
        <v>#REF!</v>
      </c>
      <c r="AB477" t="str">
        <f>V477-Y477-Z477</f>
        <v>#REF!</v>
      </c>
      <c r="AC477" t="str">
        <f>W477-AA477</f>
        <v>#REF!</v>
      </c>
      <c r="AD477" t="str">
        <f>AB477*0.01</f>
        <v>#REF!</v>
      </c>
      <c r="AE477" t="str">
        <f>AB477-Q477-AD477-R477</f>
        <v>#REF!</v>
      </c>
      <c r="AF477" t="str">
        <f>AC477-Q477-AD477-R477</f>
        <v>#REF!</v>
      </c>
      <c r="AG477" t="str">
        <f>AE477/V477</f>
        <v>#REF!</v>
      </c>
      <c r="AH477" t="str">
        <f>AF477/W477</f>
        <v>#REF!</v>
      </c>
    </row>
    <row r="478">
      <c r="G478" t="str">
        <v>A</v>
      </c>
      <c r="J478" t="str">
        <f>IF(K478&gt;0,K478*0.0625,IF(L478&gt;0,L478*2.204623,))</f>
        <v>#REF!</v>
      </c>
      <c r="K478" t="str">
        <f>IF(L478&gt;0,L478*35.273962,IF(J478&gt;0,J478*16,))</f>
        <v>#REF!</v>
      </c>
      <c r="L478" t="str">
        <f>IF(J478&gt;0,J478*0.453592,IF(K478&gt;0,K478*0.02835,))</f>
        <v>#REF!</v>
      </c>
      <c r="O478">
        <f>I478+N478+M478</f>
        <v>0</v>
      </c>
      <c r="P478">
        <f>O478*B$3</f>
        <v>0</v>
      </c>
      <c r="Q478">
        <f>ROUND(SUM(P478), -2)</f>
        <v>0</v>
      </c>
      <c r="R478" t="str">
        <f>ROUNDUP(HLOOKUP(IF(CEILING(L478,0.5)&lt;1,0.5,CEILING(L478,0.5)),'배송비 조회'!A$44:AO$56,7,0)*B$3,-2)</f>
        <v>#REF!</v>
      </c>
      <c r="S478">
        <v>0</v>
      </c>
      <c r="T478" t="str">
        <f>ROUND((Q478+R478)*0.3,-2)</f>
        <v>#REF!</v>
      </c>
      <c r="U478" t="str">
        <f>ROUND((Q478+R478)*0.4,-2)</f>
        <v>#REF!</v>
      </c>
      <c r="V478" t="str">
        <f>SUM(Q478:R478)+T478</f>
        <v>#REF!</v>
      </c>
      <c r="W478" t="str">
        <f>SUM(Q478:S478)+U478</f>
        <v>#REF!</v>
      </c>
      <c r="X478">
        <v>0</v>
      </c>
      <c r="Y478" t="str">
        <f>V478*0.038</f>
        <v>#REF!</v>
      </c>
      <c r="Z478" t="str">
        <f>V478*0.02</f>
        <v>#REF!</v>
      </c>
      <c r="AA478" t="str">
        <f>W478*0.1</f>
        <v>#REF!</v>
      </c>
      <c r="AB478" t="str">
        <f>V478-Y478-Z478</f>
        <v>#REF!</v>
      </c>
      <c r="AC478" t="str">
        <f>W478-AA478</f>
        <v>#REF!</v>
      </c>
      <c r="AD478" t="str">
        <f>AB478*0.01</f>
        <v>#REF!</v>
      </c>
      <c r="AE478" t="str">
        <f>AB478-Q478-AD478-R478</f>
        <v>#REF!</v>
      </c>
      <c r="AF478" t="str">
        <f>AC478-Q478-AD478-R478</f>
        <v>#REF!</v>
      </c>
      <c r="AG478" t="str">
        <f>AE478/V478</f>
        <v>#REF!</v>
      </c>
      <c r="AH478" t="str">
        <f>AF478/W478</f>
        <v>#REF!</v>
      </c>
    </row>
    <row r="479">
      <c r="G479" t="str">
        <v>A</v>
      </c>
      <c r="J479" t="str">
        <f>IF(K479&gt;0,K479*0.0625,IF(L479&gt;0,L479*2.204623,))</f>
        <v>#REF!</v>
      </c>
      <c r="K479" t="str">
        <f>IF(L479&gt;0,L479*35.273962,IF(J479&gt;0,J479*16,))</f>
        <v>#REF!</v>
      </c>
      <c r="L479" t="str">
        <f>IF(J479&gt;0,J479*0.453592,IF(K479&gt;0,K479*0.02835,))</f>
        <v>#REF!</v>
      </c>
      <c r="O479">
        <f>I479+N479+M479</f>
        <v>0</v>
      </c>
      <c r="P479">
        <f>O479*B$3</f>
        <v>0</v>
      </c>
      <c r="Q479">
        <f>ROUND(SUM(P479), -2)</f>
        <v>0</v>
      </c>
      <c r="R479" t="str">
        <f>ROUNDUP(HLOOKUP(IF(CEILING(L479,0.5)&lt;1,0.5,CEILING(L479,0.5)),'배송비 조회'!A$44:AO$56,7,0)*B$3,-2)</f>
        <v>#REF!</v>
      </c>
      <c r="S479">
        <v>0</v>
      </c>
      <c r="T479" t="str">
        <f>ROUND((Q479+R479)*0.3,-2)</f>
        <v>#REF!</v>
      </c>
      <c r="U479" t="str">
        <f>ROUND((Q479+R479)*0.4,-2)</f>
        <v>#REF!</v>
      </c>
      <c r="V479" t="str">
        <f>SUM(Q479:R479)+T479</f>
        <v>#REF!</v>
      </c>
      <c r="W479" t="str">
        <f>SUM(Q479:S479)+U479</f>
        <v>#REF!</v>
      </c>
      <c r="X479">
        <v>0</v>
      </c>
      <c r="Y479" t="str">
        <f>V479*0.038</f>
        <v>#REF!</v>
      </c>
      <c r="Z479" t="str">
        <f>V479*0.02</f>
        <v>#REF!</v>
      </c>
      <c r="AA479" t="str">
        <f>W479*0.1</f>
        <v>#REF!</v>
      </c>
      <c r="AB479" t="str">
        <f>V479-Y479-Z479</f>
        <v>#REF!</v>
      </c>
      <c r="AC479" t="str">
        <f>W479-AA479</f>
        <v>#REF!</v>
      </c>
      <c r="AD479" t="str">
        <f>AB479*0.01</f>
        <v>#REF!</v>
      </c>
      <c r="AE479" t="str">
        <f>AB479-Q479-AD479-R479</f>
        <v>#REF!</v>
      </c>
      <c r="AF479" t="str">
        <f>AC479-Q479-AD479-R479</f>
        <v>#REF!</v>
      </c>
      <c r="AG479" t="str">
        <f>AE479/V479</f>
        <v>#REF!</v>
      </c>
      <c r="AH479" t="str">
        <f>AF479/W479</f>
        <v>#REF!</v>
      </c>
    </row>
    <row r="480">
      <c r="G480" t="str">
        <v>A</v>
      </c>
      <c r="J480" t="str">
        <f>IF(K480&gt;0,K480*0.0625,IF(L480&gt;0,L480*2.204623,))</f>
        <v>#REF!</v>
      </c>
      <c r="K480" t="str">
        <f>IF(L480&gt;0,L480*35.273962,IF(J480&gt;0,J480*16,))</f>
        <v>#REF!</v>
      </c>
      <c r="L480" t="str">
        <f>IF(J480&gt;0,J480*0.453592,IF(K480&gt;0,K480*0.02835,))</f>
        <v>#REF!</v>
      </c>
      <c r="O480">
        <f>I480+N480+M480</f>
        <v>0</v>
      </c>
      <c r="P480">
        <f>O480*B$3</f>
        <v>0</v>
      </c>
      <c r="Q480">
        <f>ROUND(SUM(P480), -2)</f>
        <v>0</v>
      </c>
      <c r="R480" t="str">
        <f>ROUNDUP(HLOOKUP(IF(CEILING(L480,0.5)&lt;1,0.5,CEILING(L480,0.5)),'배송비 조회'!A$44:AO$56,7,0)*B$3,-2)</f>
        <v>#REF!</v>
      </c>
      <c r="S480">
        <v>0</v>
      </c>
      <c r="T480" t="str">
        <f>ROUND((Q480+R480)*0.3,-2)</f>
        <v>#REF!</v>
      </c>
      <c r="U480" t="str">
        <f>ROUND((Q480+R480)*0.4,-2)</f>
        <v>#REF!</v>
      </c>
      <c r="V480" t="str">
        <f>SUM(Q480:R480)+T480</f>
        <v>#REF!</v>
      </c>
      <c r="W480" t="str">
        <f>SUM(Q480:S480)+U480</f>
        <v>#REF!</v>
      </c>
      <c r="X480">
        <v>0</v>
      </c>
      <c r="Y480" t="str">
        <f>V480*0.038</f>
        <v>#REF!</v>
      </c>
      <c r="Z480" t="str">
        <f>V480*0.02</f>
        <v>#REF!</v>
      </c>
      <c r="AA480" t="str">
        <f>W480*0.1</f>
        <v>#REF!</v>
      </c>
      <c r="AB480" t="str">
        <f>V480-Y480-Z480</f>
        <v>#REF!</v>
      </c>
      <c r="AC480" t="str">
        <f>W480-AA480</f>
        <v>#REF!</v>
      </c>
      <c r="AD480" t="str">
        <f>AB480*0.01</f>
        <v>#REF!</v>
      </c>
      <c r="AE480" t="str">
        <f>AB480-Q480-AD480-R480</f>
        <v>#REF!</v>
      </c>
      <c r="AF480" t="str">
        <f>AC480-Q480-AD480-R480</f>
        <v>#REF!</v>
      </c>
      <c r="AG480" t="str">
        <f>AE480/V480</f>
        <v>#REF!</v>
      </c>
      <c r="AH480" t="str">
        <f>AF480/W480</f>
        <v>#REF!</v>
      </c>
    </row>
    <row r="481">
      <c r="G481" t="str">
        <v>A</v>
      </c>
      <c r="J481" t="str">
        <f>IF(K481&gt;0,K481*0.0625,IF(L481&gt;0,L481*2.204623,))</f>
        <v>#REF!</v>
      </c>
      <c r="K481" t="str">
        <f>IF(L481&gt;0,L481*35.273962,IF(J481&gt;0,J481*16,))</f>
        <v>#REF!</v>
      </c>
      <c r="L481" t="str">
        <f>IF(J481&gt;0,J481*0.453592,IF(K481&gt;0,K481*0.02835,))</f>
        <v>#REF!</v>
      </c>
      <c r="O481">
        <f>I481+N481+M481</f>
        <v>0</v>
      </c>
      <c r="P481">
        <f>O481*B$3</f>
        <v>0</v>
      </c>
      <c r="Q481">
        <f>ROUND(SUM(P481), -2)</f>
        <v>0</v>
      </c>
      <c r="R481" t="str">
        <f>ROUNDUP(HLOOKUP(IF(CEILING(L481,0.5)&lt;1,0.5,CEILING(L481,0.5)),'배송비 조회'!A$44:AO$56,7,0)*B$3,-2)</f>
        <v>#REF!</v>
      </c>
      <c r="S481">
        <v>0</v>
      </c>
      <c r="T481" t="str">
        <f>ROUND((Q481+R481)*0.3,-2)</f>
        <v>#REF!</v>
      </c>
      <c r="U481" t="str">
        <f>ROUND((Q481+R481)*0.4,-2)</f>
        <v>#REF!</v>
      </c>
      <c r="V481" t="str">
        <f>SUM(Q481:R481)+T481</f>
        <v>#REF!</v>
      </c>
      <c r="W481" t="str">
        <f>SUM(Q481:S481)+U481</f>
        <v>#REF!</v>
      </c>
      <c r="X481">
        <v>0</v>
      </c>
      <c r="Y481" t="str">
        <f>V481*0.038</f>
        <v>#REF!</v>
      </c>
      <c r="Z481" t="str">
        <f>V481*0.02</f>
        <v>#REF!</v>
      </c>
      <c r="AA481" t="str">
        <f>W481*0.1</f>
        <v>#REF!</v>
      </c>
      <c r="AB481" t="str">
        <f>V481-Y481-Z481</f>
        <v>#REF!</v>
      </c>
      <c r="AC481" t="str">
        <f>W481-AA481</f>
        <v>#REF!</v>
      </c>
      <c r="AD481" t="str">
        <f>AB481*0.01</f>
        <v>#REF!</v>
      </c>
      <c r="AE481" t="str">
        <f>AB481-Q481-AD481-R481</f>
        <v>#REF!</v>
      </c>
      <c r="AF481" t="str">
        <f>AC481-Q481-AD481-R481</f>
        <v>#REF!</v>
      </c>
      <c r="AG481" t="str">
        <f>AE481/V481</f>
        <v>#REF!</v>
      </c>
      <c r="AH481" t="str">
        <f>AF481/W481</f>
        <v>#REF!</v>
      </c>
    </row>
    <row r="482">
      <c r="G482" t="str">
        <v>A</v>
      </c>
      <c r="J482" t="str">
        <f>IF(K482&gt;0,K482*0.0625,IF(L482&gt;0,L482*2.204623,))</f>
        <v>#REF!</v>
      </c>
      <c r="K482" t="str">
        <f>IF(L482&gt;0,L482*35.273962,IF(J482&gt;0,J482*16,))</f>
        <v>#REF!</v>
      </c>
      <c r="L482" t="str">
        <f>IF(J482&gt;0,J482*0.453592,IF(K482&gt;0,K482*0.02835,))</f>
        <v>#REF!</v>
      </c>
      <c r="O482">
        <f>I482+N482+M482</f>
        <v>0</v>
      </c>
      <c r="P482">
        <f>O482*B$3</f>
        <v>0</v>
      </c>
      <c r="Q482">
        <f>ROUND(SUM(P482), -2)</f>
        <v>0</v>
      </c>
      <c r="R482" t="str">
        <f>ROUNDUP(HLOOKUP(IF(CEILING(L482,0.5)&lt;1,0.5,CEILING(L482,0.5)),'배송비 조회'!A$44:AO$56,7,0)*B$3,-2)</f>
        <v>#REF!</v>
      </c>
      <c r="S482">
        <v>0</v>
      </c>
      <c r="T482" t="str">
        <f>ROUND((Q482+R482)*0.3,-2)</f>
        <v>#REF!</v>
      </c>
      <c r="U482" t="str">
        <f>ROUND((Q482+R482)*0.4,-2)</f>
        <v>#REF!</v>
      </c>
      <c r="V482" t="str">
        <f>SUM(Q482:R482)+T482</f>
        <v>#REF!</v>
      </c>
      <c r="W482" t="str">
        <f>SUM(Q482:S482)+U482</f>
        <v>#REF!</v>
      </c>
      <c r="X482">
        <v>0</v>
      </c>
      <c r="Y482" t="str">
        <f>V482*0.038</f>
        <v>#REF!</v>
      </c>
      <c r="Z482" t="str">
        <f>V482*0.02</f>
        <v>#REF!</v>
      </c>
      <c r="AA482" t="str">
        <f>W482*0.1</f>
        <v>#REF!</v>
      </c>
      <c r="AB482" t="str">
        <f>V482-Y482-Z482</f>
        <v>#REF!</v>
      </c>
      <c r="AC482" t="str">
        <f>W482-AA482</f>
        <v>#REF!</v>
      </c>
      <c r="AD482" t="str">
        <f>AB482*0.01</f>
        <v>#REF!</v>
      </c>
      <c r="AE482" t="str">
        <f>AB482-Q482-AD482-R482</f>
        <v>#REF!</v>
      </c>
      <c r="AF482" t="str">
        <f>AC482-Q482-AD482-R482</f>
        <v>#REF!</v>
      </c>
      <c r="AG482" t="str">
        <f>AE482/V482</f>
        <v>#REF!</v>
      </c>
      <c r="AH482" t="str">
        <f>AF482/W482</f>
        <v>#REF!</v>
      </c>
    </row>
    <row r="483">
      <c r="G483" t="str">
        <v>A</v>
      </c>
      <c r="J483" t="str">
        <f>IF(K483&gt;0,K483*0.0625,IF(L483&gt;0,L483*2.204623,))</f>
        <v>#REF!</v>
      </c>
      <c r="K483" t="str">
        <f>IF(L483&gt;0,L483*35.273962,IF(J483&gt;0,J483*16,))</f>
        <v>#REF!</v>
      </c>
      <c r="L483" t="str">
        <f>IF(J483&gt;0,J483*0.453592,IF(K483&gt;0,K483*0.02835,))</f>
        <v>#REF!</v>
      </c>
      <c r="O483">
        <f>I483+N483+M483</f>
        <v>0</v>
      </c>
      <c r="P483">
        <f>O483*B$3</f>
        <v>0</v>
      </c>
      <c r="Q483">
        <f>ROUND(SUM(P483), -2)</f>
        <v>0</v>
      </c>
      <c r="R483" t="str">
        <f>ROUNDUP(HLOOKUP(IF(CEILING(L483,0.5)&lt;1,0.5,CEILING(L483,0.5)),'배송비 조회'!A$44:AO$56,7,0)*B$3,-2)</f>
        <v>#REF!</v>
      </c>
      <c r="S483">
        <v>0</v>
      </c>
      <c r="T483" t="str">
        <f>ROUND((Q483+R483)*0.3,-2)</f>
        <v>#REF!</v>
      </c>
      <c r="U483" t="str">
        <f>ROUND((Q483+R483)*0.4,-2)</f>
        <v>#REF!</v>
      </c>
      <c r="V483" t="str">
        <f>SUM(Q483:R483)+T483</f>
        <v>#REF!</v>
      </c>
      <c r="W483" t="str">
        <f>SUM(Q483:S483)+U483</f>
        <v>#REF!</v>
      </c>
      <c r="X483">
        <v>0</v>
      </c>
      <c r="Y483" t="str">
        <f>V483*0.038</f>
        <v>#REF!</v>
      </c>
      <c r="Z483" t="str">
        <f>V483*0.02</f>
        <v>#REF!</v>
      </c>
      <c r="AA483" t="str">
        <f>W483*0.1</f>
        <v>#REF!</v>
      </c>
      <c r="AB483" t="str">
        <f>V483-Y483-Z483</f>
        <v>#REF!</v>
      </c>
      <c r="AC483" t="str">
        <f>W483-AA483</f>
        <v>#REF!</v>
      </c>
      <c r="AD483" t="str">
        <f>AB483*0.01</f>
        <v>#REF!</v>
      </c>
      <c r="AE483" t="str">
        <f>AB483-Q483-AD483-R483</f>
        <v>#REF!</v>
      </c>
      <c r="AF483" t="str">
        <f>AC483-Q483-AD483-R483</f>
        <v>#REF!</v>
      </c>
      <c r="AG483" t="str">
        <f>AE483/V483</f>
        <v>#REF!</v>
      </c>
      <c r="AH483" t="str">
        <f>AF483/W483</f>
        <v>#REF!</v>
      </c>
    </row>
    <row r="484">
      <c r="G484" t="str">
        <v>A</v>
      </c>
      <c r="J484" t="str">
        <f>IF(K484&gt;0,K484*0.0625,IF(L484&gt;0,L484*2.204623,))</f>
        <v>#REF!</v>
      </c>
      <c r="K484" t="str">
        <f>IF(L484&gt;0,L484*35.273962,IF(J484&gt;0,J484*16,))</f>
        <v>#REF!</v>
      </c>
      <c r="L484" t="str">
        <f>IF(J484&gt;0,J484*0.453592,IF(K484&gt;0,K484*0.02835,))</f>
        <v>#REF!</v>
      </c>
      <c r="O484">
        <f>I484+N484+M484</f>
        <v>0</v>
      </c>
      <c r="P484">
        <f>O484*B$3</f>
        <v>0</v>
      </c>
      <c r="Q484">
        <f>ROUND(SUM(P484), -2)</f>
        <v>0</v>
      </c>
      <c r="R484" t="str">
        <f>ROUNDUP(HLOOKUP(IF(CEILING(L484,0.5)&lt;1,0.5,CEILING(L484,0.5)),'배송비 조회'!A$44:AO$56,7,0)*B$3,-2)</f>
        <v>#REF!</v>
      </c>
      <c r="S484">
        <v>0</v>
      </c>
      <c r="T484" t="str">
        <f>ROUND((Q484+R484)*0.3,-2)</f>
        <v>#REF!</v>
      </c>
      <c r="U484" t="str">
        <f>ROUND((Q484+R484)*0.4,-2)</f>
        <v>#REF!</v>
      </c>
      <c r="V484" t="str">
        <f>SUM(Q484:R484)+T484</f>
        <v>#REF!</v>
      </c>
      <c r="W484" t="str">
        <f>SUM(Q484:S484)+U484</f>
        <v>#REF!</v>
      </c>
      <c r="X484">
        <v>0</v>
      </c>
      <c r="Y484" t="str">
        <f>V484*0.038</f>
        <v>#REF!</v>
      </c>
      <c r="Z484" t="str">
        <f>V484*0.02</f>
        <v>#REF!</v>
      </c>
      <c r="AA484" t="str">
        <f>W484*0.1</f>
        <v>#REF!</v>
      </c>
      <c r="AB484" t="str">
        <f>V484-Y484-Z484</f>
        <v>#REF!</v>
      </c>
      <c r="AC484" t="str">
        <f>W484-AA484</f>
        <v>#REF!</v>
      </c>
      <c r="AD484" t="str">
        <f>AB484*0.01</f>
        <v>#REF!</v>
      </c>
      <c r="AE484" t="str">
        <f>AB484-Q484-AD484-R484</f>
        <v>#REF!</v>
      </c>
      <c r="AF484" t="str">
        <f>AC484-Q484-AD484-R484</f>
        <v>#REF!</v>
      </c>
      <c r="AG484" t="str">
        <f>AE484/V484</f>
        <v>#REF!</v>
      </c>
      <c r="AH484" t="str">
        <f>AF484/W484</f>
        <v>#REF!</v>
      </c>
    </row>
    <row r="485">
      <c r="G485" t="str">
        <v>A</v>
      </c>
      <c r="J485" t="str">
        <f>IF(K485&gt;0,K485*0.0625,IF(L485&gt;0,L485*2.204623,))</f>
        <v>#REF!</v>
      </c>
      <c r="K485" t="str">
        <f>IF(L485&gt;0,L485*35.273962,IF(J485&gt;0,J485*16,))</f>
        <v>#REF!</v>
      </c>
      <c r="L485" t="str">
        <f>IF(J485&gt;0,J485*0.453592,IF(K485&gt;0,K485*0.02835,))</f>
        <v>#REF!</v>
      </c>
      <c r="O485">
        <f>I485+N485+M485</f>
        <v>0</v>
      </c>
      <c r="P485">
        <f>O485*B$3</f>
        <v>0</v>
      </c>
      <c r="Q485">
        <f>ROUND(SUM(P485), -2)</f>
        <v>0</v>
      </c>
      <c r="R485" t="str">
        <f>ROUNDUP(HLOOKUP(IF(CEILING(L485,0.5)&lt;1,0.5,CEILING(L485,0.5)),'배송비 조회'!A$44:AO$56,7,0)*B$3,-2)</f>
        <v>#REF!</v>
      </c>
      <c r="S485">
        <v>0</v>
      </c>
      <c r="T485" t="str">
        <f>ROUND((Q485+R485)*0.3,-2)</f>
        <v>#REF!</v>
      </c>
      <c r="U485" t="str">
        <f>ROUND((Q485+R485)*0.4,-2)</f>
        <v>#REF!</v>
      </c>
      <c r="V485" t="str">
        <f>SUM(Q485:R485)+T485</f>
        <v>#REF!</v>
      </c>
      <c r="W485" t="str">
        <f>SUM(Q485:S485)+U485</f>
        <v>#REF!</v>
      </c>
      <c r="X485">
        <v>0</v>
      </c>
      <c r="Y485" t="str">
        <f>V485*0.038</f>
        <v>#REF!</v>
      </c>
      <c r="Z485" t="str">
        <f>V485*0.02</f>
        <v>#REF!</v>
      </c>
      <c r="AA485" t="str">
        <f>W485*0.1</f>
        <v>#REF!</v>
      </c>
      <c r="AB485" t="str">
        <f>V485-Y485-Z485</f>
        <v>#REF!</v>
      </c>
      <c r="AC485" t="str">
        <f>W485-AA485</f>
        <v>#REF!</v>
      </c>
      <c r="AD485" t="str">
        <f>AB485*0.01</f>
        <v>#REF!</v>
      </c>
      <c r="AE485" t="str">
        <f>AB485-Q485-AD485-R485</f>
        <v>#REF!</v>
      </c>
      <c r="AF485" t="str">
        <f>AC485-Q485-AD485-R485</f>
        <v>#REF!</v>
      </c>
      <c r="AG485" t="str">
        <f>AE485/V485</f>
        <v>#REF!</v>
      </c>
      <c r="AH485" t="str">
        <f>AF485/W485</f>
        <v>#REF!</v>
      </c>
    </row>
    <row r="486">
      <c r="G486" t="str">
        <v>A</v>
      </c>
      <c r="J486" t="str">
        <f>IF(K486&gt;0,K486*0.0625,IF(L486&gt;0,L486*2.204623,))</f>
        <v>#REF!</v>
      </c>
      <c r="K486" t="str">
        <f>IF(L486&gt;0,L486*35.273962,IF(J486&gt;0,J486*16,))</f>
        <v>#REF!</v>
      </c>
      <c r="L486" t="str">
        <f>IF(J486&gt;0,J486*0.453592,IF(K486&gt;0,K486*0.02835,))</f>
        <v>#REF!</v>
      </c>
      <c r="O486">
        <f>I486+N486+M486</f>
        <v>0</v>
      </c>
      <c r="P486">
        <f>O486*B$3</f>
        <v>0</v>
      </c>
      <c r="Q486">
        <f>ROUND(SUM(P486), -2)</f>
        <v>0</v>
      </c>
      <c r="R486" t="str">
        <f>ROUNDUP(HLOOKUP(IF(CEILING(L486,0.5)&lt;1,0.5,CEILING(L486,0.5)),'배송비 조회'!A$44:AO$56,7,0)*B$3,-2)</f>
        <v>#REF!</v>
      </c>
      <c r="S486">
        <v>0</v>
      </c>
      <c r="T486" t="str">
        <f>ROUND((Q486+R486)*0.3,-2)</f>
        <v>#REF!</v>
      </c>
      <c r="U486" t="str">
        <f>ROUND((Q486+R486)*0.4,-2)</f>
        <v>#REF!</v>
      </c>
      <c r="V486" t="str">
        <f>SUM(Q486:R486)+T486</f>
        <v>#REF!</v>
      </c>
      <c r="W486" t="str">
        <f>SUM(Q486:S486)+U486</f>
        <v>#REF!</v>
      </c>
      <c r="X486">
        <v>0</v>
      </c>
      <c r="Y486" t="str">
        <f>V486*0.038</f>
        <v>#REF!</v>
      </c>
      <c r="Z486" t="str">
        <f>V486*0.02</f>
        <v>#REF!</v>
      </c>
      <c r="AA486" t="str">
        <f>W486*0.1</f>
        <v>#REF!</v>
      </c>
      <c r="AB486" t="str">
        <f>V486-Y486-Z486</f>
        <v>#REF!</v>
      </c>
      <c r="AC486" t="str">
        <f>W486-AA486</f>
        <v>#REF!</v>
      </c>
      <c r="AD486" t="str">
        <f>AB486*0.01</f>
        <v>#REF!</v>
      </c>
      <c r="AE486" t="str">
        <f>AB486-Q486-AD486-R486</f>
        <v>#REF!</v>
      </c>
      <c r="AF486" t="str">
        <f>AC486-Q486-AD486-R486</f>
        <v>#REF!</v>
      </c>
      <c r="AG486" t="str">
        <f>AE486/V486</f>
        <v>#REF!</v>
      </c>
      <c r="AH486" t="str">
        <f>AF486/W486</f>
        <v>#REF!</v>
      </c>
    </row>
    <row r="487">
      <c r="G487" t="str">
        <v>A</v>
      </c>
      <c r="J487" t="str">
        <f>IF(K487&gt;0,K487*0.0625,IF(L487&gt;0,L487*2.204623,))</f>
        <v>#REF!</v>
      </c>
      <c r="K487" t="str">
        <f>IF(L487&gt;0,L487*35.273962,IF(J487&gt;0,J487*16,))</f>
        <v>#REF!</v>
      </c>
      <c r="L487" t="str">
        <f>IF(J487&gt;0,J487*0.453592,IF(K487&gt;0,K487*0.02835,))</f>
        <v>#REF!</v>
      </c>
      <c r="O487">
        <f>I487+N487+M487</f>
        <v>0</v>
      </c>
      <c r="P487">
        <f>O487*B$3</f>
        <v>0</v>
      </c>
      <c r="Q487">
        <f>ROUND(SUM(P487), -2)</f>
        <v>0</v>
      </c>
      <c r="R487" t="str">
        <f>ROUNDUP(HLOOKUP(IF(CEILING(L487,0.5)&lt;1,0.5,CEILING(L487,0.5)),'배송비 조회'!A$44:AO$56,7,0)*B$3,-2)</f>
        <v>#REF!</v>
      </c>
      <c r="S487">
        <v>0</v>
      </c>
      <c r="T487" t="str">
        <f>ROUND((Q487+R487)*0.3,-2)</f>
        <v>#REF!</v>
      </c>
      <c r="U487" t="str">
        <f>ROUND((Q487+R487)*0.4,-2)</f>
        <v>#REF!</v>
      </c>
      <c r="V487" t="str">
        <f>SUM(Q487:R487)+T487</f>
        <v>#REF!</v>
      </c>
      <c r="W487" t="str">
        <f>SUM(Q487:S487)+U487</f>
        <v>#REF!</v>
      </c>
      <c r="X487">
        <v>0</v>
      </c>
      <c r="Y487" t="str">
        <f>V487*0.038</f>
        <v>#REF!</v>
      </c>
      <c r="Z487" t="str">
        <f>V487*0.02</f>
        <v>#REF!</v>
      </c>
      <c r="AA487" t="str">
        <f>W487*0.1</f>
        <v>#REF!</v>
      </c>
      <c r="AB487" t="str">
        <f>V487-Y487-Z487</f>
        <v>#REF!</v>
      </c>
      <c r="AC487" t="str">
        <f>W487-AA487</f>
        <v>#REF!</v>
      </c>
      <c r="AD487" t="str">
        <f>AB487*0.01</f>
        <v>#REF!</v>
      </c>
      <c r="AE487" t="str">
        <f>AB487-Q487-AD487-R487</f>
        <v>#REF!</v>
      </c>
      <c r="AF487" t="str">
        <f>AC487-Q487-AD487-R487</f>
        <v>#REF!</v>
      </c>
      <c r="AG487" t="str">
        <f>AE487/V487</f>
        <v>#REF!</v>
      </c>
      <c r="AH487" t="str">
        <f>AF487/W487</f>
        <v>#REF!</v>
      </c>
    </row>
    <row r="488">
      <c r="G488" t="str">
        <v>A</v>
      </c>
      <c r="J488" t="str">
        <f>IF(K488&gt;0,K488*0.0625,IF(L488&gt;0,L488*2.204623,))</f>
        <v>#REF!</v>
      </c>
      <c r="K488" t="str">
        <f>IF(L488&gt;0,L488*35.273962,IF(J488&gt;0,J488*16,))</f>
        <v>#REF!</v>
      </c>
      <c r="L488" t="str">
        <f>IF(J488&gt;0,J488*0.453592,IF(K488&gt;0,K488*0.02835,))</f>
        <v>#REF!</v>
      </c>
      <c r="O488">
        <f>I488+N488+M488</f>
        <v>0</v>
      </c>
      <c r="P488">
        <f>O488*B$3</f>
        <v>0</v>
      </c>
      <c r="Q488">
        <f>ROUND(SUM(P488), -2)</f>
        <v>0</v>
      </c>
      <c r="R488" t="str">
        <f>ROUNDUP(HLOOKUP(IF(CEILING(L488,0.5)&lt;1,0.5,CEILING(L488,0.5)),'배송비 조회'!A$44:AO$56,7,0)*B$3,-2)</f>
        <v>#REF!</v>
      </c>
      <c r="S488">
        <v>0</v>
      </c>
      <c r="T488" t="str">
        <f>ROUND((Q488+R488)*0.3,-2)</f>
        <v>#REF!</v>
      </c>
      <c r="U488" t="str">
        <f>ROUND((Q488+R488)*0.4,-2)</f>
        <v>#REF!</v>
      </c>
      <c r="V488" t="str">
        <f>SUM(Q488:R488)+T488</f>
        <v>#REF!</v>
      </c>
      <c r="W488" t="str">
        <f>SUM(Q488:S488)+U488</f>
        <v>#REF!</v>
      </c>
      <c r="X488">
        <v>0</v>
      </c>
      <c r="Y488" t="str">
        <f>V488*0.038</f>
        <v>#REF!</v>
      </c>
      <c r="Z488" t="str">
        <f>V488*0.02</f>
        <v>#REF!</v>
      </c>
      <c r="AA488" t="str">
        <f>W488*0.1</f>
        <v>#REF!</v>
      </c>
      <c r="AB488" t="str">
        <f>V488-Y488-Z488</f>
        <v>#REF!</v>
      </c>
      <c r="AC488" t="str">
        <f>W488-AA488</f>
        <v>#REF!</v>
      </c>
      <c r="AD488" t="str">
        <f>AB488*0.01</f>
        <v>#REF!</v>
      </c>
      <c r="AE488" t="str">
        <f>AB488-Q488-AD488-R488</f>
        <v>#REF!</v>
      </c>
      <c r="AF488" t="str">
        <f>AC488-Q488-AD488-R488</f>
        <v>#REF!</v>
      </c>
      <c r="AG488" t="str">
        <f>AE488/V488</f>
        <v>#REF!</v>
      </c>
      <c r="AH488" t="str">
        <f>AF488/W488</f>
        <v>#REF!</v>
      </c>
    </row>
    <row r="489">
      <c r="G489" t="str">
        <v>A</v>
      </c>
      <c r="J489" t="str">
        <f>IF(K489&gt;0,K489*0.0625,IF(L489&gt;0,L489*2.204623,))</f>
        <v>#REF!</v>
      </c>
      <c r="K489" t="str">
        <f>IF(L489&gt;0,L489*35.273962,IF(J489&gt;0,J489*16,))</f>
        <v>#REF!</v>
      </c>
      <c r="L489" t="str">
        <f>IF(J489&gt;0,J489*0.453592,IF(K489&gt;0,K489*0.02835,))</f>
        <v>#REF!</v>
      </c>
      <c r="O489">
        <f>I489+N489+M489</f>
        <v>0</v>
      </c>
      <c r="P489">
        <f>O489*B$3</f>
        <v>0</v>
      </c>
      <c r="Q489">
        <f>ROUND(SUM(P489), -2)</f>
        <v>0</v>
      </c>
      <c r="R489" t="str">
        <f>ROUNDUP(HLOOKUP(IF(CEILING(L489,0.5)&lt;1,0.5,CEILING(L489,0.5)),'배송비 조회'!A$44:AO$56,7,0)*B$3,-2)</f>
        <v>#REF!</v>
      </c>
      <c r="S489">
        <v>0</v>
      </c>
      <c r="T489" t="str">
        <f>ROUND((Q489+R489)*0.3,-2)</f>
        <v>#REF!</v>
      </c>
      <c r="U489" t="str">
        <f>ROUND((Q489+R489)*0.4,-2)</f>
        <v>#REF!</v>
      </c>
      <c r="V489" t="str">
        <f>SUM(Q489:R489)+T489</f>
        <v>#REF!</v>
      </c>
      <c r="W489" t="str">
        <f>SUM(Q489:S489)+U489</f>
        <v>#REF!</v>
      </c>
      <c r="X489">
        <v>0</v>
      </c>
      <c r="Y489" t="str">
        <f>V489*0.038</f>
        <v>#REF!</v>
      </c>
      <c r="Z489" t="str">
        <f>V489*0.02</f>
        <v>#REF!</v>
      </c>
      <c r="AA489" t="str">
        <f>W489*0.1</f>
        <v>#REF!</v>
      </c>
      <c r="AB489" t="str">
        <f>V489-Y489-Z489</f>
        <v>#REF!</v>
      </c>
      <c r="AC489" t="str">
        <f>W489-AA489</f>
        <v>#REF!</v>
      </c>
      <c r="AD489" t="str">
        <f>AB489*0.01</f>
        <v>#REF!</v>
      </c>
      <c r="AE489" t="str">
        <f>AB489-Q489-AD489-R489</f>
        <v>#REF!</v>
      </c>
      <c r="AF489" t="str">
        <f>AC489-Q489-AD489-R489</f>
        <v>#REF!</v>
      </c>
      <c r="AG489" t="str">
        <f>AE489/V489</f>
        <v>#REF!</v>
      </c>
      <c r="AH489" t="str">
        <f>AF489/W489</f>
        <v>#REF!</v>
      </c>
    </row>
    <row r="490">
      <c r="G490" t="str">
        <v>A</v>
      </c>
      <c r="J490" t="str">
        <f>IF(K490&gt;0,K490*0.0625,IF(L490&gt;0,L490*2.204623,))</f>
        <v>#REF!</v>
      </c>
      <c r="K490" t="str">
        <f>IF(L490&gt;0,L490*35.273962,IF(J490&gt;0,J490*16,))</f>
        <v>#REF!</v>
      </c>
      <c r="L490" t="str">
        <f>IF(J490&gt;0,J490*0.453592,IF(K490&gt;0,K490*0.02835,))</f>
        <v>#REF!</v>
      </c>
      <c r="O490">
        <f>I490+N490+M490</f>
        <v>0</v>
      </c>
      <c r="P490">
        <f>O490*B$3</f>
        <v>0</v>
      </c>
      <c r="Q490">
        <f>ROUND(SUM(P490), -2)</f>
        <v>0</v>
      </c>
      <c r="R490" t="str">
        <f>ROUNDUP(HLOOKUP(IF(CEILING(L490,0.5)&lt;1,0.5,CEILING(L490,0.5)),'배송비 조회'!A$44:AO$56,7,0)*B$3,-2)</f>
        <v>#REF!</v>
      </c>
      <c r="S490">
        <v>0</v>
      </c>
      <c r="T490" t="str">
        <f>ROUND((Q490+R490)*0.3,-2)</f>
        <v>#REF!</v>
      </c>
      <c r="U490" t="str">
        <f>ROUND((Q490+R490)*0.4,-2)</f>
        <v>#REF!</v>
      </c>
      <c r="V490" t="str">
        <f>SUM(Q490:R490)+T490</f>
        <v>#REF!</v>
      </c>
      <c r="W490" t="str">
        <f>SUM(Q490:S490)+U490</f>
        <v>#REF!</v>
      </c>
      <c r="X490">
        <v>0</v>
      </c>
      <c r="Y490" t="str">
        <f>V490*0.038</f>
        <v>#REF!</v>
      </c>
      <c r="Z490" t="str">
        <f>V490*0.02</f>
        <v>#REF!</v>
      </c>
      <c r="AA490" t="str">
        <f>W490*0.1</f>
        <v>#REF!</v>
      </c>
      <c r="AB490" t="str">
        <f>V490-Y490-Z490</f>
        <v>#REF!</v>
      </c>
      <c r="AC490" t="str">
        <f>W490-AA490</f>
        <v>#REF!</v>
      </c>
      <c r="AD490" t="str">
        <f>AB490*0.01</f>
        <v>#REF!</v>
      </c>
      <c r="AE490" t="str">
        <f>AB490-Q490-AD490-R490</f>
        <v>#REF!</v>
      </c>
      <c r="AF490" t="str">
        <f>AC490-Q490-AD490-R490</f>
        <v>#REF!</v>
      </c>
      <c r="AG490" t="str">
        <f>AE490/V490</f>
        <v>#REF!</v>
      </c>
      <c r="AH490" t="str">
        <f>AF490/W490</f>
        <v>#REF!</v>
      </c>
    </row>
    <row r="491">
      <c r="G491" t="str">
        <v>A</v>
      </c>
      <c r="J491" t="str">
        <f>IF(K491&gt;0,K491*0.0625,IF(L491&gt;0,L491*2.204623,))</f>
        <v>#REF!</v>
      </c>
      <c r="K491" t="str">
        <f>IF(L491&gt;0,L491*35.273962,IF(J491&gt;0,J491*16,))</f>
        <v>#REF!</v>
      </c>
      <c r="L491" t="str">
        <f>IF(J491&gt;0,J491*0.453592,IF(K491&gt;0,K491*0.02835,))</f>
        <v>#REF!</v>
      </c>
      <c r="O491">
        <f>I491+N491+M491</f>
        <v>0</v>
      </c>
      <c r="P491">
        <f>O491*B$3</f>
        <v>0</v>
      </c>
      <c r="Q491">
        <f>ROUND(SUM(P491), -2)</f>
        <v>0</v>
      </c>
      <c r="R491" t="str">
        <f>ROUNDUP(HLOOKUP(IF(CEILING(L491,0.5)&lt;1,0.5,CEILING(L491,0.5)),'배송비 조회'!A$44:AO$56,7,0)*B$3,-2)</f>
        <v>#REF!</v>
      </c>
      <c r="S491">
        <v>0</v>
      </c>
      <c r="T491" t="str">
        <f>ROUND((Q491+R491)*0.3,-2)</f>
        <v>#REF!</v>
      </c>
      <c r="U491" t="str">
        <f>ROUND((Q491+R491)*0.4,-2)</f>
        <v>#REF!</v>
      </c>
      <c r="V491" t="str">
        <f>SUM(Q491:R491)+T491</f>
        <v>#REF!</v>
      </c>
      <c r="W491" t="str">
        <f>SUM(Q491:S491)+U491</f>
        <v>#REF!</v>
      </c>
      <c r="X491">
        <v>0</v>
      </c>
      <c r="Y491" t="str">
        <f>V491*0.038</f>
        <v>#REF!</v>
      </c>
      <c r="Z491" t="str">
        <f>V491*0.02</f>
        <v>#REF!</v>
      </c>
      <c r="AA491" t="str">
        <f>W491*0.1</f>
        <v>#REF!</v>
      </c>
      <c r="AB491" t="str">
        <f>V491-Y491-Z491</f>
        <v>#REF!</v>
      </c>
      <c r="AC491" t="str">
        <f>W491-AA491</f>
        <v>#REF!</v>
      </c>
      <c r="AD491" t="str">
        <f>AB491*0.01</f>
        <v>#REF!</v>
      </c>
      <c r="AE491" t="str">
        <f>AB491-Q491-AD491-R491</f>
        <v>#REF!</v>
      </c>
      <c r="AF491" t="str">
        <f>AC491-Q491-AD491-R491</f>
        <v>#REF!</v>
      </c>
      <c r="AG491" t="str">
        <f>AE491/V491</f>
        <v>#REF!</v>
      </c>
      <c r="AH491" t="str">
        <f>AF491/W491</f>
        <v>#REF!</v>
      </c>
    </row>
    <row r="492">
      <c r="G492" t="str">
        <v>A</v>
      </c>
      <c r="J492" t="str">
        <f>IF(K492&gt;0,K492*0.0625,IF(L492&gt;0,L492*2.204623,))</f>
        <v>#REF!</v>
      </c>
      <c r="K492" t="str">
        <f>IF(L492&gt;0,L492*35.273962,IF(J492&gt;0,J492*16,))</f>
        <v>#REF!</v>
      </c>
      <c r="L492" t="str">
        <f>IF(J492&gt;0,J492*0.453592,IF(K492&gt;0,K492*0.02835,))</f>
        <v>#REF!</v>
      </c>
      <c r="O492">
        <f>I492+N492+M492</f>
        <v>0</v>
      </c>
      <c r="P492">
        <f>O492*B$3</f>
        <v>0</v>
      </c>
      <c r="Q492">
        <f>ROUND(SUM(P492), -2)</f>
        <v>0</v>
      </c>
      <c r="R492" t="str">
        <f>ROUNDUP(HLOOKUP(IF(CEILING(L492,0.5)&lt;1,0.5,CEILING(L492,0.5)),'배송비 조회'!A$44:AO$56,7,0)*B$3,-2)</f>
        <v>#REF!</v>
      </c>
      <c r="S492">
        <v>0</v>
      </c>
      <c r="T492" t="str">
        <f>ROUND((Q492+R492)*0.3,-2)</f>
        <v>#REF!</v>
      </c>
      <c r="U492" t="str">
        <f>ROUND((Q492+R492)*0.4,-2)</f>
        <v>#REF!</v>
      </c>
      <c r="V492" t="str">
        <f>SUM(Q492:R492)+T492</f>
        <v>#REF!</v>
      </c>
      <c r="W492" t="str">
        <f>SUM(Q492:S492)+U492</f>
        <v>#REF!</v>
      </c>
      <c r="X492">
        <v>0</v>
      </c>
      <c r="Y492" t="str">
        <f>V492*0.038</f>
        <v>#REF!</v>
      </c>
      <c r="Z492" t="str">
        <f>V492*0.02</f>
        <v>#REF!</v>
      </c>
      <c r="AA492" t="str">
        <f>W492*0.1</f>
        <v>#REF!</v>
      </c>
      <c r="AB492" t="str">
        <f>V492-Y492-Z492</f>
        <v>#REF!</v>
      </c>
      <c r="AC492" t="str">
        <f>W492-AA492</f>
        <v>#REF!</v>
      </c>
      <c r="AD492" t="str">
        <f>AB492*0.01</f>
        <v>#REF!</v>
      </c>
      <c r="AE492" t="str">
        <f>AB492-Q492-AD492-R492</f>
        <v>#REF!</v>
      </c>
      <c r="AF492" t="str">
        <f>AC492-Q492-AD492-R492</f>
        <v>#REF!</v>
      </c>
      <c r="AG492" t="str">
        <f>AE492/V492</f>
        <v>#REF!</v>
      </c>
      <c r="AH492" t="str">
        <f>AF492/W492</f>
        <v>#REF!</v>
      </c>
    </row>
    <row r="493">
      <c r="G493" t="str">
        <v>A</v>
      </c>
      <c r="J493" t="str">
        <f>IF(K493&gt;0,K493*0.0625,IF(L493&gt;0,L493*2.204623,))</f>
        <v>#REF!</v>
      </c>
      <c r="K493" t="str">
        <f>IF(L493&gt;0,L493*35.273962,IF(J493&gt;0,J493*16,))</f>
        <v>#REF!</v>
      </c>
      <c r="L493" t="str">
        <f>IF(J493&gt;0,J493*0.453592,IF(K493&gt;0,K493*0.02835,))</f>
        <v>#REF!</v>
      </c>
      <c r="O493">
        <f>I493+N493+M493</f>
        <v>0</v>
      </c>
      <c r="P493">
        <f>O493*B$3</f>
        <v>0</v>
      </c>
      <c r="Q493">
        <f>ROUND(SUM(P493), -2)</f>
        <v>0</v>
      </c>
      <c r="R493" t="str">
        <f>ROUNDUP(HLOOKUP(IF(CEILING(L493,0.5)&lt;1,0.5,CEILING(L493,0.5)),'배송비 조회'!A$44:AO$56,7,0)*B$3,-2)</f>
        <v>#REF!</v>
      </c>
      <c r="S493">
        <v>0</v>
      </c>
      <c r="T493" t="str">
        <f>ROUND((Q493+R493)*0.3,-2)</f>
        <v>#REF!</v>
      </c>
      <c r="U493" t="str">
        <f>ROUND((Q493+R493)*0.4,-2)</f>
        <v>#REF!</v>
      </c>
      <c r="V493" t="str">
        <f>SUM(Q493:R493)+T493</f>
        <v>#REF!</v>
      </c>
      <c r="W493" t="str">
        <f>SUM(Q493:S493)+U493</f>
        <v>#REF!</v>
      </c>
      <c r="X493">
        <v>0</v>
      </c>
      <c r="Y493" t="str">
        <f>V493*0.038</f>
        <v>#REF!</v>
      </c>
      <c r="Z493" t="str">
        <f>V493*0.02</f>
        <v>#REF!</v>
      </c>
      <c r="AA493" t="str">
        <f>W493*0.1</f>
        <v>#REF!</v>
      </c>
      <c r="AB493" t="str">
        <f>V493-Y493-Z493</f>
        <v>#REF!</v>
      </c>
      <c r="AC493" t="str">
        <f>W493-AA493</f>
        <v>#REF!</v>
      </c>
      <c r="AD493" t="str">
        <f>AB493*0.01</f>
        <v>#REF!</v>
      </c>
      <c r="AE493" t="str">
        <f>AB493-Q493-AD493-R493</f>
        <v>#REF!</v>
      </c>
      <c r="AF493" t="str">
        <f>AC493-Q493-AD493-R493</f>
        <v>#REF!</v>
      </c>
      <c r="AG493" t="str">
        <f>AE493/V493</f>
        <v>#REF!</v>
      </c>
      <c r="AH493" t="str">
        <f>AF493/W493</f>
        <v>#REF!</v>
      </c>
    </row>
    <row r="494">
      <c r="G494" t="str">
        <v>A</v>
      </c>
      <c r="J494" t="str">
        <f>IF(K494&gt;0,K494*0.0625,IF(L494&gt;0,L494*2.204623,))</f>
        <v>#REF!</v>
      </c>
      <c r="K494" t="str">
        <f>IF(L494&gt;0,L494*35.273962,IF(J494&gt;0,J494*16,))</f>
        <v>#REF!</v>
      </c>
      <c r="L494" t="str">
        <f>IF(J494&gt;0,J494*0.453592,IF(K494&gt;0,K494*0.02835,))</f>
        <v>#REF!</v>
      </c>
      <c r="O494">
        <f>I494+N494+M494</f>
        <v>0</v>
      </c>
      <c r="P494">
        <f>O494*B$3</f>
        <v>0</v>
      </c>
      <c r="Q494">
        <f>ROUND(SUM(P494), -2)</f>
        <v>0</v>
      </c>
      <c r="R494" t="str">
        <f>ROUNDUP(HLOOKUP(IF(CEILING(L494,0.5)&lt;1,0.5,CEILING(L494,0.5)),'배송비 조회'!A$44:AO$56,7,0)*B$3,-2)</f>
        <v>#REF!</v>
      </c>
      <c r="S494">
        <v>0</v>
      </c>
      <c r="T494" t="str">
        <f>ROUND((Q494+R494)*0.3,-2)</f>
        <v>#REF!</v>
      </c>
      <c r="U494" t="str">
        <f>ROUND((Q494+R494)*0.4,-2)</f>
        <v>#REF!</v>
      </c>
      <c r="V494" t="str">
        <f>SUM(Q494:R494)+T494</f>
        <v>#REF!</v>
      </c>
      <c r="W494" t="str">
        <f>SUM(Q494:S494)+U494</f>
        <v>#REF!</v>
      </c>
      <c r="X494">
        <v>0</v>
      </c>
      <c r="Y494" t="str">
        <f>V494*0.038</f>
        <v>#REF!</v>
      </c>
      <c r="Z494" t="str">
        <f>V494*0.02</f>
        <v>#REF!</v>
      </c>
      <c r="AA494" t="str">
        <f>W494*0.1</f>
        <v>#REF!</v>
      </c>
      <c r="AB494" t="str">
        <f>V494-Y494-Z494</f>
        <v>#REF!</v>
      </c>
      <c r="AC494" t="str">
        <f>W494-AA494</f>
        <v>#REF!</v>
      </c>
      <c r="AD494" t="str">
        <f>AB494*0.01</f>
        <v>#REF!</v>
      </c>
      <c r="AE494" t="str">
        <f>AB494-Q494-AD494-R494</f>
        <v>#REF!</v>
      </c>
      <c r="AF494" t="str">
        <f>AC494-Q494-AD494-R494</f>
        <v>#REF!</v>
      </c>
      <c r="AG494" t="str">
        <f>AE494/V494</f>
        <v>#REF!</v>
      </c>
      <c r="AH494" t="str">
        <f>AF494/W494</f>
        <v>#REF!</v>
      </c>
    </row>
    <row r="495">
      <c r="G495" t="str">
        <v>A</v>
      </c>
      <c r="J495" t="str">
        <f>IF(K495&gt;0,K495*0.0625,IF(L495&gt;0,L495*2.204623,))</f>
        <v>#REF!</v>
      </c>
      <c r="K495" t="str">
        <f>IF(L495&gt;0,L495*35.273962,IF(J495&gt;0,J495*16,))</f>
        <v>#REF!</v>
      </c>
      <c r="L495" t="str">
        <f>IF(J495&gt;0,J495*0.453592,IF(K495&gt;0,K495*0.02835,))</f>
        <v>#REF!</v>
      </c>
      <c r="O495">
        <f>I495+N495+M495</f>
        <v>0</v>
      </c>
      <c r="P495">
        <f>O495*B$3</f>
        <v>0</v>
      </c>
      <c r="Q495">
        <f>ROUND(SUM(P495), -2)</f>
        <v>0</v>
      </c>
      <c r="R495" t="str">
        <f>ROUNDUP(HLOOKUP(IF(CEILING(L495,0.5)&lt;1,0.5,CEILING(L495,0.5)),'배송비 조회'!A$44:AO$56,7,0)*B$3,-2)</f>
        <v>#REF!</v>
      </c>
      <c r="S495">
        <v>0</v>
      </c>
      <c r="T495" t="str">
        <f>ROUND((Q495+R495)*0.3,-2)</f>
        <v>#REF!</v>
      </c>
      <c r="U495" t="str">
        <f>ROUND((Q495+R495)*0.4,-2)</f>
        <v>#REF!</v>
      </c>
      <c r="V495" t="str">
        <f>SUM(Q495:R495)+T495</f>
        <v>#REF!</v>
      </c>
      <c r="W495" t="str">
        <f>SUM(Q495:S495)+U495</f>
        <v>#REF!</v>
      </c>
      <c r="X495">
        <v>0</v>
      </c>
      <c r="Y495" t="str">
        <f>V495*0.038</f>
        <v>#REF!</v>
      </c>
      <c r="Z495" t="str">
        <f>V495*0.02</f>
        <v>#REF!</v>
      </c>
      <c r="AA495" t="str">
        <f>W495*0.1</f>
        <v>#REF!</v>
      </c>
      <c r="AB495" t="str">
        <f>V495-Y495-Z495</f>
        <v>#REF!</v>
      </c>
      <c r="AC495" t="str">
        <f>W495-AA495</f>
        <v>#REF!</v>
      </c>
      <c r="AD495" t="str">
        <f>AB495*0.01</f>
        <v>#REF!</v>
      </c>
      <c r="AE495" t="str">
        <f>AB495-Q495-AD495-R495</f>
        <v>#REF!</v>
      </c>
      <c r="AF495" t="str">
        <f>AC495-Q495-AD495-R495</f>
        <v>#REF!</v>
      </c>
      <c r="AG495" t="str">
        <f>AE495/V495</f>
        <v>#REF!</v>
      </c>
      <c r="AH495" t="str">
        <f>AF495/W495</f>
        <v>#REF!</v>
      </c>
    </row>
    <row r="496">
      <c r="G496" t="str">
        <v>A</v>
      </c>
      <c r="J496" t="str">
        <f>IF(K496&gt;0,K496*0.0625,IF(L496&gt;0,L496*2.204623,))</f>
        <v>#REF!</v>
      </c>
      <c r="K496" t="str">
        <f>IF(L496&gt;0,L496*35.273962,IF(J496&gt;0,J496*16,))</f>
        <v>#REF!</v>
      </c>
      <c r="L496" t="str">
        <f>IF(J496&gt;0,J496*0.453592,IF(K496&gt;0,K496*0.02835,))</f>
        <v>#REF!</v>
      </c>
      <c r="O496">
        <f>I496+N496+M496</f>
        <v>0</v>
      </c>
      <c r="P496">
        <f>O496*B$3</f>
        <v>0</v>
      </c>
      <c r="Q496">
        <f>ROUND(SUM(P496), -2)</f>
        <v>0</v>
      </c>
      <c r="R496" t="str">
        <f>ROUNDUP(HLOOKUP(IF(CEILING(L496,0.5)&lt;1,0.5,CEILING(L496,0.5)),'배송비 조회'!A$44:AO$56,7,0)*B$3,-2)</f>
        <v>#REF!</v>
      </c>
      <c r="S496">
        <v>0</v>
      </c>
      <c r="T496" t="str">
        <f>ROUND((Q496+R496)*0.3,-2)</f>
        <v>#REF!</v>
      </c>
      <c r="U496" t="str">
        <f>ROUND((Q496+R496)*0.4,-2)</f>
        <v>#REF!</v>
      </c>
      <c r="V496" t="str">
        <f>SUM(Q496:R496)+T496</f>
        <v>#REF!</v>
      </c>
      <c r="W496" t="str">
        <f>SUM(Q496:S496)+U496</f>
        <v>#REF!</v>
      </c>
      <c r="X496">
        <v>0</v>
      </c>
      <c r="Y496" t="str">
        <f>V496*0.038</f>
        <v>#REF!</v>
      </c>
      <c r="Z496" t="str">
        <f>V496*0.02</f>
        <v>#REF!</v>
      </c>
      <c r="AA496" t="str">
        <f>W496*0.1</f>
        <v>#REF!</v>
      </c>
      <c r="AB496" t="str">
        <f>V496-Y496-Z496</f>
        <v>#REF!</v>
      </c>
      <c r="AC496" t="str">
        <f>W496-AA496</f>
        <v>#REF!</v>
      </c>
      <c r="AD496" t="str">
        <f>AB496*0.01</f>
        <v>#REF!</v>
      </c>
      <c r="AE496" t="str">
        <f>AB496-Q496-AD496-R496</f>
        <v>#REF!</v>
      </c>
      <c r="AF496" t="str">
        <f>AC496-Q496-AD496-R496</f>
        <v>#REF!</v>
      </c>
      <c r="AG496" t="str">
        <f>AE496/V496</f>
        <v>#REF!</v>
      </c>
      <c r="AH496" t="str">
        <f>AF496/W496</f>
        <v>#REF!</v>
      </c>
    </row>
    <row r="497">
      <c r="G497" t="str">
        <v>A</v>
      </c>
      <c r="J497" t="str">
        <f>IF(K497&gt;0,K497*0.0625,IF(L497&gt;0,L497*2.204623,))</f>
        <v>#REF!</v>
      </c>
      <c r="K497" t="str">
        <f>IF(L497&gt;0,L497*35.273962,IF(J497&gt;0,J497*16,))</f>
        <v>#REF!</v>
      </c>
      <c r="L497" t="str">
        <f>IF(J497&gt;0,J497*0.453592,IF(K497&gt;0,K497*0.02835,))</f>
        <v>#REF!</v>
      </c>
      <c r="O497">
        <f>I497+N497+M497</f>
        <v>0</v>
      </c>
      <c r="P497">
        <f>O497*B$3</f>
        <v>0</v>
      </c>
      <c r="Q497">
        <f>ROUND(SUM(P497), -2)</f>
        <v>0</v>
      </c>
      <c r="R497" t="str">
        <f>ROUNDUP(HLOOKUP(IF(CEILING(L497,0.5)&lt;1,0.5,CEILING(L497,0.5)),'배송비 조회'!A$44:AO$56,7,0)*B$3,-2)</f>
        <v>#REF!</v>
      </c>
      <c r="S497">
        <v>0</v>
      </c>
      <c r="T497" t="str">
        <f>ROUND((Q497+R497)*0.3,-2)</f>
        <v>#REF!</v>
      </c>
      <c r="U497" t="str">
        <f>ROUND((Q497+R497)*0.4,-2)</f>
        <v>#REF!</v>
      </c>
      <c r="V497" t="str">
        <f>SUM(Q497:R497)+T497</f>
        <v>#REF!</v>
      </c>
      <c r="W497" t="str">
        <f>SUM(Q497:S497)+U497</f>
        <v>#REF!</v>
      </c>
      <c r="X497">
        <v>0</v>
      </c>
      <c r="Y497" t="str">
        <f>V497*0.038</f>
        <v>#REF!</v>
      </c>
      <c r="Z497" t="str">
        <f>V497*0.02</f>
        <v>#REF!</v>
      </c>
      <c r="AA497" t="str">
        <f>W497*0.1</f>
        <v>#REF!</v>
      </c>
      <c r="AB497" t="str">
        <f>V497-Y497-Z497</f>
        <v>#REF!</v>
      </c>
      <c r="AC497" t="str">
        <f>W497-AA497</f>
        <v>#REF!</v>
      </c>
      <c r="AD497" t="str">
        <f>AB497*0.01</f>
        <v>#REF!</v>
      </c>
      <c r="AE497" t="str">
        <f>AB497-Q497-AD497-R497</f>
        <v>#REF!</v>
      </c>
      <c r="AF497" t="str">
        <f>AC497-Q497-AD497-R497</f>
        <v>#REF!</v>
      </c>
      <c r="AG497" t="str">
        <f>AE497/V497</f>
        <v>#REF!</v>
      </c>
      <c r="AH497" t="str">
        <f>AF497/W497</f>
        <v>#REF!</v>
      </c>
    </row>
    <row r="498">
      <c r="G498" t="str">
        <v>A</v>
      </c>
      <c r="J498" t="str">
        <f>IF(K498&gt;0,K498*0.0625,IF(L498&gt;0,L498*2.204623,))</f>
        <v>#REF!</v>
      </c>
      <c r="K498" t="str">
        <f>IF(L498&gt;0,L498*35.273962,IF(J498&gt;0,J498*16,))</f>
        <v>#REF!</v>
      </c>
      <c r="L498" t="str">
        <f>IF(J498&gt;0,J498*0.453592,IF(K498&gt;0,K498*0.02835,))</f>
        <v>#REF!</v>
      </c>
      <c r="O498">
        <f>I498+N498+M498</f>
        <v>0</v>
      </c>
      <c r="P498">
        <f>O498*B$3</f>
        <v>0</v>
      </c>
      <c r="Q498">
        <f>ROUND(SUM(P498), -2)</f>
        <v>0</v>
      </c>
      <c r="R498" t="str">
        <f>ROUNDUP(HLOOKUP(IF(CEILING(L498,0.5)&lt;1,0.5,CEILING(L498,0.5)),'배송비 조회'!A$44:AO$56,7,0)*B$3,-2)</f>
        <v>#REF!</v>
      </c>
      <c r="S498">
        <v>0</v>
      </c>
      <c r="T498" t="str">
        <f>ROUND((Q498+R498)*0.3,-2)</f>
        <v>#REF!</v>
      </c>
      <c r="U498" t="str">
        <f>ROUND((Q498+R498)*0.4,-2)</f>
        <v>#REF!</v>
      </c>
      <c r="V498" t="str">
        <f>SUM(Q498:R498)+T498</f>
        <v>#REF!</v>
      </c>
      <c r="W498" t="str">
        <f>SUM(Q498:S498)+U498</f>
        <v>#REF!</v>
      </c>
      <c r="X498">
        <v>0</v>
      </c>
      <c r="Y498" t="str">
        <f>V498*0.038</f>
        <v>#REF!</v>
      </c>
      <c r="Z498" t="str">
        <f>V498*0.02</f>
        <v>#REF!</v>
      </c>
      <c r="AA498" t="str">
        <f>W498*0.1</f>
        <v>#REF!</v>
      </c>
      <c r="AB498" t="str">
        <f>V498-Y498-Z498</f>
        <v>#REF!</v>
      </c>
      <c r="AC498" t="str">
        <f>W498-AA498</f>
        <v>#REF!</v>
      </c>
      <c r="AD498" t="str">
        <f>AB498*0.01</f>
        <v>#REF!</v>
      </c>
      <c r="AE498" t="str">
        <f>AB498-Q498-AD498-R498</f>
        <v>#REF!</v>
      </c>
      <c r="AF498" t="str">
        <f>AC498-Q498-AD498-R498</f>
        <v>#REF!</v>
      </c>
      <c r="AG498" t="str">
        <f>AE498/V498</f>
        <v>#REF!</v>
      </c>
      <c r="AH498" t="str">
        <f>AF498/W498</f>
        <v>#REF!</v>
      </c>
    </row>
    <row r="499">
      <c r="G499" t="str">
        <v>A</v>
      </c>
      <c r="J499" t="str">
        <f>IF(K499&gt;0,K499*0.0625,IF(L499&gt;0,L499*2.204623,))</f>
        <v>#REF!</v>
      </c>
      <c r="K499" t="str">
        <f>IF(L499&gt;0,L499*35.273962,IF(J499&gt;0,J499*16,))</f>
        <v>#REF!</v>
      </c>
      <c r="L499" t="str">
        <f>IF(J499&gt;0,J499*0.453592,IF(K499&gt;0,K499*0.02835,))</f>
        <v>#REF!</v>
      </c>
      <c r="O499">
        <f>I499+N499+M499</f>
        <v>0</v>
      </c>
      <c r="P499">
        <f>O499*B$3</f>
        <v>0</v>
      </c>
      <c r="Q499">
        <f>ROUND(SUM(P499), -2)</f>
        <v>0</v>
      </c>
      <c r="R499" t="str">
        <f>ROUNDUP(HLOOKUP(IF(CEILING(L499,0.5)&lt;1,0.5,CEILING(L499,0.5)),'배송비 조회'!A$44:AO$56,7,0)*B$3,-2)</f>
        <v>#REF!</v>
      </c>
      <c r="S499">
        <v>0</v>
      </c>
      <c r="T499" t="str">
        <f>ROUND((Q499+R499)*0.3,-2)</f>
        <v>#REF!</v>
      </c>
      <c r="U499" t="str">
        <f>ROUND((Q499+R499)*0.4,-2)</f>
        <v>#REF!</v>
      </c>
      <c r="V499" t="str">
        <f>SUM(Q499:R499)+T499</f>
        <v>#REF!</v>
      </c>
      <c r="W499" t="str">
        <f>SUM(Q499:S499)+U499</f>
        <v>#REF!</v>
      </c>
      <c r="X499">
        <v>0</v>
      </c>
      <c r="Y499" t="str">
        <f>V499*0.038</f>
        <v>#REF!</v>
      </c>
      <c r="Z499" t="str">
        <f>V499*0.02</f>
        <v>#REF!</v>
      </c>
      <c r="AA499" t="str">
        <f>W499*0.1</f>
        <v>#REF!</v>
      </c>
      <c r="AB499" t="str">
        <f>V499-Y499-Z499</f>
        <v>#REF!</v>
      </c>
      <c r="AC499" t="str">
        <f>W499-AA499</f>
        <v>#REF!</v>
      </c>
      <c r="AD499" t="str">
        <f>AB499*0.01</f>
        <v>#REF!</v>
      </c>
      <c r="AE499" t="str">
        <f>AB499-Q499-AD499-R499</f>
        <v>#REF!</v>
      </c>
      <c r="AF499" t="str">
        <f>AC499-Q499-AD499-R499</f>
        <v>#REF!</v>
      </c>
      <c r="AG499" t="str">
        <f>AE499/V499</f>
        <v>#REF!</v>
      </c>
      <c r="AH499" t="str">
        <f>AF499/W499</f>
        <v>#REF!</v>
      </c>
    </row>
    <row r="500">
      <c r="G500" t="str">
        <v>A</v>
      </c>
      <c r="J500" t="str">
        <f>IF(K500&gt;0,K500*0.0625,IF(L500&gt;0,L500*2.204623,))</f>
        <v>#REF!</v>
      </c>
      <c r="K500" t="str">
        <f>IF(L500&gt;0,L500*35.273962,IF(J500&gt;0,J500*16,))</f>
        <v>#REF!</v>
      </c>
      <c r="L500" t="str">
        <f>IF(J500&gt;0,J500*0.453592,IF(K500&gt;0,K500*0.02835,))</f>
        <v>#REF!</v>
      </c>
      <c r="O500">
        <f>I500+N500+M500</f>
        <v>0</v>
      </c>
      <c r="P500">
        <f>O500*B$3</f>
        <v>0</v>
      </c>
      <c r="Q500">
        <f>ROUND(SUM(P500), -2)</f>
        <v>0</v>
      </c>
      <c r="R500" t="str">
        <f>ROUNDUP(HLOOKUP(IF(CEILING(L500,0.5)&lt;1,0.5,CEILING(L500,0.5)),'배송비 조회'!A$44:AO$56,7,0)*B$3,-2)</f>
        <v>#REF!</v>
      </c>
      <c r="S500">
        <v>0</v>
      </c>
      <c r="T500" t="str">
        <f>ROUND((Q500+R500)*0.3,-2)</f>
        <v>#REF!</v>
      </c>
      <c r="U500" t="str">
        <f>ROUND((Q500+R500)*0.4,-2)</f>
        <v>#REF!</v>
      </c>
      <c r="V500" t="str">
        <f>SUM(Q500:R500)+T500</f>
        <v>#REF!</v>
      </c>
      <c r="W500" t="str">
        <f>SUM(Q500:S500)+U500</f>
        <v>#REF!</v>
      </c>
      <c r="X500">
        <v>0</v>
      </c>
      <c r="Y500" t="str">
        <f>V500*0.038</f>
        <v>#REF!</v>
      </c>
      <c r="Z500" t="str">
        <f>V500*0.02</f>
        <v>#REF!</v>
      </c>
      <c r="AA500" t="str">
        <f>W500*0.1</f>
        <v>#REF!</v>
      </c>
      <c r="AB500" t="str">
        <f>V500-Y500-Z500</f>
        <v>#REF!</v>
      </c>
      <c r="AC500" t="str">
        <f>W500-AA500</f>
        <v>#REF!</v>
      </c>
      <c r="AD500" t="str">
        <f>AB500*0.01</f>
        <v>#REF!</v>
      </c>
      <c r="AE500" t="str">
        <f>AB500-Q500-AD500-R500</f>
        <v>#REF!</v>
      </c>
      <c r="AF500" t="str">
        <f>AC500-Q500-AD500-R500</f>
        <v>#REF!</v>
      </c>
      <c r="AG500" t="str">
        <f>AE500/V500</f>
        <v>#REF!</v>
      </c>
      <c r="AH500" t="str">
        <f>AF500/W500</f>
        <v>#REF!</v>
      </c>
    </row>
    <row r="501">
      <c r="G501" t="str">
        <v>A</v>
      </c>
      <c r="J501" t="str">
        <f>IF(K501&gt;0,K501*0.0625,IF(L501&gt;0,L501*2.204623,))</f>
        <v>#REF!</v>
      </c>
      <c r="K501" t="str">
        <f>IF(L501&gt;0,L501*35.273962,IF(J501&gt;0,J501*16,))</f>
        <v>#REF!</v>
      </c>
      <c r="L501" t="str">
        <f>IF(J501&gt;0,J501*0.453592,IF(K501&gt;0,K501*0.02835,))</f>
        <v>#REF!</v>
      </c>
      <c r="O501">
        <f>I501+N501+M501</f>
        <v>0</v>
      </c>
      <c r="P501">
        <f>O501*B$3</f>
        <v>0</v>
      </c>
      <c r="Q501">
        <f>ROUND(SUM(P501), -2)</f>
        <v>0</v>
      </c>
      <c r="R501" t="str">
        <f>ROUNDUP(HLOOKUP(IF(CEILING(L501,0.5)&lt;1,0.5,CEILING(L501,0.5)),'배송비 조회'!A$44:AO$56,7,0)*B$3,-2)</f>
        <v>#REF!</v>
      </c>
      <c r="S501">
        <v>0</v>
      </c>
      <c r="T501" t="str">
        <f>ROUND((Q501+R501)*0.3,-2)</f>
        <v>#REF!</v>
      </c>
      <c r="U501" t="str">
        <f>ROUND((Q501+R501)*0.4,-2)</f>
        <v>#REF!</v>
      </c>
      <c r="V501" t="str">
        <f>SUM(Q501:R501)+T501</f>
        <v>#REF!</v>
      </c>
      <c r="W501" t="str">
        <f>SUM(Q501:S501)+U501</f>
        <v>#REF!</v>
      </c>
      <c r="X501">
        <v>0</v>
      </c>
      <c r="Y501" t="str">
        <f>V501*0.038</f>
        <v>#REF!</v>
      </c>
      <c r="Z501" t="str">
        <f>V501*0.02</f>
        <v>#REF!</v>
      </c>
      <c r="AA501" t="str">
        <f>W501*0.1</f>
        <v>#REF!</v>
      </c>
      <c r="AB501" t="str">
        <f>V501-Y501-Z501</f>
        <v>#REF!</v>
      </c>
      <c r="AC501" t="str">
        <f>W501-AA501</f>
        <v>#REF!</v>
      </c>
      <c r="AD501" t="str">
        <f>AB501*0.01</f>
        <v>#REF!</v>
      </c>
      <c r="AE501" t="str">
        <f>AB501-Q501-AD501-R501</f>
        <v>#REF!</v>
      </c>
      <c r="AF501" t="str">
        <f>AC501-Q501-AD501-R501</f>
        <v>#REF!</v>
      </c>
      <c r="AG501" t="str">
        <f>AE501/V501</f>
        <v>#REF!</v>
      </c>
      <c r="AH501" t="str">
        <f>AF501/W501</f>
        <v>#REF!</v>
      </c>
    </row>
    <row r="502">
      <c r="G502" t="str">
        <v>A</v>
      </c>
      <c r="J502" t="str">
        <f>IF(K502&gt;0,K502*0.0625,IF(L502&gt;0,L502*2.204623,))</f>
        <v>#REF!</v>
      </c>
      <c r="K502" t="str">
        <f>IF(L502&gt;0,L502*35.273962,IF(J502&gt;0,J502*16,))</f>
        <v>#REF!</v>
      </c>
      <c r="L502" t="str">
        <f>IF(J502&gt;0,J502*0.453592,IF(K502&gt;0,K502*0.02835,))</f>
        <v>#REF!</v>
      </c>
      <c r="O502">
        <f>I502+N502+M502</f>
        <v>0</v>
      </c>
      <c r="P502">
        <f>O502*B$3</f>
        <v>0</v>
      </c>
      <c r="Q502">
        <f>ROUND(SUM(P502), -2)</f>
        <v>0</v>
      </c>
      <c r="R502" t="str">
        <f>ROUNDUP(HLOOKUP(IF(CEILING(L502,0.5)&lt;1,0.5,CEILING(L502,0.5)),'배송비 조회'!A$44:AO$56,7,0)*B$3,-2)</f>
        <v>#REF!</v>
      </c>
      <c r="S502">
        <v>0</v>
      </c>
      <c r="T502" t="str">
        <f>ROUND((Q502+R502)*0.3,-2)</f>
        <v>#REF!</v>
      </c>
      <c r="U502" t="str">
        <f>ROUND((Q502+R502)*0.4,-2)</f>
        <v>#REF!</v>
      </c>
      <c r="V502" t="str">
        <f>SUM(Q502:R502)+T502</f>
        <v>#REF!</v>
      </c>
      <c r="W502" t="str">
        <f>SUM(Q502:S502)+U502</f>
        <v>#REF!</v>
      </c>
      <c r="X502">
        <v>0</v>
      </c>
      <c r="Y502" t="str">
        <f>V502*0.038</f>
        <v>#REF!</v>
      </c>
      <c r="Z502" t="str">
        <f>V502*0.02</f>
        <v>#REF!</v>
      </c>
      <c r="AA502" t="str">
        <f>W502*0.1</f>
        <v>#REF!</v>
      </c>
      <c r="AB502" t="str">
        <f>V502-Y502-Z502</f>
        <v>#REF!</v>
      </c>
      <c r="AC502" t="str">
        <f>W502-AA502</f>
        <v>#REF!</v>
      </c>
      <c r="AD502" t="str">
        <f>AB502*0.01</f>
        <v>#REF!</v>
      </c>
      <c r="AE502" t="str">
        <f>AB502-Q502-AD502-R502</f>
        <v>#REF!</v>
      </c>
      <c r="AF502" t="str">
        <f>AC502-Q502-AD502-R502</f>
        <v>#REF!</v>
      </c>
      <c r="AG502" t="str">
        <f>AE502/V502</f>
        <v>#REF!</v>
      </c>
      <c r="AH502" t="str">
        <f>AF502/W502</f>
        <v>#REF!</v>
      </c>
    </row>
    <row r="503">
      <c r="G503" t="str">
        <v>A</v>
      </c>
      <c r="J503" t="str">
        <f>IF(K503&gt;0,K503*0.0625,IF(L503&gt;0,L503*2.204623,))</f>
        <v>#REF!</v>
      </c>
      <c r="K503" t="str">
        <f>IF(L503&gt;0,L503*35.273962,IF(J503&gt;0,J503*16,))</f>
        <v>#REF!</v>
      </c>
      <c r="L503" t="str">
        <f>IF(J503&gt;0,J503*0.453592,IF(K503&gt;0,K503*0.02835,))</f>
        <v>#REF!</v>
      </c>
      <c r="O503">
        <f>I503+N503+M503</f>
        <v>0</v>
      </c>
      <c r="P503">
        <f>O503*B$3</f>
        <v>0</v>
      </c>
      <c r="Q503">
        <f>ROUND(SUM(P503), -2)</f>
        <v>0</v>
      </c>
      <c r="R503" t="str">
        <f>ROUNDUP(HLOOKUP(IF(CEILING(L503,0.5)&lt;1,0.5,CEILING(L503,0.5)),'배송비 조회'!A$44:AO$56,7,0)*B$3,-2)</f>
        <v>#REF!</v>
      </c>
      <c r="S503">
        <v>0</v>
      </c>
      <c r="T503" t="str">
        <f>ROUND((Q503+R503)*0.3,-2)</f>
        <v>#REF!</v>
      </c>
      <c r="U503" t="str">
        <f>ROUND((Q503+R503)*0.4,-2)</f>
        <v>#REF!</v>
      </c>
      <c r="V503" t="str">
        <f>SUM(Q503:R503)+T503</f>
        <v>#REF!</v>
      </c>
      <c r="W503" t="str">
        <f>SUM(Q503:S503)+U503</f>
        <v>#REF!</v>
      </c>
      <c r="X503">
        <v>0</v>
      </c>
      <c r="Y503" t="str">
        <f>V503*0.038</f>
        <v>#REF!</v>
      </c>
      <c r="Z503" t="str">
        <f>V503*0.02</f>
        <v>#REF!</v>
      </c>
      <c r="AA503" t="str">
        <f>W503*0.1</f>
        <v>#REF!</v>
      </c>
      <c r="AB503" t="str">
        <f>V503-Y503-Z503</f>
        <v>#REF!</v>
      </c>
      <c r="AC503" t="str">
        <f>W503-AA503</f>
        <v>#REF!</v>
      </c>
      <c r="AD503" t="str">
        <f>AB503*0.01</f>
        <v>#REF!</v>
      </c>
      <c r="AE503" t="str">
        <f>AB503-Q503-AD503-R503</f>
        <v>#REF!</v>
      </c>
      <c r="AF503" t="str">
        <f>AC503-Q503-AD503-R503</f>
        <v>#REF!</v>
      </c>
      <c r="AG503" t="str">
        <f>AE503/V503</f>
        <v>#REF!</v>
      </c>
      <c r="AH503" t="str">
        <f>AF503/W503</f>
        <v>#REF!</v>
      </c>
    </row>
    <row r="504">
      <c r="G504" t="str">
        <v>A</v>
      </c>
      <c r="J504" t="str">
        <f>IF(K504&gt;0,K504*0.0625,IF(L504&gt;0,L504*2.204623,))</f>
        <v>#REF!</v>
      </c>
      <c r="K504" t="str">
        <f>IF(L504&gt;0,L504*35.273962,IF(J504&gt;0,J504*16,))</f>
        <v>#REF!</v>
      </c>
      <c r="L504" t="str">
        <f>IF(J504&gt;0,J504*0.453592,IF(K504&gt;0,K504*0.02835,))</f>
        <v>#REF!</v>
      </c>
      <c r="O504">
        <f>I504+N504+M504</f>
        <v>0</v>
      </c>
      <c r="P504">
        <f>O504*B$3</f>
        <v>0</v>
      </c>
      <c r="Q504">
        <f>ROUND(SUM(P504), -2)</f>
        <v>0</v>
      </c>
      <c r="R504" t="str">
        <f>ROUNDUP(HLOOKUP(IF(CEILING(L504,0.5)&lt;1,0.5,CEILING(L504,0.5)),'배송비 조회'!A$44:AO$56,7,0)*B$3,-2)</f>
        <v>#REF!</v>
      </c>
      <c r="S504">
        <v>0</v>
      </c>
      <c r="T504" t="str">
        <f>ROUND((Q504+R504)*0.3,-2)</f>
        <v>#REF!</v>
      </c>
      <c r="U504" t="str">
        <f>ROUND((Q504+R504)*0.4,-2)</f>
        <v>#REF!</v>
      </c>
      <c r="V504" t="str">
        <f>SUM(Q504:R504)+T504</f>
        <v>#REF!</v>
      </c>
      <c r="W504" t="str">
        <f>SUM(Q504:S504)+U504</f>
        <v>#REF!</v>
      </c>
      <c r="X504">
        <v>0</v>
      </c>
      <c r="Y504" t="str">
        <f>V504*0.038</f>
        <v>#REF!</v>
      </c>
      <c r="Z504" t="str">
        <f>V504*0.02</f>
        <v>#REF!</v>
      </c>
      <c r="AA504" t="str">
        <f>W504*0.1</f>
        <v>#REF!</v>
      </c>
      <c r="AB504" t="str">
        <f>V504-Y504-Z504</f>
        <v>#REF!</v>
      </c>
      <c r="AC504" t="str">
        <f>W504-AA504</f>
        <v>#REF!</v>
      </c>
      <c r="AD504" t="str">
        <f>AB504*0.01</f>
        <v>#REF!</v>
      </c>
      <c r="AE504" t="str">
        <f>AB504-Q504-AD504-R504</f>
        <v>#REF!</v>
      </c>
      <c r="AF504" t="str">
        <f>AC504-Q504-AD504-R504</f>
        <v>#REF!</v>
      </c>
      <c r="AG504" t="str">
        <f>AE504/V504</f>
        <v>#REF!</v>
      </c>
      <c r="AH504" t="str">
        <f>AF504/W504</f>
        <v>#REF!</v>
      </c>
    </row>
    <row r="505">
      <c r="G505" t="str">
        <v>A</v>
      </c>
      <c r="J505" t="str">
        <f>IF(K505&gt;0,K505*0.0625,IF(L505&gt;0,L505*2.204623,))</f>
        <v>#REF!</v>
      </c>
      <c r="K505" t="str">
        <f>IF(L505&gt;0,L505*35.273962,IF(J505&gt;0,J505*16,))</f>
        <v>#REF!</v>
      </c>
      <c r="L505" t="str">
        <f>IF(J505&gt;0,J505*0.453592,IF(K505&gt;0,K505*0.02835,))</f>
        <v>#REF!</v>
      </c>
      <c r="O505">
        <f>I505+N505+M505</f>
        <v>0</v>
      </c>
      <c r="P505">
        <f>O505*B$3</f>
        <v>0</v>
      </c>
      <c r="Q505">
        <f>ROUND(SUM(P505), -2)</f>
        <v>0</v>
      </c>
      <c r="R505" t="str">
        <f>ROUNDUP(HLOOKUP(IF(CEILING(L505,0.5)&lt;1,0.5,CEILING(L505,0.5)),'배송비 조회'!A$44:AO$56,7,0)*B$3,-2)</f>
        <v>#REF!</v>
      </c>
      <c r="S505">
        <v>0</v>
      </c>
      <c r="T505" t="str">
        <f>ROUND((Q505+R505)*0.3,-2)</f>
        <v>#REF!</v>
      </c>
      <c r="U505" t="str">
        <f>ROUND((Q505+R505)*0.4,-2)</f>
        <v>#REF!</v>
      </c>
      <c r="V505" t="str">
        <f>SUM(Q505:R505)+T505</f>
        <v>#REF!</v>
      </c>
      <c r="W505" t="str">
        <f>SUM(Q505:S505)+U505</f>
        <v>#REF!</v>
      </c>
      <c r="X505">
        <v>0</v>
      </c>
      <c r="Y505" t="str">
        <f>V505*0.038</f>
        <v>#REF!</v>
      </c>
      <c r="Z505" t="str">
        <f>V505*0.02</f>
        <v>#REF!</v>
      </c>
      <c r="AA505" t="str">
        <f>W505*0.1</f>
        <v>#REF!</v>
      </c>
      <c r="AB505" t="str">
        <f>V505-Y505-Z505</f>
        <v>#REF!</v>
      </c>
      <c r="AC505" t="str">
        <f>W505-AA505</f>
        <v>#REF!</v>
      </c>
      <c r="AD505" t="str">
        <f>AB505*0.01</f>
        <v>#REF!</v>
      </c>
      <c r="AE505" t="str">
        <f>AB505-Q505-AD505-R505</f>
        <v>#REF!</v>
      </c>
      <c r="AF505" t="str">
        <f>AC505-Q505-AD505-R505</f>
        <v>#REF!</v>
      </c>
      <c r="AG505" t="str">
        <f>AE505/V505</f>
        <v>#REF!</v>
      </c>
      <c r="AH505" t="str">
        <f>AF505/W505</f>
        <v>#REF!</v>
      </c>
    </row>
    <row r="506">
      <c r="G506" t="str">
        <v>A</v>
      </c>
      <c r="J506" t="str">
        <f>IF(K506&gt;0,K506*0.0625,IF(L506&gt;0,L506*2.204623,))</f>
        <v>#REF!</v>
      </c>
      <c r="K506" t="str">
        <f>IF(L506&gt;0,L506*35.273962,IF(J506&gt;0,J506*16,))</f>
        <v>#REF!</v>
      </c>
      <c r="L506" t="str">
        <f>IF(J506&gt;0,J506*0.453592,IF(K506&gt;0,K506*0.02835,))</f>
        <v>#REF!</v>
      </c>
      <c r="O506">
        <f>I506+N506+M506</f>
        <v>0</v>
      </c>
      <c r="P506">
        <f>O506*B$3</f>
        <v>0</v>
      </c>
      <c r="Q506">
        <f>ROUND(SUM(P506), -2)</f>
        <v>0</v>
      </c>
      <c r="R506" t="str">
        <f>ROUNDUP(HLOOKUP(IF(CEILING(L506,0.5)&lt;1,0.5,CEILING(L506,0.5)),'배송비 조회'!A$44:AO$56,7,0)*B$3,-2)</f>
        <v>#REF!</v>
      </c>
      <c r="S506">
        <v>0</v>
      </c>
      <c r="T506" t="str">
        <f>ROUND((Q506+R506)*0.3,-2)</f>
        <v>#REF!</v>
      </c>
      <c r="U506" t="str">
        <f>ROUND((Q506+R506)*0.4,-2)</f>
        <v>#REF!</v>
      </c>
      <c r="V506" t="str">
        <f>SUM(Q506:R506)+T506</f>
        <v>#REF!</v>
      </c>
      <c r="W506" t="str">
        <f>SUM(Q506:S506)+U506</f>
        <v>#REF!</v>
      </c>
      <c r="X506">
        <v>0</v>
      </c>
      <c r="Y506" t="str">
        <f>V506*0.038</f>
        <v>#REF!</v>
      </c>
      <c r="Z506" t="str">
        <f>V506*0.02</f>
        <v>#REF!</v>
      </c>
      <c r="AA506" t="str">
        <f>W506*0.1</f>
        <v>#REF!</v>
      </c>
      <c r="AB506" t="str">
        <f>V506-Y506-Z506</f>
        <v>#REF!</v>
      </c>
      <c r="AC506" t="str">
        <f>W506-AA506</f>
        <v>#REF!</v>
      </c>
      <c r="AD506" t="str">
        <f>AB506*0.01</f>
        <v>#REF!</v>
      </c>
      <c r="AE506" t="str">
        <f>AB506-Q506-AD506-R506</f>
        <v>#REF!</v>
      </c>
      <c r="AF506" t="str">
        <f>AC506-Q506-AD506-R506</f>
        <v>#REF!</v>
      </c>
      <c r="AG506" t="str">
        <f>AE506/V506</f>
        <v>#REF!</v>
      </c>
      <c r="AH506" t="str">
        <f>AF506/W506</f>
        <v>#REF!</v>
      </c>
    </row>
    <row r="507">
      <c r="G507" t="str">
        <v>A</v>
      </c>
      <c r="J507" t="str">
        <f>IF(K507&gt;0,K507*0.0625,IF(L507&gt;0,L507*2.204623,))</f>
        <v>#REF!</v>
      </c>
      <c r="K507" t="str">
        <f>IF(L507&gt;0,L507*35.273962,IF(J507&gt;0,J507*16,))</f>
        <v>#REF!</v>
      </c>
      <c r="L507" t="str">
        <f>IF(J507&gt;0,J507*0.453592,IF(K507&gt;0,K507*0.02835,))</f>
        <v>#REF!</v>
      </c>
      <c r="O507">
        <f>I507+N507+M507</f>
        <v>0</v>
      </c>
      <c r="P507">
        <f>O507*B$3</f>
        <v>0</v>
      </c>
      <c r="Q507">
        <f>ROUND(SUM(P507), -2)</f>
        <v>0</v>
      </c>
      <c r="R507" t="str">
        <f>ROUNDUP(HLOOKUP(IF(CEILING(L507,0.5)&lt;1,0.5,CEILING(L507,0.5)),'배송비 조회'!A$44:AO$56,7,0)*B$3,-2)</f>
        <v>#REF!</v>
      </c>
      <c r="S507">
        <v>0</v>
      </c>
      <c r="T507" t="str">
        <f>ROUND((Q507+R507)*0.3,-2)</f>
        <v>#REF!</v>
      </c>
      <c r="U507" t="str">
        <f>ROUND((Q507+R507)*0.4,-2)</f>
        <v>#REF!</v>
      </c>
      <c r="V507" t="str">
        <f>SUM(Q507:R507)+T507</f>
        <v>#REF!</v>
      </c>
      <c r="W507" t="str">
        <f>SUM(Q507:S507)+U507</f>
        <v>#REF!</v>
      </c>
      <c r="X507">
        <v>0</v>
      </c>
      <c r="Y507" t="str">
        <f>V507*0.038</f>
        <v>#REF!</v>
      </c>
      <c r="Z507" t="str">
        <f>V507*0.02</f>
        <v>#REF!</v>
      </c>
      <c r="AA507" t="str">
        <f>W507*0.1</f>
        <v>#REF!</v>
      </c>
      <c r="AB507" t="str">
        <f>V507-Y507-Z507</f>
        <v>#REF!</v>
      </c>
      <c r="AC507" t="str">
        <f>W507-AA507</f>
        <v>#REF!</v>
      </c>
      <c r="AD507" t="str">
        <f>AB507*0.01</f>
        <v>#REF!</v>
      </c>
      <c r="AE507" t="str">
        <f>AB507-Q507-AD507-R507</f>
        <v>#REF!</v>
      </c>
      <c r="AF507" t="str">
        <f>AC507-Q507-AD507-R507</f>
        <v>#REF!</v>
      </c>
      <c r="AG507" t="str">
        <f>AE507/V507</f>
        <v>#REF!</v>
      </c>
      <c r="AH507" t="str">
        <f>AF507/W507</f>
        <v>#REF!</v>
      </c>
    </row>
    <row r="508">
      <c r="G508" t="str">
        <v>A</v>
      </c>
      <c r="J508" t="str">
        <f>IF(K508&gt;0,K508*0.0625,IF(L508&gt;0,L508*2.204623,))</f>
        <v>#REF!</v>
      </c>
      <c r="K508" t="str">
        <f>IF(L508&gt;0,L508*35.273962,IF(J508&gt;0,J508*16,))</f>
        <v>#REF!</v>
      </c>
      <c r="L508" t="str">
        <f>IF(J508&gt;0,J508*0.453592,IF(K508&gt;0,K508*0.02835,))</f>
        <v>#REF!</v>
      </c>
      <c r="O508">
        <f>I508+N508+M508</f>
        <v>0</v>
      </c>
      <c r="P508">
        <f>O508*B$3</f>
        <v>0</v>
      </c>
      <c r="Q508">
        <f>ROUND(SUM(P508), -2)</f>
        <v>0</v>
      </c>
      <c r="R508" t="str">
        <f>ROUNDUP(HLOOKUP(IF(CEILING(L508,0.5)&lt;1,0.5,CEILING(L508,0.5)),'배송비 조회'!A$44:AO$56,7,0)*B$3,-2)</f>
        <v>#REF!</v>
      </c>
      <c r="S508">
        <v>0</v>
      </c>
      <c r="T508" t="str">
        <f>ROUND((Q508+R508)*0.3,-2)</f>
        <v>#REF!</v>
      </c>
      <c r="U508" t="str">
        <f>ROUND((Q508+R508)*0.4,-2)</f>
        <v>#REF!</v>
      </c>
      <c r="V508" t="str">
        <f>SUM(Q508:R508)+T508</f>
        <v>#REF!</v>
      </c>
      <c r="W508" t="str">
        <f>SUM(Q508:S508)+U508</f>
        <v>#REF!</v>
      </c>
      <c r="X508">
        <v>0</v>
      </c>
      <c r="Y508" t="str">
        <f>V508*0.038</f>
        <v>#REF!</v>
      </c>
      <c r="Z508" t="str">
        <f>V508*0.02</f>
        <v>#REF!</v>
      </c>
      <c r="AA508" t="str">
        <f>W508*0.1</f>
        <v>#REF!</v>
      </c>
      <c r="AB508" t="str">
        <f>V508-Y508-Z508</f>
        <v>#REF!</v>
      </c>
      <c r="AC508" t="str">
        <f>W508-AA508</f>
        <v>#REF!</v>
      </c>
      <c r="AD508" t="str">
        <f>AB508*0.01</f>
        <v>#REF!</v>
      </c>
      <c r="AE508" t="str">
        <f>AB508-Q508-AD508-R508</f>
        <v>#REF!</v>
      </c>
      <c r="AF508" t="str">
        <f>AC508-Q508-AD508-R508</f>
        <v>#REF!</v>
      </c>
      <c r="AG508" t="str">
        <f>AE508/V508</f>
        <v>#REF!</v>
      </c>
      <c r="AH508" t="str">
        <f>AF508/W508</f>
        <v>#REF!</v>
      </c>
    </row>
    <row r="509">
      <c r="G509" t="str">
        <v>A</v>
      </c>
      <c r="J509" t="str">
        <f>IF(K509&gt;0,K509*0.0625,IF(L509&gt;0,L509*2.204623,))</f>
        <v>#REF!</v>
      </c>
      <c r="K509" t="str">
        <f>IF(L509&gt;0,L509*35.273962,IF(J509&gt;0,J509*16,))</f>
        <v>#REF!</v>
      </c>
      <c r="L509" t="str">
        <f>IF(J509&gt;0,J509*0.453592,IF(K509&gt;0,K509*0.02835,))</f>
        <v>#REF!</v>
      </c>
      <c r="O509">
        <f>I509+N509+M509</f>
        <v>0</v>
      </c>
      <c r="P509">
        <f>O509*B$3</f>
        <v>0</v>
      </c>
      <c r="Q509">
        <f>ROUND(SUM(P509), -2)</f>
        <v>0</v>
      </c>
      <c r="R509" t="str">
        <f>ROUNDUP(HLOOKUP(IF(CEILING(L509,0.5)&lt;1,0.5,CEILING(L509,0.5)),'배송비 조회'!A$44:AO$56,7,0)*B$3,-2)</f>
        <v>#REF!</v>
      </c>
      <c r="S509">
        <v>0</v>
      </c>
      <c r="T509" t="str">
        <f>ROUND((Q509+R509)*0.3,-2)</f>
        <v>#REF!</v>
      </c>
      <c r="U509" t="str">
        <f>ROUND((Q509+R509)*0.4,-2)</f>
        <v>#REF!</v>
      </c>
      <c r="V509" t="str">
        <f>SUM(Q509:R509)+T509</f>
        <v>#REF!</v>
      </c>
      <c r="W509" t="str">
        <f>SUM(Q509:S509)+U509</f>
        <v>#REF!</v>
      </c>
      <c r="X509">
        <v>0</v>
      </c>
      <c r="Y509" t="str">
        <f>V509*0.038</f>
        <v>#REF!</v>
      </c>
      <c r="Z509" t="str">
        <f>V509*0.02</f>
        <v>#REF!</v>
      </c>
      <c r="AA509" t="str">
        <f>W509*0.1</f>
        <v>#REF!</v>
      </c>
      <c r="AB509" t="str">
        <f>V509-Y509-Z509</f>
        <v>#REF!</v>
      </c>
      <c r="AC509" t="str">
        <f>W509-AA509</f>
        <v>#REF!</v>
      </c>
      <c r="AD509" t="str">
        <f>AB509*0.01</f>
        <v>#REF!</v>
      </c>
      <c r="AE509" t="str">
        <f>AB509-Q509-AD509-R509</f>
        <v>#REF!</v>
      </c>
      <c r="AF509" t="str">
        <f>AC509-Q509-AD509-R509</f>
        <v>#REF!</v>
      </c>
      <c r="AG509" t="str">
        <f>AE509/V509</f>
        <v>#REF!</v>
      </c>
      <c r="AH509" t="str">
        <f>AF509/W509</f>
        <v>#REF!</v>
      </c>
    </row>
    <row r="510">
      <c r="G510" t="str">
        <v>A</v>
      </c>
      <c r="J510" t="str">
        <f>IF(K510&gt;0,K510*0.0625,IF(L510&gt;0,L510*2.204623,))</f>
        <v>#REF!</v>
      </c>
      <c r="K510" t="str">
        <f>IF(L510&gt;0,L510*35.273962,IF(J510&gt;0,J510*16,))</f>
        <v>#REF!</v>
      </c>
      <c r="L510" t="str">
        <f>IF(J510&gt;0,J510*0.453592,IF(K510&gt;0,K510*0.02835,))</f>
        <v>#REF!</v>
      </c>
      <c r="O510">
        <f>I510+N510+M510</f>
        <v>0</v>
      </c>
      <c r="P510">
        <f>O510*B$3</f>
        <v>0</v>
      </c>
      <c r="Q510">
        <f>ROUND(SUM(P510), -2)</f>
        <v>0</v>
      </c>
      <c r="R510" t="str">
        <f>ROUNDUP(HLOOKUP(IF(CEILING(L510,0.5)&lt;1,0.5,CEILING(L510,0.5)),'배송비 조회'!A$44:AO$56,7,0)*B$3,-2)</f>
        <v>#REF!</v>
      </c>
      <c r="S510">
        <v>0</v>
      </c>
      <c r="T510" t="str">
        <f>ROUND((Q510+R510)*0.3,-2)</f>
        <v>#REF!</v>
      </c>
      <c r="U510" t="str">
        <f>ROUND((Q510+R510)*0.4,-2)</f>
        <v>#REF!</v>
      </c>
      <c r="V510" t="str">
        <f>SUM(Q510:R510)+T510</f>
        <v>#REF!</v>
      </c>
      <c r="W510" t="str">
        <f>SUM(Q510:S510)+U510</f>
        <v>#REF!</v>
      </c>
      <c r="X510">
        <v>0</v>
      </c>
      <c r="Y510" t="str">
        <f>V510*0.038</f>
        <v>#REF!</v>
      </c>
      <c r="Z510" t="str">
        <f>V510*0.02</f>
        <v>#REF!</v>
      </c>
      <c r="AA510" t="str">
        <f>W510*0.1</f>
        <v>#REF!</v>
      </c>
      <c r="AB510" t="str">
        <f>V510-Y510-Z510</f>
        <v>#REF!</v>
      </c>
      <c r="AC510" t="str">
        <f>W510-AA510</f>
        <v>#REF!</v>
      </c>
      <c r="AD510" t="str">
        <f>AB510*0.01</f>
        <v>#REF!</v>
      </c>
      <c r="AE510" t="str">
        <f>AB510-Q510-AD510-R510</f>
        <v>#REF!</v>
      </c>
      <c r="AF510" t="str">
        <f>AC510-Q510-AD510-R510</f>
        <v>#REF!</v>
      </c>
      <c r="AG510" t="str">
        <f>AE510/V510</f>
        <v>#REF!</v>
      </c>
      <c r="AH510" t="str">
        <f>AF510/W510</f>
        <v>#REF!</v>
      </c>
    </row>
    <row r="511">
      <c r="G511" t="str">
        <v>A</v>
      </c>
      <c r="J511" t="str">
        <f>IF(K511&gt;0,K511*0.0625,IF(L511&gt;0,L511*2.204623,))</f>
        <v>#REF!</v>
      </c>
      <c r="K511" t="str">
        <f>IF(L511&gt;0,L511*35.273962,IF(J511&gt;0,J511*16,))</f>
        <v>#REF!</v>
      </c>
      <c r="L511" t="str">
        <f>IF(J511&gt;0,J511*0.453592,IF(K511&gt;0,K511*0.02835,))</f>
        <v>#REF!</v>
      </c>
      <c r="O511">
        <f>I511+N511+M511</f>
        <v>0</v>
      </c>
      <c r="P511">
        <f>O511*B$3</f>
        <v>0</v>
      </c>
      <c r="Q511">
        <f>ROUND(SUM(P511), -2)</f>
        <v>0</v>
      </c>
      <c r="R511" t="str">
        <f>ROUNDUP(HLOOKUP(IF(CEILING(L511,0.5)&lt;1,0.5,CEILING(L511,0.5)),'배송비 조회'!A$44:AO$56,7,0)*B$3,-2)</f>
        <v>#REF!</v>
      </c>
      <c r="S511">
        <v>0</v>
      </c>
      <c r="T511" t="str">
        <f>ROUND((Q511+R511)*0.3,-2)</f>
        <v>#REF!</v>
      </c>
      <c r="U511" t="str">
        <f>ROUND((Q511+R511)*0.4,-2)</f>
        <v>#REF!</v>
      </c>
      <c r="V511" t="str">
        <f>SUM(Q511:R511)+T511</f>
        <v>#REF!</v>
      </c>
      <c r="W511" t="str">
        <f>SUM(Q511:S511)+U511</f>
        <v>#REF!</v>
      </c>
      <c r="X511">
        <v>0</v>
      </c>
      <c r="Y511" t="str">
        <f>V511*0.038</f>
        <v>#REF!</v>
      </c>
      <c r="Z511" t="str">
        <f>V511*0.02</f>
        <v>#REF!</v>
      </c>
      <c r="AA511" t="str">
        <f>W511*0.1</f>
        <v>#REF!</v>
      </c>
      <c r="AB511" t="str">
        <f>V511-Y511-Z511</f>
        <v>#REF!</v>
      </c>
      <c r="AC511" t="str">
        <f>W511-AA511</f>
        <v>#REF!</v>
      </c>
      <c r="AD511" t="str">
        <f>AB511*0.01</f>
        <v>#REF!</v>
      </c>
      <c r="AE511" t="str">
        <f>AB511-Q511-AD511-R511</f>
        <v>#REF!</v>
      </c>
      <c r="AF511" t="str">
        <f>AC511-Q511-AD511-R511</f>
        <v>#REF!</v>
      </c>
      <c r="AG511" t="str">
        <f>AE511/V511</f>
        <v>#REF!</v>
      </c>
      <c r="AH511" t="str">
        <f>AF511/W511</f>
        <v>#REF!</v>
      </c>
    </row>
    <row r="512">
      <c r="G512" t="str">
        <v>A</v>
      </c>
      <c r="J512" t="str">
        <f>IF(K512&gt;0,K512*0.0625,IF(L512&gt;0,L512*2.204623,))</f>
        <v>#REF!</v>
      </c>
      <c r="K512" t="str">
        <f>IF(L512&gt;0,L512*35.273962,IF(J512&gt;0,J512*16,))</f>
        <v>#REF!</v>
      </c>
      <c r="L512" t="str">
        <f>IF(J512&gt;0,J512*0.453592,IF(K512&gt;0,K512*0.02835,))</f>
        <v>#REF!</v>
      </c>
      <c r="O512">
        <f>I512+N512+M512</f>
        <v>0</v>
      </c>
      <c r="P512">
        <f>O512*B$3</f>
        <v>0</v>
      </c>
      <c r="Q512">
        <f>ROUND(SUM(P512), -2)</f>
        <v>0</v>
      </c>
      <c r="R512" t="str">
        <f>ROUNDUP(HLOOKUP(IF(CEILING(L512,0.5)&lt;1,0.5,CEILING(L512,0.5)),'배송비 조회'!A$44:AO$56,7,0)*B$3,-2)</f>
        <v>#REF!</v>
      </c>
      <c r="S512">
        <v>0</v>
      </c>
      <c r="T512" t="str">
        <f>ROUND((Q512+R512)*0.3,-2)</f>
        <v>#REF!</v>
      </c>
      <c r="U512" t="str">
        <f>ROUND((Q512+R512)*0.4,-2)</f>
        <v>#REF!</v>
      </c>
      <c r="V512" t="str">
        <f>SUM(Q512:R512)+T512</f>
        <v>#REF!</v>
      </c>
      <c r="W512" t="str">
        <f>SUM(Q512:S512)+U512</f>
        <v>#REF!</v>
      </c>
      <c r="X512">
        <v>0</v>
      </c>
      <c r="Y512" t="str">
        <f>V512*0.038</f>
        <v>#REF!</v>
      </c>
      <c r="Z512" t="str">
        <f>V512*0.02</f>
        <v>#REF!</v>
      </c>
      <c r="AA512" t="str">
        <f>W512*0.1</f>
        <v>#REF!</v>
      </c>
      <c r="AB512" t="str">
        <f>V512-Y512-Z512</f>
        <v>#REF!</v>
      </c>
      <c r="AC512" t="str">
        <f>W512-AA512</f>
        <v>#REF!</v>
      </c>
      <c r="AD512" t="str">
        <f>AB512*0.01</f>
        <v>#REF!</v>
      </c>
      <c r="AE512" t="str">
        <f>AB512-Q512-AD512-R512</f>
        <v>#REF!</v>
      </c>
      <c r="AF512" t="str">
        <f>AC512-Q512-AD512-R512</f>
        <v>#REF!</v>
      </c>
      <c r="AG512" t="str">
        <f>AE512/V512</f>
        <v>#REF!</v>
      </c>
      <c r="AH512" t="str">
        <f>AF512/W512</f>
        <v>#REF!</v>
      </c>
    </row>
    <row r="513">
      <c r="G513" t="str">
        <v>A</v>
      </c>
      <c r="J513" t="str">
        <f>IF(K513&gt;0,K513*0.0625,IF(L513&gt;0,L513*2.204623,))</f>
        <v>#REF!</v>
      </c>
      <c r="K513" t="str">
        <f>IF(L513&gt;0,L513*35.273962,IF(J513&gt;0,J513*16,))</f>
        <v>#REF!</v>
      </c>
      <c r="L513" t="str">
        <f>IF(J513&gt;0,J513*0.453592,IF(K513&gt;0,K513*0.02835,))</f>
        <v>#REF!</v>
      </c>
      <c r="O513">
        <f>I513+N513+M513</f>
        <v>0</v>
      </c>
      <c r="P513">
        <f>O513*B$3</f>
        <v>0</v>
      </c>
      <c r="Q513">
        <f>ROUND(SUM(P513), -2)</f>
        <v>0</v>
      </c>
      <c r="R513" t="str">
        <f>ROUNDUP(HLOOKUP(IF(CEILING(L513,0.5)&lt;1,0.5,CEILING(L513,0.5)),'배송비 조회'!A$44:AO$56,7,0)*B$3,-2)</f>
        <v>#REF!</v>
      </c>
      <c r="S513">
        <v>0</v>
      </c>
      <c r="T513" t="str">
        <f>ROUND((Q513+R513)*0.3,-2)</f>
        <v>#REF!</v>
      </c>
      <c r="U513" t="str">
        <f>ROUND((Q513+R513)*0.4,-2)</f>
        <v>#REF!</v>
      </c>
      <c r="V513" t="str">
        <f>SUM(Q513:R513)+T513</f>
        <v>#REF!</v>
      </c>
      <c r="W513" t="str">
        <f>SUM(Q513:S513)+U513</f>
        <v>#REF!</v>
      </c>
      <c r="X513">
        <v>0</v>
      </c>
      <c r="Y513" t="str">
        <f>V513*0.038</f>
        <v>#REF!</v>
      </c>
      <c r="Z513" t="str">
        <f>V513*0.02</f>
        <v>#REF!</v>
      </c>
      <c r="AA513" t="str">
        <f>W513*0.1</f>
        <v>#REF!</v>
      </c>
      <c r="AB513" t="str">
        <f>V513-Y513-Z513</f>
        <v>#REF!</v>
      </c>
      <c r="AC513" t="str">
        <f>W513-AA513</f>
        <v>#REF!</v>
      </c>
      <c r="AD513" t="str">
        <f>AB513*0.01</f>
        <v>#REF!</v>
      </c>
      <c r="AE513" t="str">
        <f>AB513-Q513-AD513-R513</f>
        <v>#REF!</v>
      </c>
      <c r="AF513" t="str">
        <f>AC513-Q513-AD513-R513</f>
        <v>#REF!</v>
      </c>
      <c r="AG513" t="str">
        <f>AE513/V513</f>
        <v>#REF!</v>
      </c>
      <c r="AH513" t="str">
        <f>AF513/W513</f>
        <v>#REF!</v>
      </c>
    </row>
    <row r="514">
      <c r="G514" t="str">
        <v>A</v>
      </c>
      <c r="J514" t="str">
        <f>IF(K514&gt;0,K514*0.0625,IF(L514&gt;0,L514*2.204623,))</f>
        <v>#REF!</v>
      </c>
      <c r="K514" t="str">
        <f>IF(L514&gt;0,L514*35.273962,IF(J514&gt;0,J514*16,))</f>
        <v>#REF!</v>
      </c>
      <c r="L514" t="str">
        <f>IF(J514&gt;0,J514*0.453592,IF(K514&gt;0,K514*0.02835,))</f>
        <v>#REF!</v>
      </c>
      <c r="O514">
        <f>I514+N514+M514</f>
        <v>0</v>
      </c>
      <c r="P514">
        <f>O514*B$3</f>
        <v>0</v>
      </c>
      <c r="Q514">
        <f>ROUND(SUM(P514), -2)</f>
        <v>0</v>
      </c>
      <c r="R514" t="str">
        <f>ROUNDUP(HLOOKUP(IF(CEILING(L514,0.5)&lt;1,0.5,CEILING(L514,0.5)),'배송비 조회'!A$44:AO$56,7,0)*B$3,-2)</f>
        <v>#REF!</v>
      </c>
      <c r="S514">
        <v>0</v>
      </c>
      <c r="T514" t="str">
        <f>ROUND((Q514+R514)*0.3,-2)</f>
        <v>#REF!</v>
      </c>
      <c r="U514" t="str">
        <f>ROUND((Q514+R514)*0.4,-2)</f>
        <v>#REF!</v>
      </c>
      <c r="V514" t="str">
        <f>SUM(Q514:R514)+T514</f>
        <v>#REF!</v>
      </c>
      <c r="W514" t="str">
        <f>SUM(Q514:S514)+U514</f>
        <v>#REF!</v>
      </c>
      <c r="X514">
        <v>0</v>
      </c>
      <c r="Y514" t="str">
        <f>V514*0.038</f>
        <v>#REF!</v>
      </c>
      <c r="Z514" t="str">
        <f>V514*0.02</f>
        <v>#REF!</v>
      </c>
      <c r="AA514" t="str">
        <f>W514*0.1</f>
        <v>#REF!</v>
      </c>
      <c r="AB514" t="str">
        <f>V514-Y514-Z514</f>
        <v>#REF!</v>
      </c>
      <c r="AC514" t="str">
        <f>W514-AA514</f>
        <v>#REF!</v>
      </c>
      <c r="AD514" t="str">
        <f>AB514*0.01</f>
        <v>#REF!</v>
      </c>
      <c r="AE514" t="str">
        <f>AB514-Q514-AD514-R514</f>
        <v>#REF!</v>
      </c>
      <c r="AF514" t="str">
        <f>AC514-Q514-AD514-R514</f>
        <v>#REF!</v>
      </c>
      <c r="AG514" t="str">
        <f>AE514/V514</f>
        <v>#REF!</v>
      </c>
      <c r="AH514" t="str">
        <f>AF514/W514</f>
        <v>#REF!</v>
      </c>
    </row>
    <row r="515">
      <c r="G515" t="str">
        <v>A</v>
      </c>
      <c r="J515" t="str">
        <f>IF(K515&gt;0,K515*0.0625,IF(L515&gt;0,L515*2.204623,))</f>
        <v>#REF!</v>
      </c>
      <c r="K515" t="str">
        <f>IF(L515&gt;0,L515*35.273962,IF(J515&gt;0,J515*16,))</f>
        <v>#REF!</v>
      </c>
      <c r="L515" t="str">
        <f>IF(J515&gt;0,J515*0.453592,IF(K515&gt;0,K515*0.02835,))</f>
        <v>#REF!</v>
      </c>
      <c r="O515">
        <f>I515+N515+M515</f>
        <v>0</v>
      </c>
      <c r="P515">
        <f>O515*B$3</f>
        <v>0</v>
      </c>
      <c r="Q515">
        <f>ROUND(SUM(P515), -2)</f>
        <v>0</v>
      </c>
      <c r="R515" t="str">
        <f>ROUNDUP(HLOOKUP(IF(CEILING(L515,0.5)&lt;1,0.5,CEILING(L515,0.5)),'배송비 조회'!A$44:AO$56,7,0)*B$3,-2)</f>
        <v>#REF!</v>
      </c>
      <c r="S515">
        <v>0</v>
      </c>
      <c r="T515" t="str">
        <f>ROUND((Q515+R515)*0.3,-2)</f>
        <v>#REF!</v>
      </c>
      <c r="U515" t="str">
        <f>ROUND((Q515+R515)*0.4,-2)</f>
        <v>#REF!</v>
      </c>
      <c r="V515" t="str">
        <f>SUM(Q515:R515)+T515</f>
        <v>#REF!</v>
      </c>
      <c r="W515" t="str">
        <f>SUM(Q515:S515)+U515</f>
        <v>#REF!</v>
      </c>
      <c r="X515">
        <v>0</v>
      </c>
      <c r="Y515" t="str">
        <f>V515*0.038</f>
        <v>#REF!</v>
      </c>
      <c r="Z515" t="str">
        <f>V515*0.02</f>
        <v>#REF!</v>
      </c>
      <c r="AA515" t="str">
        <f>W515*0.1</f>
        <v>#REF!</v>
      </c>
      <c r="AB515" t="str">
        <f>V515-Y515-Z515</f>
        <v>#REF!</v>
      </c>
      <c r="AC515" t="str">
        <f>W515-AA515</f>
        <v>#REF!</v>
      </c>
      <c r="AD515" t="str">
        <f>AB515*0.01</f>
        <v>#REF!</v>
      </c>
      <c r="AE515" t="str">
        <f>AB515-Q515-AD515-R515</f>
        <v>#REF!</v>
      </c>
      <c r="AF515" t="str">
        <f>AC515-Q515-AD515-R515</f>
        <v>#REF!</v>
      </c>
      <c r="AG515" t="str">
        <f>AE515/V515</f>
        <v>#REF!</v>
      </c>
      <c r="AH515" t="str">
        <f>AF515/W515</f>
        <v>#REF!</v>
      </c>
    </row>
    <row r="516">
      <c r="G516" t="str">
        <v>A</v>
      </c>
      <c r="J516" t="str">
        <f>IF(K516&gt;0,K516*0.0625,IF(L516&gt;0,L516*2.204623,))</f>
        <v>#REF!</v>
      </c>
      <c r="K516" t="str">
        <f>IF(L516&gt;0,L516*35.273962,IF(J516&gt;0,J516*16,))</f>
        <v>#REF!</v>
      </c>
      <c r="L516" t="str">
        <f>IF(J516&gt;0,J516*0.453592,IF(K516&gt;0,K516*0.02835,))</f>
        <v>#REF!</v>
      </c>
      <c r="O516">
        <f>I516+N516+M516</f>
        <v>0</v>
      </c>
      <c r="P516">
        <f>O516*B$3</f>
        <v>0</v>
      </c>
      <c r="Q516">
        <f>ROUND(SUM(P516), -2)</f>
        <v>0</v>
      </c>
      <c r="R516" t="str">
        <f>ROUNDUP(HLOOKUP(IF(CEILING(L516,0.5)&lt;1,0.5,CEILING(L516,0.5)),'배송비 조회'!A$44:AO$56,7,0)*B$3,-2)</f>
        <v>#REF!</v>
      </c>
      <c r="S516">
        <v>0</v>
      </c>
      <c r="T516" t="str">
        <f>ROUND((Q516+R516)*0.3,-2)</f>
        <v>#REF!</v>
      </c>
      <c r="U516" t="str">
        <f>ROUND((Q516+R516)*0.4,-2)</f>
        <v>#REF!</v>
      </c>
      <c r="V516" t="str">
        <f>SUM(Q516:R516)+T516</f>
        <v>#REF!</v>
      </c>
      <c r="W516" t="str">
        <f>SUM(Q516:S516)+U516</f>
        <v>#REF!</v>
      </c>
      <c r="X516">
        <v>0</v>
      </c>
      <c r="Y516" t="str">
        <f>V516*0.038</f>
        <v>#REF!</v>
      </c>
      <c r="Z516" t="str">
        <f>V516*0.02</f>
        <v>#REF!</v>
      </c>
      <c r="AA516" t="str">
        <f>W516*0.1</f>
        <v>#REF!</v>
      </c>
      <c r="AB516" t="str">
        <f>V516-Y516-Z516</f>
        <v>#REF!</v>
      </c>
      <c r="AC516" t="str">
        <f>W516-AA516</f>
        <v>#REF!</v>
      </c>
      <c r="AD516" t="str">
        <f>AB516*0.01</f>
        <v>#REF!</v>
      </c>
      <c r="AE516" t="str">
        <f>AB516-Q516-AD516-R516</f>
        <v>#REF!</v>
      </c>
      <c r="AF516" t="str">
        <f>AC516-Q516-AD516-R516</f>
        <v>#REF!</v>
      </c>
      <c r="AG516" t="str">
        <f>AE516/V516</f>
        <v>#REF!</v>
      </c>
      <c r="AH516" t="str">
        <f>AF516/W516</f>
        <v>#REF!</v>
      </c>
    </row>
    <row r="517">
      <c r="G517" t="str">
        <v>A</v>
      </c>
      <c r="J517" t="str">
        <f>IF(K517&gt;0,K517*0.0625,IF(L517&gt;0,L517*2.204623,))</f>
        <v>#REF!</v>
      </c>
      <c r="K517" t="str">
        <f>IF(L517&gt;0,L517*35.273962,IF(J517&gt;0,J517*16,))</f>
        <v>#REF!</v>
      </c>
      <c r="L517" t="str">
        <f>IF(J517&gt;0,J517*0.453592,IF(K517&gt;0,K517*0.02835,))</f>
        <v>#REF!</v>
      </c>
      <c r="O517">
        <f>I517+N517+M517</f>
        <v>0</v>
      </c>
      <c r="P517">
        <f>O517*B$3</f>
        <v>0</v>
      </c>
      <c r="Q517">
        <f>ROUND(SUM(P517), -2)</f>
        <v>0</v>
      </c>
      <c r="R517" t="str">
        <f>ROUNDUP(HLOOKUP(IF(CEILING(L517,0.5)&lt;1,0.5,CEILING(L517,0.5)),'배송비 조회'!A$44:AO$56,7,0)*B$3,-2)</f>
        <v>#REF!</v>
      </c>
      <c r="S517">
        <v>0</v>
      </c>
      <c r="T517" t="str">
        <f>ROUND((Q517+R517)*0.3,-2)</f>
        <v>#REF!</v>
      </c>
      <c r="U517" t="str">
        <f>ROUND((Q517+R517)*0.4,-2)</f>
        <v>#REF!</v>
      </c>
      <c r="V517" t="str">
        <f>SUM(Q517:R517)+T517</f>
        <v>#REF!</v>
      </c>
      <c r="W517" t="str">
        <f>SUM(Q517:S517)+U517</f>
        <v>#REF!</v>
      </c>
      <c r="X517">
        <v>0</v>
      </c>
      <c r="Y517" t="str">
        <f>V517*0.038</f>
        <v>#REF!</v>
      </c>
      <c r="Z517" t="str">
        <f>V517*0.02</f>
        <v>#REF!</v>
      </c>
      <c r="AA517" t="str">
        <f>W517*0.1</f>
        <v>#REF!</v>
      </c>
      <c r="AB517" t="str">
        <f>V517-Y517-Z517</f>
        <v>#REF!</v>
      </c>
      <c r="AC517" t="str">
        <f>W517-AA517</f>
        <v>#REF!</v>
      </c>
      <c r="AD517" t="str">
        <f>AB517*0.01</f>
        <v>#REF!</v>
      </c>
      <c r="AE517" t="str">
        <f>AB517-Q517-AD517-R517</f>
        <v>#REF!</v>
      </c>
      <c r="AF517" t="str">
        <f>AC517-Q517-AD517-R517</f>
        <v>#REF!</v>
      </c>
      <c r="AG517" t="str">
        <f>AE517/V517</f>
        <v>#REF!</v>
      </c>
      <c r="AH517" t="str">
        <f>AF517/W517</f>
        <v>#REF!</v>
      </c>
    </row>
    <row r="518">
      <c r="G518" t="str">
        <v>A</v>
      </c>
      <c r="J518" t="str">
        <f>IF(K518&gt;0,K518*0.0625,IF(L518&gt;0,L518*2.204623,))</f>
        <v>#REF!</v>
      </c>
      <c r="K518" t="str">
        <f>IF(L518&gt;0,L518*35.273962,IF(J518&gt;0,J518*16,))</f>
        <v>#REF!</v>
      </c>
      <c r="L518" t="str">
        <f>IF(J518&gt;0,J518*0.453592,IF(K518&gt;0,K518*0.02835,))</f>
        <v>#REF!</v>
      </c>
      <c r="O518">
        <f>I518+N518+M518</f>
        <v>0</v>
      </c>
      <c r="P518">
        <f>O518*B$3</f>
        <v>0</v>
      </c>
      <c r="Q518">
        <f>ROUND(SUM(P518), -2)</f>
        <v>0</v>
      </c>
      <c r="R518" t="str">
        <f>ROUNDUP(HLOOKUP(IF(CEILING(L518,0.5)&lt;1,0.5,CEILING(L518,0.5)),'배송비 조회'!A$44:AO$56,7,0)*B$3,-2)</f>
        <v>#REF!</v>
      </c>
      <c r="S518">
        <v>0</v>
      </c>
      <c r="T518" t="str">
        <f>ROUND((Q518+R518)*0.3,-2)</f>
        <v>#REF!</v>
      </c>
      <c r="U518" t="str">
        <f>ROUND((Q518+R518)*0.4,-2)</f>
        <v>#REF!</v>
      </c>
      <c r="V518" t="str">
        <f>SUM(Q518:R518)+T518</f>
        <v>#REF!</v>
      </c>
      <c r="W518" t="str">
        <f>SUM(Q518:S518)+U518</f>
        <v>#REF!</v>
      </c>
      <c r="X518">
        <v>0</v>
      </c>
      <c r="Y518" t="str">
        <f>V518*0.038</f>
        <v>#REF!</v>
      </c>
      <c r="Z518" t="str">
        <f>V518*0.02</f>
        <v>#REF!</v>
      </c>
      <c r="AA518" t="str">
        <f>W518*0.1</f>
        <v>#REF!</v>
      </c>
      <c r="AB518" t="str">
        <f>V518-Y518-Z518</f>
        <v>#REF!</v>
      </c>
      <c r="AC518" t="str">
        <f>W518-AA518</f>
        <v>#REF!</v>
      </c>
      <c r="AD518" t="str">
        <f>AB518*0.01</f>
        <v>#REF!</v>
      </c>
      <c r="AE518" t="str">
        <f>AB518-Q518-AD518-R518</f>
        <v>#REF!</v>
      </c>
      <c r="AF518" t="str">
        <f>AC518-Q518-AD518-R518</f>
        <v>#REF!</v>
      </c>
      <c r="AG518" t="str">
        <f>AE518/V518</f>
        <v>#REF!</v>
      </c>
      <c r="AH518" t="str">
        <f>AF518/W518</f>
        <v>#REF!</v>
      </c>
    </row>
    <row r="519">
      <c r="G519" t="str">
        <v>A</v>
      </c>
      <c r="J519" t="str">
        <f>IF(K519&gt;0,K519*0.0625,IF(L519&gt;0,L519*2.204623,))</f>
        <v>#REF!</v>
      </c>
      <c r="K519" t="str">
        <f>IF(L519&gt;0,L519*35.273962,IF(J519&gt;0,J519*16,))</f>
        <v>#REF!</v>
      </c>
      <c r="L519" t="str">
        <f>IF(J519&gt;0,J519*0.453592,IF(K519&gt;0,K519*0.02835,))</f>
        <v>#REF!</v>
      </c>
      <c r="O519">
        <f>I519+N519+M519</f>
        <v>0</v>
      </c>
      <c r="P519">
        <f>O519*B$3</f>
        <v>0</v>
      </c>
      <c r="Q519">
        <f>ROUND(SUM(P519), -2)</f>
        <v>0</v>
      </c>
      <c r="R519" t="str">
        <f>ROUNDUP(HLOOKUP(IF(CEILING(L519,0.5)&lt;1,0.5,CEILING(L519,0.5)),'배송비 조회'!A$44:AO$56,7,0)*B$3,-2)</f>
        <v>#REF!</v>
      </c>
      <c r="S519">
        <v>0</v>
      </c>
      <c r="T519" t="str">
        <f>ROUND((Q519+R519)*0.3,-2)</f>
        <v>#REF!</v>
      </c>
      <c r="U519" t="str">
        <f>ROUND((Q519+R519)*0.4,-2)</f>
        <v>#REF!</v>
      </c>
      <c r="V519" t="str">
        <f>SUM(Q519:R519)+T519</f>
        <v>#REF!</v>
      </c>
      <c r="W519" t="str">
        <f>SUM(Q519:S519)+U519</f>
        <v>#REF!</v>
      </c>
      <c r="X519">
        <v>0</v>
      </c>
      <c r="Y519" t="str">
        <f>V519*0.038</f>
        <v>#REF!</v>
      </c>
      <c r="Z519" t="str">
        <f>V519*0.02</f>
        <v>#REF!</v>
      </c>
      <c r="AA519" t="str">
        <f>W519*0.1</f>
        <v>#REF!</v>
      </c>
      <c r="AB519" t="str">
        <f>V519-Y519-Z519</f>
        <v>#REF!</v>
      </c>
      <c r="AC519" t="str">
        <f>W519-AA519</f>
        <v>#REF!</v>
      </c>
      <c r="AD519" t="str">
        <f>AB519*0.01</f>
        <v>#REF!</v>
      </c>
      <c r="AE519" t="str">
        <f>AB519-Q519-AD519-R519</f>
        <v>#REF!</v>
      </c>
      <c r="AF519" t="str">
        <f>AC519-Q519-AD519-R519</f>
        <v>#REF!</v>
      </c>
      <c r="AG519" t="str">
        <f>AE519/V519</f>
        <v>#REF!</v>
      </c>
      <c r="AH519" t="str">
        <f>AF519/W519</f>
        <v>#REF!</v>
      </c>
    </row>
    <row r="520">
      <c r="G520" t="str">
        <v>A</v>
      </c>
      <c r="J520" t="str">
        <f>IF(K520&gt;0,K520*0.0625,IF(L520&gt;0,L520*2.204623,))</f>
        <v>#REF!</v>
      </c>
      <c r="K520" t="str">
        <f>IF(L520&gt;0,L520*35.273962,IF(J520&gt;0,J520*16,))</f>
        <v>#REF!</v>
      </c>
      <c r="L520" t="str">
        <f>IF(J520&gt;0,J520*0.453592,IF(K520&gt;0,K520*0.02835,))</f>
        <v>#REF!</v>
      </c>
      <c r="O520">
        <f>I520+N520+M520</f>
        <v>0</v>
      </c>
      <c r="P520">
        <f>O520*B$3</f>
        <v>0</v>
      </c>
      <c r="Q520">
        <f>ROUND(SUM(P520), -2)</f>
        <v>0</v>
      </c>
      <c r="R520" t="str">
        <f>ROUNDUP(HLOOKUP(IF(CEILING(L520,0.5)&lt;1,0.5,CEILING(L520,0.5)),'배송비 조회'!A$44:AO$56,7,0)*B$3,-2)</f>
        <v>#REF!</v>
      </c>
      <c r="S520">
        <v>0</v>
      </c>
      <c r="T520" t="str">
        <f>ROUND((Q520+R520)*0.3,-2)</f>
        <v>#REF!</v>
      </c>
      <c r="U520" t="str">
        <f>ROUND((Q520+R520)*0.4,-2)</f>
        <v>#REF!</v>
      </c>
      <c r="V520" t="str">
        <f>SUM(Q520:R520)+T520</f>
        <v>#REF!</v>
      </c>
      <c r="W520" t="str">
        <f>SUM(Q520:S520)+U520</f>
        <v>#REF!</v>
      </c>
      <c r="X520">
        <v>0</v>
      </c>
      <c r="Y520" t="str">
        <f>V520*0.038</f>
        <v>#REF!</v>
      </c>
      <c r="Z520" t="str">
        <f>V520*0.02</f>
        <v>#REF!</v>
      </c>
      <c r="AA520" t="str">
        <f>W520*0.1</f>
        <v>#REF!</v>
      </c>
      <c r="AB520" t="str">
        <f>V520-Y520-Z520</f>
        <v>#REF!</v>
      </c>
      <c r="AC520" t="str">
        <f>W520-AA520</f>
        <v>#REF!</v>
      </c>
      <c r="AD520" t="str">
        <f>AB520*0.01</f>
        <v>#REF!</v>
      </c>
      <c r="AE520" t="str">
        <f>AB520-Q520-AD520-R520</f>
        <v>#REF!</v>
      </c>
      <c r="AF520" t="str">
        <f>AC520-Q520-AD520-R520</f>
        <v>#REF!</v>
      </c>
      <c r="AG520" t="str">
        <f>AE520/V520</f>
        <v>#REF!</v>
      </c>
      <c r="AH520" t="str">
        <f>AF520/W520</f>
        <v>#REF!</v>
      </c>
    </row>
    <row r="521">
      <c r="G521" t="str">
        <v>A</v>
      </c>
      <c r="J521" t="str">
        <f>IF(K521&gt;0,K521*0.0625,IF(L521&gt;0,L521*2.204623,))</f>
        <v>#REF!</v>
      </c>
      <c r="K521" t="str">
        <f>IF(L521&gt;0,L521*35.273962,IF(J521&gt;0,J521*16,))</f>
        <v>#REF!</v>
      </c>
      <c r="L521" t="str">
        <f>IF(J521&gt;0,J521*0.453592,IF(K521&gt;0,K521*0.02835,))</f>
        <v>#REF!</v>
      </c>
      <c r="O521">
        <f>I521+N521+M521</f>
        <v>0</v>
      </c>
      <c r="P521">
        <f>O521*B$3</f>
        <v>0</v>
      </c>
      <c r="Q521">
        <f>ROUND(SUM(P521), -2)</f>
        <v>0</v>
      </c>
      <c r="R521" t="str">
        <f>ROUNDUP(HLOOKUP(IF(CEILING(L521,0.5)&lt;1,0.5,CEILING(L521,0.5)),'배송비 조회'!A$44:AO$56,7,0)*B$3,-2)</f>
        <v>#REF!</v>
      </c>
      <c r="S521">
        <v>0</v>
      </c>
      <c r="T521" t="str">
        <f>ROUND((Q521+R521)*0.3,-2)</f>
        <v>#REF!</v>
      </c>
      <c r="U521" t="str">
        <f>ROUND((Q521+R521)*0.4,-2)</f>
        <v>#REF!</v>
      </c>
      <c r="V521" t="str">
        <f>SUM(Q521:R521)+T521</f>
        <v>#REF!</v>
      </c>
      <c r="W521" t="str">
        <f>SUM(Q521:S521)+U521</f>
        <v>#REF!</v>
      </c>
      <c r="X521">
        <v>0</v>
      </c>
      <c r="Y521" t="str">
        <f>V521*0.038</f>
        <v>#REF!</v>
      </c>
      <c r="Z521" t="str">
        <f>V521*0.02</f>
        <v>#REF!</v>
      </c>
      <c r="AA521" t="str">
        <f>W521*0.1</f>
        <v>#REF!</v>
      </c>
      <c r="AB521" t="str">
        <f>V521-Y521-Z521</f>
        <v>#REF!</v>
      </c>
      <c r="AC521" t="str">
        <f>W521-AA521</f>
        <v>#REF!</v>
      </c>
      <c r="AD521" t="str">
        <f>AB521*0.01</f>
        <v>#REF!</v>
      </c>
      <c r="AE521" t="str">
        <f>AB521-Q521-AD521-R521</f>
        <v>#REF!</v>
      </c>
      <c r="AF521" t="str">
        <f>AC521-Q521-AD521-R521</f>
        <v>#REF!</v>
      </c>
      <c r="AG521" t="str">
        <f>AE521/V521</f>
        <v>#REF!</v>
      </c>
      <c r="AH521" t="str">
        <f>AF521/W521</f>
        <v>#REF!</v>
      </c>
    </row>
    <row r="522">
      <c r="G522" t="str">
        <v>A</v>
      </c>
      <c r="J522" t="str">
        <f>IF(K522&gt;0,K522*0.0625,IF(L522&gt;0,L522*2.204623,))</f>
        <v>#REF!</v>
      </c>
      <c r="K522" t="str">
        <f>IF(L522&gt;0,L522*35.273962,IF(J522&gt;0,J522*16,))</f>
        <v>#REF!</v>
      </c>
      <c r="L522" t="str">
        <f>IF(J522&gt;0,J522*0.453592,IF(K522&gt;0,K522*0.02835,))</f>
        <v>#REF!</v>
      </c>
      <c r="O522">
        <f>I522+N522+M522</f>
        <v>0</v>
      </c>
      <c r="P522">
        <f>O522*B$3</f>
        <v>0</v>
      </c>
      <c r="Q522">
        <f>ROUND(SUM(P522), -2)</f>
        <v>0</v>
      </c>
      <c r="R522" t="str">
        <f>ROUNDUP(HLOOKUP(IF(CEILING(L522,0.5)&lt;1,0.5,CEILING(L522,0.5)),'배송비 조회'!A$44:AO$56,7,0)*B$3,-2)</f>
        <v>#REF!</v>
      </c>
      <c r="S522">
        <v>0</v>
      </c>
      <c r="T522" t="str">
        <f>ROUND((Q522+R522)*0.3,-2)</f>
        <v>#REF!</v>
      </c>
      <c r="U522" t="str">
        <f>ROUND((Q522+R522)*0.4,-2)</f>
        <v>#REF!</v>
      </c>
      <c r="V522" t="str">
        <f>SUM(Q522:R522)+T522</f>
        <v>#REF!</v>
      </c>
      <c r="W522" t="str">
        <f>SUM(Q522:S522)+U522</f>
        <v>#REF!</v>
      </c>
      <c r="X522">
        <v>0</v>
      </c>
      <c r="Y522" t="str">
        <f>V522*0.038</f>
        <v>#REF!</v>
      </c>
      <c r="Z522" t="str">
        <f>V522*0.02</f>
        <v>#REF!</v>
      </c>
      <c r="AA522" t="str">
        <f>W522*0.1</f>
        <v>#REF!</v>
      </c>
      <c r="AB522" t="str">
        <f>V522-Y522-Z522</f>
        <v>#REF!</v>
      </c>
      <c r="AC522" t="str">
        <f>W522-AA522</f>
        <v>#REF!</v>
      </c>
      <c r="AD522" t="str">
        <f>AB522*0.01</f>
        <v>#REF!</v>
      </c>
      <c r="AE522" t="str">
        <f>AB522-Q522-AD522-R522</f>
        <v>#REF!</v>
      </c>
      <c r="AF522" t="str">
        <f>AC522-Q522-AD522-R522</f>
        <v>#REF!</v>
      </c>
      <c r="AG522" t="str">
        <f>AE522/V522</f>
        <v>#REF!</v>
      </c>
      <c r="AH522" t="str">
        <f>AF522/W522</f>
        <v>#REF!</v>
      </c>
    </row>
    <row r="523">
      <c r="G523" t="str">
        <v>A</v>
      </c>
      <c r="J523" t="str">
        <f>IF(K523&gt;0,K523*0.0625,IF(L523&gt;0,L523*2.204623,))</f>
        <v>#REF!</v>
      </c>
      <c r="K523" t="str">
        <f>IF(L523&gt;0,L523*35.273962,IF(J523&gt;0,J523*16,))</f>
        <v>#REF!</v>
      </c>
      <c r="L523" t="str">
        <f>IF(J523&gt;0,J523*0.453592,IF(K523&gt;0,K523*0.02835,))</f>
        <v>#REF!</v>
      </c>
      <c r="O523">
        <f>I523+N523+M523</f>
        <v>0</v>
      </c>
      <c r="P523">
        <f>O523*B$3</f>
        <v>0</v>
      </c>
      <c r="Q523">
        <f>ROUND(SUM(P523), -2)</f>
        <v>0</v>
      </c>
      <c r="R523" t="str">
        <f>ROUNDUP(HLOOKUP(IF(CEILING(L523,0.5)&lt;1,0.5,CEILING(L523,0.5)),'배송비 조회'!A$44:AO$56,7,0)*B$3,-2)</f>
        <v>#REF!</v>
      </c>
      <c r="S523">
        <v>0</v>
      </c>
      <c r="T523" t="str">
        <f>ROUND((Q523+R523)*0.3,-2)</f>
        <v>#REF!</v>
      </c>
      <c r="U523" t="str">
        <f>ROUND((Q523+R523)*0.4,-2)</f>
        <v>#REF!</v>
      </c>
      <c r="V523" t="str">
        <f>SUM(Q523:R523)+T523</f>
        <v>#REF!</v>
      </c>
      <c r="W523" t="str">
        <f>SUM(Q523:S523)+U523</f>
        <v>#REF!</v>
      </c>
      <c r="X523">
        <v>0</v>
      </c>
      <c r="Y523" t="str">
        <f>V523*0.038</f>
        <v>#REF!</v>
      </c>
      <c r="Z523" t="str">
        <f>V523*0.02</f>
        <v>#REF!</v>
      </c>
      <c r="AA523" t="str">
        <f>W523*0.1</f>
        <v>#REF!</v>
      </c>
      <c r="AB523" t="str">
        <f>V523-Y523-Z523</f>
        <v>#REF!</v>
      </c>
      <c r="AC523" t="str">
        <f>W523-AA523</f>
        <v>#REF!</v>
      </c>
      <c r="AD523" t="str">
        <f>AB523*0.01</f>
        <v>#REF!</v>
      </c>
      <c r="AE523" t="str">
        <f>AB523-Q523-AD523-R523</f>
        <v>#REF!</v>
      </c>
      <c r="AF523" t="str">
        <f>AC523-Q523-AD523-R523</f>
        <v>#REF!</v>
      </c>
      <c r="AG523" t="str">
        <f>AE523/V523</f>
        <v>#REF!</v>
      </c>
      <c r="AH523" t="str">
        <f>AF523/W523</f>
        <v>#REF!</v>
      </c>
    </row>
    <row r="524">
      <c r="G524" t="str">
        <v>A</v>
      </c>
      <c r="J524" t="str">
        <f>IF(K524&gt;0,K524*0.0625,IF(L524&gt;0,L524*2.204623,))</f>
        <v>#REF!</v>
      </c>
      <c r="K524" t="str">
        <f>IF(L524&gt;0,L524*35.273962,IF(J524&gt;0,J524*16,))</f>
        <v>#REF!</v>
      </c>
      <c r="L524" t="str">
        <f>IF(J524&gt;0,J524*0.453592,IF(K524&gt;0,K524*0.02835,))</f>
        <v>#REF!</v>
      </c>
      <c r="O524">
        <f>I524+N524+M524</f>
        <v>0</v>
      </c>
      <c r="P524">
        <f>O524*B$3</f>
        <v>0</v>
      </c>
      <c r="Q524">
        <f>ROUND(SUM(P524), -2)</f>
        <v>0</v>
      </c>
      <c r="R524" t="str">
        <f>ROUNDUP(HLOOKUP(IF(CEILING(L524,0.5)&lt;1,0.5,CEILING(L524,0.5)),'배송비 조회'!A$44:AO$56,7,0)*B$3,-2)</f>
        <v>#REF!</v>
      </c>
      <c r="S524">
        <v>0</v>
      </c>
      <c r="T524" t="str">
        <f>ROUND((Q524+R524)*0.3,-2)</f>
        <v>#REF!</v>
      </c>
      <c r="U524" t="str">
        <f>ROUND((Q524+R524)*0.4,-2)</f>
        <v>#REF!</v>
      </c>
      <c r="V524" t="str">
        <f>SUM(Q524:R524)+T524</f>
        <v>#REF!</v>
      </c>
      <c r="W524" t="str">
        <f>SUM(Q524:S524)+U524</f>
        <v>#REF!</v>
      </c>
      <c r="X524">
        <v>0</v>
      </c>
      <c r="Y524" t="str">
        <f>V524*0.038</f>
        <v>#REF!</v>
      </c>
      <c r="Z524" t="str">
        <f>V524*0.02</f>
        <v>#REF!</v>
      </c>
      <c r="AA524" t="str">
        <f>W524*0.1</f>
        <v>#REF!</v>
      </c>
      <c r="AB524" t="str">
        <f>V524-Y524-Z524</f>
        <v>#REF!</v>
      </c>
      <c r="AC524" t="str">
        <f>W524-AA524</f>
        <v>#REF!</v>
      </c>
      <c r="AD524" t="str">
        <f>AB524*0.01</f>
        <v>#REF!</v>
      </c>
      <c r="AE524" t="str">
        <f>AB524-Q524-AD524-R524</f>
        <v>#REF!</v>
      </c>
      <c r="AF524" t="str">
        <f>AC524-Q524-AD524-R524</f>
        <v>#REF!</v>
      </c>
      <c r="AG524" t="str">
        <f>AE524/V524</f>
        <v>#REF!</v>
      </c>
      <c r="AH524" t="str">
        <f>AF524/W524</f>
        <v>#REF!</v>
      </c>
    </row>
    <row r="525">
      <c r="G525" t="str">
        <v>A</v>
      </c>
      <c r="J525" t="str">
        <f>IF(K525&gt;0,K525*0.0625,IF(L525&gt;0,L525*2.204623,))</f>
        <v>#REF!</v>
      </c>
      <c r="K525" t="str">
        <f>IF(L525&gt;0,L525*35.273962,IF(J525&gt;0,J525*16,))</f>
        <v>#REF!</v>
      </c>
      <c r="L525" t="str">
        <f>IF(J525&gt;0,J525*0.453592,IF(K525&gt;0,K525*0.02835,))</f>
        <v>#REF!</v>
      </c>
      <c r="O525">
        <f>I525+N525+M525</f>
        <v>0</v>
      </c>
      <c r="P525">
        <f>O525*B$3</f>
        <v>0</v>
      </c>
      <c r="Q525">
        <f>ROUND(SUM(P525), -2)</f>
        <v>0</v>
      </c>
      <c r="R525" t="str">
        <f>ROUNDUP(HLOOKUP(IF(CEILING(L525,0.5)&lt;1,0.5,CEILING(L525,0.5)),'배송비 조회'!A$44:AO$56,7,0)*B$3,-2)</f>
        <v>#REF!</v>
      </c>
      <c r="S525">
        <v>0</v>
      </c>
      <c r="T525" t="str">
        <f>ROUND((Q525+R525)*0.3,-2)</f>
        <v>#REF!</v>
      </c>
      <c r="U525" t="str">
        <f>ROUND((Q525+R525)*0.4,-2)</f>
        <v>#REF!</v>
      </c>
      <c r="V525" t="str">
        <f>SUM(Q525:R525)+T525</f>
        <v>#REF!</v>
      </c>
      <c r="W525" t="str">
        <f>SUM(Q525:S525)+U525</f>
        <v>#REF!</v>
      </c>
      <c r="X525">
        <v>0</v>
      </c>
      <c r="Y525" t="str">
        <f>V525*0.038</f>
        <v>#REF!</v>
      </c>
      <c r="Z525" t="str">
        <f>V525*0.02</f>
        <v>#REF!</v>
      </c>
      <c r="AA525" t="str">
        <f>W525*0.1</f>
        <v>#REF!</v>
      </c>
      <c r="AB525" t="str">
        <f>V525-Y525-Z525</f>
        <v>#REF!</v>
      </c>
      <c r="AC525" t="str">
        <f>W525-AA525</f>
        <v>#REF!</v>
      </c>
      <c r="AD525" t="str">
        <f>AB525*0.01</f>
        <v>#REF!</v>
      </c>
      <c r="AE525" t="str">
        <f>AB525-Q525-AD525-R525</f>
        <v>#REF!</v>
      </c>
      <c r="AF525" t="str">
        <f>AC525-Q525-AD525-R525</f>
        <v>#REF!</v>
      </c>
      <c r="AG525" t="str">
        <f>AE525/V525</f>
        <v>#REF!</v>
      </c>
      <c r="AH525" t="str">
        <f>AF525/W525</f>
        <v>#REF!</v>
      </c>
    </row>
    <row r="526">
      <c r="G526" t="str">
        <v>A</v>
      </c>
      <c r="J526" t="str">
        <f>IF(K526&gt;0,K526*0.0625,IF(L526&gt;0,L526*2.204623,))</f>
        <v>#REF!</v>
      </c>
      <c r="K526" t="str">
        <f>IF(L526&gt;0,L526*35.273962,IF(J526&gt;0,J526*16,))</f>
        <v>#REF!</v>
      </c>
      <c r="L526" t="str">
        <f>IF(J526&gt;0,J526*0.453592,IF(K526&gt;0,K526*0.02835,))</f>
        <v>#REF!</v>
      </c>
      <c r="O526">
        <f>I526+N526+M526</f>
        <v>0</v>
      </c>
      <c r="P526">
        <f>O526*B$3</f>
        <v>0</v>
      </c>
      <c r="Q526">
        <f>ROUND(SUM(P526), -2)</f>
        <v>0</v>
      </c>
      <c r="R526" t="str">
        <f>ROUNDUP(HLOOKUP(IF(CEILING(L526,0.5)&lt;1,0.5,CEILING(L526,0.5)),'배송비 조회'!A$44:AO$56,7,0)*B$3,-2)</f>
        <v>#REF!</v>
      </c>
      <c r="S526">
        <v>0</v>
      </c>
      <c r="T526" t="str">
        <f>ROUND((Q526+R526)*0.3,-2)</f>
        <v>#REF!</v>
      </c>
      <c r="U526" t="str">
        <f>ROUND((Q526+R526)*0.4,-2)</f>
        <v>#REF!</v>
      </c>
      <c r="V526" t="str">
        <f>SUM(Q526:R526)+T526</f>
        <v>#REF!</v>
      </c>
      <c r="W526" t="str">
        <f>SUM(Q526:S526)+U526</f>
        <v>#REF!</v>
      </c>
      <c r="X526">
        <v>0</v>
      </c>
      <c r="Y526" t="str">
        <f>V526*0.038</f>
        <v>#REF!</v>
      </c>
      <c r="Z526" t="str">
        <f>V526*0.02</f>
        <v>#REF!</v>
      </c>
      <c r="AA526" t="str">
        <f>W526*0.1</f>
        <v>#REF!</v>
      </c>
      <c r="AB526" t="str">
        <f>V526-Y526-Z526</f>
        <v>#REF!</v>
      </c>
      <c r="AC526" t="str">
        <f>W526-AA526</f>
        <v>#REF!</v>
      </c>
      <c r="AD526" t="str">
        <f>AB526*0.01</f>
        <v>#REF!</v>
      </c>
      <c r="AE526" t="str">
        <f>AB526-Q526-AD526-R526</f>
        <v>#REF!</v>
      </c>
      <c r="AF526" t="str">
        <f>AC526-Q526-AD526-R526</f>
        <v>#REF!</v>
      </c>
      <c r="AG526" t="str">
        <f>AE526/V526</f>
        <v>#REF!</v>
      </c>
      <c r="AH526" t="str">
        <f>AF526/W526</f>
        <v>#REF!</v>
      </c>
    </row>
    <row r="527">
      <c r="G527" t="str">
        <v>A</v>
      </c>
      <c r="J527" t="str">
        <f>IF(K527&gt;0,K527*0.0625,IF(L527&gt;0,L527*2.204623,))</f>
        <v>#REF!</v>
      </c>
      <c r="K527" t="str">
        <f>IF(L527&gt;0,L527*35.273962,IF(J527&gt;0,J527*16,))</f>
        <v>#REF!</v>
      </c>
      <c r="L527" t="str">
        <f>IF(J527&gt;0,J527*0.453592,IF(K527&gt;0,K527*0.02835,))</f>
        <v>#REF!</v>
      </c>
      <c r="O527">
        <f>I527+N527+M527</f>
        <v>0</v>
      </c>
      <c r="P527">
        <f>O527*B$3</f>
        <v>0</v>
      </c>
      <c r="Q527">
        <f>ROUND(SUM(P527), -2)</f>
        <v>0</v>
      </c>
      <c r="R527" t="str">
        <f>ROUNDUP(HLOOKUP(IF(CEILING(L527,0.5)&lt;1,0.5,CEILING(L527,0.5)),'배송비 조회'!A$44:AO$56,7,0)*B$3,-2)</f>
        <v>#REF!</v>
      </c>
      <c r="S527">
        <v>0</v>
      </c>
      <c r="T527" t="str">
        <f>ROUND((Q527+R527)*0.3,-2)</f>
        <v>#REF!</v>
      </c>
      <c r="U527" t="str">
        <f>ROUND((Q527+R527)*0.4,-2)</f>
        <v>#REF!</v>
      </c>
      <c r="V527" t="str">
        <f>SUM(Q527:R527)+T527</f>
        <v>#REF!</v>
      </c>
      <c r="W527" t="str">
        <f>SUM(Q527:S527)+U527</f>
        <v>#REF!</v>
      </c>
      <c r="X527">
        <v>0</v>
      </c>
      <c r="Y527" t="str">
        <f>V527*0.038</f>
        <v>#REF!</v>
      </c>
      <c r="Z527" t="str">
        <f>V527*0.02</f>
        <v>#REF!</v>
      </c>
      <c r="AA527" t="str">
        <f>W527*0.1</f>
        <v>#REF!</v>
      </c>
      <c r="AB527" t="str">
        <f>V527-Y527-Z527</f>
        <v>#REF!</v>
      </c>
      <c r="AC527" t="str">
        <f>W527-AA527</f>
        <v>#REF!</v>
      </c>
      <c r="AD527" t="str">
        <f>AB527*0.01</f>
        <v>#REF!</v>
      </c>
      <c r="AE527" t="str">
        <f>AB527-Q527-AD527-R527</f>
        <v>#REF!</v>
      </c>
      <c r="AF527" t="str">
        <f>AC527-Q527-AD527-R527</f>
        <v>#REF!</v>
      </c>
      <c r="AG527" t="str">
        <f>AE527/V527</f>
        <v>#REF!</v>
      </c>
      <c r="AH527" t="str">
        <f>AF527/W527</f>
        <v>#REF!</v>
      </c>
    </row>
    <row r="528">
      <c r="G528" t="str">
        <v>A</v>
      </c>
      <c r="J528" t="str">
        <f>IF(K528&gt;0,K528*0.0625,IF(L528&gt;0,L528*2.204623,))</f>
        <v>#REF!</v>
      </c>
      <c r="K528" t="str">
        <f>IF(L528&gt;0,L528*35.273962,IF(J528&gt;0,J528*16,))</f>
        <v>#REF!</v>
      </c>
      <c r="L528" t="str">
        <f>IF(J528&gt;0,J528*0.453592,IF(K528&gt;0,K528*0.02835,))</f>
        <v>#REF!</v>
      </c>
      <c r="O528">
        <f>I528+N528+M528</f>
        <v>0</v>
      </c>
      <c r="P528">
        <f>O528*B$3</f>
        <v>0</v>
      </c>
      <c r="Q528">
        <f>ROUND(SUM(P528), -2)</f>
        <v>0</v>
      </c>
      <c r="R528" t="str">
        <f>ROUNDUP(HLOOKUP(IF(CEILING(L528,0.5)&lt;1,0.5,CEILING(L528,0.5)),'배송비 조회'!A$44:AO$56,7,0)*B$3,-2)</f>
        <v>#REF!</v>
      </c>
      <c r="S528">
        <v>0</v>
      </c>
      <c r="T528" t="str">
        <f>ROUND((Q528+R528)*0.3,-2)</f>
        <v>#REF!</v>
      </c>
      <c r="U528" t="str">
        <f>ROUND((Q528+R528)*0.4,-2)</f>
        <v>#REF!</v>
      </c>
      <c r="V528" t="str">
        <f>SUM(Q528:R528)+T528</f>
        <v>#REF!</v>
      </c>
      <c r="W528" t="str">
        <f>SUM(Q528:S528)+U528</f>
        <v>#REF!</v>
      </c>
      <c r="X528">
        <v>0</v>
      </c>
      <c r="Y528" t="str">
        <f>V528*0.038</f>
        <v>#REF!</v>
      </c>
      <c r="Z528" t="str">
        <f>V528*0.02</f>
        <v>#REF!</v>
      </c>
      <c r="AA528" t="str">
        <f>W528*0.1</f>
        <v>#REF!</v>
      </c>
      <c r="AB528" t="str">
        <f>V528-Y528-Z528</f>
        <v>#REF!</v>
      </c>
      <c r="AC528" t="str">
        <f>W528-AA528</f>
        <v>#REF!</v>
      </c>
      <c r="AD528" t="str">
        <f>AB528*0.01</f>
        <v>#REF!</v>
      </c>
      <c r="AE528" t="str">
        <f>AB528-Q528-AD528-R528</f>
        <v>#REF!</v>
      </c>
      <c r="AF528" t="str">
        <f>AC528-Q528-AD528-R528</f>
        <v>#REF!</v>
      </c>
      <c r="AG528" t="str">
        <f>AE528/V528</f>
        <v>#REF!</v>
      </c>
      <c r="AH528" t="str">
        <f>AF528/W528</f>
        <v>#REF!</v>
      </c>
    </row>
    <row r="529">
      <c r="G529" t="str">
        <v>A</v>
      </c>
      <c r="J529" t="str">
        <f>IF(K529&gt;0,K529*0.0625,IF(L529&gt;0,L529*2.204623,))</f>
        <v>#REF!</v>
      </c>
      <c r="K529" t="str">
        <f>IF(L529&gt;0,L529*35.273962,IF(J529&gt;0,J529*16,))</f>
        <v>#REF!</v>
      </c>
      <c r="L529" t="str">
        <f>IF(J529&gt;0,J529*0.453592,IF(K529&gt;0,K529*0.02835,))</f>
        <v>#REF!</v>
      </c>
      <c r="O529">
        <f>I529+N529+M529</f>
        <v>0</v>
      </c>
      <c r="P529">
        <f>O529*B$3</f>
        <v>0</v>
      </c>
      <c r="Q529">
        <f>ROUND(SUM(P529), -2)</f>
        <v>0</v>
      </c>
      <c r="R529" t="str">
        <f>ROUNDUP(HLOOKUP(IF(CEILING(L529,0.5)&lt;1,0.5,CEILING(L529,0.5)),'배송비 조회'!A$44:AO$56,7,0)*B$3,-2)</f>
        <v>#REF!</v>
      </c>
      <c r="S529">
        <v>0</v>
      </c>
      <c r="T529" t="str">
        <f>ROUND((Q529+R529)*0.3,-2)</f>
        <v>#REF!</v>
      </c>
      <c r="U529" t="str">
        <f>ROUND((Q529+R529)*0.4,-2)</f>
        <v>#REF!</v>
      </c>
      <c r="V529" t="str">
        <f>SUM(Q529:R529)+T529</f>
        <v>#REF!</v>
      </c>
      <c r="W529" t="str">
        <f>SUM(Q529:S529)+U529</f>
        <v>#REF!</v>
      </c>
      <c r="X529">
        <v>0</v>
      </c>
      <c r="Y529" t="str">
        <f>V529*0.038</f>
        <v>#REF!</v>
      </c>
      <c r="Z529" t="str">
        <f>V529*0.02</f>
        <v>#REF!</v>
      </c>
      <c r="AA529" t="str">
        <f>W529*0.1</f>
        <v>#REF!</v>
      </c>
      <c r="AB529" t="str">
        <f>V529-Y529-Z529</f>
        <v>#REF!</v>
      </c>
      <c r="AC529" t="str">
        <f>W529-AA529</f>
        <v>#REF!</v>
      </c>
      <c r="AD529" t="str">
        <f>AB529*0.01</f>
        <v>#REF!</v>
      </c>
      <c r="AE529" t="str">
        <f>AB529-Q529-AD529-R529</f>
        <v>#REF!</v>
      </c>
      <c r="AF529" t="str">
        <f>AC529-Q529-AD529-R529</f>
        <v>#REF!</v>
      </c>
      <c r="AG529" t="str">
        <f>AE529/V529</f>
        <v>#REF!</v>
      </c>
      <c r="AH529" t="str">
        <f>AF529/W529</f>
        <v>#REF!</v>
      </c>
    </row>
    <row r="530">
      <c r="G530" t="str">
        <v>A</v>
      </c>
      <c r="J530" t="str">
        <f>IF(K530&gt;0,K530*0.0625,IF(L530&gt;0,L530*2.204623,))</f>
        <v>#REF!</v>
      </c>
      <c r="K530" t="str">
        <f>IF(L530&gt;0,L530*35.273962,IF(J530&gt;0,J530*16,))</f>
        <v>#REF!</v>
      </c>
      <c r="L530" t="str">
        <f>IF(J530&gt;0,J530*0.453592,IF(K530&gt;0,K530*0.02835,))</f>
        <v>#REF!</v>
      </c>
      <c r="O530">
        <f>I530+N530+M530</f>
        <v>0</v>
      </c>
      <c r="P530">
        <f>O530*B$3</f>
        <v>0</v>
      </c>
      <c r="Q530">
        <f>ROUND(SUM(P530), -2)</f>
        <v>0</v>
      </c>
      <c r="R530" t="str">
        <f>ROUNDUP(HLOOKUP(IF(CEILING(L530,0.5)&lt;1,0.5,CEILING(L530,0.5)),'배송비 조회'!A$44:AO$56,7,0)*B$3,-2)</f>
        <v>#REF!</v>
      </c>
      <c r="S530">
        <v>0</v>
      </c>
      <c r="T530" t="str">
        <f>ROUND((Q530+R530)*0.3,-2)</f>
        <v>#REF!</v>
      </c>
      <c r="U530" t="str">
        <f>ROUND((Q530+R530)*0.4,-2)</f>
        <v>#REF!</v>
      </c>
      <c r="V530" t="str">
        <f>SUM(Q530:R530)+T530</f>
        <v>#REF!</v>
      </c>
      <c r="W530" t="str">
        <f>SUM(Q530:S530)+U530</f>
        <v>#REF!</v>
      </c>
      <c r="X530">
        <v>0</v>
      </c>
      <c r="Y530" t="str">
        <f>V530*0.038</f>
        <v>#REF!</v>
      </c>
      <c r="Z530" t="str">
        <f>V530*0.02</f>
        <v>#REF!</v>
      </c>
      <c r="AA530" t="str">
        <f>W530*0.1</f>
        <v>#REF!</v>
      </c>
      <c r="AB530" t="str">
        <f>V530-Y530-Z530</f>
        <v>#REF!</v>
      </c>
      <c r="AC530" t="str">
        <f>W530-AA530</f>
        <v>#REF!</v>
      </c>
      <c r="AD530" t="str">
        <f>AB530*0.01</f>
        <v>#REF!</v>
      </c>
      <c r="AE530" t="str">
        <f>AB530-Q530-AD530-R530</f>
        <v>#REF!</v>
      </c>
      <c r="AF530" t="str">
        <f>AC530-Q530-AD530-R530</f>
        <v>#REF!</v>
      </c>
      <c r="AG530" t="str">
        <f>AE530/V530</f>
        <v>#REF!</v>
      </c>
      <c r="AH530" t="str">
        <f>AF530/W530</f>
        <v>#REF!</v>
      </c>
    </row>
    <row r="531">
      <c r="G531" t="str">
        <v>A</v>
      </c>
      <c r="J531" t="str">
        <f>IF(K531&gt;0,K531*0.0625,IF(L531&gt;0,L531*2.204623,))</f>
        <v>#REF!</v>
      </c>
      <c r="K531" t="str">
        <f>IF(L531&gt;0,L531*35.273962,IF(J531&gt;0,J531*16,))</f>
        <v>#REF!</v>
      </c>
      <c r="L531" t="str">
        <f>IF(J531&gt;0,J531*0.453592,IF(K531&gt;0,K531*0.02835,))</f>
        <v>#REF!</v>
      </c>
      <c r="O531">
        <f>I531+N531+M531</f>
        <v>0</v>
      </c>
      <c r="P531">
        <f>O531*B$3</f>
        <v>0</v>
      </c>
      <c r="Q531">
        <f>ROUND(SUM(P531), -2)</f>
        <v>0</v>
      </c>
      <c r="R531" t="str">
        <f>ROUNDUP(HLOOKUP(IF(CEILING(L531,0.5)&lt;1,0.5,CEILING(L531,0.5)),'배송비 조회'!A$44:AO$56,7,0)*B$3,-2)</f>
        <v>#REF!</v>
      </c>
      <c r="S531">
        <v>0</v>
      </c>
      <c r="T531" t="str">
        <f>ROUND((Q531+R531)*0.3,-2)</f>
        <v>#REF!</v>
      </c>
      <c r="U531" t="str">
        <f>ROUND((Q531+R531)*0.4,-2)</f>
        <v>#REF!</v>
      </c>
      <c r="V531" t="str">
        <f>SUM(Q531:R531)+T531</f>
        <v>#REF!</v>
      </c>
      <c r="W531" t="str">
        <f>SUM(Q531:S531)+U531</f>
        <v>#REF!</v>
      </c>
      <c r="X531">
        <v>0</v>
      </c>
      <c r="Y531" t="str">
        <f>V531*0.038</f>
        <v>#REF!</v>
      </c>
      <c r="Z531" t="str">
        <f>V531*0.02</f>
        <v>#REF!</v>
      </c>
      <c r="AA531" t="str">
        <f>W531*0.1</f>
        <v>#REF!</v>
      </c>
      <c r="AB531" t="str">
        <f>V531-Y531-Z531</f>
        <v>#REF!</v>
      </c>
      <c r="AC531" t="str">
        <f>W531-AA531</f>
        <v>#REF!</v>
      </c>
      <c r="AD531" t="str">
        <f>AB531*0.01</f>
        <v>#REF!</v>
      </c>
      <c r="AE531" t="str">
        <f>AB531-Q531-AD531-R531</f>
        <v>#REF!</v>
      </c>
      <c r="AF531" t="str">
        <f>AC531-Q531-AD531-R531</f>
        <v>#REF!</v>
      </c>
      <c r="AG531" t="str">
        <f>AE531/V531</f>
        <v>#REF!</v>
      </c>
      <c r="AH531" t="str">
        <f>AF531/W531</f>
        <v>#REF!</v>
      </c>
    </row>
    <row r="532">
      <c r="G532" t="str">
        <v>A</v>
      </c>
      <c r="J532" t="str">
        <f>IF(K532&gt;0,K532*0.0625,IF(L532&gt;0,L532*2.204623,))</f>
        <v>#REF!</v>
      </c>
      <c r="K532" t="str">
        <f>IF(L532&gt;0,L532*35.273962,IF(J532&gt;0,J532*16,))</f>
        <v>#REF!</v>
      </c>
      <c r="L532" t="str">
        <f>IF(J532&gt;0,J532*0.453592,IF(K532&gt;0,K532*0.02835,))</f>
        <v>#REF!</v>
      </c>
      <c r="O532">
        <f>I532+N532+M532</f>
        <v>0</v>
      </c>
      <c r="P532">
        <f>O532*B$3</f>
        <v>0</v>
      </c>
      <c r="Q532">
        <f>ROUND(SUM(P532), -2)</f>
        <v>0</v>
      </c>
      <c r="R532" t="str">
        <f>ROUNDUP(HLOOKUP(IF(CEILING(L532,0.5)&lt;1,0.5,CEILING(L532,0.5)),'배송비 조회'!A$44:AO$56,7,0)*B$3,-2)</f>
        <v>#REF!</v>
      </c>
      <c r="S532">
        <v>0</v>
      </c>
      <c r="T532" t="str">
        <f>ROUND((Q532+R532)*0.3,-2)</f>
        <v>#REF!</v>
      </c>
      <c r="U532" t="str">
        <f>ROUND((Q532+R532)*0.4,-2)</f>
        <v>#REF!</v>
      </c>
      <c r="V532" t="str">
        <f>SUM(Q532:R532)+T532</f>
        <v>#REF!</v>
      </c>
      <c r="W532" t="str">
        <f>SUM(Q532:S532)+U532</f>
        <v>#REF!</v>
      </c>
      <c r="X532">
        <v>0</v>
      </c>
      <c r="Y532" t="str">
        <f>V532*0.038</f>
        <v>#REF!</v>
      </c>
      <c r="Z532" t="str">
        <f>V532*0.02</f>
        <v>#REF!</v>
      </c>
      <c r="AA532" t="str">
        <f>W532*0.1</f>
        <v>#REF!</v>
      </c>
      <c r="AB532" t="str">
        <f>V532-Y532-Z532</f>
        <v>#REF!</v>
      </c>
      <c r="AC532" t="str">
        <f>W532-AA532</f>
        <v>#REF!</v>
      </c>
      <c r="AD532" t="str">
        <f>AB532*0.01</f>
        <v>#REF!</v>
      </c>
      <c r="AE532" t="str">
        <f>AB532-Q532-AD532-R532</f>
        <v>#REF!</v>
      </c>
      <c r="AF532" t="str">
        <f>AC532-Q532-AD532-R532</f>
        <v>#REF!</v>
      </c>
      <c r="AG532" t="str">
        <f>AE532/V532</f>
        <v>#REF!</v>
      </c>
      <c r="AH532" t="str">
        <f>AF532/W532</f>
        <v>#REF!</v>
      </c>
    </row>
    <row r="533">
      <c r="G533" t="str">
        <v>A</v>
      </c>
      <c r="J533" t="str">
        <f>IF(K533&gt;0,K533*0.0625,IF(L533&gt;0,L533*2.204623,))</f>
        <v>#REF!</v>
      </c>
      <c r="K533" t="str">
        <f>IF(L533&gt;0,L533*35.273962,IF(J533&gt;0,J533*16,))</f>
        <v>#REF!</v>
      </c>
      <c r="L533" t="str">
        <f>IF(J533&gt;0,J533*0.453592,IF(K533&gt;0,K533*0.02835,))</f>
        <v>#REF!</v>
      </c>
      <c r="O533">
        <f>I533+N533+M533</f>
        <v>0</v>
      </c>
      <c r="P533">
        <f>O533*B$3</f>
        <v>0</v>
      </c>
      <c r="Q533">
        <f>ROUND(SUM(P533), -2)</f>
        <v>0</v>
      </c>
      <c r="R533" t="str">
        <f>ROUNDUP(HLOOKUP(IF(CEILING(L533,0.5)&lt;1,0.5,CEILING(L533,0.5)),'배송비 조회'!A$44:AO$56,7,0)*B$3,-2)</f>
        <v>#REF!</v>
      </c>
      <c r="S533">
        <v>0</v>
      </c>
      <c r="T533" t="str">
        <f>ROUND((Q533+R533)*0.3,-2)</f>
        <v>#REF!</v>
      </c>
      <c r="U533" t="str">
        <f>ROUND((Q533+R533)*0.4,-2)</f>
        <v>#REF!</v>
      </c>
      <c r="V533" t="str">
        <f>SUM(Q533:R533)+T533</f>
        <v>#REF!</v>
      </c>
      <c r="W533" t="str">
        <f>SUM(Q533:S533)+U533</f>
        <v>#REF!</v>
      </c>
      <c r="X533">
        <v>0</v>
      </c>
      <c r="Y533" t="str">
        <f>V533*0.038</f>
        <v>#REF!</v>
      </c>
      <c r="Z533" t="str">
        <f>V533*0.02</f>
        <v>#REF!</v>
      </c>
      <c r="AA533" t="str">
        <f>W533*0.1</f>
        <v>#REF!</v>
      </c>
      <c r="AB533" t="str">
        <f>V533-Y533-Z533</f>
        <v>#REF!</v>
      </c>
      <c r="AC533" t="str">
        <f>W533-AA533</f>
        <v>#REF!</v>
      </c>
      <c r="AD533" t="str">
        <f>AB533*0.01</f>
        <v>#REF!</v>
      </c>
      <c r="AE533" t="str">
        <f>AB533-Q533-AD533-R533</f>
        <v>#REF!</v>
      </c>
      <c r="AF533" t="str">
        <f>AC533-Q533-AD533-R533</f>
        <v>#REF!</v>
      </c>
      <c r="AG533" t="str">
        <f>AE533/V533</f>
        <v>#REF!</v>
      </c>
      <c r="AH533" t="str">
        <f>AF533/W533</f>
        <v>#REF!</v>
      </c>
    </row>
    <row r="534">
      <c r="G534" t="str">
        <v>A</v>
      </c>
      <c r="J534" t="str">
        <f>IF(K534&gt;0,K534*0.0625,IF(L534&gt;0,L534*2.204623,))</f>
        <v>#REF!</v>
      </c>
      <c r="K534" t="str">
        <f>IF(L534&gt;0,L534*35.273962,IF(J534&gt;0,J534*16,))</f>
        <v>#REF!</v>
      </c>
      <c r="L534" t="str">
        <f>IF(J534&gt;0,J534*0.453592,IF(K534&gt;0,K534*0.02835,))</f>
        <v>#REF!</v>
      </c>
      <c r="O534">
        <f>I534+N534+M534</f>
        <v>0</v>
      </c>
      <c r="P534">
        <f>O534*B$3</f>
        <v>0</v>
      </c>
      <c r="Q534">
        <f>ROUND(SUM(P534), -2)</f>
        <v>0</v>
      </c>
      <c r="R534" t="str">
        <f>ROUNDUP(HLOOKUP(IF(CEILING(L534,0.5)&lt;1,0.5,CEILING(L534,0.5)),'배송비 조회'!A$44:AO$56,7,0)*B$3,-2)</f>
        <v>#REF!</v>
      </c>
      <c r="S534">
        <v>0</v>
      </c>
      <c r="T534" t="str">
        <f>ROUND((Q534+R534)*0.3,-2)</f>
        <v>#REF!</v>
      </c>
      <c r="U534" t="str">
        <f>ROUND((Q534+R534)*0.4,-2)</f>
        <v>#REF!</v>
      </c>
      <c r="V534" t="str">
        <f>SUM(Q534:R534)+T534</f>
        <v>#REF!</v>
      </c>
      <c r="W534" t="str">
        <f>SUM(Q534:S534)+U534</f>
        <v>#REF!</v>
      </c>
      <c r="X534">
        <v>0</v>
      </c>
      <c r="Y534" t="str">
        <f>V534*0.038</f>
        <v>#REF!</v>
      </c>
      <c r="Z534" t="str">
        <f>V534*0.02</f>
        <v>#REF!</v>
      </c>
      <c r="AA534" t="str">
        <f>W534*0.1</f>
        <v>#REF!</v>
      </c>
      <c r="AB534" t="str">
        <f>V534-Y534-Z534</f>
        <v>#REF!</v>
      </c>
      <c r="AC534" t="str">
        <f>W534-AA534</f>
        <v>#REF!</v>
      </c>
      <c r="AD534" t="str">
        <f>AB534*0.01</f>
        <v>#REF!</v>
      </c>
      <c r="AE534" t="str">
        <f>AB534-Q534-AD534-R534</f>
        <v>#REF!</v>
      </c>
      <c r="AF534" t="str">
        <f>AC534-Q534-AD534-R534</f>
        <v>#REF!</v>
      </c>
      <c r="AG534" t="str">
        <f>AE534/V534</f>
        <v>#REF!</v>
      </c>
      <c r="AH534" t="str">
        <f>AF534/W534</f>
        <v>#REF!</v>
      </c>
    </row>
    <row r="535">
      <c r="G535" t="str">
        <v>A</v>
      </c>
      <c r="J535" t="str">
        <f>IF(K535&gt;0,K535*0.0625,IF(L535&gt;0,L535*2.204623,))</f>
        <v>#REF!</v>
      </c>
      <c r="K535" t="str">
        <f>IF(L535&gt;0,L535*35.273962,IF(J535&gt;0,J535*16,))</f>
        <v>#REF!</v>
      </c>
      <c r="L535" t="str">
        <f>IF(J535&gt;0,J535*0.453592,IF(K535&gt;0,K535*0.02835,))</f>
        <v>#REF!</v>
      </c>
      <c r="O535">
        <f>I535+N535+M535</f>
        <v>0</v>
      </c>
      <c r="P535">
        <f>O535*B$3</f>
        <v>0</v>
      </c>
      <c r="Q535">
        <f>ROUND(SUM(P535), -2)</f>
        <v>0</v>
      </c>
      <c r="R535" t="str">
        <f>ROUNDUP(HLOOKUP(IF(CEILING(L535,0.5)&lt;1,0.5,CEILING(L535,0.5)),'배송비 조회'!A$44:AO$56,7,0)*B$3,-2)</f>
        <v>#REF!</v>
      </c>
      <c r="S535">
        <v>0</v>
      </c>
      <c r="T535" t="str">
        <f>ROUND((Q535+R535)*0.3,-2)</f>
        <v>#REF!</v>
      </c>
      <c r="U535" t="str">
        <f>ROUND((Q535+R535)*0.4,-2)</f>
        <v>#REF!</v>
      </c>
      <c r="V535" t="str">
        <f>SUM(Q535:R535)+T535</f>
        <v>#REF!</v>
      </c>
      <c r="W535" t="str">
        <f>SUM(Q535:S535)+U535</f>
        <v>#REF!</v>
      </c>
      <c r="X535">
        <v>0</v>
      </c>
      <c r="Y535" t="str">
        <f>V535*0.038</f>
        <v>#REF!</v>
      </c>
      <c r="Z535" t="str">
        <f>V535*0.02</f>
        <v>#REF!</v>
      </c>
      <c r="AA535" t="str">
        <f>W535*0.1</f>
        <v>#REF!</v>
      </c>
      <c r="AB535" t="str">
        <f>V535-Y535-Z535</f>
        <v>#REF!</v>
      </c>
      <c r="AC535" t="str">
        <f>W535-AA535</f>
        <v>#REF!</v>
      </c>
      <c r="AD535" t="str">
        <f>AB535*0.01</f>
        <v>#REF!</v>
      </c>
      <c r="AE535" t="str">
        <f>AB535-Q535-AD535-R535</f>
        <v>#REF!</v>
      </c>
      <c r="AF535" t="str">
        <f>AC535-Q535-AD535-R535</f>
        <v>#REF!</v>
      </c>
      <c r="AG535" t="str">
        <f>AE535/V535</f>
        <v>#REF!</v>
      </c>
      <c r="AH535" t="str">
        <f>AF535/W535</f>
        <v>#REF!</v>
      </c>
    </row>
    <row r="536">
      <c r="G536" t="str">
        <v>A</v>
      </c>
      <c r="J536" t="str">
        <f>IF(K536&gt;0,K536*0.0625,IF(L536&gt;0,L536*2.204623,))</f>
        <v>#REF!</v>
      </c>
      <c r="K536" t="str">
        <f>IF(L536&gt;0,L536*35.273962,IF(J536&gt;0,J536*16,))</f>
        <v>#REF!</v>
      </c>
      <c r="L536" t="str">
        <f>IF(J536&gt;0,J536*0.453592,IF(K536&gt;0,K536*0.02835,))</f>
        <v>#REF!</v>
      </c>
      <c r="O536">
        <f>I536+N536+M536</f>
        <v>0</v>
      </c>
      <c r="P536">
        <f>O536*B$3</f>
        <v>0</v>
      </c>
      <c r="Q536">
        <f>ROUND(SUM(P536), -2)</f>
        <v>0</v>
      </c>
      <c r="R536" t="str">
        <f>ROUNDUP(HLOOKUP(IF(CEILING(L536,0.5)&lt;1,0.5,CEILING(L536,0.5)),'배송비 조회'!A$44:AO$56,7,0)*B$3,-2)</f>
        <v>#REF!</v>
      </c>
      <c r="S536">
        <v>0</v>
      </c>
      <c r="T536" t="str">
        <f>ROUND((Q536+R536)*0.3,-2)</f>
        <v>#REF!</v>
      </c>
      <c r="U536" t="str">
        <f>ROUND((Q536+R536)*0.4,-2)</f>
        <v>#REF!</v>
      </c>
      <c r="V536" t="str">
        <f>SUM(Q536:R536)+T536</f>
        <v>#REF!</v>
      </c>
      <c r="W536" t="str">
        <f>SUM(Q536:S536)+U536</f>
        <v>#REF!</v>
      </c>
      <c r="X536">
        <v>0</v>
      </c>
      <c r="Y536" t="str">
        <f>V536*0.038</f>
        <v>#REF!</v>
      </c>
      <c r="Z536" t="str">
        <f>V536*0.02</f>
        <v>#REF!</v>
      </c>
      <c r="AA536" t="str">
        <f>W536*0.1</f>
        <v>#REF!</v>
      </c>
      <c r="AB536" t="str">
        <f>V536-Y536-Z536</f>
        <v>#REF!</v>
      </c>
      <c r="AC536" t="str">
        <f>W536-AA536</f>
        <v>#REF!</v>
      </c>
      <c r="AD536" t="str">
        <f>AB536*0.01</f>
        <v>#REF!</v>
      </c>
      <c r="AE536" t="str">
        <f>AB536-Q536-AD536-R536</f>
        <v>#REF!</v>
      </c>
      <c r="AF536" t="str">
        <f>AC536-Q536-AD536-R536</f>
        <v>#REF!</v>
      </c>
      <c r="AG536" t="str">
        <f>AE536/V536</f>
        <v>#REF!</v>
      </c>
      <c r="AH536" t="str">
        <f>AF536/W536</f>
        <v>#REF!</v>
      </c>
    </row>
    <row r="537">
      <c r="G537" t="str">
        <v>A</v>
      </c>
      <c r="J537" t="str">
        <f>IF(K537&gt;0,K537*0.0625,IF(L537&gt;0,L537*2.204623,))</f>
        <v>#REF!</v>
      </c>
      <c r="K537" t="str">
        <f>IF(L537&gt;0,L537*35.273962,IF(J537&gt;0,J537*16,))</f>
        <v>#REF!</v>
      </c>
      <c r="L537" t="str">
        <f>IF(J537&gt;0,J537*0.453592,IF(K537&gt;0,K537*0.02835,))</f>
        <v>#REF!</v>
      </c>
      <c r="O537">
        <f>I537+N537+M537</f>
        <v>0</v>
      </c>
      <c r="P537">
        <f>O537*B$3</f>
        <v>0</v>
      </c>
      <c r="Q537">
        <f>ROUND(SUM(P537), -2)</f>
        <v>0</v>
      </c>
      <c r="R537" t="str">
        <f>ROUNDUP(HLOOKUP(IF(CEILING(L537,0.5)&lt;1,0.5,CEILING(L537,0.5)),'배송비 조회'!A$44:AO$56,7,0)*B$3,-2)</f>
        <v>#REF!</v>
      </c>
      <c r="S537">
        <v>0</v>
      </c>
      <c r="T537" t="str">
        <f>ROUND((Q537+R537)*0.3,-2)</f>
        <v>#REF!</v>
      </c>
      <c r="U537" t="str">
        <f>ROUND((Q537+R537)*0.4,-2)</f>
        <v>#REF!</v>
      </c>
      <c r="V537" t="str">
        <f>SUM(Q537:R537)+T537</f>
        <v>#REF!</v>
      </c>
      <c r="W537" t="str">
        <f>SUM(Q537:S537)+U537</f>
        <v>#REF!</v>
      </c>
      <c r="X537">
        <v>0</v>
      </c>
      <c r="Y537" t="str">
        <f>V537*0.038</f>
        <v>#REF!</v>
      </c>
      <c r="Z537" t="str">
        <f>V537*0.02</f>
        <v>#REF!</v>
      </c>
      <c r="AA537" t="str">
        <f>W537*0.1</f>
        <v>#REF!</v>
      </c>
      <c r="AB537" t="str">
        <f>V537-Y537-Z537</f>
        <v>#REF!</v>
      </c>
      <c r="AC537" t="str">
        <f>W537-AA537</f>
        <v>#REF!</v>
      </c>
      <c r="AD537" t="str">
        <f>AB537*0.01</f>
        <v>#REF!</v>
      </c>
      <c r="AE537" t="str">
        <f>AB537-Q537-AD537-R537</f>
        <v>#REF!</v>
      </c>
      <c r="AF537" t="str">
        <f>AC537-Q537-AD537-R537</f>
        <v>#REF!</v>
      </c>
      <c r="AG537" t="str">
        <f>AE537/V537</f>
        <v>#REF!</v>
      </c>
      <c r="AH537" t="str">
        <f>AF537/W537</f>
        <v>#REF!</v>
      </c>
    </row>
    <row r="538">
      <c r="G538" t="str">
        <v>A</v>
      </c>
      <c r="J538" t="str">
        <f>IF(K538&gt;0,K538*0.0625,IF(L538&gt;0,L538*2.204623,))</f>
        <v>#REF!</v>
      </c>
      <c r="K538" t="str">
        <f>IF(L538&gt;0,L538*35.273962,IF(J538&gt;0,J538*16,))</f>
        <v>#REF!</v>
      </c>
      <c r="L538" t="str">
        <f>IF(J538&gt;0,J538*0.453592,IF(K538&gt;0,K538*0.02835,))</f>
        <v>#REF!</v>
      </c>
      <c r="O538">
        <f>I538+N538+M538</f>
        <v>0</v>
      </c>
      <c r="P538">
        <f>O538*B$3</f>
        <v>0</v>
      </c>
      <c r="Q538">
        <f>ROUND(SUM(P538), -2)</f>
        <v>0</v>
      </c>
      <c r="R538" t="str">
        <f>ROUNDUP(HLOOKUP(IF(CEILING(L538,0.5)&lt;1,0.5,CEILING(L538,0.5)),'배송비 조회'!A$44:AO$56,7,0)*B$3,-2)</f>
        <v>#REF!</v>
      </c>
      <c r="S538">
        <v>0</v>
      </c>
      <c r="T538" t="str">
        <f>ROUND((Q538+R538)*0.3,-2)</f>
        <v>#REF!</v>
      </c>
      <c r="U538" t="str">
        <f>ROUND((Q538+R538)*0.4,-2)</f>
        <v>#REF!</v>
      </c>
      <c r="V538" t="str">
        <f>SUM(Q538:R538)+T538</f>
        <v>#REF!</v>
      </c>
      <c r="W538" t="str">
        <f>SUM(Q538:S538)+U538</f>
        <v>#REF!</v>
      </c>
      <c r="X538">
        <v>0</v>
      </c>
      <c r="Y538" t="str">
        <f>V538*0.038</f>
        <v>#REF!</v>
      </c>
      <c r="Z538" t="str">
        <f>V538*0.02</f>
        <v>#REF!</v>
      </c>
      <c r="AA538" t="str">
        <f>W538*0.1</f>
        <v>#REF!</v>
      </c>
      <c r="AB538" t="str">
        <f>V538-Y538-Z538</f>
        <v>#REF!</v>
      </c>
      <c r="AC538" t="str">
        <f>W538-AA538</f>
        <v>#REF!</v>
      </c>
      <c r="AD538" t="str">
        <f>AB538*0.01</f>
        <v>#REF!</v>
      </c>
      <c r="AE538" t="str">
        <f>AB538-Q538-AD538-R538</f>
        <v>#REF!</v>
      </c>
      <c r="AF538" t="str">
        <f>AC538-Q538-AD538-R538</f>
        <v>#REF!</v>
      </c>
      <c r="AG538" t="str">
        <f>AE538/V538</f>
        <v>#REF!</v>
      </c>
      <c r="AH538" t="str">
        <f>AF538/W538</f>
        <v>#REF!</v>
      </c>
    </row>
    <row r="539">
      <c r="G539" t="str">
        <v>A</v>
      </c>
      <c r="J539" t="str">
        <f>IF(K539&gt;0,K539*0.0625,IF(L539&gt;0,L539*2.204623,))</f>
        <v>#REF!</v>
      </c>
      <c r="K539" t="str">
        <f>IF(L539&gt;0,L539*35.273962,IF(J539&gt;0,J539*16,))</f>
        <v>#REF!</v>
      </c>
      <c r="L539" t="str">
        <f>IF(J539&gt;0,J539*0.453592,IF(K539&gt;0,K539*0.02835,))</f>
        <v>#REF!</v>
      </c>
      <c r="O539">
        <f>I539+N539+M539</f>
        <v>0</v>
      </c>
      <c r="P539">
        <f>O539*B$3</f>
        <v>0</v>
      </c>
      <c r="Q539">
        <f>ROUND(SUM(P539), -2)</f>
        <v>0</v>
      </c>
      <c r="R539" t="str">
        <f>ROUNDUP(HLOOKUP(IF(CEILING(L539,0.5)&lt;1,0.5,CEILING(L539,0.5)),'배송비 조회'!A$44:AO$56,7,0)*B$3,-2)</f>
        <v>#REF!</v>
      </c>
      <c r="S539">
        <v>0</v>
      </c>
      <c r="T539" t="str">
        <f>ROUND((Q539+R539)*0.3,-2)</f>
        <v>#REF!</v>
      </c>
      <c r="U539" t="str">
        <f>ROUND((Q539+R539)*0.4,-2)</f>
        <v>#REF!</v>
      </c>
      <c r="V539" t="str">
        <f>SUM(Q539:R539)+T539</f>
        <v>#REF!</v>
      </c>
      <c r="W539" t="str">
        <f>SUM(Q539:S539)+U539</f>
        <v>#REF!</v>
      </c>
      <c r="X539">
        <v>0</v>
      </c>
      <c r="Y539" t="str">
        <f>V539*0.038</f>
        <v>#REF!</v>
      </c>
      <c r="Z539" t="str">
        <f>V539*0.02</f>
        <v>#REF!</v>
      </c>
      <c r="AA539" t="str">
        <f>W539*0.1</f>
        <v>#REF!</v>
      </c>
      <c r="AB539" t="str">
        <f>V539-Y539-Z539</f>
        <v>#REF!</v>
      </c>
      <c r="AC539" t="str">
        <f>W539-AA539</f>
        <v>#REF!</v>
      </c>
      <c r="AD539" t="str">
        <f>AB539*0.01</f>
        <v>#REF!</v>
      </c>
      <c r="AE539" t="str">
        <f>AB539-Q539-AD539-R539</f>
        <v>#REF!</v>
      </c>
      <c r="AF539" t="str">
        <f>AC539-Q539-AD539-R539</f>
        <v>#REF!</v>
      </c>
      <c r="AG539" t="str">
        <f>AE539/V539</f>
        <v>#REF!</v>
      </c>
      <c r="AH539" t="str">
        <f>AF539/W539</f>
        <v>#REF!</v>
      </c>
    </row>
    <row r="540">
      <c r="G540" t="str">
        <v>A</v>
      </c>
      <c r="J540" t="str">
        <f>IF(K540&gt;0,K540*0.0625,IF(L540&gt;0,L540*2.204623,))</f>
        <v>#REF!</v>
      </c>
      <c r="K540" t="str">
        <f>IF(L540&gt;0,L540*35.273962,IF(J540&gt;0,J540*16,))</f>
        <v>#REF!</v>
      </c>
      <c r="L540" t="str">
        <f>IF(J540&gt;0,J540*0.453592,IF(K540&gt;0,K540*0.02835,))</f>
        <v>#REF!</v>
      </c>
      <c r="O540">
        <f>I540+N540+M540</f>
        <v>0</v>
      </c>
      <c r="P540">
        <f>O540*B$3</f>
        <v>0</v>
      </c>
      <c r="Q540">
        <f>ROUND(SUM(P540), -2)</f>
        <v>0</v>
      </c>
      <c r="R540" t="str">
        <f>ROUNDUP(HLOOKUP(IF(CEILING(L540,0.5)&lt;1,0.5,CEILING(L540,0.5)),'배송비 조회'!A$44:AO$56,7,0)*B$3,-2)</f>
        <v>#REF!</v>
      </c>
      <c r="S540">
        <v>0</v>
      </c>
      <c r="T540" t="str">
        <f>ROUND((Q540+R540)*0.3,-2)</f>
        <v>#REF!</v>
      </c>
      <c r="U540" t="str">
        <f>ROUND((Q540+R540)*0.4,-2)</f>
        <v>#REF!</v>
      </c>
      <c r="V540" t="str">
        <f>SUM(Q540:R540)+T540</f>
        <v>#REF!</v>
      </c>
      <c r="W540" t="str">
        <f>SUM(Q540:S540)+U540</f>
        <v>#REF!</v>
      </c>
      <c r="X540">
        <v>0</v>
      </c>
      <c r="Y540" t="str">
        <f>V540*0.038</f>
        <v>#REF!</v>
      </c>
      <c r="Z540" t="str">
        <f>V540*0.02</f>
        <v>#REF!</v>
      </c>
      <c r="AA540" t="str">
        <f>W540*0.1</f>
        <v>#REF!</v>
      </c>
      <c r="AB540" t="str">
        <f>V540-Y540-Z540</f>
        <v>#REF!</v>
      </c>
      <c r="AC540" t="str">
        <f>W540-AA540</f>
        <v>#REF!</v>
      </c>
      <c r="AD540" t="str">
        <f>AB540*0.01</f>
        <v>#REF!</v>
      </c>
      <c r="AE540" t="str">
        <f>AB540-Q540-AD540-R540</f>
        <v>#REF!</v>
      </c>
      <c r="AF540" t="str">
        <f>AC540-Q540-AD540-R540</f>
        <v>#REF!</v>
      </c>
      <c r="AG540" t="str">
        <f>AE540/V540</f>
        <v>#REF!</v>
      </c>
      <c r="AH540" t="str">
        <f>AF540/W540</f>
        <v>#REF!</v>
      </c>
    </row>
    <row r="541">
      <c r="G541" t="str">
        <v>A</v>
      </c>
      <c r="J541" t="str">
        <f>IF(K541&gt;0,K541*0.0625,IF(L541&gt;0,L541*2.204623,))</f>
        <v>#REF!</v>
      </c>
      <c r="K541" t="str">
        <f>IF(L541&gt;0,L541*35.273962,IF(J541&gt;0,J541*16,))</f>
        <v>#REF!</v>
      </c>
      <c r="L541" t="str">
        <f>IF(J541&gt;0,J541*0.453592,IF(K541&gt;0,K541*0.02835,))</f>
        <v>#REF!</v>
      </c>
      <c r="O541">
        <f>I541+N541+M541</f>
        <v>0</v>
      </c>
      <c r="P541">
        <f>O541*B$3</f>
        <v>0</v>
      </c>
      <c r="Q541">
        <f>ROUND(SUM(P541), -2)</f>
        <v>0</v>
      </c>
      <c r="R541" t="str">
        <f>ROUNDUP(HLOOKUP(IF(CEILING(L541,0.5)&lt;1,0.5,CEILING(L541,0.5)),'배송비 조회'!A$44:AO$56,7,0)*B$3,-2)</f>
        <v>#REF!</v>
      </c>
      <c r="S541">
        <v>0</v>
      </c>
      <c r="T541" t="str">
        <f>ROUND((Q541+R541)*0.3,-2)</f>
        <v>#REF!</v>
      </c>
      <c r="U541" t="str">
        <f>ROUND((Q541+R541)*0.4,-2)</f>
        <v>#REF!</v>
      </c>
      <c r="V541" t="str">
        <f>SUM(Q541:R541)+T541</f>
        <v>#REF!</v>
      </c>
      <c r="W541" t="str">
        <f>SUM(Q541:S541)+U541</f>
        <v>#REF!</v>
      </c>
      <c r="X541">
        <v>0</v>
      </c>
      <c r="Y541" t="str">
        <f>V541*0.038</f>
        <v>#REF!</v>
      </c>
      <c r="Z541" t="str">
        <f>V541*0.02</f>
        <v>#REF!</v>
      </c>
      <c r="AA541" t="str">
        <f>W541*0.1</f>
        <v>#REF!</v>
      </c>
      <c r="AB541" t="str">
        <f>V541-Y541-Z541</f>
        <v>#REF!</v>
      </c>
      <c r="AC541" t="str">
        <f>W541-AA541</f>
        <v>#REF!</v>
      </c>
      <c r="AD541" t="str">
        <f>AB541*0.01</f>
        <v>#REF!</v>
      </c>
      <c r="AE541" t="str">
        <f>AB541-Q541-AD541-R541</f>
        <v>#REF!</v>
      </c>
      <c r="AF541" t="str">
        <f>AC541-Q541-AD541-R541</f>
        <v>#REF!</v>
      </c>
      <c r="AG541" t="str">
        <f>AE541/V541</f>
        <v>#REF!</v>
      </c>
      <c r="AH541" t="str">
        <f>AF541/W541</f>
        <v>#REF!</v>
      </c>
    </row>
    <row r="542">
      <c r="G542" t="str">
        <v>A</v>
      </c>
      <c r="J542" t="str">
        <f>IF(K542&gt;0,K542*0.0625,IF(L542&gt;0,L542*2.204623,))</f>
        <v>#REF!</v>
      </c>
      <c r="K542" t="str">
        <f>IF(L542&gt;0,L542*35.273962,IF(J542&gt;0,J542*16,))</f>
        <v>#REF!</v>
      </c>
      <c r="L542" t="str">
        <f>IF(J542&gt;0,J542*0.453592,IF(K542&gt;0,K542*0.02835,))</f>
        <v>#REF!</v>
      </c>
      <c r="O542">
        <f>I542+N542+M542</f>
        <v>0</v>
      </c>
      <c r="P542">
        <f>O542*B$3</f>
        <v>0</v>
      </c>
      <c r="Q542">
        <f>ROUND(SUM(P542), -2)</f>
        <v>0</v>
      </c>
      <c r="R542" t="str">
        <f>ROUNDUP(HLOOKUP(IF(CEILING(L542,0.5)&lt;1,0.5,CEILING(L542,0.5)),'배송비 조회'!A$44:AO$56,7,0)*B$3,-2)</f>
        <v>#REF!</v>
      </c>
      <c r="S542">
        <v>0</v>
      </c>
      <c r="T542" t="str">
        <f>ROUND((Q542+R542)*0.3,-2)</f>
        <v>#REF!</v>
      </c>
      <c r="U542" t="str">
        <f>ROUND((Q542+R542)*0.4,-2)</f>
        <v>#REF!</v>
      </c>
      <c r="V542" t="str">
        <f>SUM(Q542:R542)+T542</f>
        <v>#REF!</v>
      </c>
      <c r="W542" t="str">
        <f>SUM(Q542:S542)+U542</f>
        <v>#REF!</v>
      </c>
      <c r="X542">
        <v>0</v>
      </c>
      <c r="Y542" t="str">
        <f>V542*0.038</f>
        <v>#REF!</v>
      </c>
      <c r="Z542" t="str">
        <f>V542*0.02</f>
        <v>#REF!</v>
      </c>
      <c r="AA542" t="str">
        <f>W542*0.1</f>
        <v>#REF!</v>
      </c>
      <c r="AB542" t="str">
        <f>V542-Y542-Z542</f>
        <v>#REF!</v>
      </c>
      <c r="AC542" t="str">
        <f>W542-AA542</f>
        <v>#REF!</v>
      </c>
      <c r="AD542" t="str">
        <f>AB542*0.01</f>
        <v>#REF!</v>
      </c>
      <c r="AE542" t="str">
        <f>AB542-Q542-AD542-R542</f>
        <v>#REF!</v>
      </c>
      <c r="AF542" t="str">
        <f>AC542-Q542-AD542-R542</f>
        <v>#REF!</v>
      </c>
      <c r="AG542" t="str">
        <f>AE542/V542</f>
        <v>#REF!</v>
      </c>
      <c r="AH542" t="str">
        <f>AF542/W542</f>
        <v>#REF!</v>
      </c>
    </row>
    <row r="543">
      <c r="G543" t="str">
        <v>A</v>
      </c>
      <c r="J543" t="str">
        <f>IF(K543&gt;0,K543*0.0625,IF(L543&gt;0,L543*2.204623,))</f>
        <v>#REF!</v>
      </c>
      <c r="K543" t="str">
        <f>IF(L543&gt;0,L543*35.273962,IF(J543&gt;0,J543*16,))</f>
        <v>#REF!</v>
      </c>
      <c r="L543" t="str">
        <f>IF(J543&gt;0,J543*0.453592,IF(K543&gt;0,K543*0.02835,))</f>
        <v>#REF!</v>
      </c>
      <c r="O543">
        <f>I543+N543+M543</f>
        <v>0</v>
      </c>
      <c r="P543">
        <f>O543*B$3</f>
        <v>0</v>
      </c>
      <c r="Q543">
        <f>ROUND(SUM(P543), -2)</f>
        <v>0</v>
      </c>
      <c r="R543" t="str">
        <f>ROUNDUP(HLOOKUP(IF(CEILING(L543,0.5)&lt;1,0.5,CEILING(L543,0.5)),'배송비 조회'!A$44:AO$56,7,0)*B$3,-2)</f>
        <v>#REF!</v>
      </c>
      <c r="S543">
        <v>0</v>
      </c>
      <c r="T543" t="str">
        <f>ROUND((Q543+R543)*0.3,-2)</f>
        <v>#REF!</v>
      </c>
      <c r="U543" t="str">
        <f>ROUND((Q543+R543)*0.4,-2)</f>
        <v>#REF!</v>
      </c>
      <c r="V543" t="str">
        <f>SUM(Q543:R543)+T543</f>
        <v>#REF!</v>
      </c>
      <c r="W543" t="str">
        <f>SUM(Q543:S543)+U543</f>
        <v>#REF!</v>
      </c>
      <c r="X543">
        <v>0</v>
      </c>
      <c r="Y543" t="str">
        <f>V543*0.038</f>
        <v>#REF!</v>
      </c>
      <c r="Z543" t="str">
        <f>V543*0.02</f>
        <v>#REF!</v>
      </c>
      <c r="AA543" t="str">
        <f>W543*0.1</f>
        <v>#REF!</v>
      </c>
      <c r="AB543" t="str">
        <f>V543-Y543-Z543</f>
        <v>#REF!</v>
      </c>
      <c r="AC543" t="str">
        <f>W543-AA543</f>
        <v>#REF!</v>
      </c>
      <c r="AD543" t="str">
        <f>AB543*0.01</f>
        <v>#REF!</v>
      </c>
      <c r="AE543" t="str">
        <f>AB543-Q543-AD543-R543</f>
        <v>#REF!</v>
      </c>
      <c r="AF543" t="str">
        <f>AC543-Q543-AD543-R543</f>
        <v>#REF!</v>
      </c>
      <c r="AG543" t="str">
        <f>AE543/V543</f>
        <v>#REF!</v>
      </c>
      <c r="AH543" t="str">
        <f>AF543/W543</f>
        <v>#REF!</v>
      </c>
    </row>
    <row r="544">
      <c r="G544" t="str">
        <v>A</v>
      </c>
      <c r="J544" t="str">
        <f>IF(K544&gt;0,K544*0.0625,IF(L544&gt;0,L544*2.204623,))</f>
        <v>#REF!</v>
      </c>
      <c r="K544" t="str">
        <f>IF(L544&gt;0,L544*35.273962,IF(J544&gt;0,J544*16,))</f>
        <v>#REF!</v>
      </c>
      <c r="L544" t="str">
        <f>IF(J544&gt;0,J544*0.453592,IF(K544&gt;0,K544*0.02835,))</f>
        <v>#REF!</v>
      </c>
      <c r="O544">
        <f>I544+N544+M544</f>
        <v>0</v>
      </c>
      <c r="P544">
        <f>O544*B$3</f>
        <v>0</v>
      </c>
      <c r="Q544">
        <f>ROUND(SUM(P544), -2)</f>
        <v>0</v>
      </c>
      <c r="R544" t="str">
        <f>ROUNDUP(HLOOKUP(IF(CEILING(L544,0.5)&lt;1,0.5,CEILING(L544,0.5)),'배송비 조회'!A$44:AO$56,7,0)*B$3,-2)</f>
        <v>#REF!</v>
      </c>
      <c r="S544">
        <v>0</v>
      </c>
      <c r="T544" t="str">
        <f>ROUND((Q544+R544)*0.3,-2)</f>
        <v>#REF!</v>
      </c>
      <c r="U544" t="str">
        <f>ROUND((Q544+R544)*0.4,-2)</f>
        <v>#REF!</v>
      </c>
      <c r="V544" t="str">
        <f>SUM(Q544:R544)+T544</f>
        <v>#REF!</v>
      </c>
      <c r="W544" t="str">
        <f>SUM(Q544:S544)+U544</f>
        <v>#REF!</v>
      </c>
      <c r="X544">
        <v>0</v>
      </c>
      <c r="Y544" t="str">
        <f>V544*0.038</f>
        <v>#REF!</v>
      </c>
      <c r="Z544" t="str">
        <f>V544*0.02</f>
        <v>#REF!</v>
      </c>
      <c r="AA544" t="str">
        <f>W544*0.1</f>
        <v>#REF!</v>
      </c>
      <c r="AB544" t="str">
        <f>V544-Y544-Z544</f>
        <v>#REF!</v>
      </c>
      <c r="AC544" t="str">
        <f>W544-AA544</f>
        <v>#REF!</v>
      </c>
      <c r="AD544" t="str">
        <f>AB544*0.01</f>
        <v>#REF!</v>
      </c>
      <c r="AE544" t="str">
        <f>AB544-Q544-AD544-R544</f>
        <v>#REF!</v>
      </c>
      <c r="AF544" t="str">
        <f>AC544-Q544-AD544-R544</f>
        <v>#REF!</v>
      </c>
      <c r="AG544" t="str">
        <f>AE544/V544</f>
        <v>#REF!</v>
      </c>
      <c r="AH544" t="str">
        <f>AF544/W544</f>
        <v>#REF!</v>
      </c>
    </row>
    <row r="545">
      <c r="G545" t="str">
        <v>A</v>
      </c>
      <c r="J545" t="str">
        <f>IF(K545&gt;0,K545*0.0625,IF(L545&gt;0,L545*2.204623,))</f>
        <v>#REF!</v>
      </c>
      <c r="K545" t="str">
        <f>IF(L545&gt;0,L545*35.273962,IF(J545&gt;0,J545*16,))</f>
        <v>#REF!</v>
      </c>
      <c r="L545" t="str">
        <f>IF(J545&gt;0,J545*0.453592,IF(K545&gt;0,K545*0.02835,))</f>
        <v>#REF!</v>
      </c>
      <c r="O545">
        <f>I545+N545+M545</f>
        <v>0</v>
      </c>
      <c r="P545">
        <f>O545*B$3</f>
        <v>0</v>
      </c>
      <c r="Q545">
        <f>ROUND(SUM(P545), -2)</f>
        <v>0</v>
      </c>
      <c r="R545" t="str">
        <f>ROUNDUP(HLOOKUP(IF(CEILING(L545,0.5)&lt;1,0.5,CEILING(L545,0.5)),'배송비 조회'!A$44:AO$56,7,0)*B$3,-2)</f>
        <v>#REF!</v>
      </c>
      <c r="S545">
        <v>0</v>
      </c>
      <c r="T545" t="str">
        <f>ROUND((Q545+R545)*0.3,-2)</f>
        <v>#REF!</v>
      </c>
      <c r="U545" t="str">
        <f>ROUND((Q545+R545)*0.4,-2)</f>
        <v>#REF!</v>
      </c>
      <c r="V545" t="str">
        <f>SUM(Q545:R545)+T545</f>
        <v>#REF!</v>
      </c>
      <c r="W545" t="str">
        <f>SUM(Q545:S545)+U545</f>
        <v>#REF!</v>
      </c>
      <c r="X545">
        <v>0</v>
      </c>
      <c r="Y545" t="str">
        <f>V545*0.038</f>
        <v>#REF!</v>
      </c>
      <c r="Z545" t="str">
        <f>V545*0.02</f>
        <v>#REF!</v>
      </c>
      <c r="AA545" t="str">
        <f>W545*0.1</f>
        <v>#REF!</v>
      </c>
      <c r="AB545" t="str">
        <f>V545-Y545-Z545</f>
        <v>#REF!</v>
      </c>
      <c r="AC545" t="str">
        <f>W545-AA545</f>
        <v>#REF!</v>
      </c>
      <c r="AD545" t="str">
        <f>AB545*0.01</f>
        <v>#REF!</v>
      </c>
      <c r="AE545" t="str">
        <f>AB545-Q545-AD545-R545</f>
        <v>#REF!</v>
      </c>
      <c r="AF545" t="str">
        <f>AC545-Q545-AD545-R545</f>
        <v>#REF!</v>
      </c>
      <c r="AG545" t="str">
        <f>AE545/V545</f>
        <v>#REF!</v>
      </c>
      <c r="AH545" t="str">
        <f>AF545/W545</f>
        <v>#REF!</v>
      </c>
    </row>
    <row r="546">
      <c r="G546" t="str">
        <v>A</v>
      </c>
      <c r="J546" t="str">
        <f>IF(K546&gt;0,K546*0.0625,IF(L546&gt;0,L546*2.204623,))</f>
        <v>#REF!</v>
      </c>
      <c r="K546" t="str">
        <f>IF(L546&gt;0,L546*35.273962,IF(J546&gt;0,J546*16,))</f>
        <v>#REF!</v>
      </c>
      <c r="L546" t="str">
        <f>IF(J546&gt;0,J546*0.453592,IF(K546&gt;0,K546*0.02835,))</f>
        <v>#REF!</v>
      </c>
      <c r="O546">
        <f>I546+N546+M546</f>
        <v>0</v>
      </c>
      <c r="P546">
        <f>O546*B$3</f>
        <v>0</v>
      </c>
      <c r="Q546">
        <f>ROUND(SUM(P546), -2)</f>
        <v>0</v>
      </c>
      <c r="R546" t="str">
        <f>ROUNDUP(HLOOKUP(IF(CEILING(L546,0.5)&lt;1,0.5,CEILING(L546,0.5)),'배송비 조회'!A$44:AO$56,7,0)*B$3,-2)</f>
        <v>#REF!</v>
      </c>
      <c r="S546">
        <v>0</v>
      </c>
      <c r="T546" t="str">
        <f>ROUND((Q546+R546)*0.3,-2)</f>
        <v>#REF!</v>
      </c>
      <c r="U546" t="str">
        <f>ROUND((Q546+R546)*0.4,-2)</f>
        <v>#REF!</v>
      </c>
      <c r="V546" t="str">
        <f>SUM(Q546:R546)+T546</f>
        <v>#REF!</v>
      </c>
      <c r="W546" t="str">
        <f>SUM(Q546:S546)+U546</f>
        <v>#REF!</v>
      </c>
      <c r="X546">
        <v>0</v>
      </c>
      <c r="Y546" t="str">
        <f>V546*0.038</f>
        <v>#REF!</v>
      </c>
      <c r="Z546" t="str">
        <f>V546*0.02</f>
        <v>#REF!</v>
      </c>
      <c r="AA546" t="str">
        <f>W546*0.1</f>
        <v>#REF!</v>
      </c>
      <c r="AB546" t="str">
        <f>V546-Y546-Z546</f>
        <v>#REF!</v>
      </c>
      <c r="AC546" t="str">
        <f>W546-AA546</f>
        <v>#REF!</v>
      </c>
      <c r="AD546" t="str">
        <f>AB546*0.01</f>
        <v>#REF!</v>
      </c>
      <c r="AE546" t="str">
        <f>AB546-Q546-AD546-R546</f>
        <v>#REF!</v>
      </c>
      <c r="AF546" t="str">
        <f>AC546-Q546-AD546-R546</f>
        <v>#REF!</v>
      </c>
      <c r="AG546" t="str">
        <f>AE546/V546</f>
        <v>#REF!</v>
      </c>
      <c r="AH546" t="str">
        <f>AF546/W546</f>
        <v>#REF!</v>
      </c>
    </row>
    <row r="547">
      <c r="G547" t="str">
        <v>A</v>
      </c>
      <c r="J547" t="str">
        <f>IF(K547&gt;0,K547*0.0625,IF(L547&gt;0,L547*2.204623,))</f>
        <v>#REF!</v>
      </c>
      <c r="K547" t="str">
        <f>IF(L547&gt;0,L547*35.273962,IF(J547&gt;0,J547*16,))</f>
        <v>#REF!</v>
      </c>
      <c r="L547" t="str">
        <f>IF(J547&gt;0,J547*0.453592,IF(K547&gt;0,K547*0.02835,))</f>
        <v>#REF!</v>
      </c>
      <c r="O547">
        <f>I547+N547+M547</f>
        <v>0</v>
      </c>
      <c r="P547">
        <f>O547*B$3</f>
        <v>0</v>
      </c>
      <c r="Q547">
        <f>ROUND(SUM(P547), -2)</f>
        <v>0</v>
      </c>
      <c r="R547" t="str">
        <f>ROUNDUP(HLOOKUP(IF(CEILING(L547,0.5)&lt;1,0.5,CEILING(L547,0.5)),'배송비 조회'!A$44:AO$56,7,0)*B$3,-2)</f>
        <v>#REF!</v>
      </c>
      <c r="S547">
        <v>0</v>
      </c>
      <c r="T547" t="str">
        <f>ROUND((Q547+R547)*0.3,-2)</f>
        <v>#REF!</v>
      </c>
      <c r="U547" t="str">
        <f>ROUND((Q547+R547)*0.4,-2)</f>
        <v>#REF!</v>
      </c>
      <c r="V547" t="str">
        <f>SUM(Q547:R547)+T547</f>
        <v>#REF!</v>
      </c>
      <c r="W547" t="str">
        <f>SUM(Q547:S547)+U547</f>
        <v>#REF!</v>
      </c>
      <c r="X547">
        <v>0</v>
      </c>
      <c r="Y547" t="str">
        <f>V547*0.038</f>
        <v>#REF!</v>
      </c>
      <c r="Z547" t="str">
        <f>V547*0.02</f>
        <v>#REF!</v>
      </c>
      <c r="AA547" t="str">
        <f>W547*0.1</f>
        <v>#REF!</v>
      </c>
      <c r="AB547" t="str">
        <f>V547-Y547-Z547</f>
        <v>#REF!</v>
      </c>
      <c r="AC547" t="str">
        <f>W547-AA547</f>
        <v>#REF!</v>
      </c>
      <c r="AD547" t="str">
        <f>AB547*0.01</f>
        <v>#REF!</v>
      </c>
      <c r="AE547" t="str">
        <f>AB547-Q547-AD547-R547</f>
        <v>#REF!</v>
      </c>
      <c r="AF547" t="str">
        <f>AC547-Q547-AD547-R547</f>
        <v>#REF!</v>
      </c>
      <c r="AG547" t="str">
        <f>AE547/V547</f>
        <v>#REF!</v>
      </c>
      <c r="AH547" t="str">
        <f>AF547/W547</f>
        <v>#REF!</v>
      </c>
    </row>
    <row r="548">
      <c r="G548" t="str">
        <v>A</v>
      </c>
      <c r="J548" t="str">
        <f>IF(K548&gt;0,K548*0.0625,IF(L548&gt;0,L548*2.204623,))</f>
        <v>#REF!</v>
      </c>
      <c r="K548" t="str">
        <f>IF(L548&gt;0,L548*35.273962,IF(J548&gt;0,J548*16,))</f>
        <v>#REF!</v>
      </c>
      <c r="L548" t="str">
        <f>IF(J548&gt;0,J548*0.453592,IF(K548&gt;0,K548*0.02835,))</f>
        <v>#REF!</v>
      </c>
      <c r="O548">
        <f>I548+N548+M548</f>
        <v>0</v>
      </c>
      <c r="P548">
        <f>O548*B$3</f>
        <v>0</v>
      </c>
      <c r="Q548">
        <f>ROUND(SUM(P548), -2)</f>
        <v>0</v>
      </c>
      <c r="R548" t="str">
        <f>ROUNDUP(HLOOKUP(IF(CEILING(L548,0.5)&lt;1,0.5,CEILING(L548,0.5)),'배송비 조회'!A$44:AO$56,7,0)*B$3,-2)</f>
        <v>#REF!</v>
      </c>
      <c r="S548">
        <v>0</v>
      </c>
      <c r="T548" t="str">
        <f>ROUND((Q548+R548)*0.3,-2)</f>
        <v>#REF!</v>
      </c>
      <c r="U548" t="str">
        <f>ROUND((Q548+R548)*0.4,-2)</f>
        <v>#REF!</v>
      </c>
      <c r="V548" t="str">
        <f>SUM(Q548:R548)+T548</f>
        <v>#REF!</v>
      </c>
      <c r="W548" t="str">
        <f>SUM(Q548:S548)+U548</f>
        <v>#REF!</v>
      </c>
      <c r="X548">
        <v>0</v>
      </c>
      <c r="Y548" t="str">
        <f>V548*0.038</f>
        <v>#REF!</v>
      </c>
      <c r="Z548" t="str">
        <f>V548*0.02</f>
        <v>#REF!</v>
      </c>
      <c r="AA548" t="str">
        <f>W548*0.1</f>
        <v>#REF!</v>
      </c>
      <c r="AB548" t="str">
        <f>V548-Y548-Z548</f>
        <v>#REF!</v>
      </c>
      <c r="AC548" t="str">
        <f>W548-AA548</f>
        <v>#REF!</v>
      </c>
      <c r="AD548" t="str">
        <f>AB548*0.01</f>
        <v>#REF!</v>
      </c>
      <c r="AE548" t="str">
        <f>AB548-Q548-AD548-R548</f>
        <v>#REF!</v>
      </c>
      <c r="AF548" t="str">
        <f>AC548-Q548-AD548-R548</f>
        <v>#REF!</v>
      </c>
      <c r="AG548" t="str">
        <f>AE548/V548</f>
        <v>#REF!</v>
      </c>
      <c r="AH548" t="str">
        <f>AF548/W548</f>
        <v>#REF!</v>
      </c>
    </row>
    <row r="549">
      <c r="G549" t="str">
        <v>A</v>
      </c>
      <c r="J549" t="str">
        <f>IF(K549&gt;0,K549*0.0625,IF(L549&gt;0,L549*2.204623,))</f>
        <v>#REF!</v>
      </c>
      <c r="K549" t="str">
        <f>IF(L549&gt;0,L549*35.273962,IF(J549&gt;0,J549*16,))</f>
        <v>#REF!</v>
      </c>
      <c r="L549" t="str">
        <f>IF(J549&gt;0,J549*0.453592,IF(K549&gt;0,K549*0.02835,))</f>
        <v>#REF!</v>
      </c>
      <c r="O549">
        <f>I549+N549+M549</f>
        <v>0</v>
      </c>
      <c r="P549">
        <f>O549*B$3</f>
        <v>0</v>
      </c>
      <c r="Q549">
        <f>ROUND(SUM(P549), -2)</f>
        <v>0</v>
      </c>
      <c r="R549" t="str">
        <f>ROUNDUP(HLOOKUP(IF(CEILING(L549,0.5)&lt;1,0.5,CEILING(L549,0.5)),'배송비 조회'!A$44:AO$56,7,0)*B$3,-2)</f>
        <v>#REF!</v>
      </c>
      <c r="S549">
        <v>0</v>
      </c>
      <c r="T549" t="str">
        <f>ROUND((Q549+R549)*0.3,-2)</f>
        <v>#REF!</v>
      </c>
      <c r="U549" t="str">
        <f>ROUND((Q549+R549)*0.4,-2)</f>
        <v>#REF!</v>
      </c>
      <c r="V549" t="str">
        <f>SUM(Q549:R549)+T549</f>
        <v>#REF!</v>
      </c>
      <c r="W549" t="str">
        <f>SUM(Q549:S549)+U549</f>
        <v>#REF!</v>
      </c>
      <c r="X549">
        <v>0</v>
      </c>
      <c r="Y549" t="str">
        <f>V549*0.038</f>
        <v>#REF!</v>
      </c>
      <c r="Z549" t="str">
        <f>V549*0.02</f>
        <v>#REF!</v>
      </c>
      <c r="AA549" t="str">
        <f>W549*0.1</f>
        <v>#REF!</v>
      </c>
      <c r="AB549" t="str">
        <f>V549-Y549-Z549</f>
        <v>#REF!</v>
      </c>
      <c r="AC549" t="str">
        <f>W549-AA549</f>
        <v>#REF!</v>
      </c>
      <c r="AD549" t="str">
        <f>AB549*0.01</f>
        <v>#REF!</v>
      </c>
      <c r="AE549" t="str">
        <f>AB549-Q549-AD549-R549</f>
        <v>#REF!</v>
      </c>
      <c r="AF549" t="str">
        <f>AC549-Q549-AD549-R549</f>
        <v>#REF!</v>
      </c>
      <c r="AG549" t="str">
        <f>AE549/V549</f>
        <v>#REF!</v>
      </c>
      <c r="AH549" t="str">
        <f>AF549/W549</f>
        <v>#REF!</v>
      </c>
    </row>
    <row r="550">
      <c r="G550" t="str">
        <v>A</v>
      </c>
      <c r="J550" t="str">
        <f>IF(K550&gt;0,K550*0.0625,IF(L550&gt;0,L550*2.204623,))</f>
        <v>#REF!</v>
      </c>
      <c r="K550" t="str">
        <f>IF(L550&gt;0,L550*35.273962,IF(J550&gt;0,J550*16,))</f>
        <v>#REF!</v>
      </c>
      <c r="L550" t="str">
        <f>IF(J550&gt;0,J550*0.453592,IF(K550&gt;0,K550*0.02835,))</f>
        <v>#REF!</v>
      </c>
      <c r="O550">
        <f>I550+N550+M550</f>
        <v>0</v>
      </c>
      <c r="P550">
        <f>O550*B$3</f>
        <v>0</v>
      </c>
      <c r="Q550">
        <f>ROUND(SUM(P550), -2)</f>
        <v>0</v>
      </c>
      <c r="R550" t="str">
        <f>ROUNDUP(HLOOKUP(IF(CEILING(L550,0.5)&lt;1,0.5,CEILING(L550,0.5)),'배송비 조회'!A$44:AO$56,7,0)*B$3,-2)</f>
        <v>#REF!</v>
      </c>
      <c r="S550">
        <v>0</v>
      </c>
      <c r="T550" t="str">
        <f>ROUND((Q550+R550)*0.3,-2)</f>
        <v>#REF!</v>
      </c>
      <c r="U550" t="str">
        <f>ROUND((Q550+R550)*0.4,-2)</f>
        <v>#REF!</v>
      </c>
      <c r="V550" t="str">
        <f>SUM(Q550:R550)+T550</f>
        <v>#REF!</v>
      </c>
      <c r="W550" t="str">
        <f>SUM(Q550:S550)+U550</f>
        <v>#REF!</v>
      </c>
      <c r="X550">
        <v>0</v>
      </c>
      <c r="Y550" t="str">
        <f>V550*0.038</f>
        <v>#REF!</v>
      </c>
      <c r="Z550" t="str">
        <f>V550*0.02</f>
        <v>#REF!</v>
      </c>
      <c r="AA550" t="str">
        <f>W550*0.1</f>
        <v>#REF!</v>
      </c>
      <c r="AB550" t="str">
        <f>V550-Y550-Z550</f>
        <v>#REF!</v>
      </c>
      <c r="AC550" t="str">
        <f>W550-AA550</f>
        <v>#REF!</v>
      </c>
      <c r="AD550" t="str">
        <f>AB550*0.01</f>
        <v>#REF!</v>
      </c>
      <c r="AE550" t="str">
        <f>AB550-Q550-AD550-R550</f>
        <v>#REF!</v>
      </c>
      <c r="AF550" t="str">
        <f>AC550-Q550-AD550-R550</f>
        <v>#REF!</v>
      </c>
      <c r="AG550" t="str">
        <f>AE550/V550</f>
        <v>#REF!</v>
      </c>
      <c r="AH550" t="str">
        <f>AF550/W550</f>
        <v>#REF!</v>
      </c>
    </row>
    <row r="551">
      <c r="G551" t="str">
        <v>A</v>
      </c>
      <c r="J551" t="str">
        <f>IF(K551&gt;0,K551*0.0625,IF(L551&gt;0,L551*2.204623,))</f>
        <v>#REF!</v>
      </c>
      <c r="K551" t="str">
        <f>IF(L551&gt;0,L551*35.273962,IF(J551&gt;0,J551*16,))</f>
        <v>#REF!</v>
      </c>
      <c r="L551" t="str">
        <f>IF(J551&gt;0,J551*0.453592,IF(K551&gt;0,K551*0.02835,))</f>
        <v>#REF!</v>
      </c>
      <c r="O551">
        <f>I551+N551+M551</f>
        <v>0</v>
      </c>
      <c r="P551">
        <f>O551*B$3</f>
        <v>0</v>
      </c>
      <c r="Q551">
        <f>ROUND(SUM(P551), -2)</f>
        <v>0</v>
      </c>
      <c r="R551" t="str">
        <f>ROUNDUP(HLOOKUP(IF(CEILING(L551,0.5)&lt;1,0.5,CEILING(L551,0.5)),'배송비 조회'!A$44:AO$56,7,0)*B$3,-2)</f>
        <v>#REF!</v>
      </c>
      <c r="S551">
        <v>0</v>
      </c>
      <c r="T551" t="str">
        <f>ROUND((Q551+R551)*0.3,-2)</f>
        <v>#REF!</v>
      </c>
      <c r="U551" t="str">
        <f>ROUND((Q551+R551)*0.4,-2)</f>
        <v>#REF!</v>
      </c>
      <c r="V551" t="str">
        <f>SUM(Q551:R551)+T551</f>
        <v>#REF!</v>
      </c>
      <c r="W551" t="str">
        <f>SUM(Q551:S551)+U551</f>
        <v>#REF!</v>
      </c>
      <c r="X551">
        <v>0</v>
      </c>
      <c r="Y551" t="str">
        <f>V551*0.038</f>
        <v>#REF!</v>
      </c>
      <c r="Z551" t="str">
        <f>V551*0.02</f>
        <v>#REF!</v>
      </c>
      <c r="AA551" t="str">
        <f>W551*0.1</f>
        <v>#REF!</v>
      </c>
      <c r="AB551" t="str">
        <f>V551-Y551-Z551</f>
        <v>#REF!</v>
      </c>
      <c r="AC551" t="str">
        <f>W551-AA551</f>
        <v>#REF!</v>
      </c>
      <c r="AD551" t="str">
        <f>AB551*0.01</f>
        <v>#REF!</v>
      </c>
      <c r="AE551" t="str">
        <f>AB551-Q551-AD551-R551</f>
        <v>#REF!</v>
      </c>
      <c r="AF551" t="str">
        <f>AC551-Q551-AD551-R551</f>
        <v>#REF!</v>
      </c>
      <c r="AG551" t="str">
        <f>AE551/V551</f>
        <v>#REF!</v>
      </c>
      <c r="AH551" t="str">
        <f>AF551/W551</f>
        <v>#REF!</v>
      </c>
    </row>
    <row r="552">
      <c r="G552" t="str">
        <v>A</v>
      </c>
      <c r="J552" t="str">
        <f>IF(K552&gt;0,K552*0.0625,IF(L552&gt;0,L552*2.204623,))</f>
        <v>#REF!</v>
      </c>
      <c r="K552" t="str">
        <f>IF(L552&gt;0,L552*35.273962,IF(J552&gt;0,J552*16,))</f>
        <v>#REF!</v>
      </c>
      <c r="L552" t="str">
        <f>IF(J552&gt;0,J552*0.453592,IF(K552&gt;0,K552*0.02835,))</f>
        <v>#REF!</v>
      </c>
      <c r="O552">
        <f>I552+N552+M552</f>
        <v>0</v>
      </c>
      <c r="P552">
        <f>O552*B$3</f>
        <v>0</v>
      </c>
      <c r="Q552">
        <f>ROUND(SUM(P552), -2)</f>
        <v>0</v>
      </c>
      <c r="R552" t="str">
        <f>ROUNDUP(HLOOKUP(IF(CEILING(L552,0.5)&lt;1,0.5,CEILING(L552,0.5)),'배송비 조회'!A$44:AO$56,7,0)*B$3,-2)</f>
        <v>#REF!</v>
      </c>
      <c r="S552">
        <v>0</v>
      </c>
      <c r="T552" t="str">
        <f>ROUND((Q552+R552)*0.3,-2)</f>
        <v>#REF!</v>
      </c>
      <c r="U552" t="str">
        <f>ROUND((Q552+R552)*0.4,-2)</f>
        <v>#REF!</v>
      </c>
      <c r="V552" t="str">
        <f>SUM(Q552:R552)+T552</f>
        <v>#REF!</v>
      </c>
      <c r="W552" t="str">
        <f>SUM(Q552:S552)+U552</f>
        <v>#REF!</v>
      </c>
      <c r="X552">
        <v>0</v>
      </c>
      <c r="Y552" t="str">
        <f>V552*0.038</f>
        <v>#REF!</v>
      </c>
      <c r="Z552" t="str">
        <f>V552*0.02</f>
        <v>#REF!</v>
      </c>
      <c r="AA552" t="str">
        <f>W552*0.1</f>
        <v>#REF!</v>
      </c>
      <c r="AB552" t="str">
        <f>V552-Y552-Z552</f>
        <v>#REF!</v>
      </c>
      <c r="AC552" t="str">
        <f>W552-AA552</f>
        <v>#REF!</v>
      </c>
      <c r="AD552" t="str">
        <f>AB552*0.01</f>
        <v>#REF!</v>
      </c>
      <c r="AE552" t="str">
        <f>AB552-Q552-AD552-R552</f>
        <v>#REF!</v>
      </c>
      <c r="AF552" t="str">
        <f>AC552-Q552-AD552-R552</f>
        <v>#REF!</v>
      </c>
      <c r="AG552" t="str">
        <f>AE552/V552</f>
        <v>#REF!</v>
      </c>
      <c r="AH552" t="str">
        <f>AF552/W552</f>
        <v>#REF!</v>
      </c>
    </row>
    <row r="553">
      <c r="G553" t="str">
        <v>A</v>
      </c>
      <c r="J553" t="str">
        <f>IF(K553&gt;0,K553*0.0625,IF(L553&gt;0,L553*2.204623,))</f>
        <v>#REF!</v>
      </c>
      <c r="K553" t="str">
        <f>IF(L553&gt;0,L553*35.273962,IF(J553&gt;0,J553*16,))</f>
        <v>#REF!</v>
      </c>
      <c r="L553" t="str">
        <f>IF(J553&gt;0,J553*0.453592,IF(K553&gt;0,K553*0.02835,))</f>
        <v>#REF!</v>
      </c>
      <c r="O553">
        <f>I553+N553+M553</f>
        <v>0</v>
      </c>
      <c r="P553">
        <f>O553*B$3</f>
        <v>0</v>
      </c>
      <c r="Q553">
        <f>ROUND(SUM(P553), -2)</f>
        <v>0</v>
      </c>
      <c r="R553" t="str">
        <f>ROUNDUP(HLOOKUP(IF(CEILING(L553,0.5)&lt;1,0.5,CEILING(L553,0.5)),'배송비 조회'!A$44:AO$56,7,0)*B$3,-2)</f>
        <v>#REF!</v>
      </c>
      <c r="S553">
        <v>0</v>
      </c>
      <c r="T553" t="str">
        <f>ROUND((Q553+R553)*0.3,-2)</f>
        <v>#REF!</v>
      </c>
      <c r="U553" t="str">
        <f>ROUND((Q553+R553)*0.4,-2)</f>
        <v>#REF!</v>
      </c>
      <c r="V553" t="str">
        <f>SUM(Q553:R553)+T553</f>
        <v>#REF!</v>
      </c>
      <c r="W553" t="str">
        <f>SUM(Q553:S553)+U553</f>
        <v>#REF!</v>
      </c>
      <c r="X553">
        <v>0</v>
      </c>
      <c r="Y553" t="str">
        <f>V553*0.038</f>
        <v>#REF!</v>
      </c>
      <c r="Z553" t="str">
        <f>V553*0.02</f>
        <v>#REF!</v>
      </c>
      <c r="AA553" t="str">
        <f>W553*0.1</f>
        <v>#REF!</v>
      </c>
      <c r="AB553" t="str">
        <f>V553-Y553-Z553</f>
        <v>#REF!</v>
      </c>
      <c r="AC553" t="str">
        <f>W553-AA553</f>
        <v>#REF!</v>
      </c>
      <c r="AD553" t="str">
        <f>AB553*0.01</f>
        <v>#REF!</v>
      </c>
      <c r="AE553" t="str">
        <f>AB553-Q553-AD553-R553</f>
        <v>#REF!</v>
      </c>
      <c r="AF553" t="str">
        <f>AC553-Q553-AD553-R553</f>
        <v>#REF!</v>
      </c>
      <c r="AG553" t="str">
        <f>AE553/V553</f>
        <v>#REF!</v>
      </c>
      <c r="AH553" t="str">
        <f>AF553/W553</f>
        <v>#REF!</v>
      </c>
    </row>
    <row r="554">
      <c r="G554" t="str">
        <v>A</v>
      </c>
      <c r="J554" t="str">
        <f>IF(K554&gt;0,K554*0.0625,IF(L554&gt;0,L554*2.204623,))</f>
        <v>#REF!</v>
      </c>
      <c r="K554" t="str">
        <f>IF(L554&gt;0,L554*35.273962,IF(J554&gt;0,J554*16,))</f>
        <v>#REF!</v>
      </c>
      <c r="L554" t="str">
        <f>IF(J554&gt;0,J554*0.453592,IF(K554&gt;0,K554*0.02835,))</f>
        <v>#REF!</v>
      </c>
      <c r="O554">
        <f>I554+N554+M554</f>
        <v>0</v>
      </c>
      <c r="P554">
        <f>O554*B$3</f>
        <v>0</v>
      </c>
      <c r="Q554">
        <f>ROUND(SUM(P554), -2)</f>
        <v>0</v>
      </c>
      <c r="R554" t="str">
        <f>ROUNDUP(HLOOKUP(IF(CEILING(L554,0.5)&lt;1,0.5,CEILING(L554,0.5)),'배송비 조회'!A$44:AO$56,7,0)*B$3,-2)</f>
        <v>#REF!</v>
      </c>
      <c r="S554">
        <v>0</v>
      </c>
      <c r="T554" t="str">
        <f>ROUND((Q554+R554)*0.3,-2)</f>
        <v>#REF!</v>
      </c>
      <c r="U554" t="str">
        <f>ROUND((Q554+R554)*0.4,-2)</f>
        <v>#REF!</v>
      </c>
      <c r="V554" t="str">
        <f>SUM(Q554:R554)+T554</f>
        <v>#REF!</v>
      </c>
      <c r="W554" t="str">
        <f>SUM(Q554:S554)+U554</f>
        <v>#REF!</v>
      </c>
      <c r="X554">
        <v>0</v>
      </c>
      <c r="Y554" t="str">
        <f>V554*0.038</f>
        <v>#REF!</v>
      </c>
      <c r="Z554" t="str">
        <f>V554*0.02</f>
        <v>#REF!</v>
      </c>
      <c r="AA554" t="str">
        <f>W554*0.1</f>
        <v>#REF!</v>
      </c>
      <c r="AB554" t="str">
        <f>V554-Y554-Z554</f>
        <v>#REF!</v>
      </c>
      <c r="AC554" t="str">
        <f>W554-AA554</f>
        <v>#REF!</v>
      </c>
      <c r="AD554" t="str">
        <f>AB554*0.01</f>
        <v>#REF!</v>
      </c>
      <c r="AE554" t="str">
        <f>AB554-Q554-AD554-R554</f>
        <v>#REF!</v>
      </c>
      <c r="AF554" t="str">
        <f>AC554-Q554-AD554-R554</f>
        <v>#REF!</v>
      </c>
      <c r="AG554" t="str">
        <f>AE554/V554</f>
        <v>#REF!</v>
      </c>
      <c r="AH554" t="str">
        <f>AF554/W554</f>
        <v>#REF!</v>
      </c>
    </row>
    <row r="555">
      <c r="G555" t="str">
        <v>A</v>
      </c>
      <c r="J555" t="str">
        <f>IF(K555&gt;0,K555*0.0625,IF(L555&gt;0,L555*2.204623,))</f>
        <v>#REF!</v>
      </c>
      <c r="K555" t="str">
        <f>IF(L555&gt;0,L555*35.273962,IF(J555&gt;0,J555*16,))</f>
        <v>#REF!</v>
      </c>
      <c r="L555" t="str">
        <f>IF(J555&gt;0,J555*0.453592,IF(K555&gt;0,K555*0.02835,))</f>
        <v>#REF!</v>
      </c>
      <c r="O555">
        <f>I555+N555+M555</f>
        <v>0</v>
      </c>
      <c r="P555">
        <f>O555*B$3</f>
        <v>0</v>
      </c>
      <c r="Q555">
        <f>ROUND(SUM(P555), -2)</f>
        <v>0</v>
      </c>
      <c r="R555" t="str">
        <f>ROUNDUP(HLOOKUP(IF(CEILING(L555,0.5)&lt;1,0.5,CEILING(L555,0.5)),'배송비 조회'!A$44:AO$56,7,0)*B$3,-2)</f>
        <v>#REF!</v>
      </c>
      <c r="S555">
        <v>0</v>
      </c>
      <c r="T555" t="str">
        <f>ROUND((Q555+R555)*0.3,-2)</f>
        <v>#REF!</v>
      </c>
      <c r="U555" t="str">
        <f>ROUND((Q555+R555)*0.4,-2)</f>
        <v>#REF!</v>
      </c>
      <c r="V555" t="str">
        <f>SUM(Q555:R555)+T555</f>
        <v>#REF!</v>
      </c>
      <c r="W555" t="str">
        <f>SUM(Q555:S555)+U555</f>
        <v>#REF!</v>
      </c>
      <c r="X555">
        <v>0</v>
      </c>
      <c r="Y555" t="str">
        <f>V555*0.038</f>
        <v>#REF!</v>
      </c>
      <c r="Z555" t="str">
        <f>V555*0.02</f>
        <v>#REF!</v>
      </c>
      <c r="AA555" t="str">
        <f>W555*0.1</f>
        <v>#REF!</v>
      </c>
      <c r="AB555" t="str">
        <f>V555-Y555-Z555</f>
        <v>#REF!</v>
      </c>
      <c r="AC555" t="str">
        <f>W555-AA555</f>
        <v>#REF!</v>
      </c>
      <c r="AD555" t="str">
        <f>AB555*0.01</f>
        <v>#REF!</v>
      </c>
      <c r="AE555" t="str">
        <f>AB555-Q555-AD555-R555</f>
        <v>#REF!</v>
      </c>
      <c r="AF555" t="str">
        <f>AC555-Q555-AD555-R555</f>
        <v>#REF!</v>
      </c>
      <c r="AG555" t="str">
        <f>AE555/V555</f>
        <v>#REF!</v>
      </c>
      <c r="AH555" t="str">
        <f>AF555/W555</f>
        <v>#REF!</v>
      </c>
    </row>
    <row r="556">
      <c r="G556" t="str">
        <v>A</v>
      </c>
      <c r="J556" t="str">
        <f>IF(K556&gt;0,K556*0.0625,IF(L556&gt;0,L556*2.204623,))</f>
        <v>#REF!</v>
      </c>
      <c r="K556" t="str">
        <f>IF(L556&gt;0,L556*35.273962,IF(J556&gt;0,J556*16,))</f>
        <v>#REF!</v>
      </c>
      <c r="L556" t="str">
        <f>IF(J556&gt;0,J556*0.453592,IF(K556&gt;0,K556*0.02835,))</f>
        <v>#REF!</v>
      </c>
      <c r="O556">
        <f>I556+N556+M556</f>
        <v>0</v>
      </c>
      <c r="P556">
        <f>O556*B$3</f>
        <v>0</v>
      </c>
      <c r="Q556">
        <f>ROUND(SUM(P556), -2)</f>
        <v>0</v>
      </c>
      <c r="R556" t="str">
        <f>ROUNDUP(HLOOKUP(IF(CEILING(L556,0.5)&lt;1,0.5,CEILING(L556,0.5)),'배송비 조회'!A$44:AO$56,7,0)*B$3,-2)</f>
        <v>#REF!</v>
      </c>
      <c r="S556">
        <v>0</v>
      </c>
      <c r="T556" t="str">
        <f>ROUND((Q556+R556)*0.3,-2)</f>
        <v>#REF!</v>
      </c>
      <c r="U556" t="str">
        <f>ROUND((Q556+R556)*0.4,-2)</f>
        <v>#REF!</v>
      </c>
      <c r="V556" t="str">
        <f>SUM(Q556:R556)+T556</f>
        <v>#REF!</v>
      </c>
      <c r="W556" t="str">
        <f>SUM(Q556:S556)+U556</f>
        <v>#REF!</v>
      </c>
      <c r="X556">
        <v>0</v>
      </c>
      <c r="Y556" t="str">
        <f>V556*0.038</f>
        <v>#REF!</v>
      </c>
      <c r="Z556" t="str">
        <f>V556*0.02</f>
        <v>#REF!</v>
      </c>
      <c r="AA556" t="str">
        <f>W556*0.1</f>
        <v>#REF!</v>
      </c>
      <c r="AB556" t="str">
        <f>V556-Y556-Z556</f>
        <v>#REF!</v>
      </c>
      <c r="AC556" t="str">
        <f>W556-AA556</f>
        <v>#REF!</v>
      </c>
      <c r="AD556" t="str">
        <f>AB556*0.01</f>
        <v>#REF!</v>
      </c>
      <c r="AE556" t="str">
        <f>AB556-Q556-AD556-R556</f>
        <v>#REF!</v>
      </c>
      <c r="AF556" t="str">
        <f>AC556-Q556-AD556-R556</f>
        <v>#REF!</v>
      </c>
      <c r="AG556" t="str">
        <f>AE556/V556</f>
        <v>#REF!</v>
      </c>
      <c r="AH556" t="str">
        <f>AF556/W556</f>
        <v>#REF!</v>
      </c>
    </row>
    <row r="557">
      <c r="G557" t="str">
        <v>A</v>
      </c>
      <c r="J557" t="str">
        <f>IF(K557&gt;0,K557*0.0625,IF(L557&gt;0,L557*2.204623,))</f>
        <v>#REF!</v>
      </c>
      <c r="K557" t="str">
        <f>IF(L557&gt;0,L557*35.273962,IF(J557&gt;0,J557*16,))</f>
        <v>#REF!</v>
      </c>
      <c r="L557" t="str">
        <f>IF(J557&gt;0,J557*0.453592,IF(K557&gt;0,K557*0.02835,))</f>
        <v>#REF!</v>
      </c>
      <c r="O557">
        <f>I557+N557+M557</f>
        <v>0</v>
      </c>
      <c r="P557">
        <f>O557*B$3</f>
        <v>0</v>
      </c>
      <c r="Q557">
        <f>ROUND(SUM(P557), -2)</f>
        <v>0</v>
      </c>
      <c r="R557" t="str">
        <f>ROUNDUP(HLOOKUP(IF(CEILING(L557,0.5)&lt;1,0.5,CEILING(L557,0.5)),'배송비 조회'!A$44:AO$56,7,0)*B$3,-2)</f>
        <v>#REF!</v>
      </c>
      <c r="S557">
        <v>0</v>
      </c>
      <c r="T557" t="str">
        <f>ROUND((Q557+R557)*0.3,-2)</f>
        <v>#REF!</v>
      </c>
      <c r="U557" t="str">
        <f>ROUND((Q557+R557)*0.4,-2)</f>
        <v>#REF!</v>
      </c>
      <c r="V557" t="str">
        <f>SUM(Q557:R557)+T557</f>
        <v>#REF!</v>
      </c>
      <c r="W557" t="str">
        <f>SUM(Q557:S557)+U557</f>
        <v>#REF!</v>
      </c>
      <c r="X557">
        <v>0</v>
      </c>
      <c r="Y557" t="str">
        <f>V557*0.038</f>
        <v>#REF!</v>
      </c>
      <c r="Z557" t="str">
        <f>V557*0.02</f>
        <v>#REF!</v>
      </c>
      <c r="AA557" t="str">
        <f>W557*0.1</f>
        <v>#REF!</v>
      </c>
      <c r="AB557" t="str">
        <f>V557-Y557-Z557</f>
        <v>#REF!</v>
      </c>
      <c r="AC557" t="str">
        <f>W557-AA557</f>
        <v>#REF!</v>
      </c>
      <c r="AD557" t="str">
        <f>AB557*0.01</f>
        <v>#REF!</v>
      </c>
      <c r="AE557" t="str">
        <f>AB557-Q557-AD557-R557</f>
        <v>#REF!</v>
      </c>
      <c r="AF557" t="str">
        <f>AC557-Q557-AD557-R557</f>
        <v>#REF!</v>
      </c>
      <c r="AG557" t="str">
        <f>AE557/V557</f>
        <v>#REF!</v>
      </c>
      <c r="AH557" t="str">
        <f>AF557/W557</f>
        <v>#REF!</v>
      </c>
    </row>
    <row r="558">
      <c r="G558" t="str">
        <v>A</v>
      </c>
      <c r="J558" t="str">
        <f>IF(K558&gt;0,K558*0.0625,IF(L558&gt;0,L558*2.204623,))</f>
        <v>#REF!</v>
      </c>
      <c r="K558" t="str">
        <f>IF(L558&gt;0,L558*35.273962,IF(J558&gt;0,J558*16,))</f>
        <v>#REF!</v>
      </c>
      <c r="L558" t="str">
        <f>IF(J558&gt;0,J558*0.453592,IF(K558&gt;0,K558*0.02835,))</f>
        <v>#REF!</v>
      </c>
      <c r="O558">
        <f>I558+N558+M558</f>
        <v>0</v>
      </c>
      <c r="P558">
        <f>O558*B$3</f>
        <v>0</v>
      </c>
      <c r="Q558">
        <f>ROUND(SUM(P558), -2)</f>
        <v>0</v>
      </c>
      <c r="R558" t="str">
        <f>ROUNDUP(HLOOKUP(IF(CEILING(L558,0.5)&lt;1,0.5,CEILING(L558,0.5)),'배송비 조회'!A$44:AO$56,7,0)*B$3,-2)</f>
        <v>#REF!</v>
      </c>
      <c r="S558">
        <v>0</v>
      </c>
      <c r="T558" t="str">
        <f>ROUND((Q558+R558)*0.3,-2)</f>
        <v>#REF!</v>
      </c>
      <c r="U558" t="str">
        <f>ROUND((Q558+R558)*0.4,-2)</f>
        <v>#REF!</v>
      </c>
      <c r="V558" t="str">
        <f>SUM(Q558:R558)+T558</f>
        <v>#REF!</v>
      </c>
      <c r="W558" t="str">
        <f>SUM(Q558:S558)+U558</f>
        <v>#REF!</v>
      </c>
      <c r="X558">
        <v>0</v>
      </c>
      <c r="Y558" t="str">
        <f>V558*0.038</f>
        <v>#REF!</v>
      </c>
      <c r="Z558" t="str">
        <f>V558*0.02</f>
        <v>#REF!</v>
      </c>
      <c r="AA558" t="str">
        <f>W558*0.1</f>
        <v>#REF!</v>
      </c>
      <c r="AB558" t="str">
        <f>V558-Y558-Z558</f>
        <v>#REF!</v>
      </c>
      <c r="AC558" t="str">
        <f>W558-AA558</f>
        <v>#REF!</v>
      </c>
      <c r="AD558" t="str">
        <f>AB558*0.01</f>
        <v>#REF!</v>
      </c>
      <c r="AE558" t="str">
        <f>AB558-Q558-AD558-R558</f>
        <v>#REF!</v>
      </c>
      <c r="AF558" t="str">
        <f>AC558-Q558-AD558-R558</f>
        <v>#REF!</v>
      </c>
      <c r="AG558" t="str">
        <f>AE558/V558</f>
        <v>#REF!</v>
      </c>
      <c r="AH558" t="str">
        <f>AF558/W558</f>
        <v>#REF!</v>
      </c>
    </row>
    <row r="559">
      <c r="G559" t="str">
        <v>A</v>
      </c>
      <c r="J559" t="str">
        <f>IF(K559&gt;0,K559*0.0625,IF(L559&gt;0,L559*2.204623,))</f>
        <v>#REF!</v>
      </c>
      <c r="K559" t="str">
        <f>IF(L559&gt;0,L559*35.273962,IF(J559&gt;0,J559*16,))</f>
        <v>#REF!</v>
      </c>
      <c r="L559" t="str">
        <f>IF(J559&gt;0,J559*0.453592,IF(K559&gt;0,K559*0.02835,))</f>
        <v>#REF!</v>
      </c>
      <c r="O559">
        <f>I559+N559+M559</f>
        <v>0</v>
      </c>
      <c r="P559">
        <f>O559*B$3</f>
        <v>0</v>
      </c>
      <c r="Q559">
        <f>ROUND(SUM(P559), -2)</f>
        <v>0</v>
      </c>
      <c r="R559" t="str">
        <f>ROUNDUP(HLOOKUP(IF(CEILING(L559,0.5)&lt;1,0.5,CEILING(L559,0.5)),'배송비 조회'!A$44:AO$56,7,0)*B$3,-2)</f>
        <v>#REF!</v>
      </c>
      <c r="S559">
        <v>0</v>
      </c>
      <c r="T559" t="str">
        <f>ROUND((Q559+R559)*0.3,-2)</f>
        <v>#REF!</v>
      </c>
      <c r="U559" t="str">
        <f>ROUND((Q559+R559)*0.4,-2)</f>
        <v>#REF!</v>
      </c>
      <c r="V559" t="str">
        <f>SUM(Q559:R559)+T559</f>
        <v>#REF!</v>
      </c>
      <c r="W559" t="str">
        <f>SUM(Q559:S559)+U559</f>
        <v>#REF!</v>
      </c>
      <c r="X559">
        <v>0</v>
      </c>
      <c r="Y559" t="str">
        <f>V559*0.038</f>
        <v>#REF!</v>
      </c>
      <c r="Z559" t="str">
        <f>V559*0.02</f>
        <v>#REF!</v>
      </c>
      <c r="AA559" t="str">
        <f>W559*0.1</f>
        <v>#REF!</v>
      </c>
      <c r="AB559" t="str">
        <f>V559-Y559-Z559</f>
        <v>#REF!</v>
      </c>
      <c r="AC559" t="str">
        <f>W559-AA559</f>
        <v>#REF!</v>
      </c>
      <c r="AD559" t="str">
        <f>AB559*0.01</f>
        <v>#REF!</v>
      </c>
      <c r="AE559" t="str">
        <f>AB559-Q559-AD559-R559</f>
        <v>#REF!</v>
      </c>
      <c r="AF559" t="str">
        <f>AC559-Q559-AD559-R559</f>
        <v>#REF!</v>
      </c>
      <c r="AG559" t="str">
        <f>AE559/V559</f>
        <v>#REF!</v>
      </c>
      <c r="AH559" t="str">
        <f>AF559/W559</f>
        <v>#REF!</v>
      </c>
    </row>
    <row r="560">
      <c r="G560" t="str">
        <v>A</v>
      </c>
      <c r="J560" t="str">
        <f>IF(K560&gt;0,K560*0.0625,IF(L560&gt;0,L560*2.204623,))</f>
        <v>#REF!</v>
      </c>
      <c r="K560" t="str">
        <f>IF(L560&gt;0,L560*35.273962,IF(J560&gt;0,J560*16,))</f>
        <v>#REF!</v>
      </c>
      <c r="L560" t="str">
        <f>IF(J560&gt;0,J560*0.453592,IF(K560&gt;0,K560*0.02835,))</f>
        <v>#REF!</v>
      </c>
      <c r="O560">
        <f>I560+N560+M560</f>
        <v>0</v>
      </c>
      <c r="P560">
        <f>O560*B$3</f>
        <v>0</v>
      </c>
      <c r="Q560">
        <f>ROUND(SUM(P560), -2)</f>
        <v>0</v>
      </c>
      <c r="R560" t="str">
        <f>ROUNDUP(HLOOKUP(IF(CEILING(L560,0.5)&lt;1,0.5,CEILING(L560,0.5)),'배송비 조회'!A$44:AO$56,7,0)*B$3,-2)</f>
        <v>#REF!</v>
      </c>
      <c r="S560">
        <v>0</v>
      </c>
      <c r="T560" t="str">
        <f>ROUND((Q560+R560)*0.3,-2)</f>
        <v>#REF!</v>
      </c>
      <c r="U560" t="str">
        <f>ROUND((Q560+R560)*0.4,-2)</f>
        <v>#REF!</v>
      </c>
      <c r="V560" t="str">
        <f>SUM(Q560:R560)+T560</f>
        <v>#REF!</v>
      </c>
      <c r="W560" t="str">
        <f>SUM(Q560:S560)+U560</f>
        <v>#REF!</v>
      </c>
      <c r="X560">
        <v>0</v>
      </c>
      <c r="Y560" t="str">
        <f>V560*0.038</f>
        <v>#REF!</v>
      </c>
      <c r="Z560" t="str">
        <f>V560*0.02</f>
        <v>#REF!</v>
      </c>
      <c r="AA560" t="str">
        <f>W560*0.1</f>
        <v>#REF!</v>
      </c>
      <c r="AB560" t="str">
        <f>V560-Y560-Z560</f>
        <v>#REF!</v>
      </c>
      <c r="AC560" t="str">
        <f>W560-AA560</f>
        <v>#REF!</v>
      </c>
      <c r="AD560" t="str">
        <f>AB560*0.01</f>
        <v>#REF!</v>
      </c>
      <c r="AE560" t="str">
        <f>AB560-Q560-AD560-R560</f>
        <v>#REF!</v>
      </c>
      <c r="AF560" t="str">
        <f>AC560-Q560-AD560-R560</f>
        <v>#REF!</v>
      </c>
      <c r="AG560" t="str">
        <f>AE560/V560</f>
        <v>#REF!</v>
      </c>
      <c r="AH560" t="str">
        <f>AF560/W560</f>
        <v>#REF!</v>
      </c>
    </row>
    <row r="561">
      <c r="G561" t="str">
        <v>A</v>
      </c>
      <c r="J561" t="str">
        <f>IF(K561&gt;0,K561*0.0625,IF(L561&gt;0,L561*2.204623,))</f>
        <v>#REF!</v>
      </c>
      <c r="K561" t="str">
        <f>IF(L561&gt;0,L561*35.273962,IF(J561&gt;0,J561*16,))</f>
        <v>#REF!</v>
      </c>
      <c r="L561" t="str">
        <f>IF(J561&gt;0,J561*0.453592,IF(K561&gt;0,K561*0.02835,))</f>
        <v>#REF!</v>
      </c>
      <c r="O561">
        <f>I561+N561+M561</f>
        <v>0</v>
      </c>
      <c r="P561">
        <f>O561*B$3</f>
        <v>0</v>
      </c>
      <c r="Q561">
        <f>ROUND(SUM(P561), -2)</f>
        <v>0</v>
      </c>
      <c r="R561" t="str">
        <f>ROUNDUP(HLOOKUP(IF(CEILING(L561,0.5)&lt;1,0.5,CEILING(L561,0.5)),'배송비 조회'!A$44:AO$56,7,0)*B$3,-2)</f>
        <v>#REF!</v>
      </c>
      <c r="S561">
        <v>0</v>
      </c>
      <c r="T561" t="str">
        <f>ROUND((Q561+R561)*0.3,-2)</f>
        <v>#REF!</v>
      </c>
      <c r="U561" t="str">
        <f>ROUND((Q561+R561)*0.4,-2)</f>
        <v>#REF!</v>
      </c>
      <c r="V561" t="str">
        <f>SUM(Q561:R561)+T561</f>
        <v>#REF!</v>
      </c>
      <c r="W561" t="str">
        <f>SUM(Q561:S561)+U561</f>
        <v>#REF!</v>
      </c>
      <c r="X561">
        <v>0</v>
      </c>
      <c r="Y561" t="str">
        <f>V561*0.038</f>
        <v>#REF!</v>
      </c>
      <c r="Z561" t="str">
        <f>V561*0.02</f>
        <v>#REF!</v>
      </c>
      <c r="AA561" t="str">
        <f>W561*0.1</f>
        <v>#REF!</v>
      </c>
      <c r="AB561" t="str">
        <f>V561-Y561-Z561</f>
        <v>#REF!</v>
      </c>
      <c r="AC561" t="str">
        <f>W561-AA561</f>
        <v>#REF!</v>
      </c>
      <c r="AD561" t="str">
        <f>AB561*0.01</f>
        <v>#REF!</v>
      </c>
      <c r="AE561" t="str">
        <f>AB561-Q561-AD561-R561</f>
        <v>#REF!</v>
      </c>
      <c r="AF561" t="str">
        <f>AC561-Q561-AD561-R561</f>
        <v>#REF!</v>
      </c>
      <c r="AG561" t="str">
        <f>AE561/V561</f>
        <v>#REF!</v>
      </c>
      <c r="AH561" t="str">
        <f>AF561/W561</f>
        <v>#REF!</v>
      </c>
    </row>
    <row r="562">
      <c r="G562" t="str">
        <v>A</v>
      </c>
      <c r="J562" t="str">
        <f>IF(K562&gt;0,K562*0.0625,IF(L562&gt;0,L562*2.204623,))</f>
        <v>#REF!</v>
      </c>
      <c r="K562" t="str">
        <f>IF(L562&gt;0,L562*35.273962,IF(J562&gt;0,J562*16,))</f>
        <v>#REF!</v>
      </c>
      <c r="L562" t="str">
        <f>IF(J562&gt;0,J562*0.453592,IF(K562&gt;0,K562*0.02835,))</f>
        <v>#REF!</v>
      </c>
      <c r="O562">
        <f>I562+N562+M562</f>
        <v>0</v>
      </c>
      <c r="P562">
        <f>O562*B$3</f>
        <v>0</v>
      </c>
      <c r="Q562">
        <f>ROUND(SUM(P562), -2)</f>
        <v>0</v>
      </c>
      <c r="R562" t="str">
        <f>ROUNDUP(HLOOKUP(IF(CEILING(L562,0.5)&lt;1,0.5,CEILING(L562,0.5)),'배송비 조회'!A$44:AO$56,7,0)*B$3,-2)</f>
        <v>#REF!</v>
      </c>
      <c r="S562">
        <v>0</v>
      </c>
      <c r="T562" t="str">
        <f>ROUND((Q562+R562)*0.3,-2)</f>
        <v>#REF!</v>
      </c>
      <c r="U562" t="str">
        <f>ROUND((Q562+R562)*0.4,-2)</f>
        <v>#REF!</v>
      </c>
      <c r="V562" t="str">
        <f>SUM(Q562:R562)+T562</f>
        <v>#REF!</v>
      </c>
      <c r="W562" t="str">
        <f>SUM(Q562:S562)+U562</f>
        <v>#REF!</v>
      </c>
      <c r="X562">
        <v>0</v>
      </c>
      <c r="Y562" t="str">
        <f>V562*0.038</f>
        <v>#REF!</v>
      </c>
      <c r="Z562" t="str">
        <f>V562*0.02</f>
        <v>#REF!</v>
      </c>
      <c r="AA562" t="str">
        <f>W562*0.1</f>
        <v>#REF!</v>
      </c>
      <c r="AB562" t="str">
        <f>V562-Y562-Z562</f>
        <v>#REF!</v>
      </c>
      <c r="AC562" t="str">
        <f>W562-AA562</f>
        <v>#REF!</v>
      </c>
      <c r="AD562" t="str">
        <f>AB562*0.01</f>
        <v>#REF!</v>
      </c>
      <c r="AE562" t="str">
        <f>AB562-Q562-AD562-R562</f>
        <v>#REF!</v>
      </c>
      <c r="AF562" t="str">
        <f>AC562-Q562-AD562-R562</f>
        <v>#REF!</v>
      </c>
      <c r="AG562" t="str">
        <f>AE562/V562</f>
        <v>#REF!</v>
      </c>
      <c r="AH562" t="str">
        <f>AF562/W562</f>
        <v>#REF!</v>
      </c>
    </row>
    <row r="563">
      <c r="G563" t="str">
        <v>A</v>
      </c>
      <c r="J563" t="str">
        <f>IF(K563&gt;0,K563*0.0625,IF(L563&gt;0,L563*2.204623,))</f>
        <v>#REF!</v>
      </c>
      <c r="K563" t="str">
        <f>IF(L563&gt;0,L563*35.273962,IF(J563&gt;0,J563*16,))</f>
        <v>#REF!</v>
      </c>
      <c r="L563" t="str">
        <f>IF(J563&gt;0,J563*0.453592,IF(K563&gt;0,K563*0.02835,))</f>
        <v>#REF!</v>
      </c>
      <c r="O563">
        <f>I563+N563+M563</f>
        <v>0</v>
      </c>
      <c r="P563">
        <f>O563*B$3</f>
        <v>0</v>
      </c>
      <c r="Q563">
        <f>ROUND(SUM(P563), -2)</f>
        <v>0</v>
      </c>
      <c r="R563" t="str">
        <f>ROUNDUP(HLOOKUP(IF(CEILING(L563,0.5)&lt;1,0.5,CEILING(L563,0.5)),'배송비 조회'!A$44:AO$56,7,0)*B$3,-2)</f>
        <v>#REF!</v>
      </c>
      <c r="S563">
        <v>0</v>
      </c>
      <c r="T563" t="str">
        <f>ROUND((Q563+R563)*0.3,-2)</f>
        <v>#REF!</v>
      </c>
      <c r="U563" t="str">
        <f>ROUND((Q563+R563)*0.4,-2)</f>
        <v>#REF!</v>
      </c>
      <c r="V563" t="str">
        <f>SUM(Q563:R563)+T563</f>
        <v>#REF!</v>
      </c>
      <c r="W563" t="str">
        <f>SUM(Q563:S563)+U563</f>
        <v>#REF!</v>
      </c>
      <c r="X563">
        <v>0</v>
      </c>
      <c r="Y563" t="str">
        <f>V563*0.038</f>
        <v>#REF!</v>
      </c>
      <c r="Z563" t="str">
        <f>V563*0.02</f>
        <v>#REF!</v>
      </c>
      <c r="AA563" t="str">
        <f>W563*0.1</f>
        <v>#REF!</v>
      </c>
      <c r="AB563" t="str">
        <f>V563-Y563-Z563</f>
        <v>#REF!</v>
      </c>
      <c r="AC563" t="str">
        <f>W563-AA563</f>
        <v>#REF!</v>
      </c>
      <c r="AD563" t="str">
        <f>AB563*0.01</f>
        <v>#REF!</v>
      </c>
      <c r="AE563" t="str">
        <f>AB563-Q563-AD563-R563</f>
        <v>#REF!</v>
      </c>
      <c r="AF563" t="str">
        <f>AC563-Q563-AD563-R563</f>
        <v>#REF!</v>
      </c>
      <c r="AG563" t="str">
        <f>AE563/V563</f>
        <v>#REF!</v>
      </c>
      <c r="AH563" t="str">
        <f>AF563/W563</f>
        <v>#REF!</v>
      </c>
    </row>
    <row r="564">
      <c r="G564" t="str">
        <v>A</v>
      </c>
      <c r="J564" t="str">
        <f>IF(K564&gt;0,K564*0.0625,IF(L564&gt;0,L564*2.204623,))</f>
        <v>#REF!</v>
      </c>
      <c r="K564" t="str">
        <f>IF(L564&gt;0,L564*35.273962,IF(J564&gt;0,J564*16,))</f>
        <v>#REF!</v>
      </c>
      <c r="L564" t="str">
        <f>IF(J564&gt;0,J564*0.453592,IF(K564&gt;0,K564*0.02835,))</f>
        <v>#REF!</v>
      </c>
      <c r="O564">
        <f>I564+N564+M564</f>
        <v>0</v>
      </c>
      <c r="P564">
        <f>O564*B$3</f>
        <v>0</v>
      </c>
      <c r="Q564">
        <f>ROUND(SUM(P564), -2)</f>
        <v>0</v>
      </c>
      <c r="R564" t="str">
        <f>ROUNDUP(HLOOKUP(IF(CEILING(L564,0.5)&lt;1,0.5,CEILING(L564,0.5)),'배송비 조회'!A$44:AO$56,7,0)*B$3,-2)</f>
        <v>#REF!</v>
      </c>
      <c r="S564">
        <v>0</v>
      </c>
      <c r="T564" t="str">
        <f>ROUND((Q564+R564)*0.3,-2)</f>
        <v>#REF!</v>
      </c>
      <c r="U564" t="str">
        <f>ROUND((Q564+R564)*0.4,-2)</f>
        <v>#REF!</v>
      </c>
      <c r="V564" t="str">
        <f>SUM(Q564:R564)+T564</f>
        <v>#REF!</v>
      </c>
      <c r="W564" t="str">
        <f>SUM(Q564:S564)+U564</f>
        <v>#REF!</v>
      </c>
      <c r="X564">
        <v>0</v>
      </c>
      <c r="Y564" t="str">
        <f>V564*0.038</f>
        <v>#REF!</v>
      </c>
      <c r="Z564" t="str">
        <f>V564*0.02</f>
        <v>#REF!</v>
      </c>
      <c r="AA564" t="str">
        <f>W564*0.1</f>
        <v>#REF!</v>
      </c>
      <c r="AB564" t="str">
        <f>V564-Y564-Z564</f>
        <v>#REF!</v>
      </c>
      <c r="AC564" t="str">
        <f>W564-AA564</f>
        <v>#REF!</v>
      </c>
      <c r="AD564" t="str">
        <f>AB564*0.01</f>
        <v>#REF!</v>
      </c>
      <c r="AE564" t="str">
        <f>AB564-Q564-AD564-R564</f>
        <v>#REF!</v>
      </c>
      <c r="AF564" t="str">
        <f>AC564-Q564-AD564-R564</f>
        <v>#REF!</v>
      </c>
      <c r="AG564" t="str">
        <f>AE564/V564</f>
        <v>#REF!</v>
      </c>
      <c r="AH564" t="str">
        <f>AF564/W564</f>
        <v>#REF!</v>
      </c>
    </row>
    <row r="565">
      <c r="G565" t="str">
        <v>A</v>
      </c>
      <c r="J565" t="str">
        <f>IF(K565&gt;0,K565*0.0625,IF(L565&gt;0,L565*2.204623,))</f>
        <v>#REF!</v>
      </c>
      <c r="K565" t="str">
        <f>IF(L565&gt;0,L565*35.273962,IF(J565&gt;0,J565*16,))</f>
        <v>#REF!</v>
      </c>
      <c r="L565" t="str">
        <f>IF(J565&gt;0,J565*0.453592,IF(K565&gt;0,K565*0.02835,))</f>
        <v>#REF!</v>
      </c>
      <c r="O565">
        <f>I565+N565+M565</f>
        <v>0</v>
      </c>
      <c r="P565">
        <f>O565*B$3</f>
        <v>0</v>
      </c>
      <c r="Q565">
        <f>ROUND(SUM(P565), -2)</f>
        <v>0</v>
      </c>
      <c r="R565" t="str">
        <f>ROUNDUP(HLOOKUP(IF(CEILING(L565,0.5)&lt;1,0.5,CEILING(L565,0.5)),'배송비 조회'!A$44:AO$56,7,0)*B$3,-2)</f>
        <v>#REF!</v>
      </c>
      <c r="S565">
        <v>0</v>
      </c>
      <c r="T565" t="str">
        <f>ROUND((Q565+R565)*0.3,-2)</f>
        <v>#REF!</v>
      </c>
      <c r="U565" t="str">
        <f>ROUND((Q565+R565)*0.4,-2)</f>
        <v>#REF!</v>
      </c>
      <c r="V565" t="str">
        <f>SUM(Q565:R565)+T565</f>
        <v>#REF!</v>
      </c>
      <c r="W565" t="str">
        <f>SUM(Q565:S565)+U565</f>
        <v>#REF!</v>
      </c>
      <c r="X565">
        <v>0</v>
      </c>
      <c r="Y565" t="str">
        <f>V565*0.038</f>
        <v>#REF!</v>
      </c>
      <c r="Z565" t="str">
        <f>V565*0.02</f>
        <v>#REF!</v>
      </c>
      <c r="AA565" t="str">
        <f>W565*0.1</f>
        <v>#REF!</v>
      </c>
      <c r="AB565" t="str">
        <f>V565-Y565-Z565</f>
        <v>#REF!</v>
      </c>
      <c r="AC565" t="str">
        <f>W565-AA565</f>
        <v>#REF!</v>
      </c>
      <c r="AD565" t="str">
        <f>AB565*0.01</f>
        <v>#REF!</v>
      </c>
      <c r="AE565" t="str">
        <f>AB565-Q565-AD565-R565</f>
        <v>#REF!</v>
      </c>
      <c r="AF565" t="str">
        <f>AC565-Q565-AD565-R565</f>
        <v>#REF!</v>
      </c>
      <c r="AG565" t="str">
        <f>AE565/V565</f>
        <v>#REF!</v>
      </c>
      <c r="AH565" t="str">
        <f>AF565/W565</f>
        <v>#REF!</v>
      </c>
    </row>
    <row r="566">
      <c r="G566" t="str">
        <v>A</v>
      </c>
      <c r="J566" t="str">
        <f>IF(K566&gt;0,K566*0.0625,IF(L566&gt;0,L566*2.204623,))</f>
        <v>#REF!</v>
      </c>
      <c r="K566" t="str">
        <f>IF(L566&gt;0,L566*35.273962,IF(J566&gt;0,J566*16,))</f>
        <v>#REF!</v>
      </c>
      <c r="L566" t="str">
        <f>IF(J566&gt;0,J566*0.453592,IF(K566&gt;0,K566*0.02835,))</f>
        <v>#REF!</v>
      </c>
      <c r="O566">
        <f>I566+N566+M566</f>
        <v>0</v>
      </c>
      <c r="P566">
        <f>O566*B$3</f>
        <v>0</v>
      </c>
      <c r="Q566">
        <f>ROUND(SUM(P566), -2)</f>
        <v>0</v>
      </c>
      <c r="R566" t="str">
        <f>ROUNDUP(HLOOKUP(IF(CEILING(L566,0.5)&lt;1,0.5,CEILING(L566,0.5)),'배송비 조회'!A$44:AO$56,7,0)*B$3,-2)</f>
        <v>#REF!</v>
      </c>
      <c r="S566">
        <v>0</v>
      </c>
      <c r="T566" t="str">
        <f>ROUND((Q566+R566)*0.3,-2)</f>
        <v>#REF!</v>
      </c>
      <c r="U566" t="str">
        <f>ROUND((Q566+R566)*0.4,-2)</f>
        <v>#REF!</v>
      </c>
      <c r="V566" t="str">
        <f>SUM(Q566:R566)+T566</f>
        <v>#REF!</v>
      </c>
      <c r="W566" t="str">
        <f>SUM(Q566:S566)+U566</f>
        <v>#REF!</v>
      </c>
      <c r="X566">
        <v>0</v>
      </c>
      <c r="Y566" t="str">
        <f>V566*0.038</f>
        <v>#REF!</v>
      </c>
      <c r="Z566" t="str">
        <f>V566*0.02</f>
        <v>#REF!</v>
      </c>
      <c r="AA566" t="str">
        <f>W566*0.1</f>
        <v>#REF!</v>
      </c>
      <c r="AB566" t="str">
        <f>V566-Y566-Z566</f>
        <v>#REF!</v>
      </c>
      <c r="AC566" t="str">
        <f>W566-AA566</f>
        <v>#REF!</v>
      </c>
      <c r="AD566" t="str">
        <f>AB566*0.01</f>
        <v>#REF!</v>
      </c>
      <c r="AE566" t="str">
        <f>AB566-Q566-AD566-R566</f>
        <v>#REF!</v>
      </c>
      <c r="AF566" t="str">
        <f>AC566-Q566-AD566-R566</f>
        <v>#REF!</v>
      </c>
      <c r="AG566" t="str">
        <f>AE566/V566</f>
        <v>#REF!</v>
      </c>
      <c r="AH566" t="str">
        <f>AF566/W566</f>
        <v>#REF!</v>
      </c>
    </row>
    <row r="567">
      <c r="G567" t="str">
        <v>A</v>
      </c>
      <c r="J567" t="str">
        <f>IF(K567&gt;0,K567*0.0625,IF(L567&gt;0,L567*2.204623,))</f>
        <v>#REF!</v>
      </c>
      <c r="K567" t="str">
        <f>IF(L567&gt;0,L567*35.273962,IF(J567&gt;0,J567*16,))</f>
        <v>#REF!</v>
      </c>
      <c r="L567" t="str">
        <f>IF(J567&gt;0,J567*0.453592,IF(K567&gt;0,K567*0.02835,))</f>
        <v>#REF!</v>
      </c>
      <c r="O567">
        <f>I567+N567+M567</f>
        <v>0</v>
      </c>
      <c r="P567">
        <f>O567*B$3</f>
        <v>0</v>
      </c>
      <c r="Q567">
        <f>ROUND(SUM(P567), -2)</f>
        <v>0</v>
      </c>
      <c r="R567" t="str">
        <f>ROUNDUP(HLOOKUP(IF(CEILING(L567,0.5)&lt;1,0.5,CEILING(L567,0.5)),'배송비 조회'!A$44:AO$56,7,0)*B$3,-2)</f>
        <v>#REF!</v>
      </c>
      <c r="S567">
        <v>0</v>
      </c>
      <c r="T567" t="str">
        <f>ROUND((Q567+R567)*0.3,-2)</f>
        <v>#REF!</v>
      </c>
      <c r="U567" t="str">
        <f>ROUND((Q567+R567)*0.4,-2)</f>
        <v>#REF!</v>
      </c>
      <c r="V567" t="str">
        <f>SUM(Q567:R567)+T567</f>
        <v>#REF!</v>
      </c>
      <c r="W567" t="str">
        <f>SUM(Q567:S567)+U567</f>
        <v>#REF!</v>
      </c>
      <c r="X567">
        <v>0</v>
      </c>
      <c r="Y567" t="str">
        <f>V567*0.038</f>
        <v>#REF!</v>
      </c>
      <c r="Z567" t="str">
        <f>V567*0.02</f>
        <v>#REF!</v>
      </c>
      <c r="AA567" t="str">
        <f>W567*0.1</f>
        <v>#REF!</v>
      </c>
      <c r="AB567" t="str">
        <f>V567-Y567-Z567</f>
        <v>#REF!</v>
      </c>
      <c r="AC567" t="str">
        <f>W567-AA567</f>
        <v>#REF!</v>
      </c>
      <c r="AD567" t="str">
        <f>AB567*0.01</f>
        <v>#REF!</v>
      </c>
      <c r="AE567" t="str">
        <f>AB567-Q567-AD567-R567</f>
        <v>#REF!</v>
      </c>
      <c r="AF567" t="str">
        <f>AC567-Q567-AD567-R567</f>
        <v>#REF!</v>
      </c>
      <c r="AG567" t="str">
        <f>AE567/V567</f>
        <v>#REF!</v>
      </c>
      <c r="AH567" t="str">
        <f>AF567/W567</f>
        <v>#REF!</v>
      </c>
    </row>
    <row r="568">
      <c r="G568" t="str">
        <v>A</v>
      </c>
      <c r="J568" t="str">
        <f>IF(K568&gt;0,K568*0.0625,IF(L568&gt;0,L568*2.204623,))</f>
        <v>#REF!</v>
      </c>
      <c r="K568" t="str">
        <f>IF(L568&gt;0,L568*35.273962,IF(J568&gt;0,J568*16,))</f>
        <v>#REF!</v>
      </c>
      <c r="L568" t="str">
        <f>IF(J568&gt;0,J568*0.453592,IF(K568&gt;0,K568*0.02835,))</f>
        <v>#REF!</v>
      </c>
      <c r="O568">
        <f>I568+N568+M568</f>
        <v>0</v>
      </c>
      <c r="P568">
        <f>O568*B$3</f>
        <v>0</v>
      </c>
      <c r="Q568">
        <f>ROUND(SUM(P568), -2)</f>
        <v>0</v>
      </c>
      <c r="R568" t="str">
        <f>ROUNDUP(HLOOKUP(IF(CEILING(L568,0.5)&lt;1,0.5,CEILING(L568,0.5)),'배송비 조회'!A$44:AO$56,7,0)*B$3,-2)</f>
        <v>#REF!</v>
      </c>
      <c r="S568">
        <v>0</v>
      </c>
      <c r="T568" t="str">
        <f>ROUND((Q568+R568)*0.3,-2)</f>
        <v>#REF!</v>
      </c>
      <c r="U568" t="str">
        <f>ROUND((Q568+R568)*0.4,-2)</f>
        <v>#REF!</v>
      </c>
      <c r="V568" t="str">
        <f>SUM(Q568:R568)+T568</f>
        <v>#REF!</v>
      </c>
      <c r="W568" t="str">
        <f>SUM(Q568:S568)+U568</f>
        <v>#REF!</v>
      </c>
      <c r="X568">
        <v>0</v>
      </c>
      <c r="Y568" t="str">
        <f>V568*0.038</f>
        <v>#REF!</v>
      </c>
      <c r="Z568" t="str">
        <f>V568*0.02</f>
        <v>#REF!</v>
      </c>
      <c r="AA568" t="str">
        <f>W568*0.1</f>
        <v>#REF!</v>
      </c>
      <c r="AB568" t="str">
        <f>V568-Y568-Z568</f>
        <v>#REF!</v>
      </c>
      <c r="AC568" t="str">
        <f>W568-AA568</f>
        <v>#REF!</v>
      </c>
      <c r="AD568" t="str">
        <f>AB568*0.01</f>
        <v>#REF!</v>
      </c>
      <c r="AE568" t="str">
        <f>AB568-Q568-AD568-R568</f>
        <v>#REF!</v>
      </c>
      <c r="AF568" t="str">
        <f>AC568-Q568-AD568-R568</f>
        <v>#REF!</v>
      </c>
      <c r="AG568" t="str">
        <f>AE568/V568</f>
        <v>#REF!</v>
      </c>
      <c r="AH568" t="str">
        <f>AF568/W568</f>
        <v>#REF!</v>
      </c>
    </row>
    <row r="569">
      <c r="G569" t="str">
        <v>A</v>
      </c>
      <c r="J569" t="str">
        <f>IF(K569&gt;0,K569*0.0625,IF(L569&gt;0,L569*2.204623,))</f>
        <v>#REF!</v>
      </c>
      <c r="K569" t="str">
        <f>IF(L569&gt;0,L569*35.273962,IF(J569&gt;0,J569*16,))</f>
        <v>#REF!</v>
      </c>
      <c r="L569" t="str">
        <f>IF(J569&gt;0,J569*0.453592,IF(K569&gt;0,K569*0.02835,))</f>
        <v>#REF!</v>
      </c>
      <c r="O569">
        <f>I569+N569+M569</f>
        <v>0</v>
      </c>
      <c r="P569">
        <f>O569*B$3</f>
        <v>0</v>
      </c>
      <c r="Q569">
        <f>ROUND(SUM(P569), -2)</f>
        <v>0</v>
      </c>
      <c r="R569" t="str">
        <f>ROUNDUP(HLOOKUP(IF(CEILING(L569,0.5)&lt;1,0.5,CEILING(L569,0.5)),'배송비 조회'!A$44:AO$56,7,0)*B$3,-2)</f>
        <v>#REF!</v>
      </c>
      <c r="S569">
        <v>0</v>
      </c>
      <c r="T569" t="str">
        <f>ROUND((Q569+R569)*0.3,-2)</f>
        <v>#REF!</v>
      </c>
      <c r="U569" t="str">
        <f>ROUND((Q569+R569)*0.4,-2)</f>
        <v>#REF!</v>
      </c>
      <c r="V569" t="str">
        <f>SUM(Q569:R569)+T569</f>
        <v>#REF!</v>
      </c>
      <c r="W569" t="str">
        <f>SUM(Q569:S569)+U569</f>
        <v>#REF!</v>
      </c>
      <c r="X569">
        <v>0</v>
      </c>
      <c r="Y569" t="str">
        <f>V569*0.038</f>
        <v>#REF!</v>
      </c>
      <c r="Z569" t="str">
        <f>V569*0.02</f>
        <v>#REF!</v>
      </c>
      <c r="AA569" t="str">
        <f>W569*0.1</f>
        <v>#REF!</v>
      </c>
      <c r="AB569" t="str">
        <f>V569-Y569-Z569</f>
        <v>#REF!</v>
      </c>
      <c r="AC569" t="str">
        <f>W569-AA569</f>
        <v>#REF!</v>
      </c>
      <c r="AD569" t="str">
        <f>AB569*0.01</f>
        <v>#REF!</v>
      </c>
      <c r="AE569" t="str">
        <f>AB569-Q569-AD569-R569</f>
        <v>#REF!</v>
      </c>
      <c r="AF569" t="str">
        <f>AC569-Q569-AD569-R569</f>
        <v>#REF!</v>
      </c>
      <c r="AG569" t="str">
        <f>AE569/V569</f>
        <v>#REF!</v>
      </c>
      <c r="AH569" t="str">
        <f>AF569/W569</f>
        <v>#REF!</v>
      </c>
    </row>
    <row r="570">
      <c r="G570" t="str">
        <v>A</v>
      </c>
      <c r="J570" t="str">
        <f>IF(K570&gt;0,K570*0.0625,IF(L570&gt;0,L570*2.204623,))</f>
        <v>#REF!</v>
      </c>
      <c r="K570" t="str">
        <f>IF(L570&gt;0,L570*35.273962,IF(J570&gt;0,J570*16,))</f>
        <v>#REF!</v>
      </c>
      <c r="L570" t="str">
        <f>IF(J570&gt;0,J570*0.453592,IF(K570&gt;0,K570*0.02835,))</f>
        <v>#REF!</v>
      </c>
      <c r="O570">
        <f>I570+N570+M570</f>
        <v>0</v>
      </c>
      <c r="P570">
        <f>O570*B$3</f>
        <v>0</v>
      </c>
      <c r="Q570">
        <f>ROUND(SUM(P570), -2)</f>
        <v>0</v>
      </c>
      <c r="R570" t="str">
        <f>ROUNDUP(HLOOKUP(IF(CEILING(L570,0.5)&lt;1,0.5,CEILING(L570,0.5)),'배송비 조회'!A$44:AO$56,7,0)*B$3,-2)</f>
        <v>#REF!</v>
      </c>
      <c r="S570">
        <v>0</v>
      </c>
      <c r="T570" t="str">
        <f>ROUND((Q570+R570)*0.3,-2)</f>
        <v>#REF!</v>
      </c>
      <c r="U570" t="str">
        <f>ROUND((Q570+R570)*0.4,-2)</f>
        <v>#REF!</v>
      </c>
      <c r="V570" t="str">
        <f>SUM(Q570:R570)+T570</f>
        <v>#REF!</v>
      </c>
      <c r="W570" t="str">
        <f>SUM(Q570:S570)+U570</f>
        <v>#REF!</v>
      </c>
      <c r="X570">
        <v>0</v>
      </c>
      <c r="Y570" t="str">
        <f>V570*0.038</f>
        <v>#REF!</v>
      </c>
      <c r="Z570" t="str">
        <f>V570*0.02</f>
        <v>#REF!</v>
      </c>
      <c r="AA570" t="str">
        <f>W570*0.1</f>
        <v>#REF!</v>
      </c>
      <c r="AB570" t="str">
        <f>V570-Y570-Z570</f>
        <v>#REF!</v>
      </c>
      <c r="AC570" t="str">
        <f>W570-AA570</f>
        <v>#REF!</v>
      </c>
      <c r="AD570" t="str">
        <f>AB570*0.01</f>
        <v>#REF!</v>
      </c>
      <c r="AE570" t="str">
        <f>AB570-Q570-AD570-R570</f>
        <v>#REF!</v>
      </c>
      <c r="AF570" t="str">
        <f>AC570-Q570-AD570-R570</f>
        <v>#REF!</v>
      </c>
      <c r="AG570" t="str">
        <f>AE570/V570</f>
        <v>#REF!</v>
      </c>
      <c r="AH570" t="str">
        <f>AF570/W570</f>
        <v>#REF!</v>
      </c>
    </row>
    <row r="571">
      <c r="G571" t="str">
        <v>A</v>
      </c>
      <c r="J571" t="str">
        <f>IF(K571&gt;0,K571*0.0625,IF(L571&gt;0,L571*2.204623,))</f>
        <v>#REF!</v>
      </c>
      <c r="K571" t="str">
        <f>IF(L571&gt;0,L571*35.273962,IF(J571&gt;0,J571*16,))</f>
        <v>#REF!</v>
      </c>
      <c r="L571" t="str">
        <f>IF(J571&gt;0,J571*0.453592,IF(K571&gt;0,K571*0.02835,))</f>
        <v>#REF!</v>
      </c>
      <c r="O571">
        <f>I571+N571+M571</f>
        <v>0</v>
      </c>
      <c r="P571">
        <f>O571*B$3</f>
        <v>0</v>
      </c>
      <c r="Q571">
        <f>ROUND(SUM(P571), -2)</f>
        <v>0</v>
      </c>
      <c r="R571" t="str">
        <f>ROUNDUP(HLOOKUP(IF(CEILING(L571,0.5)&lt;1,0.5,CEILING(L571,0.5)),'배송비 조회'!A$44:AO$56,7,0)*B$3,-2)</f>
        <v>#REF!</v>
      </c>
      <c r="S571">
        <v>0</v>
      </c>
      <c r="T571" t="str">
        <f>ROUND((Q571+R571)*0.3,-2)</f>
        <v>#REF!</v>
      </c>
      <c r="U571" t="str">
        <f>ROUND((Q571+R571)*0.4,-2)</f>
        <v>#REF!</v>
      </c>
      <c r="V571" t="str">
        <f>SUM(Q571:R571)+T571</f>
        <v>#REF!</v>
      </c>
      <c r="W571" t="str">
        <f>SUM(Q571:S571)+U571</f>
        <v>#REF!</v>
      </c>
      <c r="X571">
        <v>0</v>
      </c>
      <c r="Y571" t="str">
        <f>V571*0.038</f>
        <v>#REF!</v>
      </c>
      <c r="Z571" t="str">
        <f>V571*0.02</f>
        <v>#REF!</v>
      </c>
      <c r="AA571" t="str">
        <f>W571*0.1</f>
        <v>#REF!</v>
      </c>
      <c r="AB571" t="str">
        <f>V571-Y571-Z571</f>
        <v>#REF!</v>
      </c>
      <c r="AC571" t="str">
        <f>W571-AA571</f>
        <v>#REF!</v>
      </c>
      <c r="AD571" t="str">
        <f>AB571*0.01</f>
        <v>#REF!</v>
      </c>
      <c r="AE571" t="str">
        <f>AB571-Q571-AD571-R571</f>
        <v>#REF!</v>
      </c>
      <c r="AF571" t="str">
        <f>AC571-Q571-AD571-R571</f>
        <v>#REF!</v>
      </c>
      <c r="AG571" t="str">
        <f>AE571/V571</f>
        <v>#REF!</v>
      </c>
      <c r="AH571" t="str">
        <f>AF571/W571</f>
        <v>#REF!</v>
      </c>
    </row>
    <row r="572">
      <c r="G572" t="str">
        <v>A</v>
      </c>
      <c r="J572" t="str">
        <f>IF(K572&gt;0,K572*0.0625,IF(L572&gt;0,L572*2.204623,))</f>
        <v>#REF!</v>
      </c>
      <c r="K572" t="str">
        <f>IF(L572&gt;0,L572*35.273962,IF(J572&gt;0,J572*16,))</f>
        <v>#REF!</v>
      </c>
      <c r="L572" t="str">
        <f>IF(J572&gt;0,J572*0.453592,IF(K572&gt;0,K572*0.02835,))</f>
        <v>#REF!</v>
      </c>
      <c r="O572">
        <f>I572+N572+M572</f>
        <v>0</v>
      </c>
      <c r="P572">
        <f>O572*B$3</f>
        <v>0</v>
      </c>
      <c r="Q572">
        <f>ROUND(SUM(P572), -2)</f>
        <v>0</v>
      </c>
      <c r="R572" t="str">
        <f>ROUNDUP(HLOOKUP(IF(CEILING(L572,0.5)&lt;1,0.5,CEILING(L572,0.5)),'배송비 조회'!A$44:AO$56,7,0)*B$3,-2)</f>
        <v>#REF!</v>
      </c>
      <c r="S572">
        <v>0</v>
      </c>
      <c r="T572" t="str">
        <f>ROUND((Q572+R572)*0.3,-2)</f>
        <v>#REF!</v>
      </c>
      <c r="U572" t="str">
        <f>ROUND((Q572+R572)*0.4,-2)</f>
        <v>#REF!</v>
      </c>
      <c r="V572" t="str">
        <f>SUM(Q572:R572)+T572</f>
        <v>#REF!</v>
      </c>
      <c r="W572" t="str">
        <f>SUM(Q572:S572)+U572</f>
        <v>#REF!</v>
      </c>
      <c r="X572">
        <v>0</v>
      </c>
      <c r="Y572" t="str">
        <f>V572*0.038</f>
        <v>#REF!</v>
      </c>
      <c r="Z572" t="str">
        <f>V572*0.02</f>
        <v>#REF!</v>
      </c>
      <c r="AA572" t="str">
        <f>W572*0.1</f>
        <v>#REF!</v>
      </c>
      <c r="AB572" t="str">
        <f>V572-Y572-Z572</f>
        <v>#REF!</v>
      </c>
      <c r="AC572" t="str">
        <f>W572-AA572</f>
        <v>#REF!</v>
      </c>
      <c r="AD572" t="str">
        <f>AB572*0.01</f>
        <v>#REF!</v>
      </c>
      <c r="AE572" t="str">
        <f>AB572-Q572-AD572-R572</f>
        <v>#REF!</v>
      </c>
      <c r="AF572" t="str">
        <f>AC572-Q572-AD572-R572</f>
        <v>#REF!</v>
      </c>
      <c r="AG572" t="str">
        <f>AE572/V572</f>
        <v>#REF!</v>
      </c>
      <c r="AH572" t="str">
        <f>AF572/W572</f>
        <v>#REF!</v>
      </c>
    </row>
    <row r="573">
      <c r="G573" t="str">
        <v>A</v>
      </c>
      <c r="J573" t="str">
        <f>IF(K573&gt;0,K573*0.0625,IF(L573&gt;0,L573*2.204623,))</f>
        <v>#REF!</v>
      </c>
      <c r="K573" t="str">
        <f>IF(L573&gt;0,L573*35.273962,IF(J573&gt;0,J573*16,))</f>
        <v>#REF!</v>
      </c>
      <c r="L573" t="str">
        <f>IF(J573&gt;0,J573*0.453592,IF(K573&gt;0,K573*0.02835,))</f>
        <v>#REF!</v>
      </c>
      <c r="O573">
        <f>I573+N573+M573</f>
        <v>0</v>
      </c>
      <c r="P573">
        <f>O573*B$3</f>
        <v>0</v>
      </c>
      <c r="Q573">
        <f>ROUND(SUM(P573), -2)</f>
        <v>0</v>
      </c>
      <c r="R573" t="str">
        <f>ROUNDUP(HLOOKUP(IF(CEILING(L573,0.5)&lt;1,0.5,CEILING(L573,0.5)),'배송비 조회'!A$44:AO$56,7,0)*B$3,-2)</f>
        <v>#REF!</v>
      </c>
      <c r="S573">
        <v>0</v>
      </c>
      <c r="T573" t="str">
        <f>ROUND((Q573+R573)*0.3,-2)</f>
        <v>#REF!</v>
      </c>
      <c r="U573" t="str">
        <f>ROUND((Q573+R573)*0.4,-2)</f>
        <v>#REF!</v>
      </c>
      <c r="V573" t="str">
        <f>SUM(Q573:R573)+T573</f>
        <v>#REF!</v>
      </c>
      <c r="W573" t="str">
        <f>SUM(Q573:S573)+U573</f>
        <v>#REF!</v>
      </c>
      <c r="X573">
        <v>0</v>
      </c>
      <c r="Y573" t="str">
        <f>V573*0.038</f>
        <v>#REF!</v>
      </c>
      <c r="Z573" t="str">
        <f>V573*0.02</f>
        <v>#REF!</v>
      </c>
      <c r="AA573" t="str">
        <f>W573*0.1</f>
        <v>#REF!</v>
      </c>
      <c r="AB573" t="str">
        <f>V573-Y573-Z573</f>
        <v>#REF!</v>
      </c>
      <c r="AC573" t="str">
        <f>W573-AA573</f>
        <v>#REF!</v>
      </c>
      <c r="AD573" t="str">
        <f>AB573*0.01</f>
        <v>#REF!</v>
      </c>
      <c r="AE573" t="str">
        <f>AB573-Q573-AD573-R573</f>
        <v>#REF!</v>
      </c>
      <c r="AF573" t="str">
        <f>AC573-Q573-AD573-R573</f>
        <v>#REF!</v>
      </c>
      <c r="AG573" t="str">
        <f>AE573/V573</f>
        <v>#REF!</v>
      </c>
      <c r="AH573" t="str">
        <f>AF573/W573</f>
        <v>#REF!</v>
      </c>
    </row>
    <row r="574">
      <c r="G574" t="str">
        <v>A</v>
      </c>
      <c r="J574" t="str">
        <f>IF(K574&gt;0,K574*0.0625,IF(L574&gt;0,L574*2.204623,))</f>
        <v>#REF!</v>
      </c>
      <c r="K574" t="str">
        <f>IF(L574&gt;0,L574*35.273962,IF(J574&gt;0,J574*16,))</f>
        <v>#REF!</v>
      </c>
      <c r="L574" t="str">
        <f>IF(J574&gt;0,J574*0.453592,IF(K574&gt;0,K574*0.02835,))</f>
        <v>#REF!</v>
      </c>
      <c r="O574">
        <f>I574+N574+M574</f>
        <v>0</v>
      </c>
      <c r="P574">
        <f>O574*B$3</f>
        <v>0</v>
      </c>
      <c r="Q574">
        <f>ROUND(SUM(P574), -2)</f>
        <v>0</v>
      </c>
      <c r="R574" t="str">
        <f>ROUNDUP(HLOOKUP(IF(CEILING(L574,0.5)&lt;1,0.5,CEILING(L574,0.5)),'배송비 조회'!A$44:AO$56,7,0)*B$3,-2)</f>
        <v>#REF!</v>
      </c>
      <c r="S574">
        <v>0</v>
      </c>
      <c r="T574" t="str">
        <f>ROUND((Q574+R574)*0.3,-2)</f>
        <v>#REF!</v>
      </c>
      <c r="U574" t="str">
        <f>ROUND((Q574+R574)*0.4,-2)</f>
        <v>#REF!</v>
      </c>
      <c r="V574" t="str">
        <f>SUM(Q574:R574)+T574</f>
        <v>#REF!</v>
      </c>
      <c r="W574" t="str">
        <f>SUM(Q574:S574)+U574</f>
        <v>#REF!</v>
      </c>
      <c r="X574">
        <v>0</v>
      </c>
      <c r="Y574" t="str">
        <f>V574*0.038</f>
        <v>#REF!</v>
      </c>
      <c r="Z574" t="str">
        <f>V574*0.02</f>
        <v>#REF!</v>
      </c>
      <c r="AA574" t="str">
        <f>W574*0.1</f>
        <v>#REF!</v>
      </c>
      <c r="AB574" t="str">
        <f>V574-Y574-Z574</f>
        <v>#REF!</v>
      </c>
      <c r="AC574" t="str">
        <f>W574-AA574</f>
        <v>#REF!</v>
      </c>
      <c r="AD574" t="str">
        <f>AB574*0.01</f>
        <v>#REF!</v>
      </c>
      <c r="AE574" t="str">
        <f>AB574-Q574-AD574-R574</f>
        <v>#REF!</v>
      </c>
      <c r="AF574" t="str">
        <f>AC574-Q574-AD574-R574</f>
        <v>#REF!</v>
      </c>
      <c r="AG574" t="str">
        <f>AE574/V574</f>
        <v>#REF!</v>
      </c>
      <c r="AH574" t="str">
        <f>AF574/W574</f>
        <v>#REF!</v>
      </c>
    </row>
    <row r="575">
      <c r="G575" t="str">
        <v>A</v>
      </c>
      <c r="J575" t="str">
        <f>IF(K575&gt;0,K575*0.0625,IF(L575&gt;0,L575*2.204623,))</f>
        <v>#REF!</v>
      </c>
      <c r="K575" t="str">
        <f>IF(L575&gt;0,L575*35.273962,IF(J575&gt;0,J575*16,))</f>
        <v>#REF!</v>
      </c>
      <c r="L575" t="str">
        <f>IF(J575&gt;0,J575*0.453592,IF(K575&gt;0,K575*0.02835,))</f>
        <v>#REF!</v>
      </c>
      <c r="O575">
        <f>I575+N575+M575</f>
        <v>0</v>
      </c>
      <c r="P575">
        <f>O575*B$3</f>
        <v>0</v>
      </c>
      <c r="Q575">
        <f>ROUND(SUM(P575), -2)</f>
        <v>0</v>
      </c>
      <c r="R575" t="str">
        <f>ROUNDUP(HLOOKUP(IF(CEILING(L575,0.5)&lt;1,0.5,CEILING(L575,0.5)),'배송비 조회'!A$44:AO$56,7,0)*B$3,-2)</f>
        <v>#REF!</v>
      </c>
      <c r="S575">
        <v>0</v>
      </c>
      <c r="T575" t="str">
        <f>ROUND((Q575+R575)*0.3,-2)</f>
        <v>#REF!</v>
      </c>
      <c r="U575" t="str">
        <f>ROUND((Q575+R575)*0.4,-2)</f>
        <v>#REF!</v>
      </c>
      <c r="V575" t="str">
        <f>SUM(Q575:R575)+T575</f>
        <v>#REF!</v>
      </c>
      <c r="W575" t="str">
        <f>SUM(Q575:S575)+U575</f>
        <v>#REF!</v>
      </c>
      <c r="X575">
        <v>0</v>
      </c>
      <c r="Y575" t="str">
        <f>V575*0.038</f>
        <v>#REF!</v>
      </c>
      <c r="Z575" t="str">
        <f>V575*0.02</f>
        <v>#REF!</v>
      </c>
      <c r="AA575" t="str">
        <f>W575*0.1</f>
        <v>#REF!</v>
      </c>
      <c r="AB575" t="str">
        <f>V575-Y575-Z575</f>
        <v>#REF!</v>
      </c>
      <c r="AC575" t="str">
        <f>W575-AA575</f>
        <v>#REF!</v>
      </c>
      <c r="AD575" t="str">
        <f>AB575*0.01</f>
        <v>#REF!</v>
      </c>
      <c r="AE575" t="str">
        <f>AB575-Q575-AD575-R575</f>
        <v>#REF!</v>
      </c>
      <c r="AF575" t="str">
        <f>AC575-Q575-AD575-R575</f>
        <v>#REF!</v>
      </c>
      <c r="AG575" t="str">
        <f>AE575/V575</f>
        <v>#REF!</v>
      </c>
      <c r="AH575" t="str">
        <f>AF575/W575</f>
        <v>#REF!</v>
      </c>
    </row>
    <row r="576">
      <c r="G576" t="str">
        <v>A</v>
      </c>
      <c r="J576" t="str">
        <f>IF(K576&gt;0,K576*0.0625,IF(L576&gt;0,L576*2.204623,))</f>
        <v>#REF!</v>
      </c>
      <c r="K576" t="str">
        <f>IF(L576&gt;0,L576*35.273962,IF(J576&gt;0,J576*16,))</f>
        <v>#REF!</v>
      </c>
      <c r="L576" t="str">
        <f>IF(J576&gt;0,J576*0.453592,IF(K576&gt;0,K576*0.02835,))</f>
        <v>#REF!</v>
      </c>
      <c r="O576">
        <f>I576+N576+M576</f>
        <v>0</v>
      </c>
      <c r="P576">
        <f>O576*B$3</f>
        <v>0</v>
      </c>
      <c r="Q576">
        <f>ROUND(SUM(P576), -2)</f>
        <v>0</v>
      </c>
      <c r="R576" t="str">
        <f>ROUNDUP(HLOOKUP(IF(CEILING(L576,0.5)&lt;1,0.5,CEILING(L576,0.5)),'배송비 조회'!A$44:AO$56,7,0)*B$3,-2)</f>
        <v>#REF!</v>
      </c>
      <c r="S576">
        <v>0</v>
      </c>
      <c r="T576" t="str">
        <f>ROUND((Q576+R576)*0.3,-2)</f>
        <v>#REF!</v>
      </c>
      <c r="U576" t="str">
        <f>ROUND((Q576+R576)*0.4,-2)</f>
        <v>#REF!</v>
      </c>
      <c r="V576" t="str">
        <f>SUM(Q576:R576)+T576</f>
        <v>#REF!</v>
      </c>
      <c r="W576" t="str">
        <f>SUM(Q576:S576)+U576</f>
        <v>#REF!</v>
      </c>
      <c r="X576">
        <v>0</v>
      </c>
      <c r="Y576" t="str">
        <f>V576*0.038</f>
        <v>#REF!</v>
      </c>
      <c r="Z576" t="str">
        <f>V576*0.02</f>
        <v>#REF!</v>
      </c>
      <c r="AA576" t="str">
        <f>W576*0.1</f>
        <v>#REF!</v>
      </c>
      <c r="AB576" t="str">
        <f>V576-Y576-Z576</f>
        <v>#REF!</v>
      </c>
      <c r="AC576" t="str">
        <f>W576-AA576</f>
        <v>#REF!</v>
      </c>
      <c r="AD576" t="str">
        <f>AB576*0.01</f>
        <v>#REF!</v>
      </c>
      <c r="AE576" t="str">
        <f>AB576-Q576-AD576-R576</f>
        <v>#REF!</v>
      </c>
      <c r="AF576" t="str">
        <f>AC576-Q576-AD576-R576</f>
        <v>#REF!</v>
      </c>
      <c r="AG576" t="str">
        <f>AE576/V576</f>
        <v>#REF!</v>
      </c>
      <c r="AH576" t="str">
        <f>AF576/W576</f>
        <v>#REF!</v>
      </c>
    </row>
    <row r="577">
      <c r="G577" t="str">
        <v>A</v>
      </c>
      <c r="J577" t="str">
        <f>IF(K577&gt;0,K577*0.0625,IF(L577&gt;0,L577*2.204623,))</f>
        <v>#REF!</v>
      </c>
      <c r="K577" t="str">
        <f>IF(L577&gt;0,L577*35.273962,IF(J577&gt;0,J577*16,))</f>
        <v>#REF!</v>
      </c>
      <c r="L577" t="str">
        <f>IF(J577&gt;0,J577*0.453592,IF(K577&gt;0,K577*0.02835,))</f>
        <v>#REF!</v>
      </c>
      <c r="O577">
        <f>I577+N577+M577</f>
        <v>0</v>
      </c>
      <c r="P577">
        <f>O577*B$3</f>
        <v>0</v>
      </c>
      <c r="Q577">
        <f>ROUND(SUM(P577), -2)</f>
        <v>0</v>
      </c>
      <c r="R577" t="str">
        <f>ROUNDUP(HLOOKUP(IF(CEILING(L577,0.5)&lt;1,0.5,CEILING(L577,0.5)),'배송비 조회'!A$44:AO$56,7,0)*B$3,-2)</f>
        <v>#REF!</v>
      </c>
      <c r="S577">
        <v>0</v>
      </c>
      <c r="T577" t="str">
        <f>ROUND((Q577+R577)*0.3,-2)</f>
        <v>#REF!</v>
      </c>
      <c r="U577" t="str">
        <f>ROUND((Q577+R577)*0.4,-2)</f>
        <v>#REF!</v>
      </c>
      <c r="V577" t="str">
        <f>SUM(Q577:R577)+T577</f>
        <v>#REF!</v>
      </c>
      <c r="W577" t="str">
        <f>SUM(Q577:S577)+U577</f>
        <v>#REF!</v>
      </c>
      <c r="X577">
        <v>0</v>
      </c>
      <c r="Y577" t="str">
        <f>V577*0.038</f>
        <v>#REF!</v>
      </c>
      <c r="Z577" t="str">
        <f>V577*0.02</f>
        <v>#REF!</v>
      </c>
      <c r="AA577" t="str">
        <f>W577*0.1</f>
        <v>#REF!</v>
      </c>
      <c r="AB577" t="str">
        <f>V577-Y577-Z577</f>
        <v>#REF!</v>
      </c>
      <c r="AC577" t="str">
        <f>W577-AA577</f>
        <v>#REF!</v>
      </c>
      <c r="AD577" t="str">
        <f>AB577*0.01</f>
        <v>#REF!</v>
      </c>
      <c r="AE577" t="str">
        <f>AB577-Q577-AD577-R577</f>
        <v>#REF!</v>
      </c>
      <c r="AF577" t="str">
        <f>AC577-Q577-AD577-R577</f>
        <v>#REF!</v>
      </c>
      <c r="AG577" t="str">
        <f>AE577/V577</f>
        <v>#REF!</v>
      </c>
      <c r="AH577" t="str">
        <f>AF577/W577</f>
        <v>#REF!</v>
      </c>
    </row>
    <row r="578">
      <c r="G578" t="str">
        <v>A</v>
      </c>
      <c r="J578" t="str">
        <f>IF(K578&gt;0,K578*0.0625,IF(L578&gt;0,L578*2.204623,))</f>
        <v>#REF!</v>
      </c>
      <c r="K578" t="str">
        <f>IF(L578&gt;0,L578*35.273962,IF(J578&gt;0,J578*16,))</f>
        <v>#REF!</v>
      </c>
      <c r="L578" t="str">
        <f>IF(J578&gt;0,J578*0.453592,IF(K578&gt;0,K578*0.02835,))</f>
        <v>#REF!</v>
      </c>
      <c r="O578">
        <f>I578+N578+M578</f>
        <v>0</v>
      </c>
      <c r="P578">
        <f>O578*B$3</f>
        <v>0</v>
      </c>
      <c r="Q578">
        <f>ROUND(SUM(P578), -2)</f>
        <v>0</v>
      </c>
      <c r="R578" t="str">
        <f>ROUNDUP(HLOOKUP(IF(CEILING(L578,0.5)&lt;1,0.5,CEILING(L578,0.5)),'배송비 조회'!A$44:AO$56,7,0)*B$3,-2)</f>
        <v>#REF!</v>
      </c>
      <c r="S578">
        <v>0</v>
      </c>
      <c r="T578" t="str">
        <f>ROUND((Q578+R578)*0.3,-2)</f>
        <v>#REF!</v>
      </c>
      <c r="U578" t="str">
        <f>ROUND((Q578+R578)*0.4,-2)</f>
        <v>#REF!</v>
      </c>
      <c r="V578" t="str">
        <f>SUM(Q578:R578)+T578</f>
        <v>#REF!</v>
      </c>
      <c r="W578" t="str">
        <f>SUM(Q578:S578)+U578</f>
        <v>#REF!</v>
      </c>
      <c r="X578">
        <v>0</v>
      </c>
      <c r="Y578" t="str">
        <f>V578*0.038</f>
        <v>#REF!</v>
      </c>
      <c r="Z578" t="str">
        <f>V578*0.02</f>
        <v>#REF!</v>
      </c>
      <c r="AA578" t="str">
        <f>W578*0.1</f>
        <v>#REF!</v>
      </c>
      <c r="AB578" t="str">
        <f>V578-Y578-Z578</f>
        <v>#REF!</v>
      </c>
      <c r="AC578" t="str">
        <f>W578-AA578</f>
        <v>#REF!</v>
      </c>
      <c r="AD578" t="str">
        <f>AB578*0.01</f>
        <v>#REF!</v>
      </c>
      <c r="AE578" t="str">
        <f>AB578-Q578-AD578-R578</f>
        <v>#REF!</v>
      </c>
      <c r="AF578" t="str">
        <f>AC578-Q578-AD578-R578</f>
        <v>#REF!</v>
      </c>
      <c r="AG578" t="str">
        <f>AE578/V578</f>
        <v>#REF!</v>
      </c>
      <c r="AH578" t="str">
        <f>AF578/W578</f>
        <v>#REF!</v>
      </c>
    </row>
    <row r="579">
      <c r="G579" t="str">
        <v>A</v>
      </c>
      <c r="J579" t="str">
        <f>IF(K579&gt;0,K579*0.0625,IF(L579&gt;0,L579*2.204623,))</f>
        <v>#REF!</v>
      </c>
      <c r="K579" t="str">
        <f>IF(L579&gt;0,L579*35.273962,IF(J579&gt;0,J579*16,))</f>
        <v>#REF!</v>
      </c>
      <c r="L579" t="str">
        <f>IF(J579&gt;0,J579*0.453592,IF(K579&gt;0,K579*0.02835,))</f>
        <v>#REF!</v>
      </c>
      <c r="O579">
        <f>I579+N579+M579</f>
        <v>0</v>
      </c>
      <c r="P579">
        <f>O579*B$3</f>
        <v>0</v>
      </c>
      <c r="Q579">
        <f>ROUND(SUM(P579), -2)</f>
        <v>0</v>
      </c>
      <c r="R579" t="str">
        <f>ROUNDUP(HLOOKUP(IF(CEILING(L579,0.5)&lt;1,0.5,CEILING(L579,0.5)),'배송비 조회'!A$44:AO$56,7,0)*B$3,-2)</f>
        <v>#REF!</v>
      </c>
      <c r="S579">
        <v>0</v>
      </c>
      <c r="T579" t="str">
        <f>ROUND((Q579+R579)*0.3,-2)</f>
        <v>#REF!</v>
      </c>
      <c r="U579" t="str">
        <f>ROUND((Q579+R579)*0.4,-2)</f>
        <v>#REF!</v>
      </c>
      <c r="V579" t="str">
        <f>SUM(Q579:R579)+T579</f>
        <v>#REF!</v>
      </c>
      <c r="W579" t="str">
        <f>SUM(Q579:S579)+U579</f>
        <v>#REF!</v>
      </c>
      <c r="X579">
        <v>0</v>
      </c>
      <c r="Y579" t="str">
        <f>V579*0.038</f>
        <v>#REF!</v>
      </c>
      <c r="Z579" t="str">
        <f>V579*0.02</f>
        <v>#REF!</v>
      </c>
      <c r="AA579" t="str">
        <f>W579*0.1</f>
        <v>#REF!</v>
      </c>
      <c r="AB579" t="str">
        <f>V579-Y579-Z579</f>
        <v>#REF!</v>
      </c>
      <c r="AC579" t="str">
        <f>W579-AA579</f>
        <v>#REF!</v>
      </c>
      <c r="AD579" t="str">
        <f>AB579*0.01</f>
        <v>#REF!</v>
      </c>
      <c r="AE579" t="str">
        <f>AB579-Q579-AD579-R579</f>
        <v>#REF!</v>
      </c>
      <c r="AF579" t="str">
        <f>AC579-Q579-AD579-R579</f>
        <v>#REF!</v>
      </c>
      <c r="AG579" t="str">
        <f>AE579/V579</f>
        <v>#REF!</v>
      </c>
      <c r="AH579" t="str">
        <f>AF579/W579</f>
        <v>#REF!</v>
      </c>
    </row>
    <row r="580">
      <c r="G580" t="str">
        <v>A</v>
      </c>
      <c r="J580" t="str">
        <f>IF(K580&gt;0,K580*0.0625,IF(L580&gt;0,L580*2.204623,))</f>
        <v>#REF!</v>
      </c>
      <c r="K580" t="str">
        <f>IF(L580&gt;0,L580*35.273962,IF(J580&gt;0,J580*16,))</f>
        <v>#REF!</v>
      </c>
      <c r="L580" t="str">
        <f>IF(J580&gt;0,J580*0.453592,IF(K580&gt;0,K580*0.02835,))</f>
        <v>#REF!</v>
      </c>
      <c r="O580">
        <f>I580+N580+M580</f>
        <v>0</v>
      </c>
      <c r="P580">
        <f>O580*B$3</f>
        <v>0</v>
      </c>
      <c r="Q580">
        <f>ROUND(SUM(P580), -2)</f>
        <v>0</v>
      </c>
      <c r="R580" t="str">
        <f>ROUNDUP(HLOOKUP(IF(CEILING(L580,0.5)&lt;1,0.5,CEILING(L580,0.5)),'배송비 조회'!A$44:AO$56,7,0)*B$3,-2)</f>
        <v>#REF!</v>
      </c>
      <c r="S580">
        <v>0</v>
      </c>
      <c r="T580" t="str">
        <f>ROUND((Q580+R580)*0.3,-2)</f>
        <v>#REF!</v>
      </c>
      <c r="U580" t="str">
        <f>ROUND((Q580+R580)*0.4,-2)</f>
        <v>#REF!</v>
      </c>
      <c r="V580" t="str">
        <f>SUM(Q580:R580)+T580</f>
        <v>#REF!</v>
      </c>
      <c r="W580" t="str">
        <f>SUM(Q580:S580)+U580</f>
        <v>#REF!</v>
      </c>
      <c r="X580">
        <v>0</v>
      </c>
      <c r="Y580" t="str">
        <f>V580*0.038</f>
        <v>#REF!</v>
      </c>
      <c r="Z580" t="str">
        <f>V580*0.02</f>
        <v>#REF!</v>
      </c>
      <c r="AA580" t="str">
        <f>W580*0.1</f>
        <v>#REF!</v>
      </c>
      <c r="AB580" t="str">
        <f>V580-Y580-Z580</f>
        <v>#REF!</v>
      </c>
      <c r="AC580" t="str">
        <f>W580-AA580</f>
        <v>#REF!</v>
      </c>
      <c r="AD580" t="str">
        <f>AB580*0.01</f>
        <v>#REF!</v>
      </c>
      <c r="AE580" t="str">
        <f>AB580-Q580-AD580-R580</f>
        <v>#REF!</v>
      </c>
      <c r="AF580" t="str">
        <f>AC580-Q580-AD580-R580</f>
        <v>#REF!</v>
      </c>
      <c r="AG580" t="str">
        <f>AE580/V580</f>
        <v>#REF!</v>
      </c>
      <c r="AH580" t="str">
        <f>AF580/W580</f>
        <v>#REF!</v>
      </c>
    </row>
    <row r="581">
      <c r="G581" t="str">
        <v>A</v>
      </c>
      <c r="J581" t="str">
        <f>IF(K581&gt;0,K581*0.0625,IF(L581&gt;0,L581*2.204623,))</f>
        <v>#REF!</v>
      </c>
      <c r="K581" t="str">
        <f>IF(L581&gt;0,L581*35.273962,IF(J581&gt;0,J581*16,))</f>
        <v>#REF!</v>
      </c>
      <c r="L581" t="str">
        <f>IF(J581&gt;0,J581*0.453592,IF(K581&gt;0,K581*0.02835,))</f>
        <v>#REF!</v>
      </c>
      <c r="O581">
        <f>I581+N581+M581</f>
        <v>0</v>
      </c>
      <c r="P581">
        <f>O581*B$3</f>
        <v>0</v>
      </c>
      <c r="Q581">
        <f>ROUND(SUM(P581), -2)</f>
        <v>0</v>
      </c>
      <c r="R581" t="str">
        <f>ROUNDUP(HLOOKUP(IF(CEILING(L581,0.5)&lt;1,0.5,CEILING(L581,0.5)),'배송비 조회'!A$44:AO$56,7,0)*B$3,-2)</f>
        <v>#REF!</v>
      </c>
      <c r="S581">
        <v>0</v>
      </c>
      <c r="T581" t="str">
        <f>ROUND((Q581+R581)*0.3,-2)</f>
        <v>#REF!</v>
      </c>
      <c r="U581" t="str">
        <f>ROUND((Q581+R581)*0.4,-2)</f>
        <v>#REF!</v>
      </c>
      <c r="V581" t="str">
        <f>SUM(Q581:R581)+T581</f>
        <v>#REF!</v>
      </c>
      <c r="W581" t="str">
        <f>SUM(Q581:S581)+U581</f>
        <v>#REF!</v>
      </c>
      <c r="X581">
        <v>0</v>
      </c>
      <c r="Y581" t="str">
        <f>V581*0.038</f>
        <v>#REF!</v>
      </c>
      <c r="Z581" t="str">
        <f>V581*0.02</f>
        <v>#REF!</v>
      </c>
      <c r="AA581" t="str">
        <f>W581*0.1</f>
        <v>#REF!</v>
      </c>
      <c r="AB581" t="str">
        <f>V581-Y581-Z581</f>
        <v>#REF!</v>
      </c>
      <c r="AC581" t="str">
        <f>W581-AA581</f>
        <v>#REF!</v>
      </c>
      <c r="AD581" t="str">
        <f>AB581*0.01</f>
        <v>#REF!</v>
      </c>
      <c r="AE581" t="str">
        <f>AB581-Q581-AD581-R581</f>
        <v>#REF!</v>
      </c>
      <c r="AF581" t="str">
        <f>AC581-Q581-AD581-R581</f>
        <v>#REF!</v>
      </c>
      <c r="AG581" t="str">
        <f>AE581/V581</f>
        <v>#REF!</v>
      </c>
      <c r="AH581" t="str">
        <f>AF581/W581</f>
        <v>#REF!</v>
      </c>
    </row>
    <row r="582">
      <c r="G582" t="str">
        <v>A</v>
      </c>
      <c r="J582" t="str">
        <f>IF(K582&gt;0,K582*0.0625,IF(L582&gt;0,L582*2.204623,))</f>
        <v>#REF!</v>
      </c>
      <c r="K582" t="str">
        <f>IF(L582&gt;0,L582*35.273962,IF(J582&gt;0,J582*16,))</f>
        <v>#REF!</v>
      </c>
      <c r="L582" t="str">
        <f>IF(J582&gt;0,J582*0.453592,IF(K582&gt;0,K582*0.02835,))</f>
        <v>#REF!</v>
      </c>
      <c r="O582">
        <f>I582+N582+M582</f>
        <v>0</v>
      </c>
      <c r="P582">
        <f>O582*B$3</f>
        <v>0</v>
      </c>
      <c r="Q582">
        <f>ROUND(SUM(P582), -2)</f>
        <v>0</v>
      </c>
      <c r="R582" t="str">
        <f>ROUNDUP(HLOOKUP(IF(CEILING(L582,0.5)&lt;1,0.5,CEILING(L582,0.5)),'배송비 조회'!A$44:AO$56,7,0)*B$3,-2)</f>
        <v>#REF!</v>
      </c>
      <c r="S582">
        <v>0</v>
      </c>
      <c r="T582" t="str">
        <f>ROUND((Q582+R582)*0.3,-2)</f>
        <v>#REF!</v>
      </c>
      <c r="U582" t="str">
        <f>ROUND((Q582+R582)*0.4,-2)</f>
        <v>#REF!</v>
      </c>
      <c r="V582" t="str">
        <f>SUM(Q582:R582)+T582</f>
        <v>#REF!</v>
      </c>
      <c r="W582" t="str">
        <f>SUM(Q582:S582)+U582</f>
        <v>#REF!</v>
      </c>
      <c r="X582">
        <v>0</v>
      </c>
      <c r="Y582" t="str">
        <f>V582*0.038</f>
        <v>#REF!</v>
      </c>
      <c r="Z582" t="str">
        <f>V582*0.02</f>
        <v>#REF!</v>
      </c>
      <c r="AA582" t="str">
        <f>W582*0.1</f>
        <v>#REF!</v>
      </c>
      <c r="AB582" t="str">
        <f>V582-Y582-Z582</f>
        <v>#REF!</v>
      </c>
      <c r="AC582" t="str">
        <f>W582-AA582</f>
        <v>#REF!</v>
      </c>
      <c r="AD582" t="str">
        <f>AB582*0.01</f>
        <v>#REF!</v>
      </c>
      <c r="AE582" t="str">
        <f>AB582-Q582-AD582-R582</f>
        <v>#REF!</v>
      </c>
      <c r="AF582" t="str">
        <f>AC582-Q582-AD582-R582</f>
        <v>#REF!</v>
      </c>
      <c r="AG582" t="str">
        <f>AE582/V582</f>
        <v>#REF!</v>
      </c>
      <c r="AH582" t="str">
        <f>AF582/W582</f>
        <v>#REF!</v>
      </c>
    </row>
    <row r="583">
      <c r="G583" t="str">
        <v>A</v>
      </c>
      <c r="J583" t="str">
        <f>IF(K583&gt;0,K583*0.0625,IF(L583&gt;0,L583*2.204623,))</f>
        <v>#REF!</v>
      </c>
      <c r="K583" t="str">
        <f>IF(L583&gt;0,L583*35.273962,IF(J583&gt;0,J583*16,))</f>
        <v>#REF!</v>
      </c>
      <c r="L583" t="str">
        <f>IF(J583&gt;0,J583*0.453592,IF(K583&gt;0,K583*0.02835,))</f>
        <v>#REF!</v>
      </c>
      <c r="O583">
        <f>I583+N583+M583</f>
        <v>0</v>
      </c>
      <c r="P583">
        <f>O583*B$3</f>
        <v>0</v>
      </c>
      <c r="Q583">
        <f>ROUND(SUM(P583), -2)</f>
        <v>0</v>
      </c>
      <c r="R583" t="str">
        <f>ROUNDUP(HLOOKUP(IF(CEILING(L583,0.5)&lt;1,0.5,CEILING(L583,0.5)),'배송비 조회'!A$44:AO$56,7,0)*B$3,-2)</f>
        <v>#REF!</v>
      </c>
      <c r="S583">
        <v>0</v>
      </c>
      <c r="T583" t="str">
        <f>ROUND((Q583+R583)*0.3,-2)</f>
        <v>#REF!</v>
      </c>
      <c r="U583" t="str">
        <f>ROUND((Q583+R583)*0.4,-2)</f>
        <v>#REF!</v>
      </c>
      <c r="V583" t="str">
        <f>SUM(Q583:R583)+T583</f>
        <v>#REF!</v>
      </c>
      <c r="W583" t="str">
        <f>SUM(Q583:S583)+U583</f>
        <v>#REF!</v>
      </c>
      <c r="X583">
        <v>0</v>
      </c>
      <c r="Y583" t="str">
        <f>V583*0.038</f>
        <v>#REF!</v>
      </c>
      <c r="Z583" t="str">
        <f>V583*0.02</f>
        <v>#REF!</v>
      </c>
      <c r="AA583" t="str">
        <f>W583*0.1</f>
        <v>#REF!</v>
      </c>
      <c r="AB583" t="str">
        <f>V583-Y583-Z583</f>
        <v>#REF!</v>
      </c>
      <c r="AC583" t="str">
        <f>W583-AA583</f>
        <v>#REF!</v>
      </c>
      <c r="AD583" t="str">
        <f>AB583*0.01</f>
        <v>#REF!</v>
      </c>
      <c r="AE583" t="str">
        <f>AB583-Q583-AD583-R583</f>
        <v>#REF!</v>
      </c>
      <c r="AF583" t="str">
        <f>AC583-Q583-AD583-R583</f>
        <v>#REF!</v>
      </c>
      <c r="AG583" t="str">
        <f>AE583/V583</f>
        <v>#REF!</v>
      </c>
      <c r="AH583" t="str">
        <f>AF583/W583</f>
        <v>#REF!</v>
      </c>
    </row>
    <row r="584">
      <c r="G584" t="str">
        <v>A</v>
      </c>
      <c r="J584" t="str">
        <f>IF(K584&gt;0,K584*0.0625,IF(L584&gt;0,L584*2.204623,))</f>
        <v>#REF!</v>
      </c>
      <c r="K584" t="str">
        <f>IF(L584&gt;0,L584*35.273962,IF(J584&gt;0,J584*16,))</f>
        <v>#REF!</v>
      </c>
      <c r="L584" t="str">
        <f>IF(J584&gt;0,J584*0.453592,IF(K584&gt;0,K584*0.02835,))</f>
        <v>#REF!</v>
      </c>
      <c r="O584">
        <f>I584+N584+M584</f>
        <v>0</v>
      </c>
      <c r="P584">
        <f>O584*B$3</f>
        <v>0</v>
      </c>
      <c r="Q584">
        <f>ROUND(SUM(P584), -2)</f>
        <v>0</v>
      </c>
      <c r="R584" t="str">
        <f>ROUNDUP(HLOOKUP(IF(CEILING(L584,0.5)&lt;1,0.5,CEILING(L584,0.5)),'배송비 조회'!A$44:AO$56,7,0)*B$3,-2)</f>
        <v>#REF!</v>
      </c>
      <c r="S584">
        <v>0</v>
      </c>
      <c r="T584" t="str">
        <f>ROUND((Q584+R584)*0.3,-2)</f>
        <v>#REF!</v>
      </c>
      <c r="U584" t="str">
        <f>ROUND((Q584+R584)*0.4,-2)</f>
        <v>#REF!</v>
      </c>
      <c r="V584" t="str">
        <f>SUM(Q584:R584)+T584</f>
        <v>#REF!</v>
      </c>
      <c r="W584" t="str">
        <f>SUM(Q584:S584)+U584</f>
        <v>#REF!</v>
      </c>
      <c r="X584">
        <v>0</v>
      </c>
      <c r="Y584" t="str">
        <f>V584*0.038</f>
        <v>#REF!</v>
      </c>
      <c r="Z584" t="str">
        <f>V584*0.02</f>
        <v>#REF!</v>
      </c>
      <c r="AA584" t="str">
        <f>W584*0.1</f>
        <v>#REF!</v>
      </c>
      <c r="AB584" t="str">
        <f>V584-Y584-Z584</f>
        <v>#REF!</v>
      </c>
      <c r="AC584" t="str">
        <f>W584-AA584</f>
        <v>#REF!</v>
      </c>
      <c r="AD584" t="str">
        <f>AB584*0.01</f>
        <v>#REF!</v>
      </c>
      <c r="AE584" t="str">
        <f>AB584-Q584-AD584-R584</f>
        <v>#REF!</v>
      </c>
      <c r="AF584" t="str">
        <f>AC584-Q584-AD584-R584</f>
        <v>#REF!</v>
      </c>
      <c r="AG584" t="str">
        <f>AE584/V584</f>
        <v>#REF!</v>
      </c>
      <c r="AH584" t="str">
        <f>AF584/W584</f>
        <v>#REF!</v>
      </c>
    </row>
    <row r="585">
      <c r="G585" t="str">
        <v>A</v>
      </c>
      <c r="J585" t="str">
        <f>IF(K585&gt;0,K585*0.0625,IF(L585&gt;0,L585*2.204623,))</f>
        <v>#REF!</v>
      </c>
      <c r="K585" t="str">
        <f>IF(L585&gt;0,L585*35.273962,IF(J585&gt;0,J585*16,))</f>
        <v>#REF!</v>
      </c>
      <c r="L585" t="str">
        <f>IF(J585&gt;0,J585*0.453592,IF(K585&gt;0,K585*0.02835,))</f>
        <v>#REF!</v>
      </c>
      <c r="O585">
        <f>I585+N585+M585</f>
        <v>0</v>
      </c>
      <c r="P585">
        <f>O585*B$3</f>
        <v>0</v>
      </c>
      <c r="Q585">
        <f>ROUND(SUM(P585), -2)</f>
        <v>0</v>
      </c>
      <c r="R585" t="str">
        <f>ROUNDUP(HLOOKUP(IF(CEILING(L585,0.5)&lt;1,0.5,CEILING(L585,0.5)),'배송비 조회'!A$44:AO$56,7,0)*B$3,-2)</f>
        <v>#REF!</v>
      </c>
      <c r="S585">
        <v>0</v>
      </c>
      <c r="T585" t="str">
        <f>ROUND((Q585+R585)*0.3,-2)</f>
        <v>#REF!</v>
      </c>
      <c r="U585" t="str">
        <f>ROUND((Q585+R585)*0.4,-2)</f>
        <v>#REF!</v>
      </c>
      <c r="V585" t="str">
        <f>SUM(Q585:R585)+T585</f>
        <v>#REF!</v>
      </c>
      <c r="W585" t="str">
        <f>SUM(Q585:S585)+U585</f>
        <v>#REF!</v>
      </c>
      <c r="X585">
        <v>0</v>
      </c>
      <c r="Y585" t="str">
        <f>V585*0.038</f>
        <v>#REF!</v>
      </c>
      <c r="Z585" t="str">
        <f>V585*0.02</f>
        <v>#REF!</v>
      </c>
      <c r="AA585" t="str">
        <f>W585*0.1</f>
        <v>#REF!</v>
      </c>
      <c r="AB585" t="str">
        <f>V585-Y585-Z585</f>
        <v>#REF!</v>
      </c>
      <c r="AC585" t="str">
        <f>W585-AA585</f>
        <v>#REF!</v>
      </c>
      <c r="AD585" t="str">
        <f>AB585*0.01</f>
        <v>#REF!</v>
      </c>
      <c r="AE585" t="str">
        <f>AB585-Q585-AD585-R585</f>
        <v>#REF!</v>
      </c>
      <c r="AF585" t="str">
        <f>AC585-Q585-AD585-R585</f>
        <v>#REF!</v>
      </c>
      <c r="AG585" t="str">
        <f>AE585/V585</f>
        <v>#REF!</v>
      </c>
      <c r="AH585" t="str">
        <f>AF585/W585</f>
        <v>#REF!</v>
      </c>
    </row>
    <row r="586">
      <c r="G586" t="str">
        <v>A</v>
      </c>
      <c r="J586" t="str">
        <f>IF(K586&gt;0,K586*0.0625,IF(L586&gt;0,L586*2.204623,))</f>
        <v>#REF!</v>
      </c>
      <c r="K586" t="str">
        <f>IF(L586&gt;0,L586*35.273962,IF(J586&gt;0,J586*16,))</f>
        <v>#REF!</v>
      </c>
      <c r="L586" t="str">
        <f>IF(J586&gt;0,J586*0.453592,IF(K586&gt;0,K586*0.02835,))</f>
        <v>#REF!</v>
      </c>
      <c r="O586">
        <f>I586+N586+M586</f>
        <v>0</v>
      </c>
      <c r="P586">
        <f>O586*B$3</f>
        <v>0</v>
      </c>
      <c r="Q586">
        <f>ROUND(SUM(P586), -2)</f>
        <v>0</v>
      </c>
      <c r="R586" t="str">
        <f>ROUNDUP(HLOOKUP(IF(CEILING(L586,0.5)&lt;1,0.5,CEILING(L586,0.5)),'배송비 조회'!A$44:AO$56,7,0)*B$3,-2)</f>
        <v>#REF!</v>
      </c>
      <c r="S586">
        <v>0</v>
      </c>
      <c r="T586" t="str">
        <f>ROUND((Q586+R586)*0.3,-2)</f>
        <v>#REF!</v>
      </c>
      <c r="U586" t="str">
        <f>ROUND((Q586+R586)*0.4,-2)</f>
        <v>#REF!</v>
      </c>
      <c r="V586" t="str">
        <f>SUM(Q586:R586)+T586</f>
        <v>#REF!</v>
      </c>
      <c r="W586" t="str">
        <f>SUM(Q586:S586)+U586</f>
        <v>#REF!</v>
      </c>
      <c r="X586">
        <v>0</v>
      </c>
      <c r="Y586" t="str">
        <f>V586*0.038</f>
        <v>#REF!</v>
      </c>
      <c r="Z586" t="str">
        <f>V586*0.02</f>
        <v>#REF!</v>
      </c>
      <c r="AA586" t="str">
        <f>W586*0.1</f>
        <v>#REF!</v>
      </c>
      <c r="AB586" t="str">
        <f>V586-Y586-Z586</f>
        <v>#REF!</v>
      </c>
      <c r="AC586" t="str">
        <f>W586-AA586</f>
        <v>#REF!</v>
      </c>
      <c r="AD586" t="str">
        <f>AB586*0.01</f>
        <v>#REF!</v>
      </c>
      <c r="AE586" t="str">
        <f>AB586-Q586-AD586-R586</f>
        <v>#REF!</v>
      </c>
      <c r="AF586" t="str">
        <f>AC586-Q586-AD586-R586</f>
        <v>#REF!</v>
      </c>
      <c r="AG586" t="str">
        <f>AE586/V586</f>
        <v>#REF!</v>
      </c>
      <c r="AH586" t="str">
        <f>AF586/W586</f>
        <v>#REF!</v>
      </c>
    </row>
    <row r="587">
      <c r="G587" t="str">
        <v>A</v>
      </c>
      <c r="J587" t="str">
        <f>IF(K587&gt;0,K587*0.0625,IF(L587&gt;0,L587*2.204623,))</f>
        <v>#REF!</v>
      </c>
      <c r="K587" t="str">
        <f>IF(L587&gt;0,L587*35.273962,IF(J587&gt;0,J587*16,))</f>
        <v>#REF!</v>
      </c>
      <c r="L587" t="str">
        <f>IF(J587&gt;0,J587*0.453592,IF(K587&gt;0,K587*0.02835,))</f>
        <v>#REF!</v>
      </c>
      <c r="O587">
        <f>I587+N587+M587</f>
        <v>0</v>
      </c>
      <c r="P587">
        <f>O587*B$3</f>
        <v>0</v>
      </c>
      <c r="Q587">
        <f>ROUND(SUM(P587), -2)</f>
        <v>0</v>
      </c>
      <c r="R587" t="str">
        <f>ROUNDUP(HLOOKUP(IF(CEILING(L587,0.5)&lt;1,0.5,CEILING(L587,0.5)),'배송비 조회'!A$44:AO$56,7,0)*B$3,-2)</f>
        <v>#REF!</v>
      </c>
      <c r="S587">
        <v>0</v>
      </c>
      <c r="T587" t="str">
        <f>ROUND((Q587+R587)*0.3,-2)</f>
        <v>#REF!</v>
      </c>
      <c r="U587" t="str">
        <f>ROUND((Q587+R587)*0.4,-2)</f>
        <v>#REF!</v>
      </c>
      <c r="V587" t="str">
        <f>SUM(Q587:R587)+T587</f>
        <v>#REF!</v>
      </c>
      <c r="W587" t="str">
        <f>SUM(Q587:S587)+U587</f>
        <v>#REF!</v>
      </c>
      <c r="X587">
        <v>0</v>
      </c>
      <c r="Y587" t="str">
        <f>V587*0.038</f>
        <v>#REF!</v>
      </c>
      <c r="Z587" t="str">
        <f>V587*0.02</f>
        <v>#REF!</v>
      </c>
      <c r="AA587" t="str">
        <f>W587*0.1</f>
        <v>#REF!</v>
      </c>
      <c r="AB587" t="str">
        <f>V587-Y587-Z587</f>
        <v>#REF!</v>
      </c>
      <c r="AC587" t="str">
        <f>W587-AA587</f>
        <v>#REF!</v>
      </c>
      <c r="AD587" t="str">
        <f>AB587*0.01</f>
        <v>#REF!</v>
      </c>
      <c r="AE587" t="str">
        <f>AB587-Q587-AD587-R587</f>
        <v>#REF!</v>
      </c>
      <c r="AF587" t="str">
        <f>AC587-Q587-AD587-R587</f>
        <v>#REF!</v>
      </c>
      <c r="AG587" t="str">
        <f>AE587/V587</f>
        <v>#REF!</v>
      </c>
      <c r="AH587" t="str">
        <f>AF587/W587</f>
        <v>#REF!</v>
      </c>
    </row>
    <row r="588">
      <c r="G588" t="str">
        <v>A</v>
      </c>
      <c r="J588" t="str">
        <f>IF(K588&gt;0,K588*0.0625,IF(L588&gt;0,L588*2.204623,))</f>
        <v>#REF!</v>
      </c>
      <c r="K588" t="str">
        <f>IF(L588&gt;0,L588*35.273962,IF(J588&gt;0,J588*16,))</f>
        <v>#REF!</v>
      </c>
      <c r="L588" t="str">
        <f>IF(J588&gt;0,J588*0.453592,IF(K588&gt;0,K588*0.02835,))</f>
        <v>#REF!</v>
      </c>
      <c r="O588">
        <f>I588+N588+M588</f>
        <v>0</v>
      </c>
      <c r="P588">
        <f>O588*B$3</f>
        <v>0</v>
      </c>
      <c r="Q588">
        <f>ROUND(SUM(P588), -2)</f>
        <v>0</v>
      </c>
      <c r="R588" t="str">
        <f>ROUNDUP(HLOOKUP(IF(CEILING(L588,0.5)&lt;1,0.5,CEILING(L588,0.5)),'배송비 조회'!A$44:AO$56,7,0)*B$3,-2)</f>
        <v>#REF!</v>
      </c>
      <c r="S588">
        <v>0</v>
      </c>
      <c r="T588" t="str">
        <f>ROUND((Q588+R588)*0.3,-2)</f>
        <v>#REF!</v>
      </c>
      <c r="U588" t="str">
        <f>ROUND((Q588+R588)*0.4,-2)</f>
        <v>#REF!</v>
      </c>
      <c r="V588" t="str">
        <f>SUM(Q588:R588)+T588</f>
        <v>#REF!</v>
      </c>
      <c r="W588" t="str">
        <f>SUM(Q588:S588)+U588</f>
        <v>#REF!</v>
      </c>
      <c r="X588">
        <v>0</v>
      </c>
      <c r="Y588" t="str">
        <f>V588*0.038</f>
        <v>#REF!</v>
      </c>
      <c r="Z588" t="str">
        <f>V588*0.02</f>
        <v>#REF!</v>
      </c>
      <c r="AA588" t="str">
        <f>W588*0.1</f>
        <v>#REF!</v>
      </c>
      <c r="AB588" t="str">
        <f>V588-Y588-Z588</f>
        <v>#REF!</v>
      </c>
      <c r="AC588" t="str">
        <f>W588-AA588</f>
        <v>#REF!</v>
      </c>
      <c r="AD588" t="str">
        <f>AB588*0.01</f>
        <v>#REF!</v>
      </c>
      <c r="AE588" t="str">
        <f>AB588-Q588-AD588-R588</f>
        <v>#REF!</v>
      </c>
      <c r="AF588" t="str">
        <f>AC588-Q588-AD588-R588</f>
        <v>#REF!</v>
      </c>
      <c r="AG588" t="str">
        <f>AE588/V588</f>
        <v>#REF!</v>
      </c>
      <c r="AH588" t="str">
        <f>AF588/W588</f>
        <v>#REF!</v>
      </c>
    </row>
    <row r="589">
      <c r="G589" t="str">
        <v>A</v>
      </c>
      <c r="J589" t="str">
        <f>IF(K589&gt;0,K589*0.0625,IF(L589&gt;0,L589*2.204623,))</f>
        <v>#REF!</v>
      </c>
      <c r="K589" t="str">
        <f>IF(L589&gt;0,L589*35.273962,IF(J589&gt;0,J589*16,))</f>
        <v>#REF!</v>
      </c>
      <c r="L589" t="str">
        <f>IF(J589&gt;0,J589*0.453592,IF(K589&gt;0,K589*0.02835,))</f>
        <v>#REF!</v>
      </c>
      <c r="O589">
        <f>I589+N589+M589</f>
        <v>0</v>
      </c>
      <c r="P589">
        <f>O589*B$3</f>
        <v>0</v>
      </c>
      <c r="Q589">
        <f>ROUND(SUM(P589), -2)</f>
        <v>0</v>
      </c>
      <c r="R589" t="str">
        <f>ROUNDUP(HLOOKUP(IF(CEILING(L589,0.5)&lt;1,0.5,CEILING(L589,0.5)),'배송비 조회'!A$44:AO$56,7,0)*B$3,-2)</f>
        <v>#REF!</v>
      </c>
      <c r="S589">
        <v>0</v>
      </c>
      <c r="T589" t="str">
        <f>ROUND((Q589+R589)*0.3,-2)</f>
        <v>#REF!</v>
      </c>
      <c r="U589" t="str">
        <f>ROUND((Q589+R589)*0.4,-2)</f>
        <v>#REF!</v>
      </c>
      <c r="V589" t="str">
        <f>SUM(Q589:R589)+T589</f>
        <v>#REF!</v>
      </c>
      <c r="W589" t="str">
        <f>SUM(Q589:S589)+U589</f>
        <v>#REF!</v>
      </c>
      <c r="X589">
        <v>0</v>
      </c>
      <c r="Y589" t="str">
        <f>V589*0.038</f>
        <v>#REF!</v>
      </c>
      <c r="Z589" t="str">
        <f>V589*0.02</f>
        <v>#REF!</v>
      </c>
      <c r="AA589" t="str">
        <f>W589*0.1</f>
        <v>#REF!</v>
      </c>
      <c r="AB589" t="str">
        <f>V589-Y589-Z589</f>
        <v>#REF!</v>
      </c>
      <c r="AC589" t="str">
        <f>W589-AA589</f>
        <v>#REF!</v>
      </c>
      <c r="AD589" t="str">
        <f>AB589*0.01</f>
        <v>#REF!</v>
      </c>
      <c r="AE589" t="str">
        <f>AB589-Q589-AD589-R589</f>
        <v>#REF!</v>
      </c>
      <c r="AF589" t="str">
        <f>AC589-Q589-AD589-R589</f>
        <v>#REF!</v>
      </c>
      <c r="AG589" t="str">
        <f>AE589/V589</f>
        <v>#REF!</v>
      </c>
      <c r="AH589" t="str">
        <f>AF589/W589</f>
        <v>#REF!</v>
      </c>
    </row>
    <row r="590">
      <c r="G590" t="str">
        <v>A</v>
      </c>
      <c r="J590" t="str">
        <f>IF(K590&gt;0,K590*0.0625,IF(L590&gt;0,L590*2.204623,))</f>
        <v>#REF!</v>
      </c>
      <c r="K590" t="str">
        <f>IF(L590&gt;0,L590*35.273962,IF(J590&gt;0,J590*16,))</f>
        <v>#REF!</v>
      </c>
      <c r="L590" t="str">
        <f>IF(J590&gt;0,J590*0.453592,IF(K590&gt;0,K590*0.02835,))</f>
        <v>#REF!</v>
      </c>
      <c r="O590">
        <f>I590+N590+M590</f>
        <v>0</v>
      </c>
      <c r="P590">
        <f>O590*B$3</f>
        <v>0</v>
      </c>
      <c r="Q590">
        <f>ROUND(SUM(P590), -2)</f>
        <v>0</v>
      </c>
      <c r="R590" t="str">
        <f>ROUNDUP(HLOOKUP(IF(CEILING(L590,0.5)&lt;1,0.5,CEILING(L590,0.5)),'배송비 조회'!A$44:AO$56,7,0)*B$3,-2)</f>
        <v>#REF!</v>
      </c>
      <c r="S590">
        <v>0</v>
      </c>
      <c r="T590" t="str">
        <f>ROUND((Q590+R590)*0.3,-2)</f>
        <v>#REF!</v>
      </c>
      <c r="U590" t="str">
        <f>ROUND((Q590+R590)*0.4,-2)</f>
        <v>#REF!</v>
      </c>
      <c r="V590" t="str">
        <f>SUM(Q590:R590)+T590</f>
        <v>#REF!</v>
      </c>
      <c r="W590" t="str">
        <f>SUM(Q590:S590)+U590</f>
        <v>#REF!</v>
      </c>
      <c r="X590">
        <v>0</v>
      </c>
      <c r="Y590" t="str">
        <f>V590*0.038</f>
        <v>#REF!</v>
      </c>
      <c r="Z590" t="str">
        <f>V590*0.02</f>
        <v>#REF!</v>
      </c>
      <c r="AA590" t="str">
        <f>W590*0.1</f>
        <v>#REF!</v>
      </c>
      <c r="AB590" t="str">
        <f>V590-Y590-Z590</f>
        <v>#REF!</v>
      </c>
      <c r="AC590" t="str">
        <f>W590-AA590</f>
        <v>#REF!</v>
      </c>
      <c r="AD590" t="str">
        <f>AB590*0.01</f>
        <v>#REF!</v>
      </c>
      <c r="AE590" t="str">
        <f>AB590-Q590-AD590-R590</f>
        <v>#REF!</v>
      </c>
      <c r="AF590" t="str">
        <f>AC590-Q590-AD590-R590</f>
        <v>#REF!</v>
      </c>
      <c r="AG590" t="str">
        <f>AE590/V590</f>
        <v>#REF!</v>
      </c>
      <c r="AH590" t="str">
        <f>AF590/W590</f>
        <v>#REF!</v>
      </c>
    </row>
    <row r="591">
      <c r="G591" t="str">
        <v>A</v>
      </c>
      <c r="J591" t="str">
        <f>IF(K591&gt;0,K591*0.0625,IF(L591&gt;0,L591*2.204623,))</f>
        <v>#REF!</v>
      </c>
      <c r="K591" t="str">
        <f>IF(L591&gt;0,L591*35.273962,IF(J591&gt;0,J591*16,))</f>
        <v>#REF!</v>
      </c>
      <c r="L591" t="str">
        <f>IF(J591&gt;0,J591*0.453592,IF(K591&gt;0,K591*0.02835,))</f>
        <v>#REF!</v>
      </c>
      <c r="O591">
        <f>I591+N591+M591</f>
        <v>0</v>
      </c>
      <c r="P591">
        <f>O591*B$3</f>
        <v>0</v>
      </c>
      <c r="Q591">
        <f>ROUND(SUM(P591), -2)</f>
        <v>0</v>
      </c>
      <c r="R591" t="str">
        <f>ROUNDUP(HLOOKUP(IF(CEILING(L591,0.5)&lt;1,0.5,CEILING(L591,0.5)),'배송비 조회'!A$44:AO$56,7,0)*B$3,-2)</f>
        <v>#REF!</v>
      </c>
      <c r="S591">
        <v>0</v>
      </c>
      <c r="T591" t="str">
        <f>ROUND((Q591+R591)*0.3,-2)</f>
        <v>#REF!</v>
      </c>
      <c r="U591" t="str">
        <f>ROUND((Q591+R591)*0.4,-2)</f>
        <v>#REF!</v>
      </c>
      <c r="V591" t="str">
        <f>SUM(Q591:R591)+T591</f>
        <v>#REF!</v>
      </c>
      <c r="W591" t="str">
        <f>SUM(Q591:S591)+U591</f>
        <v>#REF!</v>
      </c>
      <c r="X591">
        <v>0</v>
      </c>
      <c r="Y591" t="str">
        <f>V591*0.038</f>
        <v>#REF!</v>
      </c>
      <c r="Z591" t="str">
        <f>V591*0.02</f>
        <v>#REF!</v>
      </c>
      <c r="AA591" t="str">
        <f>W591*0.1</f>
        <v>#REF!</v>
      </c>
      <c r="AB591" t="str">
        <f>V591-Y591-Z591</f>
        <v>#REF!</v>
      </c>
      <c r="AC591" t="str">
        <f>W591-AA591</f>
        <v>#REF!</v>
      </c>
      <c r="AD591" t="str">
        <f>AB591*0.01</f>
        <v>#REF!</v>
      </c>
      <c r="AE591" t="str">
        <f>AB591-Q591-AD591-R591</f>
        <v>#REF!</v>
      </c>
      <c r="AF591" t="str">
        <f>AC591-Q591-AD591-R591</f>
        <v>#REF!</v>
      </c>
      <c r="AG591" t="str">
        <f>AE591/V591</f>
        <v>#REF!</v>
      </c>
      <c r="AH591" t="str">
        <f>AF591/W591</f>
        <v>#REF!</v>
      </c>
    </row>
    <row r="592">
      <c r="G592" t="str">
        <v>A</v>
      </c>
      <c r="J592" t="str">
        <f>IF(K592&gt;0,K592*0.0625,IF(L592&gt;0,L592*2.204623,))</f>
        <v>#REF!</v>
      </c>
      <c r="K592" t="str">
        <f>IF(L592&gt;0,L592*35.273962,IF(J592&gt;0,J592*16,))</f>
        <v>#REF!</v>
      </c>
      <c r="L592" t="str">
        <f>IF(J592&gt;0,J592*0.453592,IF(K592&gt;0,K592*0.02835,))</f>
        <v>#REF!</v>
      </c>
      <c r="O592">
        <f>I592+N592+M592</f>
        <v>0</v>
      </c>
      <c r="P592">
        <f>O592*B$3</f>
        <v>0</v>
      </c>
      <c r="Q592">
        <f>ROUND(SUM(P592), -2)</f>
        <v>0</v>
      </c>
      <c r="R592" t="str">
        <f>ROUNDUP(HLOOKUP(IF(CEILING(L592,0.5)&lt;1,0.5,CEILING(L592,0.5)),'배송비 조회'!A$44:AO$56,7,0)*B$3,-2)</f>
        <v>#REF!</v>
      </c>
      <c r="S592">
        <v>0</v>
      </c>
      <c r="T592" t="str">
        <f>ROUND((Q592+R592)*0.3,-2)</f>
        <v>#REF!</v>
      </c>
      <c r="U592" t="str">
        <f>ROUND((Q592+R592)*0.4,-2)</f>
        <v>#REF!</v>
      </c>
      <c r="V592" t="str">
        <f>SUM(Q592:R592)+T592</f>
        <v>#REF!</v>
      </c>
      <c r="W592" t="str">
        <f>SUM(Q592:S592)+U592</f>
        <v>#REF!</v>
      </c>
      <c r="X592">
        <v>0</v>
      </c>
      <c r="Y592" t="str">
        <f>V592*0.038</f>
        <v>#REF!</v>
      </c>
      <c r="Z592" t="str">
        <f>V592*0.02</f>
        <v>#REF!</v>
      </c>
      <c r="AA592" t="str">
        <f>W592*0.1</f>
        <v>#REF!</v>
      </c>
      <c r="AB592" t="str">
        <f>V592-Y592-Z592</f>
        <v>#REF!</v>
      </c>
      <c r="AC592" t="str">
        <f>W592-AA592</f>
        <v>#REF!</v>
      </c>
      <c r="AD592" t="str">
        <f>AB592*0.01</f>
        <v>#REF!</v>
      </c>
      <c r="AE592" t="str">
        <f>AB592-Q592-AD592-R592</f>
        <v>#REF!</v>
      </c>
      <c r="AF592" t="str">
        <f>AC592-Q592-AD592-R592</f>
        <v>#REF!</v>
      </c>
      <c r="AG592" t="str">
        <f>AE592/V592</f>
        <v>#REF!</v>
      </c>
      <c r="AH592" t="str">
        <f>AF592/W592</f>
        <v>#REF!</v>
      </c>
    </row>
    <row r="593">
      <c r="G593" t="str">
        <v>A</v>
      </c>
      <c r="J593" t="str">
        <f>IF(K593&gt;0,K593*0.0625,IF(L593&gt;0,L593*2.204623,))</f>
        <v>#REF!</v>
      </c>
      <c r="K593" t="str">
        <f>IF(L593&gt;0,L593*35.273962,IF(J593&gt;0,J593*16,))</f>
        <v>#REF!</v>
      </c>
      <c r="L593" t="str">
        <f>IF(J593&gt;0,J593*0.453592,IF(K593&gt;0,K593*0.02835,))</f>
        <v>#REF!</v>
      </c>
      <c r="O593">
        <f>I593+N593+M593</f>
        <v>0</v>
      </c>
      <c r="P593">
        <f>O593*B$3</f>
        <v>0</v>
      </c>
      <c r="Q593">
        <f>ROUND(SUM(P593), -2)</f>
        <v>0</v>
      </c>
      <c r="R593" t="str">
        <f>ROUNDUP(HLOOKUP(IF(CEILING(L593,0.5)&lt;1,0.5,CEILING(L593,0.5)),'배송비 조회'!A$44:AO$56,7,0)*B$3,-2)</f>
        <v>#REF!</v>
      </c>
      <c r="S593">
        <v>0</v>
      </c>
      <c r="T593" t="str">
        <f>ROUND((Q593+R593)*0.3,-2)</f>
        <v>#REF!</v>
      </c>
      <c r="U593" t="str">
        <f>ROUND((Q593+R593)*0.4,-2)</f>
        <v>#REF!</v>
      </c>
      <c r="V593" t="str">
        <f>SUM(Q593:R593)+T593</f>
        <v>#REF!</v>
      </c>
      <c r="W593" t="str">
        <f>SUM(Q593:S593)+U593</f>
        <v>#REF!</v>
      </c>
      <c r="X593">
        <v>0</v>
      </c>
      <c r="Y593" t="str">
        <f>V593*0.038</f>
        <v>#REF!</v>
      </c>
      <c r="Z593" t="str">
        <f>V593*0.02</f>
        <v>#REF!</v>
      </c>
      <c r="AA593" t="str">
        <f>W593*0.1</f>
        <v>#REF!</v>
      </c>
      <c r="AB593" t="str">
        <f>V593-Y593-Z593</f>
        <v>#REF!</v>
      </c>
      <c r="AC593" t="str">
        <f>W593-AA593</f>
        <v>#REF!</v>
      </c>
      <c r="AD593" t="str">
        <f>AB593*0.01</f>
        <v>#REF!</v>
      </c>
      <c r="AE593" t="str">
        <f>AB593-Q593-AD593-R593</f>
        <v>#REF!</v>
      </c>
      <c r="AF593" t="str">
        <f>AC593-Q593-AD593-R593</f>
        <v>#REF!</v>
      </c>
      <c r="AG593" t="str">
        <f>AE593/V593</f>
        <v>#REF!</v>
      </c>
      <c r="AH593" t="str">
        <f>AF593/W593</f>
        <v>#REF!</v>
      </c>
    </row>
    <row r="594">
      <c r="G594" t="str">
        <v>A</v>
      </c>
      <c r="J594" t="str">
        <f>IF(K594&gt;0,K594*0.0625,IF(L594&gt;0,L594*2.204623,))</f>
        <v>#REF!</v>
      </c>
      <c r="K594" t="str">
        <f>IF(L594&gt;0,L594*35.273962,IF(J594&gt;0,J594*16,))</f>
        <v>#REF!</v>
      </c>
      <c r="L594" t="str">
        <f>IF(J594&gt;0,J594*0.453592,IF(K594&gt;0,K594*0.02835,))</f>
        <v>#REF!</v>
      </c>
      <c r="O594">
        <f>I594+N594+M594</f>
        <v>0</v>
      </c>
      <c r="P594">
        <f>O594*B$3</f>
        <v>0</v>
      </c>
      <c r="Q594">
        <f>ROUND(SUM(P594), -2)</f>
        <v>0</v>
      </c>
      <c r="R594" t="str">
        <f>ROUNDUP(HLOOKUP(IF(CEILING(L594,0.5)&lt;1,0.5,CEILING(L594,0.5)),'배송비 조회'!A$44:AO$56,7,0)*B$3,-2)</f>
        <v>#REF!</v>
      </c>
      <c r="S594">
        <v>0</v>
      </c>
      <c r="T594" t="str">
        <f>ROUND((Q594+R594)*0.3,-2)</f>
        <v>#REF!</v>
      </c>
      <c r="U594" t="str">
        <f>ROUND((Q594+R594)*0.4,-2)</f>
        <v>#REF!</v>
      </c>
      <c r="V594" t="str">
        <f>SUM(Q594:R594)+T594</f>
        <v>#REF!</v>
      </c>
      <c r="W594" t="str">
        <f>SUM(Q594:S594)+U594</f>
        <v>#REF!</v>
      </c>
      <c r="X594">
        <v>0</v>
      </c>
      <c r="Y594" t="str">
        <f>V594*0.038</f>
        <v>#REF!</v>
      </c>
      <c r="Z594" t="str">
        <f>V594*0.02</f>
        <v>#REF!</v>
      </c>
      <c r="AA594" t="str">
        <f>W594*0.1</f>
        <v>#REF!</v>
      </c>
      <c r="AB594" t="str">
        <f>V594-Y594-Z594</f>
        <v>#REF!</v>
      </c>
      <c r="AC594" t="str">
        <f>W594-AA594</f>
        <v>#REF!</v>
      </c>
      <c r="AD594" t="str">
        <f>AB594*0.01</f>
        <v>#REF!</v>
      </c>
      <c r="AE594" t="str">
        <f>AB594-Q594-AD594-R594</f>
        <v>#REF!</v>
      </c>
      <c r="AF594" t="str">
        <f>AC594-Q594-AD594-R594</f>
        <v>#REF!</v>
      </c>
      <c r="AG594" t="str">
        <f>AE594/V594</f>
        <v>#REF!</v>
      </c>
      <c r="AH594" t="str">
        <f>AF594/W594</f>
        <v>#REF!</v>
      </c>
    </row>
    <row r="595">
      <c r="G595" t="str">
        <v>A</v>
      </c>
      <c r="J595" t="str">
        <f>IF(K595&gt;0,K595*0.0625,IF(L595&gt;0,L595*2.204623,))</f>
        <v>#REF!</v>
      </c>
      <c r="K595" t="str">
        <f>IF(L595&gt;0,L595*35.273962,IF(J595&gt;0,J595*16,))</f>
        <v>#REF!</v>
      </c>
      <c r="L595" t="str">
        <f>IF(J595&gt;0,J595*0.453592,IF(K595&gt;0,K595*0.02835,))</f>
        <v>#REF!</v>
      </c>
      <c r="O595">
        <f>I595+N595+M595</f>
        <v>0</v>
      </c>
      <c r="P595">
        <f>O595*B$3</f>
        <v>0</v>
      </c>
      <c r="Q595">
        <f>ROUND(SUM(P595), -2)</f>
        <v>0</v>
      </c>
      <c r="R595" t="str">
        <f>ROUNDUP(HLOOKUP(IF(CEILING(L595,0.5)&lt;1,0.5,CEILING(L595,0.5)),'배송비 조회'!A$44:AO$56,7,0)*B$3,-2)</f>
        <v>#REF!</v>
      </c>
      <c r="S595">
        <v>0</v>
      </c>
      <c r="T595" t="str">
        <f>ROUND((Q595+R595)*0.3,-2)</f>
        <v>#REF!</v>
      </c>
      <c r="U595" t="str">
        <f>ROUND((Q595+R595)*0.4,-2)</f>
        <v>#REF!</v>
      </c>
      <c r="V595" t="str">
        <f>SUM(Q595:R595)+T595</f>
        <v>#REF!</v>
      </c>
      <c r="W595" t="str">
        <f>SUM(Q595:S595)+U595</f>
        <v>#REF!</v>
      </c>
      <c r="X595">
        <v>0</v>
      </c>
      <c r="Y595" t="str">
        <f>V595*0.038</f>
        <v>#REF!</v>
      </c>
      <c r="Z595" t="str">
        <f>V595*0.02</f>
        <v>#REF!</v>
      </c>
      <c r="AA595" t="str">
        <f>W595*0.1</f>
        <v>#REF!</v>
      </c>
      <c r="AB595" t="str">
        <f>V595-Y595-Z595</f>
        <v>#REF!</v>
      </c>
      <c r="AC595" t="str">
        <f>W595-AA595</f>
        <v>#REF!</v>
      </c>
      <c r="AD595" t="str">
        <f>AB595*0.01</f>
        <v>#REF!</v>
      </c>
      <c r="AE595" t="str">
        <f>AB595-Q595-AD595-R595</f>
        <v>#REF!</v>
      </c>
      <c r="AF595" t="str">
        <f>AC595-Q595-AD595-R595</f>
        <v>#REF!</v>
      </c>
      <c r="AG595" t="str">
        <f>AE595/V595</f>
        <v>#REF!</v>
      </c>
      <c r="AH595" t="str">
        <f>AF595/W595</f>
        <v>#REF!</v>
      </c>
    </row>
    <row r="596">
      <c r="G596" t="str">
        <v>A</v>
      </c>
      <c r="J596" t="str">
        <f>IF(K596&gt;0,K596*0.0625,IF(L596&gt;0,L596*2.204623,))</f>
        <v>#REF!</v>
      </c>
      <c r="K596" t="str">
        <f>IF(L596&gt;0,L596*35.273962,IF(J596&gt;0,J596*16,))</f>
        <v>#REF!</v>
      </c>
      <c r="L596" t="str">
        <f>IF(J596&gt;0,J596*0.453592,IF(K596&gt;0,K596*0.02835,))</f>
        <v>#REF!</v>
      </c>
      <c r="O596">
        <f>I596+N596+M596</f>
        <v>0</v>
      </c>
      <c r="P596">
        <f>O596*B$3</f>
        <v>0</v>
      </c>
      <c r="Q596">
        <f>ROUND(SUM(P596), -2)</f>
        <v>0</v>
      </c>
      <c r="R596" t="str">
        <f>ROUNDUP(HLOOKUP(IF(CEILING(L596,0.5)&lt;1,0.5,CEILING(L596,0.5)),'배송비 조회'!A$44:AO$56,7,0)*B$3,-2)</f>
        <v>#REF!</v>
      </c>
      <c r="S596">
        <v>0</v>
      </c>
      <c r="T596" t="str">
        <f>ROUND((Q596+R596)*0.3,-2)</f>
        <v>#REF!</v>
      </c>
      <c r="U596" t="str">
        <f>ROUND((Q596+R596)*0.4,-2)</f>
        <v>#REF!</v>
      </c>
      <c r="V596" t="str">
        <f>SUM(Q596:R596)+T596</f>
        <v>#REF!</v>
      </c>
      <c r="W596" t="str">
        <f>SUM(Q596:S596)+U596</f>
        <v>#REF!</v>
      </c>
      <c r="X596">
        <v>0</v>
      </c>
      <c r="Y596" t="str">
        <f>V596*0.038</f>
        <v>#REF!</v>
      </c>
      <c r="Z596" t="str">
        <f>V596*0.02</f>
        <v>#REF!</v>
      </c>
      <c r="AA596" t="str">
        <f>W596*0.1</f>
        <v>#REF!</v>
      </c>
      <c r="AB596" t="str">
        <f>V596-Y596-Z596</f>
        <v>#REF!</v>
      </c>
      <c r="AC596" t="str">
        <f>W596-AA596</f>
        <v>#REF!</v>
      </c>
      <c r="AD596" t="str">
        <f>AB596*0.01</f>
        <v>#REF!</v>
      </c>
      <c r="AE596" t="str">
        <f>AB596-Q596-AD596-R596</f>
        <v>#REF!</v>
      </c>
      <c r="AF596" t="str">
        <f>AC596-Q596-AD596-R596</f>
        <v>#REF!</v>
      </c>
      <c r="AG596" t="str">
        <f>AE596/V596</f>
        <v>#REF!</v>
      </c>
      <c r="AH596" t="str">
        <f>AF596/W596</f>
        <v>#REF!</v>
      </c>
    </row>
    <row r="597">
      <c r="G597" t="str">
        <v>A</v>
      </c>
      <c r="J597" t="str">
        <f>IF(K597&gt;0,K597*0.0625,IF(L597&gt;0,L597*2.204623,))</f>
        <v>#REF!</v>
      </c>
      <c r="K597" t="str">
        <f>IF(L597&gt;0,L597*35.273962,IF(J597&gt;0,J597*16,))</f>
        <v>#REF!</v>
      </c>
      <c r="L597" t="str">
        <f>IF(J597&gt;0,J597*0.453592,IF(K597&gt;0,K597*0.02835,))</f>
        <v>#REF!</v>
      </c>
      <c r="O597">
        <f>I597+N597+M597</f>
        <v>0</v>
      </c>
      <c r="P597">
        <f>O597*B$3</f>
        <v>0</v>
      </c>
      <c r="Q597">
        <f>ROUND(SUM(P597), -2)</f>
        <v>0</v>
      </c>
      <c r="R597" t="str">
        <f>ROUNDUP(HLOOKUP(IF(CEILING(L597,0.5)&lt;1,0.5,CEILING(L597,0.5)),'배송비 조회'!A$44:AO$56,7,0)*B$3,-2)</f>
        <v>#REF!</v>
      </c>
      <c r="S597">
        <v>0</v>
      </c>
      <c r="T597" t="str">
        <f>ROUND((Q597+R597)*0.3,-2)</f>
        <v>#REF!</v>
      </c>
      <c r="U597" t="str">
        <f>ROUND((Q597+R597)*0.4,-2)</f>
        <v>#REF!</v>
      </c>
      <c r="V597" t="str">
        <f>SUM(Q597:R597)+T597</f>
        <v>#REF!</v>
      </c>
      <c r="W597" t="str">
        <f>SUM(Q597:S597)+U597</f>
        <v>#REF!</v>
      </c>
      <c r="X597">
        <v>0</v>
      </c>
      <c r="Y597" t="str">
        <f>V597*0.038</f>
        <v>#REF!</v>
      </c>
      <c r="Z597" t="str">
        <f>V597*0.02</f>
        <v>#REF!</v>
      </c>
      <c r="AA597" t="str">
        <f>W597*0.1</f>
        <v>#REF!</v>
      </c>
      <c r="AB597" t="str">
        <f>V597-Y597-Z597</f>
        <v>#REF!</v>
      </c>
      <c r="AC597" t="str">
        <f>W597-AA597</f>
        <v>#REF!</v>
      </c>
      <c r="AD597" t="str">
        <f>AB597*0.01</f>
        <v>#REF!</v>
      </c>
      <c r="AE597" t="str">
        <f>AB597-Q597-AD597-R597</f>
        <v>#REF!</v>
      </c>
      <c r="AF597" t="str">
        <f>AC597-Q597-AD597-R597</f>
        <v>#REF!</v>
      </c>
      <c r="AG597" t="str">
        <f>AE597/V597</f>
        <v>#REF!</v>
      </c>
      <c r="AH597" t="str">
        <f>AF597/W597</f>
        <v>#REF!</v>
      </c>
    </row>
    <row r="598">
      <c r="G598" t="str">
        <v>A</v>
      </c>
      <c r="J598" t="str">
        <f>IF(K598&gt;0,K598*0.0625,IF(L598&gt;0,L598*2.204623,))</f>
        <v>#REF!</v>
      </c>
      <c r="K598" t="str">
        <f>IF(L598&gt;0,L598*35.273962,IF(J598&gt;0,J598*16,))</f>
        <v>#REF!</v>
      </c>
      <c r="L598" t="str">
        <f>IF(J598&gt;0,J598*0.453592,IF(K598&gt;0,K598*0.02835,))</f>
        <v>#REF!</v>
      </c>
      <c r="O598">
        <f>I598+N598+M598</f>
        <v>0</v>
      </c>
      <c r="P598">
        <f>O598*B$3</f>
        <v>0</v>
      </c>
      <c r="Q598">
        <f>ROUND(SUM(P598), -2)</f>
        <v>0</v>
      </c>
      <c r="R598" t="str">
        <f>ROUNDUP(HLOOKUP(IF(CEILING(L598,0.5)&lt;1,0.5,CEILING(L598,0.5)),'배송비 조회'!A$44:AO$56,7,0)*B$3,-2)</f>
        <v>#REF!</v>
      </c>
      <c r="S598">
        <v>0</v>
      </c>
      <c r="T598" t="str">
        <f>ROUND((Q598+R598)*0.3,-2)</f>
        <v>#REF!</v>
      </c>
      <c r="U598" t="str">
        <f>ROUND((Q598+R598)*0.4,-2)</f>
        <v>#REF!</v>
      </c>
      <c r="V598" t="str">
        <f>SUM(Q598:R598)+T598</f>
        <v>#REF!</v>
      </c>
      <c r="W598" t="str">
        <f>SUM(Q598:S598)+U598</f>
        <v>#REF!</v>
      </c>
      <c r="X598">
        <v>0</v>
      </c>
      <c r="Y598" t="str">
        <f>V598*0.038</f>
        <v>#REF!</v>
      </c>
      <c r="Z598" t="str">
        <f>V598*0.02</f>
        <v>#REF!</v>
      </c>
      <c r="AA598" t="str">
        <f>W598*0.1</f>
        <v>#REF!</v>
      </c>
      <c r="AB598" t="str">
        <f>V598-Y598-Z598</f>
        <v>#REF!</v>
      </c>
      <c r="AC598" t="str">
        <f>W598-AA598</f>
        <v>#REF!</v>
      </c>
      <c r="AD598" t="str">
        <f>AB598*0.01</f>
        <v>#REF!</v>
      </c>
      <c r="AE598" t="str">
        <f>AB598-Q598-AD598-R598</f>
        <v>#REF!</v>
      </c>
      <c r="AF598" t="str">
        <f>AC598-Q598-AD598-R598</f>
        <v>#REF!</v>
      </c>
      <c r="AG598" t="str">
        <f>AE598/V598</f>
        <v>#REF!</v>
      </c>
      <c r="AH598" t="str">
        <f>AF598/W598</f>
        <v>#REF!</v>
      </c>
    </row>
    <row r="599">
      <c r="G599" t="str">
        <v>A</v>
      </c>
      <c r="J599" t="str">
        <f>IF(K599&gt;0,K599*0.0625,IF(L599&gt;0,L599*2.204623,))</f>
        <v>#REF!</v>
      </c>
      <c r="K599" t="str">
        <f>IF(L599&gt;0,L599*35.273962,IF(J599&gt;0,J599*16,))</f>
        <v>#REF!</v>
      </c>
      <c r="L599" t="str">
        <f>IF(J599&gt;0,J599*0.453592,IF(K599&gt;0,K599*0.02835,))</f>
        <v>#REF!</v>
      </c>
      <c r="O599">
        <f>I599+N599+M599</f>
        <v>0</v>
      </c>
      <c r="P599">
        <f>O599*B$3</f>
        <v>0</v>
      </c>
      <c r="Q599">
        <f>ROUND(SUM(P599), -2)</f>
        <v>0</v>
      </c>
      <c r="R599" t="str">
        <f>ROUNDUP(HLOOKUP(IF(CEILING(L599,0.5)&lt;1,0.5,CEILING(L599,0.5)),'배송비 조회'!A$44:AO$56,7,0)*B$3,-2)</f>
        <v>#REF!</v>
      </c>
      <c r="S599">
        <v>0</v>
      </c>
      <c r="T599" t="str">
        <f>ROUND((Q599+R599)*0.3,-2)</f>
        <v>#REF!</v>
      </c>
      <c r="U599" t="str">
        <f>ROUND((Q599+R599)*0.4,-2)</f>
        <v>#REF!</v>
      </c>
      <c r="V599" t="str">
        <f>SUM(Q599:R599)+T599</f>
        <v>#REF!</v>
      </c>
      <c r="W599" t="str">
        <f>SUM(Q599:S599)+U599</f>
        <v>#REF!</v>
      </c>
      <c r="X599">
        <v>0</v>
      </c>
      <c r="Y599" t="str">
        <f>V599*0.038</f>
        <v>#REF!</v>
      </c>
      <c r="Z599" t="str">
        <f>V599*0.02</f>
        <v>#REF!</v>
      </c>
      <c r="AA599" t="str">
        <f>W599*0.1</f>
        <v>#REF!</v>
      </c>
      <c r="AB599" t="str">
        <f>V599-Y599-Z599</f>
        <v>#REF!</v>
      </c>
      <c r="AC599" t="str">
        <f>W599-AA599</f>
        <v>#REF!</v>
      </c>
      <c r="AD599" t="str">
        <f>AB599*0.01</f>
        <v>#REF!</v>
      </c>
      <c r="AE599" t="str">
        <f>AB599-Q599-AD599-R599</f>
        <v>#REF!</v>
      </c>
      <c r="AF599" t="str">
        <f>AC599-Q599-AD599-R599</f>
        <v>#REF!</v>
      </c>
      <c r="AG599" t="str">
        <f>AE599/V599</f>
        <v>#REF!</v>
      </c>
      <c r="AH599" t="str">
        <f>AF599/W599</f>
        <v>#REF!</v>
      </c>
    </row>
    <row r="600">
      <c r="G600" t="str">
        <v>A</v>
      </c>
      <c r="J600" t="str">
        <f>IF(K600&gt;0,K600*0.0625,IF(L600&gt;0,L600*2.204623,))</f>
        <v>#REF!</v>
      </c>
      <c r="K600" t="str">
        <f>IF(L600&gt;0,L600*35.273962,IF(J600&gt;0,J600*16,))</f>
        <v>#REF!</v>
      </c>
      <c r="L600" t="str">
        <f>IF(J600&gt;0,J600*0.453592,IF(K600&gt;0,K600*0.02835,))</f>
        <v>#REF!</v>
      </c>
      <c r="O600">
        <f>I600+N600+M600</f>
        <v>0</v>
      </c>
      <c r="P600">
        <f>O600*B$3</f>
        <v>0</v>
      </c>
      <c r="Q600">
        <f>ROUND(SUM(P600), -2)</f>
        <v>0</v>
      </c>
      <c r="R600" t="str">
        <f>ROUNDUP(HLOOKUP(IF(CEILING(L600,0.5)&lt;1,0.5,CEILING(L600,0.5)),'배송비 조회'!A$44:AO$56,7,0)*B$3,-2)</f>
        <v>#REF!</v>
      </c>
      <c r="S600">
        <v>0</v>
      </c>
      <c r="T600" t="str">
        <f>ROUND((Q600+R600)*0.3,-2)</f>
        <v>#REF!</v>
      </c>
      <c r="U600" t="str">
        <f>ROUND((Q600+R600)*0.4,-2)</f>
        <v>#REF!</v>
      </c>
      <c r="V600" t="str">
        <f>SUM(Q600:R600)+T600</f>
        <v>#REF!</v>
      </c>
      <c r="W600" t="str">
        <f>SUM(Q600:S600)+U600</f>
        <v>#REF!</v>
      </c>
      <c r="X600">
        <v>0</v>
      </c>
      <c r="Y600" t="str">
        <f>V600*0.038</f>
        <v>#REF!</v>
      </c>
      <c r="Z600" t="str">
        <f>V600*0.02</f>
        <v>#REF!</v>
      </c>
      <c r="AA600" t="str">
        <f>W600*0.1</f>
        <v>#REF!</v>
      </c>
      <c r="AB600" t="str">
        <f>V600-Y600-Z600</f>
        <v>#REF!</v>
      </c>
      <c r="AC600" t="str">
        <f>W600-AA600</f>
        <v>#REF!</v>
      </c>
      <c r="AD600" t="str">
        <f>AB600*0.01</f>
        <v>#REF!</v>
      </c>
      <c r="AE600" t="str">
        <f>AB600-Q600-AD600-R600</f>
        <v>#REF!</v>
      </c>
      <c r="AF600" t="str">
        <f>AC600-Q600-AD600-R600</f>
        <v>#REF!</v>
      </c>
      <c r="AG600" t="str">
        <f>AE600/V600</f>
        <v>#REF!</v>
      </c>
      <c r="AH600" t="str">
        <f>AF600/W600</f>
        <v>#REF!</v>
      </c>
    </row>
    <row r="601">
      <c r="G601" t="str">
        <v>A</v>
      </c>
      <c r="J601" t="str">
        <f>IF(K601&gt;0,K601*0.0625,IF(L601&gt;0,L601*2.204623,))</f>
        <v>#REF!</v>
      </c>
      <c r="K601" t="str">
        <f>IF(L601&gt;0,L601*35.273962,IF(J601&gt;0,J601*16,))</f>
        <v>#REF!</v>
      </c>
      <c r="L601" t="str">
        <f>IF(J601&gt;0,J601*0.453592,IF(K601&gt;0,K601*0.02835,))</f>
        <v>#REF!</v>
      </c>
      <c r="O601">
        <f>I601+N601+M601</f>
        <v>0</v>
      </c>
      <c r="P601">
        <f>O601*B$3</f>
        <v>0</v>
      </c>
      <c r="Q601">
        <f>ROUND(SUM(P601), -2)</f>
        <v>0</v>
      </c>
      <c r="R601" t="str">
        <f>ROUNDUP(HLOOKUP(IF(CEILING(L601,0.5)&lt;1,0.5,CEILING(L601,0.5)),'배송비 조회'!A$44:AO$56,7,0)*B$3,-2)</f>
        <v>#REF!</v>
      </c>
      <c r="S601">
        <v>0</v>
      </c>
      <c r="T601" t="str">
        <f>ROUND((Q601+R601)*0.3,-2)</f>
        <v>#REF!</v>
      </c>
      <c r="U601" t="str">
        <f>ROUND((Q601+R601)*0.4,-2)</f>
        <v>#REF!</v>
      </c>
      <c r="V601" t="str">
        <f>SUM(Q601:R601)+T601</f>
        <v>#REF!</v>
      </c>
      <c r="W601" t="str">
        <f>SUM(Q601:S601)+U601</f>
        <v>#REF!</v>
      </c>
      <c r="X601">
        <v>0</v>
      </c>
      <c r="Y601" t="str">
        <f>V601*0.038</f>
        <v>#REF!</v>
      </c>
      <c r="Z601" t="str">
        <f>V601*0.02</f>
        <v>#REF!</v>
      </c>
      <c r="AA601" t="str">
        <f>W601*0.1</f>
        <v>#REF!</v>
      </c>
      <c r="AB601" t="str">
        <f>V601-Y601-Z601</f>
        <v>#REF!</v>
      </c>
      <c r="AC601" t="str">
        <f>W601-AA601</f>
        <v>#REF!</v>
      </c>
      <c r="AD601" t="str">
        <f>AB601*0.01</f>
        <v>#REF!</v>
      </c>
      <c r="AE601" t="str">
        <f>AB601-Q601-AD601-R601</f>
        <v>#REF!</v>
      </c>
      <c r="AF601" t="str">
        <f>AC601-Q601-AD601-R601</f>
        <v>#REF!</v>
      </c>
      <c r="AG601" t="str">
        <f>AE601/V601</f>
        <v>#REF!</v>
      </c>
      <c r="AH601" t="str">
        <f>AF601/W601</f>
        <v>#REF!</v>
      </c>
    </row>
    <row r="602">
      <c r="G602" t="str">
        <v>A</v>
      </c>
      <c r="J602" t="str">
        <f>IF(K602&gt;0,K602*0.0625,IF(L602&gt;0,L602*2.204623,))</f>
        <v>#REF!</v>
      </c>
      <c r="K602" t="str">
        <f>IF(L602&gt;0,L602*35.273962,IF(J602&gt;0,J602*16,))</f>
        <v>#REF!</v>
      </c>
      <c r="L602" t="str">
        <f>IF(J602&gt;0,J602*0.453592,IF(K602&gt;0,K602*0.02835,))</f>
        <v>#REF!</v>
      </c>
      <c r="O602">
        <f>I602+N602+M602</f>
        <v>0</v>
      </c>
      <c r="P602">
        <f>O602*B$3</f>
        <v>0</v>
      </c>
      <c r="Q602">
        <f>ROUND(SUM(P602), -2)</f>
        <v>0</v>
      </c>
      <c r="R602" t="str">
        <f>ROUNDUP(HLOOKUP(IF(CEILING(L602,0.5)&lt;1,0.5,CEILING(L602,0.5)),'배송비 조회'!A$44:AO$56,7,0)*B$3,-2)</f>
        <v>#REF!</v>
      </c>
      <c r="S602">
        <v>0</v>
      </c>
      <c r="T602" t="str">
        <f>ROUND((Q602+R602)*0.3,-2)</f>
        <v>#REF!</v>
      </c>
      <c r="U602" t="str">
        <f>ROUND((Q602+R602)*0.4,-2)</f>
        <v>#REF!</v>
      </c>
      <c r="V602" t="str">
        <f>SUM(Q602:R602)+T602</f>
        <v>#REF!</v>
      </c>
      <c r="W602" t="str">
        <f>SUM(Q602:S602)+U602</f>
        <v>#REF!</v>
      </c>
      <c r="X602">
        <v>0</v>
      </c>
      <c r="Y602" t="str">
        <f>V602*0.038</f>
        <v>#REF!</v>
      </c>
      <c r="Z602" t="str">
        <f>V602*0.02</f>
        <v>#REF!</v>
      </c>
      <c r="AA602" t="str">
        <f>W602*0.1</f>
        <v>#REF!</v>
      </c>
      <c r="AB602" t="str">
        <f>V602-Y602-Z602</f>
        <v>#REF!</v>
      </c>
      <c r="AC602" t="str">
        <f>W602-AA602</f>
        <v>#REF!</v>
      </c>
      <c r="AD602" t="str">
        <f>AB602*0.01</f>
        <v>#REF!</v>
      </c>
      <c r="AE602" t="str">
        <f>AB602-Q602-AD602-R602</f>
        <v>#REF!</v>
      </c>
      <c r="AF602" t="str">
        <f>AC602-Q602-AD602-R602</f>
        <v>#REF!</v>
      </c>
      <c r="AG602" t="str">
        <f>AE602/V602</f>
        <v>#REF!</v>
      </c>
      <c r="AH602" t="str">
        <f>AF602/W602</f>
        <v>#REF!</v>
      </c>
    </row>
    <row r="603">
      <c r="G603" t="str">
        <v>A</v>
      </c>
      <c r="J603" t="str">
        <f>IF(K603&gt;0,K603*0.0625,IF(L603&gt;0,L603*2.204623,))</f>
        <v>#REF!</v>
      </c>
      <c r="K603" t="str">
        <f>IF(L603&gt;0,L603*35.273962,IF(J603&gt;0,J603*16,))</f>
        <v>#REF!</v>
      </c>
      <c r="L603" t="str">
        <f>IF(J603&gt;0,J603*0.453592,IF(K603&gt;0,K603*0.02835,))</f>
        <v>#REF!</v>
      </c>
      <c r="O603">
        <f>I603+N603+M603</f>
        <v>0</v>
      </c>
      <c r="P603">
        <f>O603*B$3</f>
        <v>0</v>
      </c>
      <c r="Q603">
        <f>ROUND(SUM(P603), -2)</f>
        <v>0</v>
      </c>
      <c r="R603" t="str">
        <f>ROUNDUP(HLOOKUP(IF(CEILING(L603,0.5)&lt;1,0.5,CEILING(L603,0.5)),'배송비 조회'!A$44:AO$56,7,0)*B$3,-2)</f>
        <v>#REF!</v>
      </c>
      <c r="S603">
        <v>0</v>
      </c>
      <c r="T603" t="str">
        <f>ROUND((Q603+R603)*0.3,-2)</f>
        <v>#REF!</v>
      </c>
      <c r="U603" t="str">
        <f>ROUND((Q603+R603)*0.4,-2)</f>
        <v>#REF!</v>
      </c>
      <c r="V603" t="str">
        <f>SUM(Q603:R603)+T603</f>
        <v>#REF!</v>
      </c>
      <c r="W603" t="str">
        <f>SUM(Q603:S603)+U603</f>
        <v>#REF!</v>
      </c>
      <c r="X603">
        <v>0</v>
      </c>
      <c r="Y603" t="str">
        <f>V603*0.038</f>
        <v>#REF!</v>
      </c>
      <c r="Z603" t="str">
        <f>V603*0.02</f>
        <v>#REF!</v>
      </c>
      <c r="AA603" t="str">
        <f>W603*0.1</f>
        <v>#REF!</v>
      </c>
      <c r="AB603" t="str">
        <f>V603-Y603-Z603</f>
        <v>#REF!</v>
      </c>
      <c r="AC603" t="str">
        <f>W603-AA603</f>
        <v>#REF!</v>
      </c>
      <c r="AD603" t="str">
        <f>AB603*0.01</f>
        <v>#REF!</v>
      </c>
      <c r="AE603" t="str">
        <f>AB603-Q603-AD603-R603</f>
        <v>#REF!</v>
      </c>
      <c r="AF603" t="str">
        <f>AC603-Q603-AD603-R603</f>
        <v>#REF!</v>
      </c>
      <c r="AG603" t="str">
        <f>AE603/V603</f>
        <v>#REF!</v>
      </c>
      <c r="AH603" t="str">
        <f>AF603/W603</f>
        <v>#REF!</v>
      </c>
    </row>
    <row r="604">
      <c r="G604" t="str">
        <v>A</v>
      </c>
      <c r="J604" t="str">
        <f>IF(K604&gt;0,K604*0.0625,IF(L604&gt;0,L604*2.204623,))</f>
        <v>#REF!</v>
      </c>
      <c r="K604" t="str">
        <f>IF(L604&gt;0,L604*35.273962,IF(J604&gt;0,J604*16,))</f>
        <v>#REF!</v>
      </c>
      <c r="L604" t="str">
        <f>IF(J604&gt;0,J604*0.453592,IF(K604&gt;0,K604*0.02835,))</f>
        <v>#REF!</v>
      </c>
      <c r="O604">
        <f>I604+N604+M604</f>
        <v>0</v>
      </c>
      <c r="P604">
        <f>O604*B$3</f>
        <v>0</v>
      </c>
      <c r="Q604">
        <f>ROUND(SUM(P604), -2)</f>
        <v>0</v>
      </c>
      <c r="R604" t="str">
        <f>ROUNDUP(HLOOKUP(IF(CEILING(L604,0.5)&lt;1,0.5,CEILING(L604,0.5)),'배송비 조회'!A$44:AO$56,7,0)*B$3,-2)</f>
        <v>#REF!</v>
      </c>
      <c r="S604">
        <v>0</v>
      </c>
      <c r="T604" t="str">
        <f>ROUND((Q604+R604)*0.3,-2)</f>
        <v>#REF!</v>
      </c>
      <c r="U604" t="str">
        <f>ROUND((Q604+R604)*0.4,-2)</f>
        <v>#REF!</v>
      </c>
      <c r="V604" t="str">
        <f>SUM(Q604:R604)+T604</f>
        <v>#REF!</v>
      </c>
      <c r="W604" t="str">
        <f>SUM(Q604:S604)+U604</f>
        <v>#REF!</v>
      </c>
      <c r="X604">
        <v>0</v>
      </c>
      <c r="Y604" t="str">
        <f>V604*0.038</f>
        <v>#REF!</v>
      </c>
      <c r="Z604" t="str">
        <f>V604*0.02</f>
        <v>#REF!</v>
      </c>
      <c r="AA604" t="str">
        <f>W604*0.1</f>
        <v>#REF!</v>
      </c>
      <c r="AB604" t="str">
        <f>V604-Y604-Z604</f>
        <v>#REF!</v>
      </c>
      <c r="AC604" t="str">
        <f>W604-AA604</f>
        <v>#REF!</v>
      </c>
      <c r="AD604" t="str">
        <f>AB604*0.01</f>
        <v>#REF!</v>
      </c>
      <c r="AE604" t="str">
        <f>AB604-Q604-AD604-R604</f>
        <v>#REF!</v>
      </c>
      <c r="AF604" t="str">
        <f>AC604-Q604-AD604-R604</f>
        <v>#REF!</v>
      </c>
      <c r="AG604" t="str">
        <f>AE604/V604</f>
        <v>#REF!</v>
      </c>
      <c r="AH604" t="str">
        <f>AF604/W604</f>
        <v>#REF!</v>
      </c>
    </row>
    <row r="605">
      <c r="G605" t="str">
        <v>A</v>
      </c>
      <c r="J605" t="str">
        <f>IF(K605&gt;0,K605*0.0625,IF(L605&gt;0,L605*2.204623,))</f>
        <v>#REF!</v>
      </c>
      <c r="K605" t="str">
        <f>IF(L605&gt;0,L605*35.273962,IF(J605&gt;0,J605*16,))</f>
        <v>#REF!</v>
      </c>
      <c r="L605" t="str">
        <f>IF(J605&gt;0,J605*0.453592,IF(K605&gt;0,K605*0.02835,))</f>
        <v>#REF!</v>
      </c>
      <c r="O605">
        <f>I605+N605+M605</f>
        <v>0</v>
      </c>
      <c r="P605">
        <f>O605*B$3</f>
        <v>0</v>
      </c>
      <c r="Q605">
        <f>ROUND(SUM(P605), -2)</f>
        <v>0</v>
      </c>
      <c r="R605" t="str">
        <f>ROUNDUP(HLOOKUP(IF(CEILING(L605,0.5)&lt;1,0.5,CEILING(L605,0.5)),'배송비 조회'!A$44:AO$56,7,0)*B$3,-2)</f>
        <v>#REF!</v>
      </c>
      <c r="S605">
        <v>0</v>
      </c>
      <c r="T605" t="str">
        <f>ROUND((Q605+R605)*0.3,-2)</f>
        <v>#REF!</v>
      </c>
      <c r="U605" t="str">
        <f>ROUND((Q605+R605)*0.4,-2)</f>
        <v>#REF!</v>
      </c>
      <c r="V605" t="str">
        <f>SUM(Q605:R605)+T605</f>
        <v>#REF!</v>
      </c>
      <c r="W605" t="str">
        <f>SUM(Q605:S605)+U605</f>
        <v>#REF!</v>
      </c>
      <c r="X605">
        <v>0</v>
      </c>
      <c r="Y605" t="str">
        <f>V605*0.038</f>
        <v>#REF!</v>
      </c>
      <c r="Z605" t="str">
        <f>V605*0.02</f>
        <v>#REF!</v>
      </c>
      <c r="AA605" t="str">
        <f>W605*0.1</f>
        <v>#REF!</v>
      </c>
      <c r="AB605" t="str">
        <f>V605-Y605-Z605</f>
        <v>#REF!</v>
      </c>
      <c r="AC605" t="str">
        <f>W605-AA605</f>
        <v>#REF!</v>
      </c>
      <c r="AD605" t="str">
        <f>AB605*0.01</f>
        <v>#REF!</v>
      </c>
      <c r="AE605" t="str">
        <f>AB605-Q605-AD605-R605</f>
        <v>#REF!</v>
      </c>
      <c r="AF605" t="str">
        <f>AC605-Q605-AD605-R605</f>
        <v>#REF!</v>
      </c>
      <c r="AG605" t="str">
        <f>AE605/V605</f>
        <v>#REF!</v>
      </c>
      <c r="AH605" t="str">
        <f>AF605/W605</f>
        <v>#REF!</v>
      </c>
    </row>
    <row r="606">
      <c r="G606" t="str">
        <v>A</v>
      </c>
      <c r="J606" t="str">
        <f>IF(K606&gt;0,K606*0.0625,IF(L606&gt;0,L606*2.204623,))</f>
        <v>#REF!</v>
      </c>
      <c r="K606" t="str">
        <f>IF(L606&gt;0,L606*35.273962,IF(J606&gt;0,J606*16,))</f>
        <v>#REF!</v>
      </c>
      <c r="L606" t="str">
        <f>IF(J606&gt;0,J606*0.453592,IF(K606&gt;0,K606*0.02835,))</f>
        <v>#REF!</v>
      </c>
      <c r="O606">
        <f>I606+N606+M606</f>
        <v>0</v>
      </c>
      <c r="P606">
        <f>O606*B$3</f>
        <v>0</v>
      </c>
      <c r="Q606">
        <f>ROUND(SUM(P606), -2)</f>
        <v>0</v>
      </c>
      <c r="R606" t="str">
        <f>ROUNDUP(HLOOKUP(IF(CEILING(L606,0.5)&lt;1,0.5,CEILING(L606,0.5)),'배송비 조회'!A$44:AO$56,7,0)*B$3,-2)</f>
        <v>#REF!</v>
      </c>
      <c r="S606">
        <v>0</v>
      </c>
      <c r="T606" t="str">
        <f>ROUND((Q606+R606)*0.3,-2)</f>
        <v>#REF!</v>
      </c>
      <c r="U606" t="str">
        <f>ROUND((Q606+R606)*0.4,-2)</f>
        <v>#REF!</v>
      </c>
      <c r="V606" t="str">
        <f>SUM(Q606:R606)+T606</f>
        <v>#REF!</v>
      </c>
      <c r="W606" t="str">
        <f>SUM(Q606:S606)+U606</f>
        <v>#REF!</v>
      </c>
      <c r="X606">
        <v>0</v>
      </c>
      <c r="Y606" t="str">
        <f>V606*0.038</f>
        <v>#REF!</v>
      </c>
      <c r="Z606" t="str">
        <f>V606*0.02</f>
        <v>#REF!</v>
      </c>
      <c r="AA606" t="str">
        <f>W606*0.1</f>
        <v>#REF!</v>
      </c>
      <c r="AB606" t="str">
        <f>V606-Y606-Z606</f>
        <v>#REF!</v>
      </c>
      <c r="AC606" t="str">
        <f>W606-AA606</f>
        <v>#REF!</v>
      </c>
      <c r="AD606" t="str">
        <f>AB606*0.01</f>
        <v>#REF!</v>
      </c>
      <c r="AE606" t="str">
        <f>AB606-Q606-AD606-R606</f>
        <v>#REF!</v>
      </c>
      <c r="AF606" t="str">
        <f>AC606-Q606-AD606-R606</f>
        <v>#REF!</v>
      </c>
      <c r="AG606" t="str">
        <f>AE606/V606</f>
        <v>#REF!</v>
      </c>
      <c r="AH606" t="str">
        <f>AF606/W606</f>
        <v>#REF!</v>
      </c>
    </row>
    <row r="607">
      <c r="G607" t="str">
        <v>A</v>
      </c>
      <c r="J607" t="str">
        <f>IF(K607&gt;0,K607*0.0625,IF(L607&gt;0,L607*2.204623,))</f>
        <v>#REF!</v>
      </c>
      <c r="K607" t="str">
        <f>IF(L607&gt;0,L607*35.273962,IF(J607&gt;0,J607*16,))</f>
        <v>#REF!</v>
      </c>
      <c r="L607" t="str">
        <f>IF(J607&gt;0,J607*0.453592,IF(K607&gt;0,K607*0.02835,))</f>
        <v>#REF!</v>
      </c>
      <c r="O607">
        <f>I607+N607+M607</f>
        <v>0</v>
      </c>
      <c r="P607">
        <f>O607*B$3</f>
        <v>0</v>
      </c>
      <c r="Q607">
        <f>ROUND(SUM(P607), -2)</f>
        <v>0</v>
      </c>
      <c r="R607" t="str">
        <f>ROUNDUP(HLOOKUP(IF(CEILING(L607,0.5)&lt;1,0.5,CEILING(L607,0.5)),'배송비 조회'!A$44:AO$56,7,0)*B$3,-2)</f>
        <v>#REF!</v>
      </c>
      <c r="S607">
        <v>0</v>
      </c>
      <c r="T607" t="str">
        <f>ROUND((Q607+R607)*0.3,-2)</f>
        <v>#REF!</v>
      </c>
      <c r="U607" t="str">
        <f>ROUND((Q607+R607)*0.4,-2)</f>
        <v>#REF!</v>
      </c>
      <c r="V607" t="str">
        <f>SUM(Q607:R607)+T607</f>
        <v>#REF!</v>
      </c>
      <c r="W607" t="str">
        <f>SUM(Q607:S607)+U607</f>
        <v>#REF!</v>
      </c>
      <c r="X607">
        <v>0</v>
      </c>
      <c r="Y607" t="str">
        <f>V607*0.038</f>
        <v>#REF!</v>
      </c>
      <c r="Z607" t="str">
        <f>V607*0.02</f>
        <v>#REF!</v>
      </c>
      <c r="AA607" t="str">
        <f>W607*0.1</f>
        <v>#REF!</v>
      </c>
      <c r="AB607" t="str">
        <f>V607-Y607-Z607</f>
        <v>#REF!</v>
      </c>
      <c r="AC607" t="str">
        <f>W607-AA607</f>
        <v>#REF!</v>
      </c>
      <c r="AD607" t="str">
        <f>AB607*0.01</f>
        <v>#REF!</v>
      </c>
      <c r="AE607" t="str">
        <f>AB607-Q607-AD607-R607</f>
        <v>#REF!</v>
      </c>
      <c r="AF607" t="str">
        <f>AC607-Q607-AD607-R607</f>
        <v>#REF!</v>
      </c>
      <c r="AG607" t="str">
        <f>AE607/V607</f>
        <v>#REF!</v>
      </c>
      <c r="AH607" t="str">
        <f>AF607/W607</f>
        <v>#REF!</v>
      </c>
    </row>
    <row r="608">
      <c r="G608" t="str">
        <v>A</v>
      </c>
      <c r="J608" t="str">
        <f>IF(K608&gt;0,K608*0.0625,IF(L608&gt;0,L608*2.204623,))</f>
        <v>#REF!</v>
      </c>
      <c r="K608" t="str">
        <f>IF(L608&gt;0,L608*35.273962,IF(J608&gt;0,J608*16,))</f>
        <v>#REF!</v>
      </c>
      <c r="L608" t="str">
        <f>IF(J608&gt;0,J608*0.453592,IF(K608&gt;0,K608*0.02835,))</f>
        <v>#REF!</v>
      </c>
      <c r="O608">
        <f>I608+N608+M608</f>
        <v>0</v>
      </c>
      <c r="P608">
        <f>O608*B$3</f>
        <v>0</v>
      </c>
      <c r="Q608">
        <f>ROUND(SUM(P608), -2)</f>
        <v>0</v>
      </c>
      <c r="R608" t="str">
        <f>ROUNDUP(HLOOKUP(IF(CEILING(L608,0.5)&lt;1,0.5,CEILING(L608,0.5)),'배송비 조회'!A$44:AO$56,7,0)*B$3,-2)</f>
        <v>#REF!</v>
      </c>
      <c r="S608">
        <v>0</v>
      </c>
      <c r="T608" t="str">
        <f>ROUND((Q608+R608)*0.3,-2)</f>
        <v>#REF!</v>
      </c>
      <c r="U608" t="str">
        <f>ROUND((Q608+R608)*0.4,-2)</f>
        <v>#REF!</v>
      </c>
      <c r="V608" t="str">
        <f>SUM(Q608:R608)+T608</f>
        <v>#REF!</v>
      </c>
      <c r="W608" t="str">
        <f>SUM(Q608:S608)+U608</f>
        <v>#REF!</v>
      </c>
      <c r="X608">
        <v>0</v>
      </c>
      <c r="Y608" t="str">
        <f>V608*0.038</f>
        <v>#REF!</v>
      </c>
      <c r="Z608" t="str">
        <f>V608*0.02</f>
        <v>#REF!</v>
      </c>
      <c r="AA608" t="str">
        <f>W608*0.1</f>
        <v>#REF!</v>
      </c>
      <c r="AB608" t="str">
        <f>V608-Y608-Z608</f>
        <v>#REF!</v>
      </c>
      <c r="AC608" t="str">
        <f>W608-AA608</f>
        <v>#REF!</v>
      </c>
      <c r="AD608" t="str">
        <f>AB608*0.01</f>
        <v>#REF!</v>
      </c>
      <c r="AE608" t="str">
        <f>AB608-Q608-AD608-R608</f>
        <v>#REF!</v>
      </c>
      <c r="AF608" t="str">
        <f>AC608-Q608-AD608-R608</f>
        <v>#REF!</v>
      </c>
      <c r="AG608" t="str">
        <f>AE608/V608</f>
        <v>#REF!</v>
      </c>
      <c r="AH608" t="str">
        <f>AF608/W608</f>
        <v>#REF!</v>
      </c>
    </row>
    <row r="609">
      <c r="G609" t="str">
        <v>A</v>
      </c>
      <c r="J609" t="str">
        <f>IF(K609&gt;0,K609*0.0625,IF(L609&gt;0,L609*2.204623,))</f>
        <v>#REF!</v>
      </c>
      <c r="K609" t="str">
        <f>IF(L609&gt;0,L609*35.273962,IF(J609&gt;0,J609*16,))</f>
        <v>#REF!</v>
      </c>
      <c r="L609" t="str">
        <f>IF(J609&gt;0,J609*0.453592,IF(K609&gt;0,K609*0.02835,))</f>
        <v>#REF!</v>
      </c>
      <c r="O609">
        <f>I609+N609+M609</f>
        <v>0</v>
      </c>
      <c r="P609">
        <f>O609*B$3</f>
        <v>0</v>
      </c>
      <c r="Q609">
        <f>ROUND(SUM(P609), -2)</f>
        <v>0</v>
      </c>
      <c r="R609" t="str">
        <f>ROUNDUP(HLOOKUP(IF(CEILING(L609,0.5)&lt;1,0.5,CEILING(L609,0.5)),'배송비 조회'!A$44:AO$56,7,0)*B$3,-2)</f>
        <v>#REF!</v>
      </c>
      <c r="S609">
        <v>0</v>
      </c>
      <c r="T609" t="str">
        <f>ROUND((Q609+R609)*0.3,-2)</f>
        <v>#REF!</v>
      </c>
      <c r="U609" t="str">
        <f>ROUND((Q609+R609)*0.4,-2)</f>
        <v>#REF!</v>
      </c>
      <c r="V609" t="str">
        <f>SUM(Q609:R609)+T609</f>
        <v>#REF!</v>
      </c>
      <c r="W609" t="str">
        <f>SUM(Q609:S609)+U609</f>
        <v>#REF!</v>
      </c>
      <c r="X609">
        <v>0</v>
      </c>
      <c r="Y609" t="str">
        <f>V609*0.038</f>
        <v>#REF!</v>
      </c>
      <c r="Z609" t="str">
        <f>V609*0.02</f>
        <v>#REF!</v>
      </c>
      <c r="AA609" t="str">
        <f>W609*0.1</f>
        <v>#REF!</v>
      </c>
      <c r="AB609" t="str">
        <f>V609-Y609-Z609</f>
        <v>#REF!</v>
      </c>
      <c r="AC609" t="str">
        <f>W609-AA609</f>
        <v>#REF!</v>
      </c>
      <c r="AD609" t="str">
        <f>AB609*0.01</f>
        <v>#REF!</v>
      </c>
      <c r="AE609" t="str">
        <f>AB609-Q609-AD609-R609</f>
        <v>#REF!</v>
      </c>
      <c r="AF609" t="str">
        <f>AC609-Q609-AD609-R609</f>
        <v>#REF!</v>
      </c>
      <c r="AG609" t="str">
        <f>AE609/V609</f>
        <v>#REF!</v>
      </c>
      <c r="AH609" t="str">
        <f>AF609/W609</f>
        <v>#REF!</v>
      </c>
    </row>
    <row r="610">
      <c r="G610" t="str">
        <v>A</v>
      </c>
      <c r="J610" t="str">
        <f>IF(K610&gt;0,K610*0.0625,IF(L610&gt;0,L610*2.204623,))</f>
        <v>#REF!</v>
      </c>
      <c r="K610" t="str">
        <f>IF(L610&gt;0,L610*35.273962,IF(J610&gt;0,J610*16,))</f>
        <v>#REF!</v>
      </c>
      <c r="L610" t="str">
        <f>IF(J610&gt;0,J610*0.453592,IF(K610&gt;0,K610*0.02835,))</f>
        <v>#REF!</v>
      </c>
      <c r="O610">
        <f>I610+N610+M610</f>
        <v>0</v>
      </c>
      <c r="P610">
        <f>O610*B$3</f>
        <v>0</v>
      </c>
      <c r="Q610">
        <f>ROUND(SUM(P610), -2)</f>
        <v>0</v>
      </c>
      <c r="R610" t="str">
        <f>ROUNDUP(HLOOKUP(IF(CEILING(L610,0.5)&lt;1,0.5,CEILING(L610,0.5)),'배송비 조회'!A$44:AO$56,7,0)*B$3,-2)</f>
        <v>#REF!</v>
      </c>
      <c r="S610">
        <v>0</v>
      </c>
      <c r="T610" t="str">
        <f>ROUND((Q610+R610)*0.3,-2)</f>
        <v>#REF!</v>
      </c>
      <c r="U610" t="str">
        <f>ROUND((Q610+R610)*0.4,-2)</f>
        <v>#REF!</v>
      </c>
      <c r="V610" t="str">
        <f>SUM(Q610:R610)+T610</f>
        <v>#REF!</v>
      </c>
      <c r="W610" t="str">
        <f>SUM(Q610:S610)+U610</f>
        <v>#REF!</v>
      </c>
      <c r="X610">
        <v>0</v>
      </c>
      <c r="Y610" t="str">
        <f>V610*0.038</f>
        <v>#REF!</v>
      </c>
      <c r="Z610" t="str">
        <f>V610*0.02</f>
        <v>#REF!</v>
      </c>
      <c r="AA610" t="str">
        <f>W610*0.1</f>
        <v>#REF!</v>
      </c>
      <c r="AB610" t="str">
        <f>V610-Y610-Z610</f>
        <v>#REF!</v>
      </c>
      <c r="AC610" t="str">
        <f>W610-AA610</f>
        <v>#REF!</v>
      </c>
      <c r="AD610" t="str">
        <f>AB610*0.01</f>
        <v>#REF!</v>
      </c>
      <c r="AE610" t="str">
        <f>AB610-Q610-AD610-R610</f>
        <v>#REF!</v>
      </c>
      <c r="AF610" t="str">
        <f>AC610-Q610-AD610-R610</f>
        <v>#REF!</v>
      </c>
      <c r="AG610" t="str">
        <f>AE610/V610</f>
        <v>#REF!</v>
      </c>
      <c r="AH610" t="str">
        <f>AF610/W610</f>
        <v>#REF!</v>
      </c>
    </row>
    <row r="611">
      <c r="G611" t="str">
        <v>A</v>
      </c>
      <c r="J611" t="str">
        <f>IF(K611&gt;0,K611*0.0625,IF(L611&gt;0,L611*2.204623,))</f>
        <v>#REF!</v>
      </c>
      <c r="K611" t="str">
        <f>IF(L611&gt;0,L611*35.273962,IF(J611&gt;0,J611*16,))</f>
        <v>#REF!</v>
      </c>
      <c r="L611" t="str">
        <f>IF(J611&gt;0,J611*0.453592,IF(K611&gt;0,K611*0.02835,))</f>
        <v>#REF!</v>
      </c>
      <c r="O611">
        <f>I611+N611+M611</f>
        <v>0</v>
      </c>
      <c r="P611">
        <f>O611*B$3</f>
        <v>0</v>
      </c>
      <c r="Q611">
        <f>ROUND(SUM(P611), -2)</f>
        <v>0</v>
      </c>
      <c r="R611" t="str">
        <f>ROUNDUP(HLOOKUP(IF(CEILING(L611,0.5)&lt;1,0.5,CEILING(L611,0.5)),'배송비 조회'!A$44:AO$56,7,0)*B$3,-2)</f>
        <v>#REF!</v>
      </c>
      <c r="S611">
        <v>0</v>
      </c>
      <c r="T611" t="str">
        <f>ROUND((Q611+R611)*0.3,-2)</f>
        <v>#REF!</v>
      </c>
      <c r="U611" t="str">
        <f>ROUND((Q611+R611)*0.4,-2)</f>
        <v>#REF!</v>
      </c>
      <c r="V611" t="str">
        <f>SUM(Q611:R611)+T611</f>
        <v>#REF!</v>
      </c>
      <c r="W611" t="str">
        <f>SUM(Q611:S611)+U611</f>
        <v>#REF!</v>
      </c>
      <c r="X611">
        <v>0</v>
      </c>
      <c r="Y611" t="str">
        <f>V611*0.038</f>
        <v>#REF!</v>
      </c>
      <c r="Z611" t="str">
        <f>V611*0.02</f>
        <v>#REF!</v>
      </c>
      <c r="AA611" t="str">
        <f>W611*0.1</f>
        <v>#REF!</v>
      </c>
      <c r="AB611" t="str">
        <f>V611-Y611-Z611</f>
        <v>#REF!</v>
      </c>
      <c r="AC611" t="str">
        <f>W611-AA611</f>
        <v>#REF!</v>
      </c>
      <c r="AD611" t="str">
        <f>AB611*0.01</f>
        <v>#REF!</v>
      </c>
      <c r="AE611" t="str">
        <f>AB611-Q611-AD611-R611</f>
        <v>#REF!</v>
      </c>
      <c r="AF611" t="str">
        <f>AC611-Q611-AD611-R611</f>
        <v>#REF!</v>
      </c>
      <c r="AG611" t="str">
        <f>AE611/V611</f>
        <v>#REF!</v>
      </c>
      <c r="AH611" t="str">
        <f>AF611/W611</f>
        <v>#REF!</v>
      </c>
    </row>
    <row r="612">
      <c r="G612" t="str">
        <v>A</v>
      </c>
      <c r="J612" t="str">
        <f>IF(K612&gt;0,K612*0.0625,IF(L612&gt;0,L612*2.204623,))</f>
        <v>#REF!</v>
      </c>
      <c r="K612" t="str">
        <f>IF(L612&gt;0,L612*35.273962,IF(J612&gt;0,J612*16,))</f>
        <v>#REF!</v>
      </c>
      <c r="L612" t="str">
        <f>IF(J612&gt;0,J612*0.453592,IF(K612&gt;0,K612*0.02835,))</f>
        <v>#REF!</v>
      </c>
      <c r="O612">
        <f>I612+N612+M612</f>
        <v>0</v>
      </c>
      <c r="P612">
        <f>O612*B$3</f>
        <v>0</v>
      </c>
      <c r="Q612">
        <f>ROUND(SUM(P612), -2)</f>
        <v>0</v>
      </c>
      <c r="R612" t="str">
        <f>ROUNDUP(HLOOKUP(IF(CEILING(L612,0.5)&lt;1,0.5,CEILING(L612,0.5)),'배송비 조회'!A$44:AO$56,7,0)*B$3,-2)</f>
        <v>#REF!</v>
      </c>
      <c r="S612">
        <v>0</v>
      </c>
      <c r="T612" t="str">
        <f>ROUND((Q612+R612)*0.3,-2)</f>
        <v>#REF!</v>
      </c>
      <c r="U612" t="str">
        <f>ROUND((Q612+R612)*0.4,-2)</f>
        <v>#REF!</v>
      </c>
      <c r="V612" t="str">
        <f>SUM(Q612:R612)+T612</f>
        <v>#REF!</v>
      </c>
      <c r="W612" t="str">
        <f>SUM(Q612:S612)+U612</f>
        <v>#REF!</v>
      </c>
      <c r="X612">
        <v>0</v>
      </c>
      <c r="Y612" t="str">
        <f>V612*0.038</f>
        <v>#REF!</v>
      </c>
      <c r="Z612" t="str">
        <f>V612*0.02</f>
        <v>#REF!</v>
      </c>
      <c r="AA612" t="str">
        <f>W612*0.1</f>
        <v>#REF!</v>
      </c>
      <c r="AB612" t="str">
        <f>V612-Y612-Z612</f>
        <v>#REF!</v>
      </c>
      <c r="AC612" t="str">
        <f>W612-AA612</f>
        <v>#REF!</v>
      </c>
      <c r="AD612" t="str">
        <f>AB612*0.01</f>
        <v>#REF!</v>
      </c>
      <c r="AE612" t="str">
        <f>AB612-Q612-AD612-R612</f>
        <v>#REF!</v>
      </c>
      <c r="AF612" t="str">
        <f>AC612-Q612-AD612-R612</f>
        <v>#REF!</v>
      </c>
      <c r="AG612" t="str">
        <f>AE612/V612</f>
        <v>#REF!</v>
      </c>
      <c r="AH612" t="str">
        <f>AF612/W612</f>
        <v>#REF!</v>
      </c>
    </row>
    <row r="613">
      <c r="G613" t="str">
        <v>A</v>
      </c>
      <c r="J613" t="str">
        <f>IF(K613&gt;0,K613*0.0625,IF(L613&gt;0,L613*2.204623,))</f>
        <v>#REF!</v>
      </c>
      <c r="K613" t="str">
        <f>IF(L613&gt;0,L613*35.273962,IF(J613&gt;0,J613*16,))</f>
        <v>#REF!</v>
      </c>
      <c r="L613" t="str">
        <f>IF(J613&gt;0,J613*0.453592,IF(K613&gt;0,K613*0.02835,))</f>
        <v>#REF!</v>
      </c>
      <c r="O613">
        <f>I613+N613+M613</f>
        <v>0</v>
      </c>
      <c r="P613">
        <f>O613*B$3</f>
        <v>0</v>
      </c>
      <c r="Q613">
        <f>ROUND(SUM(P613), -2)</f>
        <v>0</v>
      </c>
      <c r="R613" t="str">
        <f>ROUNDUP(HLOOKUP(IF(CEILING(L613,0.5)&lt;1,0.5,CEILING(L613,0.5)),'배송비 조회'!A$44:AO$56,7,0)*B$3,-2)</f>
        <v>#REF!</v>
      </c>
      <c r="S613">
        <v>0</v>
      </c>
      <c r="T613" t="str">
        <f>ROUND((Q613+R613)*0.3,-2)</f>
        <v>#REF!</v>
      </c>
      <c r="U613" t="str">
        <f>ROUND((Q613+R613)*0.4,-2)</f>
        <v>#REF!</v>
      </c>
      <c r="V613" t="str">
        <f>SUM(Q613:R613)+T613</f>
        <v>#REF!</v>
      </c>
      <c r="W613" t="str">
        <f>SUM(Q613:S613)+U613</f>
        <v>#REF!</v>
      </c>
      <c r="X613">
        <v>0</v>
      </c>
      <c r="Y613" t="str">
        <f>V613*0.038</f>
        <v>#REF!</v>
      </c>
      <c r="Z613" t="str">
        <f>V613*0.02</f>
        <v>#REF!</v>
      </c>
      <c r="AA613" t="str">
        <f>W613*0.1</f>
        <v>#REF!</v>
      </c>
      <c r="AB613" t="str">
        <f>V613-Y613-Z613</f>
        <v>#REF!</v>
      </c>
      <c r="AC613" t="str">
        <f>W613-AA613</f>
        <v>#REF!</v>
      </c>
      <c r="AD613" t="str">
        <f>AB613*0.01</f>
        <v>#REF!</v>
      </c>
      <c r="AE613" t="str">
        <f>AB613-Q613-AD613-R613</f>
        <v>#REF!</v>
      </c>
      <c r="AF613" t="str">
        <f>AC613-Q613-AD613-R613</f>
        <v>#REF!</v>
      </c>
      <c r="AG613" t="str">
        <f>AE613/V613</f>
        <v>#REF!</v>
      </c>
      <c r="AH613" t="str">
        <f>AF613/W613</f>
        <v>#REF!</v>
      </c>
    </row>
    <row r="614">
      <c r="G614" t="str">
        <v>A</v>
      </c>
      <c r="J614" t="str">
        <f>IF(K614&gt;0,K614*0.0625,IF(L614&gt;0,L614*2.204623,))</f>
        <v>#REF!</v>
      </c>
      <c r="K614" t="str">
        <f>IF(L614&gt;0,L614*35.273962,IF(J614&gt;0,J614*16,))</f>
        <v>#REF!</v>
      </c>
      <c r="L614" t="str">
        <f>IF(J614&gt;0,J614*0.453592,IF(K614&gt;0,K614*0.02835,))</f>
        <v>#REF!</v>
      </c>
      <c r="O614">
        <f>I614+N614+M614</f>
        <v>0</v>
      </c>
      <c r="P614">
        <f>O614*B$3</f>
        <v>0</v>
      </c>
      <c r="Q614">
        <f>ROUND(SUM(P614), -2)</f>
        <v>0</v>
      </c>
      <c r="R614" t="str">
        <f>ROUNDUP(HLOOKUP(IF(CEILING(L614,0.5)&lt;1,0.5,CEILING(L614,0.5)),'배송비 조회'!A$44:AO$56,7,0)*B$3,-2)</f>
        <v>#REF!</v>
      </c>
      <c r="S614">
        <v>0</v>
      </c>
      <c r="T614" t="str">
        <f>ROUND((Q614+R614)*0.3,-2)</f>
        <v>#REF!</v>
      </c>
      <c r="U614" t="str">
        <f>ROUND((Q614+R614)*0.4,-2)</f>
        <v>#REF!</v>
      </c>
      <c r="V614" t="str">
        <f>SUM(Q614:R614)+T614</f>
        <v>#REF!</v>
      </c>
      <c r="W614" t="str">
        <f>SUM(Q614:S614)+U614</f>
        <v>#REF!</v>
      </c>
      <c r="X614">
        <v>0</v>
      </c>
      <c r="Y614" t="str">
        <f>V614*0.038</f>
        <v>#REF!</v>
      </c>
      <c r="Z614" t="str">
        <f>V614*0.02</f>
        <v>#REF!</v>
      </c>
      <c r="AA614" t="str">
        <f>W614*0.1</f>
        <v>#REF!</v>
      </c>
      <c r="AB614" t="str">
        <f>V614-Y614-Z614</f>
        <v>#REF!</v>
      </c>
      <c r="AC614" t="str">
        <f>W614-AA614</f>
        <v>#REF!</v>
      </c>
      <c r="AD614" t="str">
        <f>AB614*0.01</f>
        <v>#REF!</v>
      </c>
      <c r="AE614" t="str">
        <f>AB614-Q614-AD614-R614</f>
        <v>#REF!</v>
      </c>
      <c r="AF614" t="str">
        <f>AC614-Q614-AD614-R614</f>
        <v>#REF!</v>
      </c>
      <c r="AG614" t="str">
        <f>AE614/V614</f>
        <v>#REF!</v>
      </c>
      <c r="AH614" t="str">
        <f>AF614/W614</f>
        <v>#REF!</v>
      </c>
    </row>
    <row r="615">
      <c r="G615" t="str">
        <v>A</v>
      </c>
      <c r="J615" t="str">
        <f>IF(K615&gt;0,K615*0.0625,IF(L615&gt;0,L615*2.204623,))</f>
        <v>#REF!</v>
      </c>
      <c r="K615" t="str">
        <f>IF(L615&gt;0,L615*35.273962,IF(J615&gt;0,J615*16,))</f>
        <v>#REF!</v>
      </c>
      <c r="L615" t="str">
        <f>IF(J615&gt;0,J615*0.453592,IF(K615&gt;0,K615*0.02835,))</f>
        <v>#REF!</v>
      </c>
      <c r="O615">
        <f>I615+N615+M615</f>
        <v>0</v>
      </c>
      <c r="P615">
        <f>O615*B$3</f>
        <v>0</v>
      </c>
      <c r="Q615">
        <f>ROUND(SUM(P615), -2)</f>
        <v>0</v>
      </c>
      <c r="R615" t="str">
        <f>ROUNDUP(HLOOKUP(IF(CEILING(L615,0.5)&lt;1,0.5,CEILING(L615,0.5)),'배송비 조회'!A$44:AO$56,7,0)*B$3,-2)</f>
        <v>#REF!</v>
      </c>
      <c r="S615">
        <v>0</v>
      </c>
      <c r="T615" t="str">
        <f>ROUND((Q615+R615)*0.3,-2)</f>
        <v>#REF!</v>
      </c>
      <c r="U615" t="str">
        <f>ROUND((Q615+R615)*0.4,-2)</f>
        <v>#REF!</v>
      </c>
      <c r="V615" t="str">
        <f>SUM(Q615:R615)+T615</f>
        <v>#REF!</v>
      </c>
      <c r="W615" t="str">
        <f>SUM(Q615:S615)+U615</f>
        <v>#REF!</v>
      </c>
      <c r="X615">
        <v>0</v>
      </c>
      <c r="Y615" t="str">
        <f>V615*0.038</f>
        <v>#REF!</v>
      </c>
      <c r="Z615" t="str">
        <f>V615*0.02</f>
        <v>#REF!</v>
      </c>
      <c r="AA615" t="str">
        <f>W615*0.1</f>
        <v>#REF!</v>
      </c>
      <c r="AB615" t="str">
        <f>V615-Y615-Z615</f>
        <v>#REF!</v>
      </c>
      <c r="AC615" t="str">
        <f>W615-AA615</f>
        <v>#REF!</v>
      </c>
      <c r="AD615" t="str">
        <f>AB615*0.01</f>
        <v>#REF!</v>
      </c>
      <c r="AE615" t="str">
        <f>AB615-Q615-AD615-R615</f>
        <v>#REF!</v>
      </c>
      <c r="AF615" t="str">
        <f>AC615-Q615-AD615-R615</f>
        <v>#REF!</v>
      </c>
      <c r="AG615" t="str">
        <f>AE615/V615</f>
        <v>#REF!</v>
      </c>
      <c r="AH615" t="str">
        <f>AF615/W615</f>
        <v>#REF!</v>
      </c>
    </row>
    <row r="616">
      <c r="G616" t="str">
        <v>A</v>
      </c>
      <c r="J616" t="str">
        <f>IF(K616&gt;0,K616*0.0625,IF(L616&gt;0,L616*2.204623,))</f>
        <v>#REF!</v>
      </c>
      <c r="K616" t="str">
        <f>IF(L616&gt;0,L616*35.273962,IF(J616&gt;0,J616*16,))</f>
        <v>#REF!</v>
      </c>
      <c r="L616" t="str">
        <f>IF(J616&gt;0,J616*0.453592,IF(K616&gt;0,K616*0.02835,))</f>
        <v>#REF!</v>
      </c>
      <c r="O616">
        <f>I616+N616+M616</f>
        <v>0</v>
      </c>
      <c r="P616">
        <f>O616*B$3</f>
        <v>0</v>
      </c>
      <c r="Q616">
        <f>ROUND(SUM(P616), -2)</f>
        <v>0</v>
      </c>
      <c r="R616" t="str">
        <f>ROUNDUP(HLOOKUP(IF(CEILING(L616,0.5)&lt;1,0.5,CEILING(L616,0.5)),'배송비 조회'!A$44:AO$56,7,0)*B$3,-2)</f>
        <v>#REF!</v>
      </c>
      <c r="S616">
        <v>0</v>
      </c>
      <c r="T616" t="str">
        <f>ROUND((Q616+R616)*0.3,-2)</f>
        <v>#REF!</v>
      </c>
      <c r="U616" t="str">
        <f>ROUND((Q616+R616)*0.4,-2)</f>
        <v>#REF!</v>
      </c>
      <c r="V616" t="str">
        <f>SUM(Q616:R616)+T616</f>
        <v>#REF!</v>
      </c>
      <c r="W616" t="str">
        <f>SUM(Q616:S616)+U616</f>
        <v>#REF!</v>
      </c>
      <c r="X616">
        <v>0</v>
      </c>
      <c r="Y616" t="str">
        <f>V616*0.038</f>
        <v>#REF!</v>
      </c>
      <c r="Z616" t="str">
        <f>V616*0.02</f>
        <v>#REF!</v>
      </c>
      <c r="AA616" t="str">
        <f>W616*0.1</f>
        <v>#REF!</v>
      </c>
      <c r="AB616" t="str">
        <f>V616-Y616-Z616</f>
        <v>#REF!</v>
      </c>
      <c r="AC616" t="str">
        <f>W616-AA616</f>
        <v>#REF!</v>
      </c>
      <c r="AD616" t="str">
        <f>AB616*0.01</f>
        <v>#REF!</v>
      </c>
      <c r="AE616" t="str">
        <f>AB616-Q616-AD616-R616</f>
        <v>#REF!</v>
      </c>
      <c r="AF616" t="str">
        <f>AC616-Q616-AD616-R616</f>
        <v>#REF!</v>
      </c>
      <c r="AG616" t="str">
        <f>AE616/V616</f>
        <v>#REF!</v>
      </c>
      <c r="AH616" t="str">
        <f>AF616/W616</f>
        <v>#REF!</v>
      </c>
    </row>
    <row r="617">
      <c r="G617" t="str">
        <v>A</v>
      </c>
      <c r="J617" t="str">
        <f>IF(K617&gt;0,K617*0.0625,IF(L617&gt;0,L617*2.204623,))</f>
        <v>#REF!</v>
      </c>
      <c r="K617" t="str">
        <f>IF(L617&gt;0,L617*35.273962,IF(J617&gt;0,J617*16,))</f>
        <v>#REF!</v>
      </c>
      <c r="L617" t="str">
        <f>IF(J617&gt;0,J617*0.453592,IF(K617&gt;0,K617*0.02835,))</f>
        <v>#REF!</v>
      </c>
      <c r="O617">
        <f>I617+N617+M617</f>
        <v>0</v>
      </c>
      <c r="P617">
        <f>O617*B$3</f>
        <v>0</v>
      </c>
      <c r="Q617">
        <f>ROUND(SUM(P617), -2)</f>
        <v>0</v>
      </c>
      <c r="R617" t="str">
        <f>ROUNDUP(HLOOKUP(IF(CEILING(L617,0.5)&lt;1,0.5,CEILING(L617,0.5)),'배송비 조회'!A$44:AO$56,7,0)*B$3,-2)</f>
        <v>#REF!</v>
      </c>
      <c r="S617">
        <v>0</v>
      </c>
      <c r="T617" t="str">
        <f>ROUND((Q617+R617)*0.3,-2)</f>
        <v>#REF!</v>
      </c>
      <c r="U617" t="str">
        <f>ROUND((Q617+R617)*0.4,-2)</f>
        <v>#REF!</v>
      </c>
      <c r="V617" t="str">
        <f>SUM(Q617:R617)+T617</f>
        <v>#REF!</v>
      </c>
      <c r="W617" t="str">
        <f>SUM(Q617:S617)+U617</f>
        <v>#REF!</v>
      </c>
      <c r="X617">
        <v>0</v>
      </c>
      <c r="Y617" t="str">
        <f>V617*0.038</f>
        <v>#REF!</v>
      </c>
      <c r="Z617" t="str">
        <f>V617*0.02</f>
        <v>#REF!</v>
      </c>
      <c r="AA617" t="str">
        <f>W617*0.1</f>
        <v>#REF!</v>
      </c>
      <c r="AB617" t="str">
        <f>V617-Y617-Z617</f>
        <v>#REF!</v>
      </c>
      <c r="AC617" t="str">
        <f>W617-AA617</f>
        <v>#REF!</v>
      </c>
      <c r="AD617" t="str">
        <f>AB617*0.01</f>
        <v>#REF!</v>
      </c>
      <c r="AE617" t="str">
        <f>AB617-Q617-AD617-R617</f>
        <v>#REF!</v>
      </c>
      <c r="AF617" t="str">
        <f>AC617-Q617-AD617-R617</f>
        <v>#REF!</v>
      </c>
      <c r="AG617" t="str">
        <f>AE617/V617</f>
        <v>#REF!</v>
      </c>
      <c r="AH617" t="str">
        <f>AF617/W617</f>
        <v>#REF!</v>
      </c>
    </row>
    <row r="618">
      <c r="G618" t="str">
        <v>A</v>
      </c>
      <c r="J618" t="str">
        <f>IF(K618&gt;0,K618*0.0625,IF(L618&gt;0,L618*2.204623,))</f>
        <v>#REF!</v>
      </c>
      <c r="K618" t="str">
        <f>IF(L618&gt;0,L618*35.273962,IF(J618&gt;0,J618*16,))</f>
        <v>#REF!</v>
      </c>
      <c r="L618" t="str">
        <f>IF(J618&gt;0,J618*0.453592,IF(K618&gt;0,K618*0.02835,))</f>
        <v>#REF!</v>
      </c>
      <c r="O618">
        <f>I618+N618+M618</f>
        <v>0</v>
      </c>
      <c r="P618">
        <f>O618*B$3</f>
        <v>0</v>
      </c>
      <c r="Q618">
        <f>ROUND(SUM(P618), -2)</f>
        <v>0</v>
      </c>
      <c r="R618" t="str">
        <f>ROUNDUP(HLOOKUP(IF(CEILING(L618,0.5)&lt;1,0.5,CEILING(L618,0.5)),'배송비 조회'!A$44:AO$56,7,0)*B$3,-2)</f>
        <v>#REF!</v>
      </c>
      <c r="S618">
        <v>0</v>
      </c>
      <c r="T618" t="str">
        <f>ROUND((Q618+R618)*0.3,-2)</f>
        <v>#REF!</v>
      </c>
      <c r="U618" t="str">
        <f>ROUND((Q618+R618)*0.4,-2)</f>
        <v>#REF!</v>
      </c>
      <c r="V618" t="str">
        <f>SUM(Q618:R618)+T618</f>
        <v>#REF!</v>
      </c>
      <c r="W618" t="str">
        <f>SUM(Q618:S618)+U618</f>
        <v>#REF!</v>
      </c>
      <c r="X618">
        <v>0</v>
      </c>
      <c r="Y618" t="str">
        <f>V618*0.038</f>
        <v>#REF!</v>
      </c>
      <c r="Z618" t="str">
        <f>V618*0.02</f>
        <v>#REF!</v>
      </c>
      <c r="AA618" t="str">
        <f>W618*0.1</f>
        <v>#REF!</v>
      </c>
      <c r="AB618" t="str">
        <f>V618-Y618-Z618</f>
        <v>#REF!</v>
      </c>
      <c r="AC618" t="str">
        <f>W618-AA618</f>
        <v>#REF!</v>
      </c>
      <c r="AD618" t="str">
        <f>AB618*0.01</f>
        <v>#REF!</v>
      </c>
      <c r="AE618" t="str">
        <f>AB618-Q618-AD618-R618</f>
        <v>#REF!</v>
      </c>
      <c r="AF618" t="str">
        <f>AC618-Q618-AD618-R618</f>
        <v>#REF!</v>
      </c>
      <c r="AG618" t="str">
        <f>AE618/V618</f>
        <v>#REF!</v>
      </c>
      <c r="AH618" t="str">
        <f>AF618/W618</f>
        <v>#REF!</v>
      </c>
    </row>
    <row r="619">
      <c r="G619" t="str">
        <v>A</v>
      </c>
      <c r="J619" t="str">
        <f>IF(K619&gt;0,K619*0.0625,IF(L619&gt;0,L619*2.204623,))</f>
        <v>#REF!</v>
      </c>
      <c r="K619" t="str">
        <f>IF(L619&gt;0,L619*35.273962,IF(J619&gt;0,J619*16,))</f>
        <v>#REF!</v>
      </c>
      <c r="L619" t="str">
        <f>IF(J619&gt;0,J619*0.453592,IF(K619&gt;0,K619*0.02835,))</f>
        <v>#REF!</v>
      </c>
      <c r="O619">
        <f>I619+N619+M619</f>
        <v>0</v>
      </c>
      <c r="P619">
        <f>O619*B$3</f>
        <v>0</v>
      </c>
      <c r="Q619">
        <f>ROUND(SUM(P619), -2)</f>
        <v>0</v>
      </c>
      <c r="R619" t="str">
        <f>ROUNDUP(HLOOKUP(IF(CEILING(L619,0.5)&lt;1,0.5,CEILING(L619,0.5)),'배송비 조회'!A$44:AO$56,7,0)*B$3,-2)</f>
        <v>#REF!</v>
      </c>
      <c r="S619">
        <v>0</v>
      </c>
      <c r="T619" t="str">
        <f>ROUND((Q619+R619)*0.3,-2)</f>
        <v>#REF!</v>
      </c>
      <c r="U619" t="str">
        <f>ROUND((Q619+R619)*0.4,-2)</f>
        <v>#REF!</v>
      </c>
      <c r="V619" t="str">
        <f>SUM(Q619:R619)+T619</f>
        <v>#REF!</v>
      </c>
      <c r="W619" t="str">
        <f>SUM(Q619:S619)+U619</f>
        <v>#REF!</v>
      </c>
      <c r="X619">
        <v>0</v>
      </c>
      <c r="Y619" t="str">
        <f>V619*0.038</f>
        <v>#REF!</v>
      </c>
      <c r="Z619" t="str">
        <f>V619*0.02</f>
        <v>#REF!</v>
      </c>
      <c r="AA619" t="str">
        <f>W619*0.1</f>
        <v>#REF!</v>
      </c>
      <c r="AB619" t="str">
        <f>V619-Y619-Z619</f>
        <v>#REF!</v>
      </c>
      <c r="AC619" t="str">
        <f>W619-AA619</f>
        <v>#REF!</v>
      </c>
      <c r="AD619" t="str">
        <f>AB619*0.01</f>
        <v>#REF!</v>
      </c>
      <c r="AE619" t="str">
        <f>AB619-Q619-AD619-R619</f>
        <v>#REF!</v>
      </c>
      <c r="AF619" t="str">
        <f>AC619-Q619-AD619-R619</f>
        <v>#REF!</v>
      </c>
      <c r="AG619" t="str">
        <f>AE619/V619</f>
        <v>#REF!</v>
      </c>
      <c r="AH619" t="str">
        <f>AF619/W619</f>
        <v>#REF!</v>
      </c>
    </row>
    <row r="620">
      <c r="G620" t="str">
        <v>A</v>
      </c>
      <c r="J620" t="str">
        <f>IF(K620&gt;0,K620*0.0625,IF(L620&gt;0,L620*2.204623,))</f>
        <v>#REF!</v>
      </c>
      <c r="K620" t="str">
        <f>IF(L620&gt;0,L620*35.273962,IF(J620&gt;0,J620*16,))</f>
        <v>#REF!</v>
      </c>
      <c r="L620" t="str">
        <f>IF(J620&gt;0,J620*0.453592,IF(K620&gt;0,K620*0.02835,))</f>
        <v>#REF!</v>
      </c>
      <c r="O620">
        <f>I620+N620+M620</f>
        <v>0</v>
      </c>
      <c r="P620">
        <f>O620*B$3</f>
        <v>0</v>
      </c>
      <c r="Q620">
        <f>ROUND(SUM(P620), -2)</f>
        <v>0</v>
      </c>
      <c r="R620" t="str">
        <f>ROUNDUP(HLOOKUP(IF(CEILING(L620,0.5)&lt;1,0.5,CEILING(L620,0.5)),'배송비 조회'!A$44:AO$56,7,0)*B$3,-2)</f>
        <v>#REF!</v>
      </c>
      <c r="S620">
        <v>0</v>
      </c>
      <c r="T620" t="str">
        <f>ROUND((Q620+R620)*0.3,-2)</f>
        <v>#REF!</v>
      </c>
      <c r="U620" t="str">
        <f>ROUND((Q620+R620)*0.4,-2)</f>
        <v>#REF!</v>
      </c>
      <c r="V620" t="str">
        <f>SUM(Q620:R620)+T620</f>
        <v>#REF!</v>
      </c>
      <c r="W620" t="str">
        <f>SUM(Q620:S620)+U620</f>
        <v>#REF!</v>
      </c>
      <c r="X620">
        <v>0</v>
      </c>
      <c r="Y620" t="str">
        <f>V620*0.038</f>
        <v>#REF!</v>
      </c>
      <c r="Z620" t="str">
        <f>V620*0.02</f>
        <v>#REF!</v>
      </c>
      <c r="AA620" t="str">
        <f>W620*0.1</f>
        <v>#REF!</v>
      </c>
      <c r="AB620" t="str">
        <f>V620-Y620-Z620</f>
        <v>#REF!</v>
      </c>
      <c r="AC620" t="str">
        <f>W620-AA620</f>
        <v>#REF!</v>
      </c>
      <c r="AD620" t="str">
        <f>AB620*0.01</f>
        <v>#REF!</v>
      </c>
      <c r="AE620" t="str">
        <f>AB620-Q620-AD620-R620</f>
        <v>#REF!</v>
      </c>
      <c r="AF620" t="str">
        <f>AC620-Q620-AD620-R620</f>
        <v>#REF!</v>
      </c>
      <c r="AG620" t="str">
        <f>AE620/V620</f>
        <v>#REF!</v>
      </c>
      <c r="AH620" t="str">
        <f>AF620/W620</f>
        <v>#REF!</v>
      </c>
    </row>
    <row r="621">
      <c r="G621" t="str">
        <v>A</v>
      </c>
      <c r="J621" t="str">
        <f>IF(K621&gt;0,K621*0.0625,IF(L621&gt;0,L621*2.204623,))</f>
        <v>#REF!</v>
      </c>
      <c r="K621" t="str">
        <f>IF(L621&gt;0,L621*35.273962,IF(J621&gt;0,J621*16,))</f>
        <v>#REF!</v>
      </c>
      <c r="L621" t="str">
        <f>IF(J621&gt;0,J621*0.453592,IF(K621&gt;0,K621*0.02835,))</f>
        <v>#REF!</v>
      </c>
      <c r="O621">
        <f>I621+N621+M621</f>
        <v>0</v>
      </c>
      <c r="P621">
        <f>O621*B$3</f>
        <v>0</v>
      </c>
      <c r="Q621">
        <f>ROUND(SUM(P621), -2)</f>
        <v>0</v>
      </c>
      <c r="R621" t="str">
        <f>ROUNDUP(HLOOKUP(IF(CEILING(L621,0.5)&lt;1,0.5,CEILING(L621,0.5)),'배송비 조회'!A$44:AO$56,7,0)*B$3,-2)</f>
        <v>#REF!</v>
      </c>
      <c r="S621">
        <v>0</v>
      </c>
      <c r="T621" t="str">
        <f>ROUND((Q621+R621)*0.3,-2)</f>
        <v>#REF!</v>
      </c>
      <c r="U621" t="str">
        <f>ROUND((Q621+R621)*0.4,-2)</f>
        <v>#REF!</v>
      </c>
      <c r="V621" t="str">
        <f>SUM(Q621:R621)+T621</f>
        <v>#REF!</v>
      </c>
      <c r="W621" t="str">
        <f>SUM(Q621:S621)+U621</f>
        <v>#REF!</v>
      </c>
      <c r="X621">
        <v>0</v>
      </c>
      <c r="Y621" t="str">
        <f>V621*0.038</f>
        <v>#REF!</v>
      </c>
      <c r="Z621" t="str">
        <f>V621*0.02</f>
        <v>#REF!</v>
      </c>
      <c r="AA621" t="str">
        <f>W621*0.1</f>
        <v>#REF!</v>
      </c>
      <c r="AB621" t="str">
        <f>V621-Y621-Z621</f>
        <v>#REF!</v>
      </c>
      <c r="AC621" t="str">
        <f>W621-AA621</f>
        <v>#REF!</v>
      </c>
      <c r="AD621" t="str">
        <f>AB621*0.01</f>
        <v>#REF!</v>
      </c>
      <c r="AE621" t="str">
        <f>AB621-Q621-AD621-R621</f>
        <v>#REF!</v>
      </c>
      <c r="AF621" t="str">
        <f>AC621-Q621-AD621-R621</f>
        <v>#REF!</v>
      </c>
      <c r="AG621" t="str">
        <f>AE621/V621</f>
        <v>#REF!</v>
      </c>
      <c r="AH621" t="str">
        <f>AF621/W621</f>
        <v>#REF!</v>
      </c>
    </row>
    <row r="622">
      <c r="G622" t="str">
        <v>A</v>
      </c>
      <c r="J622" t="str">
        <f>IF(K622&gt;0,K622*0.0625,IF(L622&gt;0,L622*2.204623,))</f>
        <v>#REF!</v>
      </c>
      <c r="K622" t="str">
        <f>IF(L622&gt;0,L622*35.273962,IF(J622&gt;0,J622*16,))</f>
        <v>#REF!</v>
      </c>
      <c r="L622" t="str">
        <f>IF(J622&gt;0,J622*0.453592,IF(K622&gt;0,K622*0.02835,))</f>
        <v>#REF!</v>
      </c>
      <c r="O622">
        <f>I622+N622+M622</f>
        <v>0</v>
      </c>
      <c r="P622">
        <f>O622*B$3</f>
        <v>0</v>
      </c>
      <c r="Q622">
        <f>ROUND(SUM(P622), -2)</f>
        <v>0</v>
      </c>
      <c r="R622" t="str">
        <f>ROUNDUP(HLOOKUP(IF(CEILING(L622,0.5)&lt;1,0.5,CEILING(L622,0.5)),'배송비 조회'!A$44:AO$56,7,0)*B$3,-2)</f>
        <v>#REF!</v>
      </c>
      <c r="S622">
        <v>0</v>
      </c>
      <c r="T622" t="str">
        <f>ROUND((Q622+R622)*0.3,-2)</f>
        <v>#REF!</v>
      </c>
      <c r="U622" t="str">
        <f>ROUND((Q622+R622)*0.4,-2)</f>
        <v>#REF!</v>
      </c>
      <c r="V622" t="str">
        <f>SUM(Q622:R622)+T622</f>
        <v>#REF!</v>
      </c>
      <c r="W622" t="str">
        <f>SUM(Q622:S622)+U622</f>
        <v>#REF!</v>
      </c>
      <c r="X622">
        <v>0</v>
      </c>
      <c r="Y622" t="str">
        <f>V622*0.038</f>
        <v>#REF!</v>
      </c>
      <c r="Z622" t="str">
        <f>V622*0.02</f>
        <v>#REF!</v>
      </c>
      <c r="AA622" t="str">
        <f>W622*0.1</f>
        <v>#REF!</v>
      </c>
      <c r="AB622" t="str">
        <f>V622-Y622-Z622</f>
        <v>#REF!</v>
      </c>
      <c r="AC622" t="str">
        <f>W622-AA622</f>
        <v>#REF!</v>
      </c>
      <c r="AD622" t="str">
        <f>AB622*0.01</f>
        <v>#REF!</v>
      </c>
      <c r="AE622" t="str">
        <f>AB622-Q622-AD622-R622</f>
        <v>#REF!</v>
      </c>
      <c r="AF622" t="str">
        <f>AC622-Q622-AD622-R622</f>
        <v>#REF!</v>
      </c>
      <c r="AG622" t="str">
        <f>AE622/V622</f>
        <v>#REF!</v>
      </c>
      <c r="AH622" t="str">
        <f>AF622/W622</f>
        <v>#REF!</v>
      </c>
    </row>
    <row r="623">
      <c r="G623" t="str">
        <v>A</v>
      </c>
      <c r="J623" t="str">
        <f>IF(K623&gt;0,K623*0.0625,IF(L623&gt;0,L623*2.204623,))</f>
        <v>#REF!</v>
      </c>
      <c r="K623" t="str">
        <f>IF(L623&gt;0,L623*35.273962,IF(J623&gt;0,J623*16,))</f>
        <v>#REF!</v>
      </c>
      <c r="L623" t="str">
        <f>IF(J623&gt;0,J623*0.453592,IF(K623&gt;0,K623*0.02835,))</f>
        <v>#REF!</v>
      </c>
      <c r="O623">
        <f>I623+N623+M623</f>
        <v>0</v>
      </c>
      <c r="P623">
        <f>O623*B$3</f>
        <v>0</v>
      </c>
      <c r="Q623">
        <f>ROUND(SUM(P623), -2)</f>
        <v>0</v>
      </c>
      <c r="R623" t="str">
        <f>ROUNDUP(HLOOKUP(IF(CEILING(L623,0.5)&lt;1,0.5,CEILING(L623,0.5)),'배송비 조회'!A$44:AO$56,7,0)*B$3,-2)</f>
        <v>#REF!</v>
      </c>
      <c r="S623">
        <v>0</v>
      </c>
      <c r="T623" t="str">
        <f>ROUND((Q623+R623)*0.3,-2)</f>
        <v>#REF!</v>
      </c>
      <c r="U623" t="str">
        <f>ROUND((Q623+R623)*0.4,-2)</f>
        <v>#REF!</v>
      </c>
      <c r="V623" t="str">
        <f>SUM(Q623:R623)+T623</f>
        <v>#REF!</v>
      </c>
      <c r="W623" t="str">
        <f>SUM(Q623:S623)+U623</f>
        <v>#REF!</v>
      </c>
      <c r="X623">
        <v>0</v>
      </c>
      <c r="Y623" t="str">
        <f>V623*0.038</f>
        <v>#REF!</v>
      </c>
      <c r="Z623" t="str">
        <f>V623*0.02</f>
        <v>#REF!</v>
      </c>
      <c r="AA623" t="str">
        <f>W623*0.1</f>
        <v>#REF!</v>
      </c>
      <c r="AB623" t="str">
        <f>V623-Y623-Z623</f>
        <v>#REF!</v>
      </c>
      <c r="AC623" t="str">
        <f>W623-AA623</f>
        <v>#REF!</v>
      </c>
      <c r="AD623" t="str">
        <f>AB623*0.01</f>
        <v>#REF!</v>
      </c>
      <c r="AE623" t="str">
        <f>AB623-Q623-AD623-R623</f>
        <v>#REF!</v>
      </c>
      <c r="AF623" t="str">
        <f>AC623-Q623-AD623-R623</f>
        <v>#REF!</v>
      </c>
      <c r="AG623" t="str">
        <f>AE623/V623</f>
        <v>#REF!</v>
      </c>
      <c r="AH623" t="str">
        <f>AF623/W623</f>
        <v>#REF!</v>
      </c>
    </row>
    <row r="624">
      <c r="G624" t="str">
        <v>A</v>
      </c>
      <c r="J624" t="str">
        <f>IF(K624&gt;0,K624*0.0625,IF(L624&gt;0,L624*2.204623,))</f>
        <v>#REF!</v>
      </c>
      <c r="K624" t="str">
        <f>IF(L624&gt;0,L624*35.273962,IF(J624&gt;0,J624*16,))</f>
        <v>#REF!</v>
      </c>
      <c r="L624" t="str">
        <f>IF(J624&gt;0,J624*0.453592,IF(K624&gt;0,K624*0.02835,))</f>
        <v>#REF!</v>
      </c>
      <c r="O624">
        <f>I624+N624+M624</f>
        <v>0</v>
      </c>
      <c r="P624">
        <f>O624*B$3</f>
        <v>0</v>
      </c>
      <c r="Q624">
        <f>ROUND(SUM(P624), -2)</f>
        <v>0</v>
      </c>
      <c r="R624" t="str">
        <f>ROUNDUP(HLOOKUP(IF(CEILING(L624,0.5)&lt;1,0.5,CEILING(L624,0.5)),'배송비 조회'!A$44:AO$56,7,0)*B$3,-2)</f>
        <v>#REF!</v>
      </c>
      <c r="S624">
        <v>0</v>
      </c>
      <c r="T624" t="str">
        <f>ROUND((Q624+R624)*0.3,-2)</f>
        <v>#REF!</v>
      </c>
      <c r="U624" t="str">
        <f>ROUND((Q624+R624)*0.4,-2)</f>
        <v>#REF!</v>
      </c>
      <c r="V624" t="str">
        <f>SUM(Q624:R624)+T624</f>
        <v>#REF!</v>
      </c>
      <c r="W624" t="str">
        <f>SUM(Q624:S624)+U624</f>
        <v>#REF!</v>
      </c>
      <c r="X624">
        <v>0</v>
      </c>
      <c r="Y624" t="str">
        <f>V624*0.038</f>
        <v>#REF!</v>
      </c>
      <c r="Z624" t="str">
        <f>V624*0.02</f>
        <v>#REF!</v>
      </c>
      <c r="AA624" t="str">
        <f>W624*0.1</f>
        <v>#REF!</v>
      </c>
      <c r="AB624" t="str">
        <f>V624-Y624-Z624</f>
        <v>#REF!</v>
      </c>
      <c r="AC624" t="str">
        <f>W624-AA624</f>
        <v>#REF!</v>
      </c>
      <c r="AD624" t="str">
        <f>AB624*0.01</f>
        <v>#REF!</v>
      </c>
      <c r="AE624" t="str">
        <f>AB624-Q624-AD624-R624</f>
        <v>#REF!</v>
      </c>
      <c r="AF624" t="str">
        <f>AC624-Q624-AD624-R624</f>
        <v>#REF!</v>
      </c>
      <c r="AG624" t="str">
        <f>AE624/V624</f>
        <v>#REF!</v>
      </c>
      <c r="AH624" t="str">
        <f>AF624/W624</f>
        <v>#REF!</v>
      </c>
    </row>
    <row r="625">
      <c r="G625" t="str">
        <v>A</v>
      </c>
      <c r="J625" t="str">
        <f>IF(K625&gt;0,K625*0.0625,IF(L625&gt;0,L625*2.204623,))</f>
        <v>#REF!</v>
      </c>
      <c r="K625" t="str">
        <f>IF(L625&gt;0,L625*35.273962,IF(J625&gt;0,J625*16,))</f>
        <v>#REF!</v>
      </c>
      <c r="L625" t="str">
        <f>IF(J625&gt;0,J625*0.453592,IF(K625&gt;0,K625*0.02835,))</f>
        <v>#REF!</v>
      </c>
      <c r="O625">
        <f>I625+N625+M625</f>
        <v>0</v>
      </c>
      <c r="P625">
        <f>O625*B$3</f>
        <v>0</v>
      </c>
      <c r="Q625">
        <f>ROUND(SUM(P625), -2)</f>
        <v>0</v>
      </c>
      <c r="R625" t="str">
        <f>ROUNDUP(HLOOKUP(IF(CEILING(L625,0.5)&lt;1,0.5,CEILING(L625,0.5)),'배송비 조회'!A$44:AO$56,7,0)*B$3,-2)</f>
        <v>#REF!</v>
      </c>
      <c r="S625">
        <v>0</v>
      </c>
      <c r="T625" t="str">
        <f>ROUND((Q625+R625)*0.3,-2)</f>
        <v>#REF!</v>
      </c>
      <c r="U625" t="str">
        <f>ROUND((Q625+R625)*0.4,-2)</f>
        <v>#REF!</v>
      </c>
      <c r="V625" t="str">
        <f>SUM(Q625:R625)+T625</f>
        <v>#REF!</v>
      </c>
      <c r="W625" t="str">
        <f>SUM(Q625:S625)+U625</f>
        <v>#REF!</v>
      </c>
      <c r="X625">
        <v>0</v>
      </c>
      <c r="Y625" t="str">
        <f>V625*0.038</f>
        <v>#REF!</v>
      </c>
      <c r="Z625" t="str">
        <f>V625*0.02</f>
        <v>#REF!</v>
      </c>
      <c r="AA625" t="str">
        <f>W625*0.1</f>
        <v>#REF!</v>
      </c>
      <c r="AB625" t="str">
        <f>V625-Y625-Z625</f>
        <v>#REF!</v>
      </c>
      <c r="AC625" t="str">
        <f>W625-AA625</f>
        <v>#REF!</v>
      </c>
      <c r="AD625" t="str">
        <f>AB625*0.01</f>
        <v>#REF!</v>
      </c>
      <c r="AE625" t="str">
        <f>AB625-Q625-AD625-R625</f>
        <v>#REF!</v>
      </c>
      <c r="AF625" t="str">
        <f>AC625-Q625-AD625-R625</f>
        <v>#REF!</v>
      </c>
      <c r="AG625" t="str">
        <f>AE625/V625</f>
        <v>#REF!</v>
      </c>
      <c r="AH625" t="str">
        <f>AF625/W625</f>
        <v>#REF!</v>
      </c>
    </row>
    <row r="626">
      <c r="G626" t="str">
        <v>A</v>
      </c>
      <c r="J626" t="str">
        <f>IF(K626&gt;0,K626*0.0625,IF(L626&gt;0,L626*2.204623,))</f>
        <v>#REF!</v>
      </c>
      <c r="K626" t="str">
        <f>IF(L626&gt;0,L626*35.273962,IF(J626&gt;0,J626*16,))</f>
        <v>#REF!</v>
      </c>
      <c r="L626" t="str">
        <f>IF(J626&gt;0,J626*0.453592,IF(K626&gt;0,K626*0.02835,))</f>
        <v>#REF!</v>
      </c>
      <c r="O626">
        <f>I626+N626+M626</f>
        <v>0</v>
      </c>
      <c r="P626">
        <f>O626*B$3</f>
        <v>0</v>
      </c>
      <c r="Q626">
        <f>ROUND(SUM(P626), -2)</f>
        <v>0</v>
      </c>
      <c r="R626" t="str">
        <f>ROUNDUP(HLOOKUP(IF(CEILING(L626,0.5)&lt;1,0.5,CEILING(L626,0.5)),'배송비 조회'!A$44:AO$56,7,0)*B$3,-2)</f>
        <v>#REF!</v>
      </c>
      <c r="S626">
        <v>0</v>
      </c>
      <c r="T626" t="str">
        <f>ROUND((Q626+R626)*0.3,-2)</f>
        <v>#REF!</v>
      </c>
      <c r="U626" t="str">
        <f>ROUND((Q626+R626)*0.4,-2)</f>
        <v>#REF!</v>
      </c>
      <c r="V626" t="str">
        <f>SUM(Q626:R626)+T626</f>
        <v>#REF!</v>
      </c>
      <c r="W626" t="str">
        <f>SUM(Q626:S626)+U626</f>
        <v>#REF!</v>
      </c>
      <c r="X626">
        <v>0</v>
      </c>
      <c r="Y626" t="str">
        <f>V626*0.038</f>
        <v>#REF!</v>
      </c>
      <c r="Z626" t="str">
        <f>V626*0.02</f>
        <v>#REF!</v>
      </c>
      <c r="AA626" t="str">
        <f>W626*0.1</f>
        <v>#REF!</v>
      </c>
      <c r="AB626" t="str">
        <f>V626-Y626-Z626</f>
        <v>#REF!</v>
      </c>
      <c r="AC626" t="str">
        <f>W626-AA626</f>
        <v>#REF!</v>
      </c>
      <c r="AD626" t="str">
        <f>AB626*0.01</f>
        <v>#REF!</v>
      </c>
      <c r="AE626" t="str">
        <f>AB626-Q626-AD626-R626</f>
        <v>#REF!</v>
      </c>
      <c r="AF626" t="str">
        <f>AC626-Q626-AD626-R626</f>
        <v>#REF!</v>
      </c>
      <c r="AG626" t="str">
        <f>AE626/V626</f>
        <v>#REF!</v>
      </c>
      <c r="AH626" t="str">
        <f>AF626/W626</f>
        <v>#REF!</v>
      </c>
    </row>
    <row r="627">
      <c r="G627" t="str">
        <v>A</v>
      </c>
      <c r="J627" t="str">
        <f>IF(K627&gt;0,K627*0.0625,IF(L627&gt;0,L627*2.204623,))</f>
        <v>#REF!</v>
      </c>
      <c r="K627" t="str">
        <f>IF(L627&gt;0,L627*35.273962,IF(J627&gt;0,J627*16,))</f>
        <v>#REF!</v>
      </c>
      <c r="L627" t="str">
        <f>IF(J627&gt;0,J627*0.453592,IF(K627&gt;0,K627*0.02835,))</f>
        <v>#REF!</v>
      </c>
      <c r="O627">
        <f>I627+N627+M627</f>
        <v>0</v>
      </c>
      <c r="P627">
        <f>O627*B$3</f>
        <v>0</v>
      </c>
      <c r="Q627">
        <f>ROUND(SUM(P627), -2)</f>
        <v>0</v>
      </c>
      <c r="R627" t="str">
        <f>ROUNDUP(HLOOKUP(IF(CEILING(L627,0.5)&lt;1,0.5,CEILING(L627,0.5)),'배송비 조회'!A$44:AO$56,7,0)*B$3,-2)</f>
        <v>#REF!</v>
      </c>
      <c r="S627">
        <v>0</v>
      </c>
      <c r="T627" t="str">
        <f>ROUND((Q627+R627)*0.3,-2)</f>
        <v>#REF!</v>
      </c>
      <c r="U627" t="str">
        <f>ROUND((Q627+R627)*0.4,-2)</f>
        <v>#REF!</v>
      </c>
      <c r="V627" t="str">
        <f>SUM(Q627:R627)+T627</f>
        <v>#REF!</v>
      </c>
      <c r="W627" t="str">
        <f>SUM(Q627:S627)+U627</f>
        <v>#REF!</v>
      </c>
      <c r="X627">
        <v>0</v>
      </c>
      <c r="Y627" t="str">
        <f>V627*0.038</f>
        <v>#REF!</v>
      </c>
      <c r="Z627" t="str">
        <f>V627*0.02</f>
        <v>#REF!</v>
      </c>
      <c r="AA627" t="str">
        <f>W627*0.1</f>
        <v>#REF!</v>
      </c>
      <c r="AB627" t="str">
        <f>V627-Y627-Z627</f>
        <v>#REF!</v>
      </c>
      <c r="AC627" t="str">
        <f>W627-AA627</f>
        <v>#REF!</v>
      </c>
      <c r="AD627" t="str">
        <f>AB627*0.01</f>
        <v>#REF!</v>
      </c>
      <c r="AE627" t="str">
        <f>AB627-Q627-AD627-R627</f>
        <v>#REF!</v>
      </c>
      <c r="AF627" t="str">
        <f>AC627-Q627-AD627-R627</f>
        <v>#REF!</v>
      </c>
      <c r="AG627" t="str">
        <f>AE627/V627</f>
        <v>#REF!</v>
      </c>
      <c r="AH627" t="str">
        <f>AF627/W627</f>
        <v>#REF!</v>
      </c>
    </row>
    <row r="628">
      <c r="G628" t="str">
        <v>A</v>
      </c>
      <c r="J628" t="str">
        <f>IF(K628&gt;0,K628*0.0625,IF(L628&gt;0,L628*2.204623,))</f>
        <v>#REF!</v>
      </c>
      <c r="K628" t="str">
        <f>IF(L628&gt;0,L628*35.273962,IF(J628&gt;0,J628*16,))</f>
        <v>#REF!</v>
      </c>
      <c r="L628" t="str">
        <f>IF(J628&gt;0,J628*0.453592,IF(K628&gt;0,K628*0.02835,))</f>
        <v>#REF!</v>
      </c>
      <c r="O628">
        <f>I628+N628+M628</f>
        <v>0</v>
      </c>
      <c r="P628">
        <f>O628*B$3</f>
        <v>0</v>
      </c>
      <c r="Q628">
        <f>ROUND(SUM(P628), -2)</f>
        <v>0</v>
      </c>
      <c r="R628" t="str">
        <f>ROUNDUP(HLOOKUP(IF(CEILING(L628,0.5)&lt;1,0.5,CEILING(L628,0.5)),'배송비 조회'!A$44:AO$56,7,0)*B$3,-2)</f>
        <v>#REF!</v>
      </c>
      <c r="S628">
        <v>0</v>
      </c>
      <c r="T628" t="str">
        <f>ROUND((Q628+R628)*0.3,-2)</f>
        <v>#REF!</v>
      </c>
      <c r="U628" t="str">
        <f>ROUND((Q628+R628)*0.4,-2)</f>
        <v>#REF!</v>
      </c>
      <c r="V628" t="str">
        <f>SUM(Q628:R628)+T628</f>
        <v>#REF!</v>
      </c>
      <c r="W628" t="str">
        <f>SUM(Q628:S628)+U628</f>
        <v>#REF!</v>
      </c>
      <c r="X628">
        <v>0</v>
      </c>
      <c r="Y628" t="str">
        <f>V628*0.038</f>
        <v>#REF!</v>
      </c>
      <c r="Z628" t="str">
        <f>V628*0.02</f>
        <v>#REF!</v>
      </c>
      <c r="AA628" t="str">
        <f>W628*0.1</f>
        <v>#REF!</v>
      </c>
      <c r="AB628" t="str">
        <f>V628-Y628-Z628</f>
        <v>#REF!</v>
      </c>
      <c r="AC628" t="str">
        <f>W628-AA628</f>
        <v>#REF!</v>
      </c>
      <c r="AD628" t="str">
        <f>AB628*0.01</f>
        <v>#REF!</v>
      </c>
      <c r="AE628" t="str">
        <f>AB628-Q628-AD628-R628</f>
        <v>#REF!</v>
      </c>
      <c r="AF628" t="str">
        <f>AC628-Q628-AD628-R628</f>
        <v>#REF!</v>
      </c>
      <c r="AG628" t="str">
        <f>AE628/V628</f>
        <v>#REF!</v>
      </c>
      <c r="AH628" t="str">
        <f>AF628/W628</f>
        <v>#REF!</v>
      </c>
    </row>
    <row r="629">
      <c r="G629" t="str">
        <v>A</v>
      </c>
      <c r="J629" t="str">
        <f>IF(K629&gt;0,K629*0.0625,IF(L629&gt;0,L629*2.204623,))</f>
        <v>#REF!</v>
      </c>
      <c r="K629" t="str">
        <f>IF(L629&gt;0,L629*35.273962,IF(J629&gt;0,J629*16,))</f>
        <v>#REF!</v>
      </c>
      <c r="L629" t="str">
        <f>IF(J629&gt;0,J629*0.453592,IF(K629&gt;0,K629*0.02835,))</f>
        <v>#REF!</v>
      </c>
      <c r="O629">
        <f>I629+N629+M629</f>
        <v>0</v>
      </c>
      <c r="P629">
        <f>O629*B$3</f>
        <v>0</v>
      </c>
      <c r="Q629">
        <f>ROUND(SUM(P629), -2)</f>
        <v>0</v>
      </c>
      <c r="R629" t="str">
        <f>ROUNDUP(HLOOKUP(IF(CEILING(L629,0.5)&lt;1,0.5,CEILING(L629,0.5)),'배송비 조회'!A$44:AO$56,7,0)*B$3,-2)</f>
        <v>#REF!</v>
      </c>
      <c r="S629">
        <v>0</v>
      </c>
      <c r="T629" t="str">
        <f>ROUND((Q629+R629)*0.3,-2)</f>
        <v>#REF!</v>
      </c>
      <c r="U629" t="str">
        <f>ROUND((Q629+R629)*0.4,-2)</f>
        <v>#REF!</v>
      </c>
      <c r="V629" t="str">
        <f>SUM(Q629:R629)+T629</f>
        <v>#REF!</v>
      </c>
      <c r="W629" t="str">
        <f>SUM(Q629:S629)+U629</f>
        <v>#REF!</v>
      </c>
      <c r="X629">
        <v>0</v>
      </c>
      <c r="Y629" t="str">
        <f>V629*0.038</f>
        <v>#REF!</v>
      </c>
      <c r="Z629" t="str">
        <f>V629*0.02</f>
        <v>#REF!</v>
      </c>
      <c r="AA629" t="str">
        <f>W629*0.1</f>
        <v>#REF!</v>
      </c>
      <c r="AB629" t="str">
        <f>V629-Y629-Z629</f>
        <v>#REF!</v>
      </c>
      <c r="AC629" t="str">
        <f>W629-AA629</f>
        <v>#REF!</v>
      </c>
      <c r="AD629" t="str">
        <f>AB629*0.01</f>
        <v>#REF!</v>
      </c>
      <c r="AE629" t="str">
        <f>AB629-Q629-AD629-R629</f>
        <v>#REF!</v>
      </c>
      <c r="AF629" t="str">
        <f>AC629-Q629-AD629-R629</f>
        <v>#REF!</v>
      </c>
      <c r="AG629" t="str">
        <f>AE629/V629</f>
        <v>#REF!</v>
      </c>
      <c r="AH629" t="str">
        <f>AF629/W629</f>
        <v>#REF!</v>
      </c>
    </row>
    <row r="630">
      <c r="G630" t="str">
        <v>A</v>
      </c>
      <c r="J630" t="str">
        <f>IF(K630&gt;0,K630*0.0625,IF(L630&gt;0,L630*2.204623,))</f>
        <v>#REF!</v>
      </c>
      <c r="K630" t="str">
        <f>IF(L630&gt;0,L630*35.273962,IF(J630&gt;0,J630*16,))</f>
        <v>#REF!</v>
      </c>
      <c r="L630" t="str">
        <f>IF(J630&gt;0,J630*0.453592,IF(K630&gt;0,K630*0.02835,))</f>
        <v>#REF!</v>
      </c>
      <c r="O630">
        <f>I630+N630+M630</f>
        <v>0</v>
      </c>
      <c r="P630">
        <f>O630*B$3</f>
        <v>0</v>
      </c>
      <c r="Q630">
        <f>ROUND(SUM(P630), -2)</f>
        <v>0</v>
      </c>
      <c r="R630" t="str">
        <f>ROUNDUP(HLOOKUP(IF(CEILING(L630,0.5)&lt;1,0.5,CEILING(L630,0.5)),'배송비 조회'!A$44:AO$56,7,0)*B$3,-2)</f>
        <v>#REF!</v>
      </c>
      <c r="S630">
        <v>0</v>
      </c>
      <c r="T630" t="str">
        <f>ROUND((Q630+R630)*0.3,-2)</f>
        <v>#REF!</v>
      </c>
      <c r="U630" t="str">
        <f>ROUND((Q630+R630)*0.4,-2)</f>
        <v>#REF!</v>
      </c>
      <c r="V630" t="str">
        <f>SUM(Q630:R630)+T630</f>
        <v>#REF!</v>
      </c>
      <c r="W630" t="str">
        <f>SUM(Q630:S630)+U630</f>
        <v>#REF!</v>
      </c>
      <c r="X630">
        <v>0</v>
      </c>
      <c r="Y630" t="str">
        <f>V630*0.038</f>
        <v>#REF!</v>
      </c>
      <c r="Z630" t="str">
        <f>V630*0.02</f>
        <v>#REF!</v>
      </c>
      <c r="AA630" t="str">
        <f>W630*0.1</f>
        <v>#REF!</v>
      </c>
      <c r="AB630" t="str">
        <f>V630-Y630-Z630</f>
        <v>#REF!</v>
      </c>
      <c r="AC630" t="str">
        <f>W630-AA630</f>
        <v>#REF!</v>
      </c>
      <c r="AD630" t="str">
        <f>AB630*0.01</f>
        <v>#REF!</v>
      </c>
      <c r="AE630" t="str">
        <f>AB630-Q630-AD630-R630</f>
        <v>#REF!</v>
      </c>
      <c r="AF630" t="str">
        <f>AC630-Q630-AD630-R630</f>
        <v>#REF!</v>
      </c>
      <c r="AG630" t="str">
        <f>AE630/V630</f>
        <v>#REF!</v>
      </c>
      <c r="AH630" t="str">
        <f>AF630/W630</f>
        <v>#REF!</v>
      </c>
    </row>
    <row r="631">
      <c r="G631" t="str">
        <v>A</v>
      </c>
      <c r="J631" t="str">
        <f>IF(K631&gt;0,K631*0.0625,IF(L631&gt;0,L631*2.204623,))</f>
        <v>#REF!</v>
      </c>
      <c r="K631" t="str">
        <f>IF(L631&gt;0,L631*35.273962,IF(J631&gt;0,J631*16,))</f>
        <v>#REF!</v>
      </c>
      <c r="L631" t="str">
        <f>IF(J631&gt;0,J631*0.453592,IF(K631&gt;0,K631*0.02835,))</f>
        <v>#REF!</v>
      </c>
      <c r="O631">
        <f>I631+N631+M631</f>
        <v>0</v>
      </c>
      <c r="P631">
        <f>O631*B$3</f>
        <v>0</v>
      </c>
      <c r="Q631">
        <f>ROUND(SUM(P631), -2)</f>
        <v>0</v>
      </c>
      <c r="R631" t="str">
        <f>ROUNDUP(HLOOKUP(IF(CEILING(L631,0.5)&lt;1,0.5,CEILING(L631,0.5)),'배송비 조회'!A$44:AO$56,7,0)*B$3,-2)</f>
        <v>#REF!</v>
      </c>
      <c r="S631">
        <v>0</v>
      </c>
      <c r="T631" t="str">
        <f>ROUND((Q631+R631)*0.3,-2)</f>
        <v>#REF!</v>
      </c>
      <c r="U631" t="str">
        <f>ROUND((Q631+R631)*0.4,-2)</f>
        <v>#REF!</v>
      </c>
      <c r="V631" t="str">
        <f>SUM(Q631:R631)+T631</f>
        <v>#REF!</v>
      </c>
      <c r="W631" t="str">
        <f>SUM(Q631:S631)+U631</f>
        <v>#REF!</v>
      </c>
      <c r="X631">
        <v>0</v>
      </c>
      <c r="Y631" t="str">
        <f>V631*0.038</f>
        <v>#REF!</v>
      </c>
      <c r="Z631" t="str">
        <f>V631*0.02</f>
        <v>#REF!</v>
      </c>
      <c r="AA631" t="str">
        <f>W631*0.1</f>
        <v>#REF!</v>
      </c>
      <c r="AB631" t="str">
        <f>V631-Y631-Z631</f>
        <v>#REF!</v>
      </c>
      <c r="AC631" t="str">
        <f>W631-AA631</f>
        <v>#REF!</v>
      </c>
      <c r="AD631" t="str">
        <f>AB631*0.01</f>
        <v>#REF!</v>
      </c>
      <c r="AE631" t="str">
        <f>AB631-Q631-AD631-R631</f>
        <v>#REF!</v>
      </c>
      <c r="AF631" t="str">
        <f>AC631-Q631-AD631-R631</f>
        <v>#REF!</v>
      </c>
      <c r="AG631" t="str">
        <f>AE631/V631</f>
        <v>#REF!</v>
      </c>
      <c r="AH631" t="str">
        <f>AF631/W631</f>
        <v>#REF!</v>
      </c>
    </row>
    <row r="632">
      <c r="G632" t="str">
        <v>A</v>
      </c>
      <c r="J632" t="str">
        <f>IF(K632&gt;0,K632*0.0625,IF(L632&gt;0,L632*2.204623,))</f>
        <v>#REF!</v>
      </c>
      <c r="K632" t="str">
        <f>IF(L632&gt;0,L632*35.273962,IF(J632&gt;0,J632*16,))</f>
        <v>#REF!</v>
      </c>
      <c r="L632" t="str">
        <f>IF(J632&gt;0,J632*0.453592,IF(K632&gt;0,K632*0.02835,))</f>
        <v>#REF!</v>
      </c>
      <c r="O632">
        <f>I632+N632+M632</f>
        <v>0</v>
      </c>
      <c r="P632">
        <f>O632*B$3</f>
        <v>0</v>
      </c>
      <c r="Q632">
        <f>ROUND(SUM(P632), -2)</f>
        <v>0</v>
      </c>
      <c r="R632" t="str">
        <f>ROUNDUP(HLOOKUP(IF(CEILING(L632,0.5)&lt;1,0.5,CEILING(L632,0.5)),'배송비 조회'!A$44:AO$56,7,0)*B$3,-2)</f>
        <v>#REF!</v>
      </c>
      <c r="S632">
        <v>0</v>
      </c>
      <c r="T632" t="str">
        <f>ROUND((Q632+R632)*0.3,-2)</f>
        <v>#REF!</v>
      </c>
      <c r="U632" t="str">
        <f>ROUND((Q632+R632)*0.4,-2)</f>
        <v>#REF!</v>
      </c>
      <c r="V632" t="str">
        <f>SUM(Q632:R632)+T632</f>
        <v>#REF!</v>
      </c>
      <c r="W632" t="str">
        <f>SUM(Q632:S632)+U632</f>
        <v>#REF!</v>
      </c>
      <c r="X632">
        <v>0</v>
      </c>
      <c r="Y632" t="str">
        <f>V632*0.038</f>
        <v>#REF!</v>
      </c>
      <c r="Z632" t="str">
        <f>V632*0.02</f>
        <v>#REF!</v>
      </c>
      <c r="AA632" t="str">
        <f>W632*0.1</f>
        <v>#REF!</v>
      </c>
      <c r="AB632" t="str">
        <f>V632-Y632-Z632</f>
        <v>#REF!</v>
      </c>
      <c r="AC632" t="str">
        <f>W632-AA632</f>
        <v>#REF!</v>
      </c>
      <c r="AD632" t="str">
        <f>AB632*0.01</f>
        <v>#REF!</v>
      </c>
      <c r="AE632" t="str">
        <f>AB632-Q632-AD632-R632</f>
        <v>#REF!</v>
      </c>
      <c r="AF632" t="str">
        <f>AC632-Q632-AD632-R632</f>
        <v>#REF!</v>
      </c>
      <c r="AG632" t="str">
        <f>AE632/V632</f>
        <v>#REF!</v>
      </c>
      <c r="AH632" t="str">
        <f>AF632/W632</f>
        <v>#REF!</v>
      </c>
    </row>
    <row r="633">
      <c r="G633" t="str">
        <v>A</v>
      </c>
      <c r="J633" t="str">
        <f>IF(K633&gt;0,K633*0.0625,IF(L633&gt;0,L633*2.204623,))</f>
        <v>#REF!</v>
      </c>
      <c r="K633" t="str">
        <f>IF(L633&gt;0,L633*35.273962,IF(J633&gt;0,J633*16,))</f>
        <v>#REF!</v>
      </c>
      <c r="L633" t="str">
        <f>IF(J633&gt;0,J633*0.453592,IF(K633&gt;0,K633*0.02835,))</f>
        <v>#REF!</v>
      </c>
      <c r="O633">
        <f>I633+N633+M633</f>
        <v>0</v>
      </c>
      <c r="P633">
        <f>O633*B$3</f>
        <v>0</v>
      </c>
      <c r="Q633">
        <f>ROUND(SUM(P633), -2)</f>
        <v>0</v>
      </c>
      <c r="R633" t="str">
        <f>ROUNDUP(HLOOKUP(IF(CEILING(L633,0.5)&lt;1,0.5,CEILING(L633,0.5)),'배송비 조회'!A$44:AO$56,7,0)*B$3,-2)</f>
        <v>#REF!</v>
      </c>
      <c r="S633">
        <v>0</v>
      </c>
      <c r="T633" t="str">
        <f>ROUND((Q633+R633)*0.3,-2)</f>
        <v>#REF!</v>
      </c>
      <c r="U633" t="str">
        <f>ROUND((Q633+R633)*0.4,-2)</f>
        <v>#REF!</v>
      </c>
      <c r="V633" t="str">
        <f>SUM(Q633:R633)+T633</f>
        <v>#REF!</v>
      </c>
      <c r="W633" t="str">
        <f>SUM(Q633:S633)+U633</f>
        <v>#REF!</v>
      </c>
      <c r="X633">
        <v>0</v>
      </c>
      <c r="Y633" t="str">
        <f>V633*0.038</f>
        <v>#REF!</v>
      </c>
      <c r="Z633" t="str">
        <f>V633*0.02</f>
        <v>#REF!</v>
      </c>
      <c r="AA633" t="str">
        <f>W633*0.1</f>
        <v>#REF!</v>
      </c>
      <c r="AB633" t="str">
        <f>V633-Y633-Z633</f>
        <v>#REF!</v>
      </c>
      <c r="AC633" t="str">
        <f>W633-AA633</f>
        <v>#REF!</v>
      </c>
      <c r="AD633" t="str">
        <f>AB633*0.01</f>
        <v>#REF!</v>
      </c>
      <c r="AE633" t="str">
        <f>AB633-Q633-AD633-R633</f>
        <v>#REF!</v>
      </c>
      <c r="AF633" t="str">
        <f>AC633-Q633-AD633-R633</f>
        <v>#REF!</v>
      </c>
      <c r="AG633" t="str">
        <f>AE633/V633</f>
        <v>#REF!</v>
      </c>
      <c r="AH633" t="str">
        <f>AF633/W633</f>
        <v>#REF!</v>
      </c>
    </row>
    <row r="634">
      <c r="G634" t="str">
        <v>A</v>
      </c>
      <c r="J634" t="str">
        <f>IF(K634&gt;0,K634*0.0625,IF(L634&gt;0,L634*2.204623,))</f>
        <v>#REF!</v>
      </c>
      <c r="K634" t="str">
        <f>IF(L634&gt;0,L634*35.273962,IF(J634&gt;0,J634*16,))</f>
        <v>#REF!</v>
      </c>
      <c r="L634" t="str">
        <f>IF(J634&gt;0,J634*0.453592,IF(K634&gt;0,K634*0.02835,))</f>
        <v>#REF!</v>
      </c>
      <c r="O634">
        <f>I634+N634+M634</f>
        <v>0</v>
      </c>
      <c r="P634">
        <f>O634*B$3</f>
        <v>0</v>
      </c>
      <c r="Q634">
        <f>ROUND(SUM(P634), -2)</f>
        <v>0</v>
      </c>
      <c r="R634" t="str">
        <f>ROUNDUP(HLOOKUP(IF(CEILING(L634,0.5)&lt;1,0.5,CEILING(L634,0.5)),'배송비 조회'!A$44:AO$56,7,0)*B$3,-2)</f>
        <v>#REF!</v>
      </c>
      <c r="S634">
        <v>0</v>
      </c>
      <c r="T634" t="str">
        <f>ROUND((Q634+R634)*0.3,-2)</f>
        <v>#REF!</v>
      </c>
      <c r="U634" t="str">
        <f>ROUND((Q634+R634)*0.4,-2)</f>
        <v>#REF!</v>
      </c>
      <c r="V634" t="str">
        <f>SUM(Q634:R634)+T634</f>
        <v>#REF!</v>
      </c>
      <c r="W634" t="str">
        <f>SUM(Q634:S634)+U634</f>
        <v>#REF!</v>
      </c>
      <c r="X634">
        <v>0</v>
      </c>
      <c r="Y634" t="str">
        <f>V634*0.038</f>
        <v>#REF!</v>
      </c>
      <c r="Z634" t="str">
        <f>V634*0.02</f>
        <v>#REF!</v>
      </c>
      <c r="AA634" t="str">
        <f>W634*0.1</f>
        <v>#REF!</v>
      </c>
      <c r="AB634" t="str">
        <f>V634-Y634-Z634</f>
        <v>#REF!</v>
      </c>
      <c r="AC634" t="str">
        <f>W634-AA634</f>
        <v>#REF!</v>
      </c>
      <c r="AD634" t="str">
        <f>AB634*0.01</f>
        <v>#REF!</v>
      </c>
      <c r="AE634" t="str">
        <f>AB634-Q634-AD634-R634</f>
        <v>#REF!</v>
      </c>
      <c r="AF634" t="str">
        <f>AC634-Q634-AD634-R634</f>
        <v>#REF!</v>
      </c>
      <c r="AG634" t="str">
        <f>AE634/V634</f>
        <v>#REF!</v>
      </c>
      <c r="AH634" t="str">
        <f>AF634/W634</f>
        <v>#REF!</v>
      </c>
    </row>
    <row r="635">
      <c r="G635" t="str">
        <v>A</v>
      </c>
      <c r="J635" t="str">
        <f>IF(K635&gt;0,K635*0.0625,IF(L635&gt;0,L635*2.204623,))</f>
        <v>#REF!</v>
      </c>
      <c r="K635" t="str">
        <f>IF(L635&gt;0,L635*35.273962,IF(J635&gt;0,J635*16,))</f>
        <v>#REF!</v>
      </c>
      <c r="L635" t="str">
        <f>IF(J635&gt;0,J635*0.453592,IF(K635&gt;0,K635*0.02835,))</f>
        <v>#REF!</v>
      </c>
      <c r="O635">
        <f>I635+N635+M635</f>
        <v>0</v>
      </c>
      <c r="P635">
        <f>O635*B$3</f>
        <v>0</v>
      </c>
      <c r="Q635">
        <f>ROUND(SUM(P635), -2)</f>
        <v>0</v>
      </c>
      <c r="R635" t="str">
        <f>ROUNDUP(HLOOKUP(IF(CEILING(L635,0.5)&lt;1,0.5,CEILING(L635,0.5)),'배송비 조회'!A$44:AO$56,7,0)*B$3,-2)</f>
        <v>#REF!</v>
      </c>
      <c r="S635">
        <v>0</v>
      </c>
      <c r="T635" t="str">
        <f>ROUND((Q635+R635)*0.3,-2)</f>
        <v>#REF!</v>
      </c>
      <c r="U635" t="str">
        <f>ROUND((Q635+R635)*0.4,-2)</f>
        <v>#REF!</v>
      </c>
      <c r="V635" t="str">
        <f>SUM(Q635:R635)+T635</f>
        <v>#REF!</v>
      </c>
      <c r="W635" t="str">
        <f>SUM(Q635:S635)+U635</f>
        <v>#REF!</v>
      </c>
      <c r="X635">
        <v>0</v>
      </c>
      <c r="Y635" t="str">
        <f>V635*0.038</f>
        <v>#REF!</v>
      </c>
      <c r="Z635" t="str">
        <f>V635*0.02</f>
        <v>#REF!</v>
      </c>
      <c r="AA635" t="str">
        <f>W635*0.1</f>
        <v>#REF!</v>
      </c>
      <c r="AB635" t="str">
        <f>V635-Y635-Z635</f>
        <v>#REF!</v>
      </c>
      <c r="AC635" t="str">
        <f>W635-AA635</f>
        <v>#REF!</v>
      </c>
      <c r="AD635" t="str">
        <f>AB635*0.01</f>
        <v>#REF!</v>
      </c>
      <c r="AE635" t="str">
        <f>AB635-Q635-AD635-R635</f>
        <v>#REF!</v>
      </c>
      <c r="AF635" t="str">
        <f>AC635-Q635-AD635-R635</f>
        <v>#REF!</v>
      </c>
      <c r="AG635" t="str">
        <f>AE635/V635</f>
        <v>#REF!</v>
      </c>
      <c r="AH635" t="str">
        <f>AF635/W635</f>
        <v>#REF!</v>
      </c>
    </row>
    <row r="636">
      <c r="G636" t="str">
        <v>A</v>
      </c>
      <c r="J636" t="str">
        <f>IF(K636&gt;0,K636*0.0625,IF(L636&gt;0,L636*2.204623,))</f>
        <v>#REF!</v>
      </c>
      <c r="K636" t="str">
        <f>IF(L636&gt;0,L636*35.273962,IF(J636&gt;0,J636*16,))</f>
        <v>#REF!</v>
      </c>
      <c r="L636" t="str">
        <f>IF(J636&gt;0,J636*0.453592,IF(K636&gt;0,K636*0.02835,))</f>
        <v>#REF!</v>
      </c>
      <c r="O636">
        <f>I636+N636+M636</f>
        <v>0</v>
      </c>
      <c r="P636">
        <f>O636*B$3</f>
        <v>0</v>
      </c>
      <c r="Q636">
        <f>ROUND(SUM(P636), -2)</f>
        <v>0</v>
      </c>
      <c r="R636" t="str">
        <f>ROUNDUP(HLOOKUP(IF(CEILING(L636,0.5)&lt;1,0.5,CEILING(L636,0.5)),'배송비 조회'!A$44:AO$56,7,0)*B$3,-2)</f>
        <v>#REF!</v>
      </c>
      <c r="S636">
        <v>0</v>
      </c>
      <c r="T636" t="str">
        <f>ROUND((Q636+R636)*0.3,-2)</f>
        <v>#REF!</v>
      </c>
      <c r="U636" t="str">
        <f>ROUND((Q636+R636)*0.4,-2)</f>
        <v>#REF!</v>
      </c>
      <c r="V636" t="str">
        <f>SUM(Q636:R636)+T636</f>
        <v>#REF!</v>
      </c>
      <c r="W636" t="str">
        <f>SUM(Q636:S636)+U636</f>
        <v>#REF!</v>
      </c>
      <c r="X636">
        <v>0</v>
      </c>
      <c r="Y636" t="str">
        <f>V636*0.038</f>
        <v>#REF!</v>
      </c>
      <c r="Z636" t="str">
        <f>V636*0.02</f>
        <v>#REF!</v>
      </c>
      <c r="AA636" t="str">
        <f>W636*0.1</f>
        <v>#REF!</v>
      </c>
      <c r="AB636" t="str">
        <f>V636-Y636-Z636</f>
        <v>#REF!</v>
      </c>
      <c r="AC636" t="str">
        <f>W636-AA636</f>
        <v>#REF!</v>
      </c>
      <c r="AD636" t="str">
        <f>AB636*0.01</f>
        <v>#REF!</v>
      </c>
      <c r="AE636" t="str">
        <f>AB636-Q636-AD636-R636</f>
        <v>#REF!</v>
      </c>
      <c r="AF636" t="str">
        <f>AC636-Q636-AD636-R636</f>
        <v>#REF!</v>
      </c>
      <c r="AG636" t="str">
        <f>AE636/V636</f>
        <v>#REF!</v>
      </c>
      <c r="AH636" t="str">
        <f>AF636/W636</f>
        <v>#REF!</v>
      </c>
    </row>
    <row r="637">
      <c r="G637" t="str">
        <v>A</v>
      </c>
      <c r="J637" t="str">
        <f>IF(K637&gt;0,K637*0.0625,IF(L637&gt;0,L637*2.204623,))</f>
        <v>#REF!</v>
      </c>
      <c r="K637" t="str">
        <f>IF(L637&gt;0,L637*35.273962,IF(J637&gt;0,J637*16,))</f>
        <v>#REF!</v>
      </c>
      <c r="L637" t="str">
        <f>IF(J637&gt;0,J637*0.453592,IF(K637&gt;0,K637*0.02835,))</f>
        <v>#REF!</v>
      </c>
      <c r="O637">
        <f>I637+N637+M637</f>
        <v>0</v>
      </c>
      <c r="P637">
        <f>O637*B$3</f>
        <v>0</v>
      </c>
      <c r="Q637">
        <f>ROUND(SUM(P637), -2)</f>
        <v>0</v>
      </c>
      <c r="R637" t="str">
        <f>ROUNDUP(HLOOKUP(IF(CEILING(L637,0.5)&lt;1,0.5,CEILING(L637,0.5)),'배송비 조회'!A$44:AO$56,7,0)*B$3,-2)</f>
        <v>#REF!</v>
      </c>
      <c r="S637">
        <v>0</v>
      </c>
      <c r="T637" t="str">
        <f>ROUND((Q637+R637)*0.3,-2)</f>
        <v>#REF!</v>
      </c>
      <c r="U637" t="str">
        <f>ROUND((Q637+R637)*0.4,-2)</f>
        <v>#REF!</v>
      </c>
      <c r="V637" t="str">
        <f>SUM(Q637:R637)+T637</f>
        <v>#REF!</v>
      </c>
      <c r="W637" t="str">
        <f>SUM(Q637:S637)+U637</f>
        <v>#REF!</v>
      </c>
      <c r="X637">
        <v>0</v>
      </c>
      <c r="Y637" t="str">
        <f>V637*0.038</f>
        <v>#REF!</v>
      </c>
      <c r="Z637" t="str">
        <f>V637*0.02</f>
        <v>#REF!</v>
      </c>
      <c r="AA637" t="str">
        <f>W637*0.1</f>
        <v>#REF!</v>
      </c>
      <c r="AB637" t="str">
        <f>V637-Y637-Z637</f>
        <v>#REF!</v>
      </c>
      <c r="AC637" t="str">
        <f>W637-AA637</f>
        <v>#REF!</v>
      </c>
      <c r="AD637" t="str">
        <f>AB637*0.01</f>
        <v>#REF!</v>
      </c>
      <c r="AE637" t="str">
        <f>AB637-Q637-AD637-R637</f>
        <v>#REF!</v>
      </c>
      <c r="AF637" t="str">
        <f>AC637-Q637-AD637-R637</f>
        <v>#REF!</v>
      </c>
      <c r="AG637" t="str">
        <f>AE637/V637</f>
        <v>#REF!</v>
      </c>
      <c r="AH637" t="str">
        <f>AF637/W637</f>
        <v>#REF!</v>
      </c>
    </row>
    <row r="638">
      <c r="G638" t="str">
        <v>A</v>
      </c>
      <c r="J638" t="str">
        <f>IF(K638&gt;0,K638*0.0625,IF(L638&gt;0,L638*2.204623,))</f>
        <v>#REF!</v>
      </c>
      <c r="K638" t="str">
        <f>IF(L638&gt;0,L638*35.273962,IF(J638&gt;0,J638*16,))</f>
        <v>#REF!</v>
      </c>
      <c r="L638" t="str">
        <f>IF(J638&gt;0,J638*0.453592,IF(K638&gt;0,K638*0.02835,))</f>
        <v>#REF!</v>
      </c>
      <c r="O638">
        <f>I638+N638+M638</f>
        <v>0</v>
      </c>
      <c r="P638">
        <f>O638*B$3</f>
        <v>0</v>
      </c>
      <c r="Q638">
        <f>ROUND(SUM(P638), -2)</f>
        <v>0</v>
      </c>
      <c r="R638" t="str">
        <f>ROUNDUP(HLOOKUP(IF(CEILING(L638,0.5)&lt;1,0.5,CEILING(L638,0.5)),'배송비 조회'!A$44:AO$56,7,0)*B$3,-2)</f>
        <v>#REF!</v>
      </c>
      <c r="S638">
        <v>0</v>
      </c>
      <c r="T638" t="str">
        <f>ROUND((Q638+R638)*0.3,-2)</f>
        <v>#REF!</v>
      </c>
      <c r="U638" t="str">
        <f>ROUND((Q638+R638)*0.4,-2)</f>
        <v>#REF!</v>
      </c>
      <c r="V638" t="str">
        <f>SUM(Q638:R638)+T638</f>
        <v>#REF!</v>
      </c>
      <c r="W638" t="str">
        <f>SUM(Q638:S638)+U638</f>
        <v>#REF!</v>
      </c>
      <c r="X638">
        <v>0</v>
      </c>
      <c r="Y638" t="str">
        <f>V638*0.038</f>
        <v>#REF!</v>
      </c>
      <c r="Z638" t="str">
        <f>V638*0.02</f>
        <v>#REF!</v>
      </c>
      <c r="AA638" t="str">
        <f>W638*0.1</f>
        <v>#REF!</v>
      </c>
      <c r="AB638" t="str">
        <f>V638-Y638-Z638</f>
        <v>#REF!</v>
      </c>
      <c r="AC638" t="str">
        <f>W638-AA638</f>
        <v>#REF!</v>
      </c>
      <c r="AD638" t="str">
        <f>AB638*0.01</f>
        <v>#REF!</v>
      </c>
      <c r="AE638" t="str">
        <f>AB638-Q638-AD638-R638</f>
        <v>#REF!</v>
      </c>
      <c r="AF638" t="str">
        <f>AC638-Q638-AD638-R638</f>
        <v>#REF!</v>
      </c>
      <c r="AG638" t="str">
        <f>AE638/V638</f>
        <v>#REF!</v>
      </c>
      <c r="AH638" t="str">
        <f>AF638/W638</f>
        <v>#REF!</v>
      </c>
    </row>
    <row r="639">
      <c r="G639" t="str">
        <v>A</v>
      </c>
      <c r="J639" t="str">
        <f>IF(K639&gt;0,K639*0.0625,IF(L639&gt;0,L639*2.204623,))</f>
        <v>#REF!</v>
      </c>
      <c r="K639" t="str">
        <f>IF(L639&gt;0,L639*35.273962,IF(J639&gt;0,J639*16,))</f>
        <v>#REF!</v>
      </c>
      <c r="L639" t="str">
        <f>IF(J639&gt;0,J639*0.453592,IF(K639&gt;0,K639*0.02835,))</f>
        <v>#REF!</v>
      </c>
      <c r="O639">
        <f>I639+N639+M639</f>
        <v>0</v>
      </c>
      <c r="P639">
        <f>O639*B$3</f>
        <v>0</v>
      </c>
      <c r="Q639">
        <f>ROUND(SUM(P639), -2)</f>
        <v>0</v>
      </c>
      <c r="R639" t="str">
        <f>ROUNDUP(HLOOKUP(IF(CEILING(L639,0.5)&lt;1,0.5,CEILING(L639,0.5)),'배송비 조회'!A$44:AO$56,7,0)*B$3,-2)</f>
        <v>#REF!</v>
      </c>
      <c r="S639">
        <v>0</v>
      </c>
      <c r="T639" t="str">
        <f>ROUND((Q639+R639)*0.3,-2)</f>
        <v>#REF!</v>
      </c>
      <c r="U639" t="str">
        <f>ROUND((Q639+R639)*0.4,-2)</f>
        <v>#REF!</v>
      </c>
      <c r="V639" t="str">
        <f>SUM(Q639:R639)+T639</f>
        <v>#REF!</v>
      </c>
      <c r="W639" t="str">
        <f>SUM(Q639:S639)+U639</f>
        <v>#REF!</v>
      </c>
      <c r="X639">
        <v>0</v>
      </c>
      <c r="Y639" t="str">
        <f>V639*0.038</f>
        <v>#REF!</v>
      </c>
      <c r="Z639" t="str">
        <f>V639*0.02</f>
        <v>#REF!</v>
      </c>
      <c r="AA639" t="str">
        <f>W639*0.1</f>
        <v>#REF!</v>
      </c>
      <c r="AB639" t="str">
        <f>V639-Y639-Z639</f>
        <v>#REF!</v>
      </c>
      <c r="AC639" t="str">
        <f>W639-AA639</f>
        <v>#REF!</v>
      </c>
      <c r="AD639" t="str">
        <f>AB639*0.01</f>
        <v>#REF!</v>
      </c>
      <c r="AE639" t="str">
        <f>AB639-Q639-AD639-R639</f>
        <v>#REF!</v>
      </c>
      <c r="AF639" t="str">
        <f>AC639-Q639-AD639-R639</f>
        <v>#REF!</v>
      </c>
      <c r="AG639" t="str">
        <f>AE639/V639</f>
        <v>#REF!</v>
      </c>
      <c r="AH639" t="str">
        <f>AF639/W639</f>
        <v>#REF!</v>
      </c>
    </row>
    <row r="640">
      <c r="G640" t="str">
        <v>A</v>
      </c>
      <c r="J640" t="str">
        <f>IF(K640&gt;0,K640*0.0625,IF(L640&gt;0,L640*2.204623,))</f>
        <v>#REF!</v>
      </c>
      <c r="K640" t="str">
        <f>IF(L640&gt;0,L640*35.273962,IF(J640&gt;0,J640*16,))</f>
        <v>#REF!</v>
      </c>
      <c r="L640" t="str">
        <f>IF(J640&gt;0,J640*0.453592,IF(K640&gt;0,K640*0.02835,))</f>
        <v>#REF!</v>
      </c>
      <c r="O640">
        <f>I640+N640+M640</f>
        <v>0</v>
      </c>
      <c r="P640">
        <f>O640*B$3</f>
        <v>0</v>
      </c>
      <c r="Q640">
        <f>ROUND(SUM(P640), -2)</f>
        <v>0</v>
      </c>
      <c r="R640" t="str">
        <f>ROUNDUP(HLOOKUP(IF(CEILING(L640,0.5)&lt;1,0.5,CEILING(L640,0.5)),'배송비 조회'!A$44:AO$56,7,0)*B$3,-2)</f>
        <v>#REF!</v>
      </c>
      <c r="S640">
        <v>0</v>
      </c>
      <c r="T640" t="str">
        <f>ROUND((Q640+R640)*0.3,-2)</f>
        <v>#REF!</v>
      </c>
      <c r="U640" t="str">
        <f>ROUND((Q640+R640)*0.4,-2)</f>
        <v>#REF!</v>
      </c>
      <c r="V640" t="str">
        <f>SUM(Q640:R640)+T640</f>
        <v>#REF!</v>
      </c>
      <c r="W640" t="str">
        <f>SUM(Q640:S640)+U640</f>
        <v>#REF!</v>
      </c>
      <c r="X640">
        <v>0</v>
      </c>
      <c r="Y640" t="str">
        <f>V640*0.038</f>
        <v>#REF!</v>
      </c>
      <c r="Z640" t="str">
        <f>V640*0.02</f>
        <v>#REF!</v>
      </c>
      <c r="AA640" t="str">
        <f>W640*0.1</f>
        <v>#REF!</v>
      </c>
      <c r="AB640" t="str">
        <f>V640-Y640-Z640</f>
        <v>#REF!</v>
      </c>
      <c r="AC640" t="str">
        <f>W640-AA640</f>
        <v>#REF!</v>
      </c>
      <c r="AD640" t="str">
        <f>AB640*0.01</f>
        <v>#REF!</v>
      </c>
      <c r="AE640" t="str">
        <f>AB640-Q640-AD640-R640</f>
        <v>#REF!</v>
      </c>
      <c r="AF640" t="str">
        <f>AC640-Q640-AD640-R640</f>
        <v>#REF!</v>
      </c>
      <c r="AG640" t="str">
        <f>AE640/V640</f>
        <v>#REF!</v>
      </c>
      <c r="AH640" t="str">
        <f>AF640/W640</f>
        <v>#REF!</v>
      </c>
    </row>
    <row r="641">
      <c r="G641" t="str">
        <v>A</v>
      </c>
      <c r="J641" t="str">
        <f>IF(K641&gt;0,K641*0.0625,IF(L641&gt;0,L641*2.204623,))</f>
        <v>#REF!</v>
      </c>
      <c r="K641" t="str">
        <f>IF(L641&gt;0,L641*35.273962,IF(J641&gt;0,J641*16,))</f>
        <v>#REF!</v>
      </c>
      <c r="L641" t="str">
        <f>IF(J641&gt;0,J641*0.453592,IF(K641&gt;0,K641*0.02835,))</f>
        <v>#REF!</v>
      </c>
      <c r="O641">
        <f>I641+N641+M641</f>
        <v>0</v>
      </c>
      <c r="P641">
        <f>O641*B$3</f>
        <v>0</v>
      </c>
      <c r="Q641">
        <f>ROUND(SUM(P641), -2)</f>
        <v>0</v>
      </c>
      <c r="R641" t="str">
        <f>ROUNDUP(HLOOKUP(IF(CEILING(L641,0.5)&lt;1,0.5,CEILING(L641,0.5)),'배송비 조회'!A$44:AO$56,7,0)*B$3,-2)</f>
        <v>#REF!</v>
      </c>
      <c r="S641">
        <v>0</v>
      </c>
      <c r="T641" t="str">
        <f>ROUND((Q641+R641)*0.3,-2)</f>
        <v>#REF!</v>
      </c>
      <c r="U641" t="str">
        <f>ROUND((Q641+R641)*0.4,-2)</f>
        <v>#REF!</v>
      </c>
      <c r="V641" t="str">
        <f>SUM(Q641:R641)+T641</f>
        <v>#REF!</v>
      </c>
      <c r="W641" t="str">
        <f>SUM(Q641:S641)+U641</f>
        <v>#REF!</v>
      </c>
      <c r="X641">
        <v>0</v>
      </c>
      <c r="Y641" t="str">
        <f>V641*0.038</f>
        <v>#REF!</v>
      </c>
      <c r="Z641" t="str">
        <f>V641*0.02</f>
        <v>#REF!</v>
      </c>
      <c r="AA641" t="str">
        <f>W641*0.1</f>
        <v>#REF!</v>
      </c>
      <c r="AB641" t="str">
        <f>V641-Y641-Z641</f>
        <v>#REF!</v>
      </c>
      <c r="AC641" t="str">
        <f>W641-AA641</f>
        <v>#REF!</v>
      </c>
      <c r="AD641" t="str">
        <f>AB641*0.01</f>
        <v>#REF!</v>
      </c>
      <c r="AE641" t="str">
        <f>AB641-Q641-AD641-R641</f>
        <v>#REF!</v>
      </c>
      <c r="AF641" t="str">
        <f>AC641-Q641-AD641-R641</f>
        <v>#REF!</v>
      </c>
      <c r="AG641" t="str">
        <f>AE641/V641</f>
        <v>#REF!</v>
      </c>
      <c r="AH641" t="str">
        <f>AF641/W641</f>
        <v>#REF!</v>
      </c>
    </row>
    <row r="642">
      <c r="G642" t="str">
        <v>A</v>
      </c>
      <c r="J642" t="str">
        <f>IF(K642&gt;0,K642*0.0625,IF(L642&gt;0,L642*2.204623,))</f>
        <v>#REF!</v>
      </c>
      <c r="K642" t="str">
        <f>IF(L642&gt;0,L642*35.273962,IF(J642&gt;0,J642*16,))</f>
        <v>#REF!</v>
      </c>
      <c r="L642" t="str">
        <f>IF(J642&gt;0,J642*0.453592,IF(K642&gt;0,K642*0.02835,))</f>
        <v>#REF!</v>
      </c>
      <c r="O642">
        <f>I642+N642+M642</f>
        <v>0</v>
      </c>
      <c r="P642">
        <f>O642*B$3</f>
        <v>0</v>
      </c>
      <c r="Q642">
        <f>ROUND(SUM(P642), -2)</f>
        <v>0</v>
      </c>
      <c r="R642" t="str">
        <f>ROUNDUP(HLOOKUP(IF(CEILING(L642,0.5)&lt;1,0.5,CEILING(L642,0.5)),'배송비 조회'!A$44:AO$56,7,0)*B$3,-2)</f>
        <v>#REF!</v>
      </c>
      <c r="S642">
        <v>0</v>
      </c>
      <c r="T642" t="str">
        <f>ROUND((Q642+R642)*0.3,-2)</f>
        <v>#REF!</v>
      </c>
      <c r="U642" t="str">
        <f>ROUND((Q642+R642)*0.4,-2)</f>
        <v>#REF!</v>
      </c>
      <c r="V642" t="str">
        <f>SUM(Q642:R642)+T642</f>
        <v>#REF!</v>
      </c>
      <c r="W642" t="str">
        <f>SUM(Q642:S642)+U642</f>
        <v>#REF!</v>
      </c>
      <c r="X642">
        <v>0</v>
      </c>
      <c r="Y642" t="str">
        <f>V642*0.038</f>
        <v>#REF!</v>
      </c>
      <c r="Z642" t="str">
        <f>V642*0.02</f>
        <v>#REF!</v>
      </c>
      <c r="AA642" t="str">
        <f>W642*0.1</f>
        <v>#REF!</v>
      </c>
      <c r="AB642" t="str">
        <f>V642-Y642-Z642</f>
        <v>#REF!</v>
      </c>
      <c r="AC642" t="str">
        <f>W642-AA642</f>
        <v>#REF!</v>
      </c>
      <c r="AD642" t="str">
        <f>AB642*0.01</f>
        <v>#REF!</v>
      </c>
      <c r="AE642" t="str">
        <f>AB642-Q642-AD642-R642</f>
        <v>#REF!</v>
      </c>
      <c r="AF642" t="str">
        <f>AC642-Q642-AD642-R642</f>
        <v>#REF!</v>
      </c>
      <c r="AG642" t="str">
        <f>AE642/V642</f>
        <v>#REF!</v>
      </c>
      <c r="AH642" t="str">
        <f>AF642/W642</f>
        <v>#REF!</v>
      </c>
    </row>
    <row r="643">
      <c r="G643" t="str">
        <v>A</v>
      </c>
      <c r="J643" t="str">
        <f>IF(K643&gt;0,K643*0.0625,IF(L643&gt;0,L643*2.204623,))</f>
        <v>#REF!</v>
      </c>
      <c r="K643" t="str">
        <f>IF(L643&gt;0,L643*35.273962,IF(J643&gt;0,J643*16,))</f>
        <v>#REF!</v>
      </c>
      <c r="L643" t="str">
        <f>IF(J643&gt;0,J643*0.453592,IF(K643&gt;0,K643*0.02835,))</f>
        <v>#REF!</v>
      </c>
      <c r="O643">
        <f>I643+N643+M643</f>
        <v>0</v>
      </c>
      <c r="P643">
        <f>O643*B$3</f>
        <v>0</v>
      </c>
      <c r="Q643">
        <f>ROUND(SUM(P643), -2)</f>
        <v>0</v>
      </c>
      <c r="R643" t="str">
        <f>ROUNDUP(HLOOKUP(IF(CEILING(L643,0.5)&lt;1,0.5,CEILING(L643,0.5)),'배송비 조회'!A$44:AO$56,7,0)*B$3,-2)</f>
        <v>#REF!</v>
      </c>
      <c r="S643">
        <v>0</v>
      </c>
      <c r="T643" t="str">
        <f>ROUND((Q643+R643)*0.3,-2)</f>
        <v>#REF!</v>
      </c>
      <c r="U643" t="str">
        <f>ROUND((Q643+R643)*0.4,-2)</f>
        <v>#REF!</v>
      </c>
      <c r="V643" t="str">
        <f>SUM(Q643:R643)+T643</f>
        <v>#REF!</v>
      </c>
      <c r="W643" t="str">
        <f>SUM(Q643:S643)+U643</f>
        <v>#REF!</v>
      </c>
      <c r="X643">
        <v>0</v>
      </c>
      <c r="Y643" t="str">
        <f>V643*0.038</f>
        <v>#REF!</v>
      </c>
      <c r="Z643" t="str">
        <f>V643*0.02</f>
        <v>#REF!</v>
      </c>
      <c r="AA643" t="str">
        <f>W643*0.1</f>
        <v>#REF!</v>
      </c>
      <c r="AB643" t="str">
        <f>V643-Y643-Z643</f>
        <v>#REF!</v>
      </c>
      <c r="AC643" t="str">
        <f>W643-AA643</f>
        <v>#REF!</v>
      </c>
      <c r="AD643" t="str">
        <f>AB643*0.01</f>
        <v>#REF!</v>
      </c>
      <c r="AE643" t="str">
        <f>AB643-Q643-AD643-R643</f>
        <v>#REF!</v>
      </c>
      <c r="AF643" t="str">
        <f>AC643-Q643-AD643-R643</f>
        <v>#REF!</v>
      </c>
      <c r="AG643" t="str">
        <f>AE643/V643</f>
        <v>#REF!</v>
      </c>
      <c r="AH643" t="str">
        <f>AF643/W643</f>
        <v>#REF!</v>
      </c>
    </row>
    <row r="644">
      <c r="G644" t="str">
        <v>A</v>
      </c>
      <c r="J644" t="str">
        <f>IF(K644&gt;0,K644*0.0625,IF(L644&gt;0,L644*2.204623,))</f>
        <v>#REF!</v>
      </c>
      <c r="K644" t="str">
        <f>IF(L644&gt;0,L644*35.273962,IF(J644&gt;0,J644*16,))</f>
        <v>#REF!</v>
      </c>
      <c r="L644" t="str">
        <f>IF(J644&gt;0,J644*0.453592,IF(K644&gt;0,K644*0.02835,))</f>
        <v>#REF!</v>
      </c>
      <c r="O644">
        <f>I644+N644+M644</f>
        <v>0</v>
      </c>
      <c r="P644">
        <f>O644*B$3</f>
        <v>0</v>
      </c>
      <c r="Q644">
        <f>ROUND(SUM(P644), -2)</f>
        <v>0</v>
      </c>
      <c r="R644" t="str">
        <f>ROUNDUP(HLOOKUP(IF(CEILING(L644,0.5)&lt;1,0.5,CEILING(L644,0.5)),'배송비 조회'!A$44:AO$56,7,0)*B$3,-2)</f>
        <v>#REF!</v>
      </c>
      <c r="S644">
        <v>0</v>
      </c>
      <c r="T644" t="str">
        <f>ROUND((Q644+R644)*0.3,-2)</f>
        <v>#REF!</v>
      </c>
      <c r="U644" t="str">
        <f>ROUND((Q644+R644)*0.4,-2)</f>
        <v>#REF!</v>
      </c>
      <c r="V644" t="str">
        <f>SUM(Q644:R644)+T644</f>
        <v>#REF!</v>
      </c>
      <c r="W644" t="str">
        <f>SUM(Q644:S644)+U644</f>
        <v>#REF!</v>
      </c>
      <c r="X644">
        <v>0</v>
      </c>
      <c r="Y644" t="str">
        <f>V644*0.038</f>
        <v>#REF!</v>
      </c>
      <c r="Z644" t="str">
        <f>V644*0.02</f>
        <v>#REF!</v>
      </c>
      <c r="AA644" t="str">
        <f>W644*0.1</f>
        <v>#REF!</v>
      </c>
      <c r="AB644" t="str">
        <f>V644-Y644-Z644</f>
        <v>#REF!</v>
      </c>
      <c r="AC644" t="str">
        <f>W644-AA644</f>
        <v>#REF!</v>
      </c>
      <c r="AD644" t="str">
        <f>AB644*0.01</f>
        <v>#REF!</v>
      </c>
      <c r="AE644" t="str">
        <f>AB644-Q644-AD644-R644</f>
        <v>#REF!</v>
      </c>
      <c r="AF644" t="str">
        <f>AC644-Q644-AD644-R644</f>
        <v>#REF!</v>
      </c>
      <c r="AG644" t="str">
        <f>AE644/V644</f>
        <v>#REF!</v>
      </c>
      <c r="AH644" t="str">
        <f>AF644/W644</f>
        <v>#REF!</v>
      </c>
    </row>
    <row r="645">
      <c r="G645" t="str">
        <v>A</v>
      </c>
      <c r="J645" t="str">
        <f>IF(K645&gt;0,K645*0.0625,IF(L645&gt;0,L645*2.204623,))</f>
        <v>#REF!</v>
      </c>
      <c r="K645" t="str">
        <f>IF(L645&gt;0,L645*35.273962,IF(J645&gt;0,J645*16,))</f>
        <v>#REF!</v>
      </c>
      <c r="L645" t="str">
        <f>IF(J645&gt;0,J645*0.453592,IF(K645&gt;0,K645*0.02835,))</f>
        <v>#REF!</v>
      </c>
      <c r="O645">
        <f>I645+N645+M645</f>
        <v>0</v>
      </c>
      <c r="P645">
        <f>O645*B$3</f>
        <v>0</v>
      </c>
      <c r="Q645">
        <f>ROUND(SUM(P645), -2)</f>
        <v>0</v>
      </c>
      <c r="R645" t="str">
        <f>ROUNDUP(HLOOKUP(IF(CEILING(L645,0.5)&lt;1,0.5,CEILING(L645,0.5)),'배송비 조회'!A$44:AO$56,7,0)*B$3,-2)</f>
        <v>#REF!</v>
      </c>
      <c r="S645">
        <v>0</v>
      </c>
      <c r="T645" t="str">
        <f>ROUND((Q645+R645)*0.3,-2)</f>
        <v>#REF!</v>
      </c>
      <c r="U645" t="str">
        <f>ROUND((Q645+R645)*0.4,-2)</f>
        <v>#REF!</v>
      </c>
      <c r="V645" t="str">
        <f>SUM(Q645:R645)+T645</f>
        <v>#REF!</v>
      </c>
      <c r="W645" t="str">
        <f>SUM(Q645:S645)+U645</f>
        <v>#REF!</v>
      </c>
      <c r="X645">
        <v>0</v>
      </c>
      <c r="Y645" t="str">
        <f>V645*0.038</f>
        <v>#REF!</v>
      </c>
      <c r="Z645" t="str">
        <f>V645*0.02</f>
        <v>#REF!</v>
      </c>
      <c r="AA645" t="str">
        <f>W645*0.1</f>
        <v>#REF!</v>
      </c>
      <c r="AB645" t="str">
        <f>V645-Y645-Z645</f>
        <v>#REF!</v>
      </c>
      <c r="AC645" t="str">
        <f>W645-AA645</f>
        <v>#REF!</v>
      </c>
      <c r="AD645" t="str">
        <f>AB645*0.01</f>
        <v>#REF!</v>
      </c>
      <c r="AE645" t="str">
        <f>AB645-Q645-AD645-R645</f>
        <v>#REF!</v>
      </c>
      <c r="AF645" t="str">
        <f>AC645-Q645-AD645-R645</f>
        <v>#REF!</v>
      </c>
      <c r="AG645" t="str">
        <f>AE645/V645</f>
        <v>#REF!</v>
      </c>
      <c r="AH645" t="str">
        <f>AF645/W645</f>
        <v>#REF!</v>
      </c>
    </row>
    <row r="646">
      <c r="G646" t="str">
        <v>A</v>
      </c>
      <c r="J646" t="str">
        <f>IF(K646&gt;0,K646*0.0625,IF(L646&gt;0,L646*2.204623,))</f>
        <v>#REF!</v>
      </c>
      <c r="K646" t="str">
        <f>IF(L646&gt;0,L646*35.273962,IF(J646&gt;0,J646*16,))</f>
        <v>#REF!</v>
      </c>
      <c r="L646" t="str">
        <f>IF(J646&gt;0,J646*0.453592,IF(K646&gt;0,K646*0.02835,))</f>
        <v>#REF!</v>
      </c>
      <c r="O646">
        <f>I646+N646+M646</f>
        <v>0</v>
      </c>
      <c r="P646">
        <f>O646*B$3</f>
        <v>0</v>
      </c>
      <c r="Q646">
        <f>ROUND(SUM(P646), -2)</f>
        <v>0</v>
      </c>
      <c r="R646" t="str">
        <f>ROUNDUP(HLOOKUP(IF(CEILING(L646,0.5)&lt;1,0.5,CEILING(L646,0.5)),'배송비 조회'!A$44:AO$56,7,0)*B$3,-2)</f>
        <v>#REF!</v>
      </c>
      <c r="S646">
        <v>0</v>
      </c>
      <c r="T646" t="str">
        <f>ROUND((Q646+R646)*0.3,-2)</f>
        <v>#REF!</v>
      </c>
      <c r="U646" t="str">
        <f>ROUND((Q646+R646)*0.4,-2)</f>
        <v>#REF!</v>
      </c>
      <c r="V646" t="str">
        <f>SUM(Q646:R646)+T646</f>
        <v>#REF!</v>
      </c>
      <c r="W646" t="str">
        <f>SUM(Q646:S646)+U646</f>
        <v>#REF!</v>
      </c>
      <c r="X646">
        <v>0</v>
      </c>
      <c r="Y646" t="str">
        <f>V646*0.038</f>
        <v>#REF!</v>
      </c>
      <c r="Z646" t="str">
        <f>V646*0.02</f>
        <v>#REF!</v>
      </c>
      <c r="AA646" t="str">
        <f>W646*0.1</f>
        <v>#REF!</v>
      </c>
      <c r="AB646" t="str">
        <f>V646-Y646-Z646</f>
        <v>#REF!</v>
      </c>
      <c r="AC646" t="str">
        <f>W646-AA646</f>
        <v>#REF!</v>
      </c>
      <c r="AD646" t="str">
        <f>AB646*0.01</f>
        <v>#REF!</v>
      </c>
      <c r="AE646" t="str">
        <f>AB646-Q646-AD646-R646</f>
        <v>#REF!</v>
      </c>
      <c r="AF646" t="str">
        <f>AC646-Q646-AD646-R646</f>
        <v>#REF!</v>
      </c>
      <c r="AG646" t="str">
        <f>AE646/V646</f>
        <v>#REF!</v>
      </c>
      <c r="AH646" t="str">
        <f>AF646/W646</f>
        <v>#REF!</v>
      </c>
    </row>
    <row r="647">
      <c r="G647" t="str">
        <v>A</v>
      </c>
      <c r="J647" t="str">
        <f>IF(K647&gt;0,K647*0.0625,IF(L647&gt;0,L647*2.204623,))</f>
        <v>#REF!</v>
      </c>
      <c r="K647" t="str">
        <f>IF(L647&gt;0,L647*35.273962,IF(J647&gt;0,J647*16,))</f>
        <v>#REF!</v>
      </c>
      <c r="L647" t="str">
        <f>IF(J647&gt;0,J647*0.453592,IF(K647&gt;0,K647*0.02835,))</f>
        <v>#REF!</v>
      </c>
      <c r="O647">
        <f>I647+N647+M647</f>
        <v>0</v>
      </c>
      <c r="P647">
        <f>O647*B$3</f>
        <v>0</v>
      </c>
      <c r="Q647">
        <f>ROUND(SUM(P647), -2)</f>
        <v>0</v>
      </c>
      <c r="R647" t="str">
        <f>ROUNDUP(HLOOKUP(IF(CEILING(L647,0.5)&lt;1,0.5,CEILING(L647,0.5)),'배송비 조회'!A$44:AO$56,7,0)*B$3,-2)</f>
        <v>#REF!</v>
      </c>
      <c r="S647">
        <v>0</v>
      </c>
      <c r="T647" t="str">
        <f>ROUND((Q647+R647)*0.3,-2)</f>
        <v>#REF!</v>
      </c>
      <c r="U647" t="str">
        <f>ROUND((Q647+R647)*0.4,-2)</f>
        <v>#REF!</v>
      </c>
      <c r="V647" t="str">
        <f>SUM(Q647:R647)+T647</f>
        <v>#REF!</v>
      </c>
      <c r="W647" t="str">
        <f>SUM(Q647:S647)+U647</f>
        <v>#REF!</v>
      </c>
      <c r="X647">
        <v>0</v>
      </c>
      <c r="Y647" t="str">
        <f>V647*0.038</f>
        <v>#REF!</v>
      </c>
      <c r="Z647" t="str">
        <f>V647*0.02</f>
        <v>#REF!</v>
      </c>
      <c r="AA647" t="str">
        <f>W647*0.1</f>
        <v>#REF!</v>
      </c>
      <c r="AB647" t="str">
        <f>V647-Y647-Z647</f>
        <v>#REF!</v>
      </c>
      <c r="AC647" t="str">
        <f>W647-AA647</f>
        <v>#REF!</v>
      </c>
      <c r="AD647" t="str">
        <f>AB647*0.01</f>
        <v>#REF!</v>
      </c>
      <c r="AE647" t="str">
        <f>AB647-Q647-AD647-R647</f>
        <v>#REF!</v>
      </c>
      <c r="AF647" t="str">
        <f>AC647-Q647-AD647-R647</f>
        <v>#REF!</v>
      </c>
      <c r="AG647" t="str">
        <f>AE647/V647</f>
        <v>#REF!</v>
      </c>
      <c r="AH647" t="str">
        <f>AF647/W647</f>
        <v>#REF!</v>
      </c>
    </row>
    <row r="648">
      <c r="G648" t="str">
        <v>A</v>
      </c>
      <c r="J648" t="str">
        <f>IF(K648&gt;0,K648*0.0625,IF(L648&gt;0,L648*2.204623,))</f>
        <v>#REF!</v>
      </c>
      <c r="K648" t="str">
        <f>IF(L648&gt;0,L648*35.273962,IF(J648&gt;0,J648*16,))</f>
        <v>#REF!</v>
      </c>
      <c r="L648" t="str">
        <f>IF(J648&gt;0,J648*0.453592,IF(K648&gt;0,K648*0.02835,))</f>
        <v>#REF!</v>
      </c>
      <c r="O648">
        <f>I648+N648+M648</f>
        <v>0</v>
      </c>
      <c r="P648">
        <f>O648*B$3</f>
        <v>0</v>
      </c>
      <c r="Q648">
        <f>ROUND(SUM(P648), -2)</f>
        <v>0</v>
      </c>
      <c r="R648" t="str">
        <f>ROUNDUP(HLOOKUP(IF(CEILING(L648,0.5)&lt;1,0.5,CEILING(L648,0.5)),'배송비 조회'!A$44:AO$56,7,0)*B$3,-2)</f>
        <v>#REF!</v>
      </c>
      <c r="S648">
        <v>0</v>
      </c>
      <c r="T648" t="str">
        <f>ROUND((Q648+R648)*0.3,-2)</f>
        <v>#REF!</v>
      </c>
      <c r="U648" t="str">
        <f>ROUND((Q648+R648)*0.4,-2)</f>
        <v>#REF!</v>
      </c>
      <c r="V648" t="str">
        <f>SUM(Q648:R648)+T648</f>
        <v>#REF!</v>
      </c>
      <c r="W648" t="str">
        <f>SUM(Q648:S648)+U648</f>
        <v>#REF!</v>
      </c>
      <c r="X648">
        <v>0</v>
      </c>
      <c r="Y648" t="str">
        <f>V648*0.038</f>
        <v>#REF!</v>
      </c>
      <c r="Z648" t="str">
        <f>V648*0.02</f>
        <v>#REF!</v>
      </c>
      <c r="AA648" t="str">
        <f>W648*0.1</f>
        <v>#REF!</v>
      </c>
      <c r="AB648" t="str">
        <f>V648-Y648-Z648</f>
        <v>#REF!</v>
      </c>
      <c r="AC648" t="str">
        <f>W648-AA648</f>
        <v>#REF!</v>
      </c>
      <c r="AD648" t="str">
        <f>AB648*0.01</f>
        <v>#REF!</v>
      </c>
      <c r="AE648" t="str">
        <f>AB648-Q648-AD648-R648</f>
        <v>#REF!</v>
      </c>
      <c r="AF648" t="str">
        <f>AC648-Q648-AD648-R648</f>
        <v>#REF!</v>
      </c>
      <c r="AG648" t="str">
        <f>AE648/V648</f>
        <v>#REF!</v>
      </c>
      <c r="AH648" t="str">
        <f>AF648/W648</f>
        <v>#REF!</v>
      </c>
    </row>
    <row r="649">
      <c r="G649" t="str">
        <v>A</v>
      </c>
      <c r="J649" t="str">
        <f>IF(K649&gt;0,K649*0.0625,IF(L649&gt;0,L649*2.204623,))</f>
        <v>#REF!</v>
      </c>
      <c r="K649" t="str">
        <f>IF(L649&gt;0,L649*35.273962,IF(J649&gt;0,J649*16,))</f>
        <v>#REF!</v>
      </c>
      <c r="L649" t="str">
        <f>IF(J649&gt;0,J649*0.453592,IF(K649&gt;0,K649*0.02835,))</f>
        <v>#REF!</v>
      </c>
      <c r="O649">
        <f>I649+N649+M649</f>
        <v>0</v>
      </c>
      <c r="P649">
        <f>O649*B$3</f>
        <v>0</v>
      </c>
      <c r="Q649">
        <f>ROUND(SUM(P649), -2)</f>
        <v>0</v>
      </c>
      <c r="R649" t="str">
        <f>ROUNDUP(HLOOKUP(IF(CEILING(L649,0.5)&lt;1,0.5,CEILING(L649,0.5)),'배송비 조회'!A$44:AO$56,7,0)*B$3,-2)</f>
        <v>#REF!</v>
      </c>
      <c r="S649">
        <v>0</v>
      </c>
      <c r="T649" t="str">
        <f>ROUND((Q649+R649)*0.3,-2)</f>
        <v>#REF!</v>
      </c>
      <c r="U649" t="str">
        <f>ROUND((Q649+R649)*0.4,-2)</f>
        <v>#REF!</v>
      </c>
      <c r="V649" t="str">
        <f>SUM(Q649:R649)+T649</f>
        <v>#REF!</v>
      </c>
      <c r="W649" t="str">
        <f>SUM(Q649:S649)+U649</f>
        <v>#REF!</v>
      </c>
      <c r="X649">
        <v>0</v>
      </c>
      <c r="Y649" t="str">
        <f>V649*0.038</f>
        <v>#REF!</v>
      </c>
      <c r="Z649" t="str">
        <f>V649*0.02</f>
        <v>#REF!</v>
      </c>
      <c r="AA649" t="str">
        <f>W649*0.1</f>
        <v>#REF!</v>
      </c>
      <c r="AB649" t="str">
        <f>V649-Y649-Z649</f>
        <v>#REF!</v>
      </c>
      <c r="AC649" t="str">
        <f>W649-AA649</f>
        <v>#REF!</v>
      </c>
      <c r="AD649" t="str">
        <f>AB649*0.01</f>
        <v>#REF!</v>
      </c>
      <c r="AE649" t="str">
        <f>AB649-Q649-AD649-R649</f>
        <v>#REF!</v>
      </c>
      <c r="AF649" t="str">
        <f>AC649-Q649-AD649-R649</f>
        <v>#REF!</v>
      </c>
      <c r="AG649" t="str">
        <f>AE649/V649</f>
        <v>#REF!</v>
      </c>
      <c r="AH649" t="str">
        <f>AF649/W649</f>
        <v>#REF!</v>
      </c>
    </row>
    <row r="650">
      <c r="G650" t="str">
        <v>A</v>
      </c>
      <c r="J650" t="str">
        <f>IF(K650&gt;0,K650*0.0625,IF(L650&gt;0,L650*2.204623,))</f>
        <v>#REF!</v>
      </c>
      <c r="K650" t="str">
        <f>IF(L650&gt;0,L650*35.273962,IF(J650&gt;0,J650*16,))</f>
        <v>#REF!</v>
      </c>
      <c r="L650" t="str">
        <f>IF(J650&gt;0,J650*0.453592,IF(K650&gt;0,K650*0.02835,))</f>
        <v>#REF!</v>
      </c>
      <c r="O650">
        <f>I650+N650+M650</f>
        <v>0</v>
      </c>
      <c r="P650">
        <f>O650*B$3</f>
        <v>0</v>
      </c>
      <c r="Q650">
        <f>ROUND(SUM(P650), -2)</f>
        <v>0</v>
      </c>
      <c r="R650" t="str">
        <f>ROUNDUP(HLOOKUP(IF(CEILING(L650,0.5)&lt;1,0.5,CEILING(L650,0.5)),'배송비 조회'!A$44:AO$56,7,0)*B$3,-2)</f>
        <v>#REF!</v>
      </c>
      <c r="S650">
        <v>0</v>
      </c>
      <c r="T650" t="str">
        <f>ROUND((Q650+R650)*0.3,-2)</f>
        <v>#REF!</v>
      </c>
      <c r="U650" t="str">
        <f>ROUND((Q650+R650)*0.4,-2)</f>
        <v>#REF!</v>
      </c>
      <c r="V650" t="str">
        <f>SUM(Q650:R650)+T650</f>
        <v>#REF!</v>
      </c>
      <c r="W650" t="str">
        <f>SUM(Q650:S650)+U650</f>
        <v>#REF!</v>
      </c>
      <c r="X650">
        <v>0</v>
      </c>
      <c r="Y650" t="str">
        <f>V650*0.038</f>
        <v>#REF!</v>
      </c>
      <c r="Z650" t="str">
        <f>V650*0.02</f>
        <v>#REF!</v>
      </c>
      <c r="AA650" t="str">
        <f>W650*0.1</f>
        <v>#REF!</v>
      </c>
      <c r="AB650" t="str">
        <f>V650-Y650-Z650</f>
        <v>#REF!</v>
      </c>
      <c r="AC650" t="str">
        <f>W650-AA650</f>
        <v>#REF!</v>
      </c>
      <c r="AD650" t="str">
        <f>AB650*0.01</f>
        <v>#REF!</v>
      </c>
      <c r="AE650" t="str">
        <f>AB650-Q650-AD650-R650</f>
        <v>#REF!</v>
      </c>
      <c r="AF650" t="str">
        <f>AC650-Q650-AD650-R650</f>
        <v>#REF!</v>
      </c>
      <c r="AG650" t="str">
        <f>AE650/V650</f>
        <v>#REF!</v>
      </c>
      <c r="AH650" t="str">
        <f>AF650/W650</f>
        <v>#REF!</v>
      </c>
    </row>
    <row r="651">
      <c r="G651" t="str">
        <v>A</v>
      </c>
      <c r="J651" t="str">
        <f>IF(K651&gt;0,K651*0.0625,IF(L651&gt;0,L651*2.204623,))</f>
        <v>#REF!</v>
      </c>
      <c r="K651" t="str">
        <f>IF(L651&gt;0,L651*35.273962,IF(J651&gt;0,J651*16,))</f>
        <v>#REF!</v>
      </c>
      <c r="L651" t="str">
        <f>IF(J651&gt;0,J651*0.453592,IF(K651&gt;0,K651*0.02835,))</f>
        <v>#REF!</v>
      </c>
      <c r="O651">
        <f>I651+N651+M651</f>
        <v>0</v>
      </c>
      <c r="P651">
        <f>O651*B$3</f>
        <v>0</v>
      </c>
      <c r="Q651">
        <f>ROUND(SUM(P651), -2)</f>
        <v>0</v>
      </c>
      <c r="R651" t="str">
        <f>ROUNDUP(HLOOKUP(IF(CEILING(L651,0.5)&lt;1,0.5,CEILING(L651,0.5)),'배송비 조회'!A$44:AO$56,7,0)*B$3,-2)</f>
        <v>#REF!</v>
      </c>
      <c r="S651">
        <v>0</v>
      </c>
      <c r="T651" t="str">
        <f>ROUND((Q651+R651)*0.3,-2)</f>
        <v>#REF!</v>
      </c>
      <c r="U651" t="str">
        <f>ROUND((Q651+R651)*0.4,-2)</f>
        <v>#REF!</v>
      </c>
      <c r="V651" t="str">
        <f>SUM(Q651:R651)+T651</f>
        <v>#REF!</v>
      </c>
      <c r="W651" t="str">
        <f>SUM(Q651:S651)+U651</f>
        <v>#REF!</v>
      </c>
      <c r="X651">
        <v>0</v>
      </c>
      <c r="Y651" t="str">
        <f>V651*0.038</f>
        <v>#REF!</v>
      </c>
      <c r="Z651" t="str">
        <f>V651*0.02</f>
        <v>#REF!</v>
      </c>
      <c r="AA651" t="str">
        <f>W651*0.1</f>
        <v>#REF!</v>
      </c>
      <c r="AB651" t="str">
        <f>V651-Y651-Z651</f>
        <v>#REF!</v>
      </c>
      <c r="AC651" t="str">
        <f>W651-AA651</f>
        <v>#REF!</v>
      </c>
      <c r="AD651" t="str">
        <f>AB651*0.01</f>
        <v>#REF!</v>
      </c>
      <c r="AE651" t="str">
        <f>AB651-Q651-AD651-R651</f>
        <v>#REF!</v>
      </c>
      <c r="AF651" t="str">
        <f>AC651-Q651-AD651-R651</f>
        <v>#REF!</v>
      </c>
      <c r="AG651" t="str">
        <f>AE651/V651</f>
        <v>#REF!</v>
      </c>
      <c r="AH651" t="str">
        <f>AF651/W651</f>
        <v>#REF!</v>
      </c>
    </row>
    <row r="652">
      <c r="G652" t="str">
        <v>A</v>
      </c>
      <c r="J652" t="str">
        <f>IF(K652&gt;0,K652*0.0625,IF(L652&gt;0,L652*2.204623,))</f>
        <v>#REF!</v>
      </c>
      <c r="K652" t="str">
        <f>IF(L652&gt;0,L652*35.273962,IF(J652&gt;0,J652*16,))</f>
        <v>#REF!</v>
      </c>
      <c r="L652" t="str">
        <f>IF(J652&gt;0,J652*0.453592,IF(K652&gt;0,K652*0.02835,))</f>
        <v>#REF!</v>
      </c>
      <c r="O652">
        <f>I652+N652+M652</f>
        <v>0</v>
      </c>
      <c r="P652">
        <f>O652*B$3</f>
        <v>0</v>
      </c>
      <c r="Q652">
        <f>ROUND(SUM(P652), -2)</f>
        <v>0</v>
      </c>
      <c r="R652" t="str">
        <f>ROUNDUP(HLOOKUP(IF(CEILING(L652,0.5)&lt;1,0.5,CEILING(L652,0.5)),'배송비 조회'!A$44:AO$56,7,0)*B$3,-2)</f>
        <v>#REF!</v>
      </c>
      <c r="S652">
        <v>0</v>
      </c>
      <c r="T652" t="str">
        <f>ROUND((Q652+R652)*0.3,-2)</f>
        <v>#REF!</v>
      </c>
      <c r="U652" t="str">
        <f>ROUND((Q652+R652)*0.4,-2)</f>
        <v>#REF!</v>
      </c>
      <c r="V652" t="str">
        <f>SUM(Q652:R652)+T652</f>
        <v>#REF!</v>
      </c>
      <c r="W652" t="str">
        <f>SUM(Q652:S652)+U652</f>
        <v>#REF!</v>
      </c>
      <c r="X652">
        <v>0</v>
      </c>
      <c r="Y652" t="str">
        <f>V652*0.038</f>
        <v>#REF!</v>
      </c>
      <c r="Z652" t="str">
        <f>V652*0.02</f>
        <v>#REF!</v>
      </c>
      <c r="AA652" t="str">
        <f>W652*0.1</f>
        <v>#REF!</v>
      </c>
      <c r="AB652" t="str">
        <f>V652-Y652-Z652</f>
        <v>#REF!</v>
      </c>
      <c r="AC652" t="str">
        <f>W652-AA652</f>
        <v>#REF!</v>
      </c>
      <c r="AD652" t="str">
        <f>AB652*0.01</f>
        <v>#REF!</v>
      </c>
      <c r="AE652" t="str">
        <f>AB652-Q652-AD652-R652</f>
        <v>#REF!</v>
      </c>
      <c r="AF652" t="str">
        <f>AC652-Q652-AD652-R652</f>
        <v>#REF!</v>
      </c>
      <c r="AG652" t="str">
        <f>AE652/V652</f>
        <v>#REF!</v>
      </c>
      <c r="AH652" t="str">
        <f>AF652/W652</f>
        <v>#REF!</v>
      </c>
    </row>
    <row r="653">
      <c r="G653" t="str">
        <v>A</v>
      </c>
      <c r="J653" t="str">
        <f>IF(K653&gt;0,K653*0.0625,IF(L653&gt;0,L653*2.204623,))</f>
        <v>#REF!</v>
      </c>
      <c r="K653" t="str">
        <f>IF(L653&gt;0,L653*35.273962,IF(J653&gt;0,J653*16,))</f>
        <v>#REF!</v>
      </c>
      <c r="L653" t="str">
        <f>IF(J653&gt;0,J653*0.453592,IF(K653&gt;0,K653*0.02835,))</f>
        <v>#REF!</v>
      </c>
      <c r="O653">
        <f>I653+N653+M653</f>
        <v>0</v>
      </c>
      <c r="P653">
        <f>O653*B$3</f>
        <v>0</v>
      </c>
      <c r="Q653">
        <f>ROUND(SUM(P653), -2)</f>
        <v>0</v>
      </c>
      <c r="R653" t="str">
        <f>ROUNDUP(HLOOKUP(IF(CEILING(L653,0.5)&lt;1,0.5,CEILING(L653,0.5)),'배송비 조회'!A$44:AO$56,7,0)*B$3,-2)</f>
        <v>#REF!</v>
      </c>
      <c r="S653">
        <v>0</v>
      </c>
      <c r="T653" t="str">
        <f>ROUND((Q653+R653)*0.3,-2)</f>
        <v>#REF!</v>
      </c>
      <c r="U653" t="str">
        <f>ROUND((Q653+R653)*0.4,-2)</f>
        <v>#REF!</v>
      </c>
      <c r="V653" t="str">
        <f>SUM(Q653:R653)+T653</f>
        <v>#REF!</v>
      </c>
      <c r="W653" t="str">
        <f>SUM(Q653:S653)+U653</f>
        <v>#REF!</v>
      </c>
      <c r="X653">
        <v>0</v>
      </c>
      <c r="Y653" t="str">
        <f>V653*0.038</f>
        <v>#REF!</v>
      </c>
      <c r="Z653" t="str">
        <f>V653*0.02</f>
        <v>#REF!</v>
      </c>
      <c r="AA653" t="str">
        <f>W653*0.1</f>
        <v>#REF!</v>
      </c>
      <c r="AB653" t="str">
        <f>V653-Y653-Z653</f>
        <v>#REF!</v>
      </c>
      <c r="AC653" t="str">
        <f>W653-AA653</f>
        <v>#REF!</v>
      </c>
      <c r="AD653" t="str">
        <f>AB653*0.01</f>
        <v>#REF!</v>
      </c>
      <c r="AE653" t="str">
        <f>AB653-Q653-AD653-R653</f>
        <v>#REF!</v>
      </c>
      <c r="AF653" t="str">
        <f>AC653-Q653-AD653-R653</f>
        <v>#REF!</v>
      </c>
      <c r="AG653" t="str">
        <f>AE653/V653</f>
        <v>#REF!</v>
      </c>
      <c r="AH653" t="str">
        <f>AF653/W653</f>
        <v>#REF!</v>
      </c>
    </row>
    <row r="654">
      <c r="G654" t="str">
        <v>A</v>
      </c>
      <c r="J654" t="str">
        <f>IF(K654&gt;0,K654*0.0625,IF(L654&gt;0,L654*2.204623,))</f>
        <v>#REF!</v>
      </c>
      <c r="K654" t="str">
        <f>IF(L654&gt;0,L654*35.273962,IF(J654&gt;0,J654*16,))</f>
        <v>#REF!</v>
      </c>
      <c r="L654" t="str">
        <f>IF(J654&gt;0,J654*0.453592,IF(K654&gt;0,K654*0.02835,))</f>
        <v>#REF!</v>
      </c>
      <c r="O654">
        <f>I654+N654+M654</f>
        <v>0</v>
      </c>
      <c r="P654">
        <f>O654*B$3</f>
        <v>0</v>
      </c>
      <c r="Q654">
        <f>ROUND(SUM(P654), -2)</f>
        <v>0</v>
      </c>
      <c r="R654" t="str">
        <f>ROUNDUP(HLOOKUP(IF(CEILING(L654,0.5)&lt;1,0.5,CEILING(L654,0.5)),'배송비 조회'!A$44:AO$56,7,0)*B$3,-2)</f>
        <v>#REF!</v>
      </c>
      <c r="S654">
        <v>0</v>
      </c>
      <c r="T654" t="str">
        <f>ROUND((Q654+R654)*0.3,-2)</f>
        <v>#REF!</v>
      </c>
      <c r="U654" t="str">
        <f>ROUND((Q654+R654)*0.4,-2)</f>
        <v>#REF!</v>
      </c>
      <c r="V654" t="str">
        <f>SUM(Q654:R654)+T654</f>
        <v>#REF!</v>
      </c>
      <c r="W654" t="str">
        <f>SUM(Q654:S654)+U654</f>
        <v>#REF!</v>
      </c>
      <c r="X654">
        <v>0</v>
      </c>
      <c r="Y654" t="str">
        <f>V654*0.038</f>
        <v>#REF!</v>
      </c>
      <c r="Z654" t="str">
        <f>V654*0.02</f>
        <v>#REF!</v>
      </c>
      <c r="AA654" t="str">
        <f>W654*0.1</f>
        <v>#REF!</v>
      </c>
      <c r="AB654" t="str">
        <f>V654-Y654-Z654</f>
        <v>#REF!</v>
      </c>
      <c r="AC654" t="str">
        <f>W654-AA654</f>
        <v>#REF!</v>
      </c>
      <c r="AD654" t="str">
        <f>AB654*0.01</f>
        <v>#REF!</v>
      </c>
      <c r="AE654" t="str">
        <f>AB654-Q654-AD654-R654</f>
        <v>#REF!</v>
      </c>
      <c r="AF654" t="str">
        <f>AC654-Q654-AD654-R654</f>
        <v>#REF!</v>
      </c>
      <c r="AG654" t="str">
        <f>AE654/V654</f>
        <v>#REF!</v>
      </c>
      <c r="AH654" t="str">
        <f>AF654/W654</f>
        <v>#REF!</v>
      </c>
    </row>
    <row r="655">
      <c r="G655" t="str">
        <v>A</v>
      </c>
      <c r="J655" t="str">
        <f>IF(K655&gt;0,K655*0.0625,IF(L655&gt;0,L655*2.204623,))</f>
        <v>#REF!</v>
      </c>
      <c r="K655" t="str">
        <f>IF(L655&gt;0,L655*35.273962,IF(J655&gt;0,J655*16,))</f>
        <v>#REF!</v>
      </c>
      <c r="L655" t="str">
        <f>IF(J655&gt;0,J655*0.453592,IF(K655&gt;0,K655*0.02835,))</f>
        <v>#REF!</v>
      </c>
      <c r="O655">
        <f>I655+N655+M655</f>
        <v>0</v>
      </c>
      <c r="P655">
        <f>O655*B$3</f>
        <v>0</v>
      </c>
      <c r="Q655">
        <f>ROUND(SUM(P655), -2)</f>
        <v>0</v>
      </c>
      <c r="R655" t="str">
        <f>ROUNDUP(HLOOKUP(IF(CEILING(L655,0.5)&lt;1,0.5,CEILING(L655,0.5)),'배송비 조회'!A$44:AO$56,7,0)*B$3,-2)</f>
        <v>#REF!</v>
      </c>
      <c r="S655">
        <v>0</v>
      </c>
      <c r="T655" t="str">
        <f>ROUND((Q655+R655)*0.3,-2)</f>
        <v>#REF!</v>
      </c>
      <c r="U655" t="str">
        <f>ROUND((Q655+R655)*0.4,-2)</f>
        <v>#REF!</v>
      </c>
      <c r="V655" t="str">
        <f>SUM(Q655:R655)+T655</f>
        <v>#REF!</v>
      </c>
      <c r="W655" t="str">
        <f>SUM(Q655:S655)+U655</f>
        <v>#REF!</v>
      </c>
      <c r="X655">
        <v>0</v>
      </c>
      <c r="Y655" t="str">
        <f>V655*0.038</f>
        <v>#REF!</v>
      </c>
      <c r="Z655" t="str">
        <f>V655*0.02</f>
        <v>#REF!</v>
      </c>
      <c r="AA655" t="str">
        <f>W655*0.1</f>
        <v>#REF!</v>
      </c>
      <c r="AB655" t="str">
        <f>V655-Y655-Z655</f>
        <v>#REF!</v>
      </c>
      <c r="AC655" t="str">
        <f>W655-AA655</f>
        <v>#REF!</v>
      </c>
      <c r="AD655" t="str">
        <f>AB655*0.01</f>
        <v>#REF!</v>
      </c>
      <c r="AE655" t="str">
        <f>AB655-Q655-AD655-R655</f>
        <v>#REF!</v>
      </c>
      <c r="AF655" t="str">
        <f>AC655-Q655-AD655-R655</f>
        <v>#REF!</v>
      </c>
      <c r="AG655" t="str">
        <f>AE655/V655</f>
        <v>#REF!</v>
      </c>
      <c r="AH655" t="str">
        <f>AF655/W655</f>
        <v>#REF!</v>
      </c>
    </row>
    <row r="656">
      <c r="G656" t="str">
        <v>A</v>
      </c>
      <c r="J656" t="str">
        <f>IF(K656&gt;0,K656*0.0625,IF(L656&gt;0,L656*2.204623,))</f>
        <v>#REF!</v>
      </c>
      <c r="K656" t="str">
        <f>IF(L656&gt;0,L656*35.273962,IF(J656&gt;0,J656*16,))</f>
        <v>#REF!</v>
      </c>
      <c r="L656" t="str">
        <f>IF(J656&gt;0,J656*0.453592,IF(K656&gt;0,K656*0.02835,))</f>
        <v>#REF!</v>
      </c>
      <c r="O656">
        <f>I656+N656+M656</f>
        <v>0</v>
      </c>
      <c r="P656">
        <f>O656*B$3</f>
        <v>0</v>
      </c>
      <c r="Q656">
        <f>ROUND(SUM(P656), -2)</f>
        <v>0</v>
      </c>
      <c r="R656" t="str">
        <f>ROUNDUP(HLOOKUP(IF(CEILING(L656,0.5)&lt;1,0.5,CEILING(L656,0.5)),'배송비 조회'!A$44:AO$56,7,0)*B$3,-2)</f>
        <v>#REF!</v>
      </c>
      <c r="S656">
        <v>0</v>
      </c>
      <c r="T656" t="str">
        <f>ROUND((Q656+R656)*0.3,-2)</f>
        <v>#REF!</v>
      </c>
      <c r="U656" t="str">
        <f>ROUND((Q656+R656)*0.4,-2)</f>
        <v>#REF!</v>
      </c>
      <c r="V656" t="str">
        <f>SUM(Q656:R656)+T656</f>
        <v>#REF!</v>
      </c>
      <c r="W656" t="str">
        <f>SUM(Q656:S656)+U656</f>
        <v>#REF!</v>
      </c>
      <c r="X656">
        <v>0</v>
      </c>
      <c r="Y656" t="str">
        <f>V656*0.038</f>
        <v>#REF!</v>
      </c>
      <c r="Z656" t="str">
        <f>V656*0.02</f>
        <v>#REF!</v>
      </c>
      <c r="AA656" t="str">
        <f>W656*0.1</f>
        <v>#REF!</v>
      </c>
      <c r="AB656" t="str">
        <f>V656-Y656-Z656</f>
        <v>#REF!</v>
      </c>
      <c r="AC656" t="str">
        <f>W656-AA656</f>
        <v>#REF!</v>
      </c>
      <c r="AD656" t="str">
        <f>AB656*0.01</f>
        <v>#REF!</v>
      </c>
      <c r="AE656" t="str">
        <f>AB656-Q656-AD656-R656</f>
        <v>#REF!</v>
      </c>
      <c r="AF656" t="str">
        <f>AC656-Q656-AD656-R656</f>
        <v>#REF!</v>
      </c>
      <c r="AG656" t="str">
        <f>AE656/V656</f>
        <v>#REF!</v>
      </c>
      <c r="AH656" t="str">
        <f>AF656/W656</f>
        <v>#REF!</v>
      </c>
    </row>
    <row r="657">
      <c r="G657" t="str">
        <v>A</v>
      </c>
      <c r="J657" t="str">
        <f>IF(K657&gt;0,K657*0.0625,IF(L657&gt;0,L657*2.204623,))</f>
        <v>#REF!</v>
      </c>
      <c r="K657" t="str">
        <f>IF(L657&gt;0,L657*35.273962,IF(J657&gt;0,J657*16,))</f>
        <v>#REF!</v>
      </c>
      <c r="L657" t="str">
        <f>IF(J657&gt;0,J657*0.453592,IF(K657&gt;0,K657*0.02835,))</f>
        <v>#REF!</v>
      </c>
      <c r="O657">
        <f>I657+N657+M657</f>
        <v>0</v>
      </c>
      <c r="P657">
        <f>O657*B$3</f>
        <v>0</v>
      </c>
      <c r="Q657">
        <f>ROUND(SUM(P657), -2)</f>
        <v>0</v>
      </c>
      <c r="R657" t="str">
        <f>ROUNDUP(HLOOKUP(IF(CEILING(L657,0.5)&lt;1,0.5,CEILING(L657,0.5)),'배송비 조회'!A$44:AO$56,7,0)*B$3,-2)</f>
        <v>#REF!</v>
      </c>
      <c r="S657">
        <v>0</v>
      </c>
      <c r="T657" t="str">
        <f>ROUND((Q657+R657)*0.3,-2)</f>
        <v>#REF!</v>
      </c>
      <c r="U657" t="str">
        <f>ROUND((Q657+R657)*0.4,-2)</f>
        <v>#REF!</v>
      </c>
      <c r="V657" t="str">
        <f>SUM(Q657:R657)+T657</f>
        <v>#REF!</v>
      </c>
      <c r="W657" t="str">
        <f>SUM(Q657:S657)+U657</f>
        <v>#REF!</v>
      </c>
      <c r="X657">
        <v>0</v>
      </c>
      <c r="Y657" t="str">
        <f>V657*0.038</f>
        <v>#REF!</v>
      </c>
      <c r="Z657" t="str">
        <f>V657*0.02</f>
        <v>#REF!</v>
      </c>
      <c r="AA657" t="str">
        <f>W657*0.1</f>
        <v>#REF!</v>
      </c>
      <c r="AB657" t="str">
        <f>V657-Y657-Z657</f>
        <v>#REF!</v>
      </c>
      <c r="AC657" t="str">
        <f>W657-AA657</f>
        <v>#REF!</v>
      </c>
      <c r="AD657" t="str">
        <f>AB657*0.01</f>
        <v>#REF!</v>
      </c>
      <c r="AE657" t="str">
        <f>AB657-Q657-AD657-R657</f>
        <v>#REF!</v>
      </c>
      <c r="AF657" t="str">
        <f>AC657-Q657-AD657-R657</f>
        <v>#REF!</v>
      </c>
      <c r="AG657" t="str">
        <f>AE657/V657</f>
        <v>#REF!</v>
      </c>
      <c r="AH657" t="str">
        <f>AF657/W657</f>
        <v>#REF!</v>
      </c>
    </row>
    <row r="658">
      <c r="G658" t="str">
        <v>A</v>
      </c>
      <c r="J658" t="str">
        <f>IF(K658&gt;0,K658*0.0625,IF(L658&gt;0,L658*2.204623,))</f>
        <v>#REF!</v>
      </c>
      <c r="K658" t="str">
        <f>IF(L658&gt;0,L658*35.273962,IF(J658&gt;0,J658*16,))</f>
        <v>#REF!</v>
      </c>
      <c r="L658" t="str">
        <f>IF(J658&gt;0,J658*0.453592,IF(K658&gt;0,K658*0.02835,))</f>
        <v>#REF!</v>
      </c>
      <c r="O658">
        <f>I658+N658+M658</f>
        <v>0</v>
      </c>
      <c r="P658">
        <f>O658*B$3</f>
        <v>0</v>
      </c>
      <c r="Q658">
        <f>ROUND(SUM(P658), -2)</f>
        <v>0</v>
      </c>
      <c r="R658" t="str">
        <f>ROUNDUP(HLOOKUP(IF(CEILING(L658,0.5)&lt;1,0.5,CEILING(L658,0.5)),'배송비 조회'!A$44:AO$56,7,0)*B$3,-2)</f>
        <v>#REF!</v>
      </c>
      <c r="S658">
        <v>0</v>
      </c>
      <c r="T658" t="str">
        <f>ROUND((Q658+R658)*0.3,-2)</f>
        <v>#REF!</v>
      </c>
      <c r="U658" t="str">
        <f>ROUND((Q658+R658)*0.4,-2)</f>
        <v>#REF!</v>
      </c>
      <c r="V658" t="str">
        <f>SUM(Q658:R658)+T658</f>
        <v>#REF!</v>
      </c>
      <c r="W658" t="str">
        <f>SUM(Q658:S658)+U658</f>
        <v>#REF!</v>
      </c>
      <c r="X658">
        <v>0</v>
      </c>
      <c r="Y658" t="str">
        <f>V658*0.038</f>
        <v>#REF!</v>
      </c>
      <c r="Z658" t="str">
        <f>V658*0.02</f>
        <v>#REF!</v>
      </c>
      <c r="AA658" t="str">
        <f>W658*0.1</f>
        <v>#REF!</v>
      </c>
      <c r="AB658" t="str">
        <f>V658-Y658-Z658</f>
        <v>#REF!</v>
      </c>
      <c r="AC658" t="str">
        <f>W658-AA658</f>
        <v>#REF!</v>
      </c>
      <c r="AD658" t="str">
        <f>AB658*0.01</f>
        <v>#REF!</v>
      </c>
      <c r="AE658" t="str">
        <f>AB658-Q658-AD658-R658</f>
        <v>#REF!</v>
      </c>
      <c r="AF658" t="str">
        <f>AC658-Q658-AD658-R658</f>
        <v>#REF!</v>
      </c>
      <c r="AG658" t="str">
        <f>AE658/V658</f>
        <v>#REF!</v>
      </c>
      <c r="AH658" t="str">
        <f>AF658/W658</f>
        <v>#REF!</v>
      </c>
    </row>
    <row r="659">
      <c r="G659" t="str">
        <v>A</v>
      </c>
      <c r="J659" t="str">
        <f>IF(K659&gt;0,K659*0.0625,IF(L659&gt;0,L659*2.204623,))</f>
        <v>#REF!</v>
      </c>
      <c r="K659" t="str">
        <f>IF(L659&gt;0,L659*35.273962,IF(J659&gt;0,J659*16,))</f>
        <v>#REF!</v>
      </c>
      <c r="L659" t="str">
        <f>IF(J659&gt;0,J659*0.453592,IF(K659&gt;0,K659*0.02835,))</f>
        <v>#REF!</v>
      </c>
      <c r="O659">
        <f>I659+N659+M659</f>
        <v>0</v>
      </c>
      <c r="P659">
        <f>O659*B$3</f>
        <v>0</v>
      </c>
      <c r="Q659">
        <f>ROUND(SUM(P659), -2)</f>
        <v>0</v>
      </c>
      <c r="R659" t="str">
        <f>ROUNDUP(HLOOKUP(IF(CEILING(L659,0.5)&lt;1,0.5,CEILING(L659,0.5)),'배송비 조회'!A$44:AO$56,7,0)*B$3,-2)</f>
        <v>#REF!</v>
      </c>
      <c r="S659">
        <v>0</v>
      </c>
      <c r="T659" t="str">
        <f>ROUND((Q659+R659)*0.3,-2)</f>
        <v>#REF!</v>
      </c>
      <c r="U659" t="str">
        <f>ROUND((Q659+R659)*0.4,-2)</f>
        <v>#REF!</v>
      </c>
      <c r="V659" t="str">
        <f>SUM(Q659:R659)+T659</f>
        <v>#REF!</v>
      </c>
      <c r="W659" t="str">
        <f>SUM(Q659:S659)+U659</f>
        <v>#REF!</v>
      </c>
      <c r="X659">
        <v>0</v>
      </c>
      <c r="Y659" t="str">
        <f>V659*0.038</f>
        <v>#REF!</v>
      </c>
      <c r="Z659" t="str">
        <f>V659*0.02</f>
        <v>#REF!</v>
      </c>
      <c r="AA659" t="str">
        <f>W659*0.1</f>
        <v>#REF!</v>
      </c>
      <c r="AB659" t="str">
        <f>V659-Y659-Z659</f>
        <v>#REF!</v>
      </c>
      <c r="AC659" t="str">
        <f>W659-AA659</f>
        <v>#REF!</v>
      </c>
      <c r="AD659" t="str">
        <f>AB659*0.01</f>
        <v>#REF!</v>
      </c>
      <c r="AE659" t="str">
        <f>AB659-Q659-AD659-R659</f>
        <v>#REF!</v>
      </c>
      <c r="AF659" t="str">
        <f>AC659-Q659-AD659-R659</f>
        <v>#REF!</v>
      </c>
      <c r="AG659" t="str">
        <f>AE659/V659</f>
        <v>#REF!</v>
      </c>
      <c r="AH659" t="str">
        <f>AF659/W659</f>
        <v>#REF!</v>
      </c>
    </row>
    <row r="660">
      <c r="G660" t="str">
        <v>A</v>
      </c>
      <c r="J660" t="str">
        <f>IF(K660&gt;0,K660*0.0625,IF(L660&gt;0,L660*2.204623,))</f>
        <v>#REF!</v>
      </c>
      <c r="K660" t="str">
        <f>IF(L660&gt;0,L660*35.273962,IF(J660&gt;0,J660*16,))</f>
        <v>#REF!</v>
      </c>
      <c r="L660" t="str">
        <f>IF(J660&gt;0,J660*0.453592,IF(K660&gt;0,K660*0.02835,))</f>
        <v>#REF!</v>
      </c>
      <c r="O660">
        <f>I660+N660+M660</f>
        <v>0</v>
      </c>
      <c r="P660">
        <f>O660*B$3</f>
        <v>0</v>
      </c>
      <c r="Q660">
        <f>ROUND(SUM(P660), -2)</f>
        <v>0</v>
      </c>
      <c r="R660" t="str">
        <f>ROUNDUP(HLOOKUP(IF(CEILING(L660,0.5)&lt;1,0.5,CEILING(L660,0.5)),'배송비 조회'!A$44:AO$56,7,0)*B$3,-2)</f>
        <v>#REF!</v>
      </c>
      <c r="S660">
        <v>0</v>
      </c>
      <c r="T660" t="str">
        <f>ROUND((Q660+R660)*0.3,-2)</f>
        <v>#REF!</v>
      </c>
      <c r="U660" t="str">
        <f>ROUND((Q660+R660)*0.4,-2)</f>
        <v>#REF!</v>
      </c>
      <c r="V660" t="str">
        <f>SUM(Q660:R660)+T660</f>
        <v>#REF!</v>
      </c>
      <c r="W660" t="str">
        <f>SUM(Q660:S660)+U660</f>
        <v>#REF!</v>
      </c>
      <c r="X660">
        <v>0</v>
      </c>
      <c r="Y660" t="str">
        <f>V660*0.038</f>
        <v>#REF!</v>
      </c>
      <c r="Z660" t="str">
        <f>V660*0.02</f>
        <v>#REF!</v>
      </c>
      <c r="AA660" t="str">
        <f>W660*0.1</f>
        <v>#REF!</v>
      </c>
      <c r="AB660" t="str">
        <f>V660-Y660-Z660</f>
        <v>#REF!</v>
      </c>
      <c r="AC660" t="str">
        <f>W660-AA660</f>
        <v>#REF!</v>
      </c>
      <c r="AD660" t="str">
        <f>AB660*0.01</f>
        <v>#REF!</v>
      </c>
      <c r="AE660" t="str">
        <f>AB660-Q660-AD660-R660</f>
        <v>#REF!</v>
      </c>
      <c r="AF660" t="str">
        <f>AC660-Q660-AD660-R660</f>
        <v>#REF!</v>
      </c>
      <c r="AG660" t="str">
        <f>AE660/V660</f>
        <v>#REF!</v>
      </c>
      <c r="AH660" t="str">
        <f>AF660/W660</f>
        <v>#REF!</v>
      </c>
    </row>
    <row r="661">
      <c r="G661" t="str">
        <v>A</v>
      </c>
      <c r="J661" t="str">
        <f>IF(K661&gt;0,K661*0.0625,IF(L661&gt;0,L661*2.204623,))</f>
        <v>#REF!</v>
      </c>
      <c r="K661" t="str">
        <f>IF(L661&gt;0,L661*35.273962,IF(J661&gt;0,J661*16,))</f>
        <v>#REF!</v>
      </c>
      <c r="L661" t="str">
        <f>IF(J661&gt;0,J661*0.453592,IF(K661&gt;0,K661*0.02835,))</f>
        <v>#REF!</v>
      </c>
      <c r="O661">
        <f>I661+N661+M661</f>
        <v>0</v>
      </c>
      <c r="P661">
        <f>O661*B$3</f>
        <v>0</v>
      </c>
      <c r="Q661">
        <f>ROUND(SUM(P661), -2)</f>
        <v>0</v>
      </c>
      <c r="R661" t="str">
        <f>ROUNDUP(HLOOKUP(IF(CEILING(L661,0.5)&lt;1,0.5,CEILING(L661,0.5)),'배송비 조회'!A$44:AO$56,7,0)*B$3,-2)</f>
        <v>#REF!</v>
      </c>
      <c r="S661">
        <v>0</v>
      </c>
      <c r="T661" t="str">
        <f>ROUND((Q661+R661)*0.3,-2)</f>
        <v>#REF!</v>
      </c>
      <c r="U661" t="str">
        <f>ROUND((Q661+R661)*0.4,-2)</f>
        <v>#REF!</v>
      </c>
      <c r="V661" t="str">
        <f>SUM(Q661:R661)+T661</f>
        <v>#REF!</v>
      </c>
      <c r="W661" t="str">
        <f>SUM(Q661:S661)+U661</f>
        <v>#REF!</v>
      </c>
      <c r="X661">
        <v>0</v>
      </c>
      <c r="Y661" t="str">
        <f>V661*0.038</f>
        <v>#REF!</v>
      </c>
      <c r="Z661" t="str">
        <f>V661*0.02</f>
        <v>#REF!</v>
      </c>
      <c r="AA661" t="str">
        <f>W661*0.1</f>
        <v>#REF!</v>
      </c>
      <c r="AB661" t="str">
        <f>V661-Y661-Z661</f>
        <v>#REF!</v>
      </c>
      <c r="AC661" t="str">
        <f>W661-AA661</f>
        <v>#REF!</v>
      </c>
      <c r="AD661" t="str">
        <f>AB661*0.01</f>
        <v>#REF!</v>
      </c>
      <c r="AE661" t="str">
        <f>AB661-Q661-AD661-R661</f>
        <v>#REF!</v>
      </c>
      <c r="AF661" t="str">
        <f>AC661-Q661-AD661-R661</f>
        <v>#REF!</v>
      </c>
      <c r="AG661" t="str">
        <f>AE661/V661</f>
        <v>#REF!</v>
      </c>
      <c r="AH661" t="str">
        <f>AF661/W661</f>
        <v>#REF!</v>
      </c>
    </row>
    <row r="662">
      <c r="G662" t="str">
        <v>A</v>
      </c>
      <c r="J662" t="str">
        <f>IF(K662&gt;0,K662*0.0625,IF(L662&gt;0,L662*2.204623,))</f>
        <v>#REF!</v>
      </c>
      <c r="K662" t="str">
        <f>IF(L662&gt;0,L662*35.273962,IF(J662&gt;0,J662*16,))</f>
        <v>#REF!</v>
      </c>
      <c r="L662" t="str">
        <f>IF(J662&gt;0,J662*0.453592,IF(K662&gt;0,K662*0.02835,))</f>
        <v>#REF!</v>
      </c>
      <c r="O662">
        <f>I662+N662+M662</f>
        <v>0</v>
      </c>
      <c r="P662">
        <f>O662*B$3</f>
        <v>0</v>
      </c>
      <c r="Q662">
        <f>ROUND(SUM(P662), -2)</f>
        <v>0</v>
      </c>
      <c r="R662" t="str">
        <f>ROUNDUP(HLOOKUP(IF(CEILING(L662,0.5)&lt;1,0.5,CEILING(L662,0.5)),'배송비 조회'!A$44:AO$56,7,0)*B$3,-2)</f>
        <v>#REF!</v>
      </c>
      <c r="S662">
        <v>0</v>
      </c>
      <c r="T662" t="str">
        <f>ROUND((Q662+R662)*0.3,-2)</f>
        <v>#REF!</v>
      </c>
      <c r="U662" t="str">
        <f>ROUND((Q662+R662)*0.4,-2)</f>
        <v>#REF!</v>
      </c>
      <c r="V662" t="str">
        <f>SUM(Q662:R662)+T662</f>
        <v>#REF!</v>
      </c>
      <c r="W662" t="str">
        <f>SUM(Q662:S662)+U662</f>
        <v>#REF!</v>
      </c>
      <c r="X662">
        <v>0</v>
      </c>
      <c r="Y662" t="str">
        <f>V662*0.038</f>
        <v>#REF!</v>
      </c>
      <c r="Z662" t="str">
        <f>V662*0.02</f>
        <v>#REF!</v>
      </c>
      <c r="AA662" t="str">
        <f>W662*0.1</f>
        <v>#REF!</v>
      </c>
      <c r="AB662" t="str">
        <f>V662-Y662-Z662</f>
        <v>#REF!</v>
      </c>
      <c r="AC662" t="str">
        <f>W662-AA662</f>
        <v>#REF!</v>
      </c>
      <c r="AD662" t="str">
        <f>AB662*0.01</f>
        <v>#REF!</v>
      </c>
      <c r="AE662" t="str">
        <f>AB662-Q662-AD662-R662</f>
        <v>#REF!</v>
      </c>
      <c r="AF662" t="str">
        <f>AC662-Q662-AD662-R662</f>
        <v>#REF!</v>
      </c>
      <c r="AG662" t="str">
        <f>AE662/V662</f>
        <v>#REF!</v>
      </c>
      <c r="AH662" t="str">
        <f>AF662/W662</f>
        <v>#REF!</v>
      </c>
    </row>
    <row r="663">
      <c r="G663" t="str">
        <v>A</v>
      </c>
      <c r="J663" t="str">
        <f>IF(K663&gt;0,K663*0.0625,IF(L663&gt;0,L663*2.204623,))</f>
        <v>#REF!</v>
      </c>
      <c r="K663" t="str">
        <f>IF(L663&gt;0,L663*35.273962,IF(J663&gt;0,J663*16,))</f>
        <v>#REF!</v>
      </c>
      <c r="L663" t="str">
        <f>IF(J663&gt;0,J663*0.453592,IF(K663&gt;0,K663*0.02835,))</f>
        <v>#REF!</v>
      </c>
      <c r="O663">
        <f>I663+N663+M663</f>
        <v>0</v>
      </c>
      <c r="P663">
        <f>O663*B$3</f>
        <v>0</v>
      </c>
      <c r="Q663">
        <f>ROUND(SUM(P663), -2)</f>
        <v>0</v>
      </c>
      <c r="R663" t="str">
        <f>ROUNDUP(HLOOKUP(IF(CEILING(L663,0.5)&lt;1,0.5,CEILING(L663,0.5)),'배송비 조회'!A$44:AO$56,7,0)*B$3,-2)</f>
        <v>#REF!</v>
      </c>
      <c r="S663">
        <v>0</v>
      </c>
      <c r="T663" t="str">
        <f>ROUND((Q663+R663)*0.3,-2)</f>
        <v>#REF!</v>
      </c>
      <c r="U663" t="str">
        <f>ROUND((Q663+R663)*0.4,-2)</f>
        <v>#REF!</v>
      </c>
      <c r="V663" t="str">
        <f>SUM(Q663:R663)+T663</f>
        <v>#REF!</v>
      </c>
      <c r="W663" t="str">
        <f>SUM(Q663:S663)+U663</f>
        <v>#REF!</v>
      </c>
      <c r="X663">
        <v>0</v>
      </c>
      <c r="Y663" t="str">
        <f>V663*0.038</f>
        <v>#REF!</v>
      </c>
      <c r="Z663" t="str">
        <f>V663*0.02</f>
        <v>#REF!</v>
      </c>
      <c r="AA663" t="str">
        <f>W663*0.1</f>
        <v>#REF!</v>
      </c>
      <c r="AB663" t="str">
        <f>V663-Y663-Z663</f>
        <v>#REF!</v>
      </c>
      <c r="AC663" t="str">
        <f>W663-AA663</f>
        <v>#REF!</v>
      </c>
      <c r="AD663" t="str">
        <f>AB663*0.01</f>
        <v>#REF!</v>
      </c>
      <c r="AE663" t="str">
        <f>AB663-Q663-AD663-R663</f>
        <v>#REF!</v>
      </c>
      <c r="AF663" t="str">
        <f>AC663-Q663-AD663-R663</f>
        <v>#REF!</v>
      </c>
      <c r="AG663" t="str">
        <f>AE663/V663</f>
        <v>#REF!</v>
      </c>
      <c r="AH663" t="str">
        <f>AF663/W663</f>
        <v>#REF!</v>
      </c>
    </row>
    <row r="664">
      <c r="G664" t="str">
        <v>A</v>
      </c>
      <c r="J664" t="str">
        <f>IF(K664&gt;0,K664*0.0625,IF(L664&gt;0,L664*2.204623,))</f>
        <v>#REF!</v>
      </c>
      <c r="K664" t="str">
        <f>IF(L664&gt;0,L664*35.273962,IF(J664&gt;0,J664*16,))</f>
        <v>#REF!</v>
      </c>
      <c r="L664" t="str">
        <f>IF(J664&gt;0,J664*0.453592,IF(K664&gt;0,K664*0.02835,))</f>
        <v>#REF!</v>
      </c>
      <c r="O664">
        <f>I664+N664+M664</f>
        <v>0</v>
      </c>
      <c r="P664">
        <f>O664*B$3</f>
        <v>0</v>
      </c>
      <c r="Q664">
        <f>ROUND(SUM(P664), -2)</f>
        <v>0</v>
      </c>
      <c r="R664" t="str">
        <f>ROUNDUP(HLOOKUP(IF(CEILING(L664,0.5)&lt;1,0.5,CEILING(L664,0.5)),'배송비 조회'!A$44:AO$56,7,0)*B$3,-2)</f>
        <v>#REF!</v>
      </c>
      <c r="S664">
        <v>0</v>
      </c>
      <c r="T664" t="str">
        <f>ROUND((Q664+R664)*0.3,-2)</f>
        <v>#REF!</v>
      </c>
      <c r="U664" t="str">
        <f>ROUND((Q664+R664)*0.4,-2)</f>
        <v>#REF!</v>
      </c>
      <c r="V664" t="str">
        <f>SUM(Q664:R664)+T664</f>
        <v>#REF!</v>
      </c>
      <c r="W664" t="str">
        <f>SUM(Q664:S664)+U664</f>
        <v>#REF!</v>
      </c>
      <c r="X664">
        <v>0</v>
      </c>
      <c r="Y664" t="str">
        <f>V664*0.038</f>
        <v>#REF!</v>
      </c>
      <c r="Z664" t="str">
        <f>V664*0.02</f>
        <v>#REF!</v>
      </c>
      <c r="AA664" t="str">
        <f>W664*0.1</f>
        <v>#REF!</v>
      </c>
      <c r="AB664" t="str">
        <f>V664-Y664-Z664</f>
        <v>#REF!</v>
      </c>
      <c r="AC664" t="str">
        <f>W664-AA664</f>
        <v>#REF!</v>
      </c>
      <c r="AD664" t="str">
        <f>AB664*0.01</f>
        <v>#REF!</v>
      </c>
      <c r="AE664" t="str">
        <f>AB664-Q664-AD664-R664</f>
        <v>#REF!</v>
      </c>
      <c r="AF664" t="str">
        <f>AC664-Q664-AD664-R664</f>
        <v>#REF!</v>
      </c>
      <c r="AG664" t="str">
        <f>AE664/V664</f>
        <v>#REF!</v>
      </c>
      <c r="AH664" t="str">
        <f>AF664/W664</f>
        <v>#REF!</v>
      </c>
    </row>
    <row r="665">
      <c r="G665" t="str">
        <v>A</v>
      </c>
      <c r="J665" t="str">
        <f>IF(K665&gt;0,K665*0.0625,IF(L665&gt;0,L665*2.204623,))</f>
        <v>#REF!</v>
      </c>
      <c r="K665" t="str">
        <f>IF(L665&gt;0,L665*35.273962,IF(J665&gt;0,J665*16,))</f>
        <v>#REF!</v>
      </c>
      <c r="L665" t="str">
        <f>IF(J665&gt;0,J665*0.453592,IF(K665&gt;0,K665*0.02835,))</f>
        <v>#REF!</v>
      </c>
      <c r="O665">
        <f>I665+N665+M665</f>
        <v>0</v>
      </c>
      <c r="P665">
        <f>O665*B$3</f>
        <v>0</v>
      </c>
      <c r="Q665">
        <f>ROUND(SUM(P665), -2)</f>
        <v>0</v>
      </c>
      <c r="R665" t="str">
        <f>ROUNDUP(HLOOKUP(IF(CEILING(L665,0.5)&lt;1,0.5,CEILING(L665,0.5)),'배송비 조회'!A$44:AO$56,7,0)*B$3,-2)</f>
        <v>#REF!</v>
      </c>
      <c r="S665">
        <v>0</v>
      </c>
      <c r="T665" t="str">
        <f>ROUND((Q665+R665)*0.3,-2)</f>
        <v>#REF!</v>
      </c>
      <c r="U665" t="str">
        <f>ROUND((Q665+R665)*0.4,-2)</f>
        <v>#REF!</v>
      </c>
      <c r="V665" t="str">
        <f>SUM(Q665:R665)+T665</f>
        <v>#REF!</v>
      </c>
      <c r="W665" t="str">
        <f>SUM(Q665:S665)+U665</f>
        <v>#REF!</v>
      </c>
      <c r="X665">
        <v>0</v>
      </c>
      <c r="Y665" t="str">
        <f>V665*0.038</f>
        <v>#REF!</v>
      </c>
      <c r="Z665" t="str">
        <f>V665*0.02</f>
        <v>#REF!</v>
      </c>
      <c r="AA665" t="str">
        <f>W665*0.1</f>
        <v>#REF!</v>
      </c>
      <c r="AB665" t="str">
        <f>V665-Y665-Z665</f>
        <v>#REF!</v>
      </c>
      <c r="AC665" t="str">
        <f>W665-AA665</f>
        <v>#REF!</v>
      </c>
      <c r="AD665" t="str">
        <f>AB665*0.01</f>
        <v>#REF!</v>
      </c>
      <c r="AE665" t="str">
        <f>AB665-Q665-AD665-R665</f>
        <v>#REF!</v>
      </c>
      <c r="AF665" t="str">
        <f>AC665-Q665-AD665-R665</f>
        <v>#REF!</v>
      </c>
      <c r="AG665" t="str">
        <f>AE665/V665</f>
        <v>#REF!</v>
      </c>
      <c r="AH665" t="str">
        <f>AF665/W665</f>
        <v>#REF!</v>
      </c>
    </row>
    <row r="666">
      <c r="G666" t="str">
        <v>A</v>
      </c>
      <c r="J666" t="str">
        <f>IF(K666&gt;0,K666*0.0625,IF(L666&gt;0,L666*2.204623,))</f>
        <v>#REF!</v>
      </c>
      <c r="K666" t="str">
        <f>IF(L666&gt;0,L666*35.273962,IF(J666&gt;0,J666*16,))</f>
        <v>#REF!</v>
      </c>
      <c r="L666" t="str">
        <f>IF(J666&gt;0,J666*0.453592,IF(K666&gt;0,K666*0.02835,))</f>
        <v>#REF!</v>
      </c>
      <c r="O666">
        <f>I666+N666+M666</f>
        <v>0</v>
      </c>
      <c r="P666">
        <f>O666*B$3</f>
        <v>0</v>
      </c>
      <c r="Q666">
        <f>ROUND(SUM(P666), -2)</f>
        <v>0</v>
      </c>
      <c r="R666" t="str">
        <f>ROUNDUP(HLOOKUP(IF(CEILING(L666,0.5)&lt;1,0.5,CEILING(L666,0.5)),'배송비 조회'!A$44:AO$56,7,0)*B$3,-2)</f>
        <v>#REF!</v>
      </c>
      <c r="S666">
        <v>0</v>
      </c>
      <c r="T666" t="str">
        <f>ROUND((Q666+R666)*0.3,-2)</f>
        <v>#REF!</v>
      </c>
      <c r="U666" t="str">
        <f>ROUND((Q666+R666)*0.4,-2)</f>
        <v>#REF!</v>
      </c>
      <c r="V666" t="str">
        <f>SUM(Q666:R666)+T666</f>
        <v>#REF!</v>
      </c>
      <c r="W666" t="str">
        <f>SUM(Q666:S666)+U666</f>
        <v>#REF!</v>
      </c>
      <c r="X666">
        <v>0</v>
      </c>
      <c r="Y666" t="str">
        <f>V666*0.038</f>
        <v>#REF!</v>
      </c>
      <c r="Z666" t="str">
        <f>V666*0.02</f>
        <v>#REF!</v>
      </c>
      <c r="AA666" t="str">
        <f>W666*0.1</f>
        <v>#REF!</v>
      </c>
      <c r="AB666" t="str">
        <f>V666-Y666-Z666</f>
        <v>#REF!</v>
      </c>
      <c r="AC666" t="str">
        <f>W666-AA666</f>
        <v>#REF!</v>
      </c>
      <c r="AD666" t="str">
        <f>AB666*0.01</f>
        <v>#REF!</v>
      </c>
      <c r="AE666" t="str">
        <f>AB666-Q666-AD666-R666</f>
        <v>#REF!</v>
      </c>
      <c r="AF666" t="str">
        <f>AC666-Q666-AD666-R666</f>
        <v>#REF!</v>
      </c>
      <c r="AG666" t="str">
        <f>AE666/V666</f>
        <v>#REF!</v>
      </c>
      <c r="AH666" t="str">
        <f>AF666/W666</f>
        <v>#REF!</v>
      </c>
    </row>
    <row r="667">
      <c r="G667" t="str">
        <v>A</v>
      </c>
      <c r="J667" t="str">
        <f>IF(K667&gt;0,K667*0.0625,IF(L667&gt;0,L667*2.204623,))</f>
        <v>#REF!</v>
      </c>
      <c r="K667" t="str">
        <f>IF(L667&gt;0,L667*35.273962,IF(J667&gt;0,J667*16,))</f>
        <v>#REF!</v>
      </c>
      <c r="L667" t="str">
        <f>IF(J667&gt;0,J667*0.453592,IF(K667&gt;0,K667*0.02835,))</f>
        <v>#REF!</v>
      </c>
      <c r="O667">
        <f>I667+N667+M667</f>
        <v>0</v>
      </c>
      <c r="P667">
        <f>O667*B$3</f>
        <v>0</v>
      </c>
      <c r="Q667">
        <f>ROUND(SUM(P667), -2)</f>
        <v>0</v>
      </c>
      <c r="R667" t="str">
        <f>ROUNDUP(HLOOKUP(IF(CEILING(L667,0.5)&lt;1,0.5,CEILING(L667,0.5)),'배송비 조회'!A$44:AO$56,7,0)*B$3,-2)</f>
        <v>#REF!</v>
      </c>
      <c r="S667">
        <v>0</v>
      </c>
      <c r="T667" t="str">
        <f>ROUND((Q667+R667)*0.3,-2)</f>
        <v>#REF!</v>
      </c>
      <c r="U667" t="str">
        <f>ROUND((Q667+R667)*0.4,-2)</f>
        <v>#REF!</v>
      </c>
      <c r="V667" t="str">
        <f>SUM(Q667:R667)+T667</f>
        <v>#REF!</v>
      </c>
      <c r="W667" t="str">
        <f>SUM(Q667:S667)+U667</f>
        <v>#REF!</v>
      </c>
      <c r="X667">
        <v>0</v>
      </c>
      <c r="Y667" t="str">
        <f>V667*0.038</f>
        <v>#REF!</v>
      </c>
      <c r="Z667" t="str">
        <f>V667*0.02</f>
        <v>#REF!</v>
      </c>
      <c r="AA667" t="str">
        <f>W667*0.1</f>
        <v>#REF!</v>
      </c>
      <c r="AB667" t="str">
        <f>V667-Y667-Z667</f>
        <v>#REF!</v>
      </c>
      <c r="AC667" t="str">
        <f>W667-AA667</f>
        <v>#REF!</v>
      </c>
      <c r="AD667" t="str">
        <f>AB667*0.01</f>
        <v>#REF!</v>
      </c>
      <c r="AE667" t="str">
        <f>AB667-Q667-AD667-R667</f>
        <v>#REF!</v>
      </c>
      <c r="AF667" t="str">
        <f>AC667-Q667-AD667-R667</f>
        <v>#REF!</v>
      </c>
      <c r="AG667" t="str">
        <f>AE667/V667</f>
        <v>#REF!</v>
      </c>
      <c r="AH667" t="str">
        <f>AF667/W667</f>
        <v>#REF!</v>
      </c>
    </row>
    <row r="668">
      <c r="G668" t="str">
        <v>A</v>
      </c>
      <c r="J668" t="str">
        <f>IF(K668&gt;0,K668*0.0625,IF(L668&gt;0,L668*2.204623,))</f>
        <v>#REF!</v>
      </c>
      <c r="K668" t="str">
        <f>IF(L668&gt;0,L668*35.273962,IF(J668&gt;0,J668*16,))</f>
        <v>#REF!</v>
      </c>
      <c r="L668" t="str">
        <f>IF(J668&gt;0,J668*0.453592,IF(K668&gt;0,K668*0.02835,))</f>
        <v>#REF!</v>
      </c>
      <c r="O668">
        <f>I668+N668+M668</f>
        <v>0</v>
      </c>
      <c r="P668">
        <f>O668*B$3</f>
        <v>0</v>
      </c>
      <c r="Q668">
        <f>ROUND(SUM(P668), -2)</f>
        <v>0</v>
      </c>
      <c r="R668" t="str">
        <f>ROUNDUP(HLOOKUP(IF(CEILING(L668,0.5)&lt;1,0.5,CEILING(L668,0.5)),'배송비 조회'!A$44:AO$56,7,0)*B$3,-2)</f>
        <v>#REF!</v>
      </c>
      <c r="S668">
        <v>0</v>
      </c>
      <c r="T668" t="str">
        <f>ROUND((Q668+R668)*0.3,-2)</f>
        <v>#REF!</v>
      </c>
      <c r="U668" t="str">
        <f>ROUND((Q668+R668)*0.4,-2)</f>
        <v>#REF!</v>
      </c>
      <c r="V668" t="str">
        <f>SUM(Q668:R668)+T668</f>
        <v>#REF!</v>
      </c>
      <c r="W668" t="str">
        <f>SUM(Q668:S668)+U668</f>
        <v>#REF!</v>
      </c>
      <c r="X668">
        <v>0</v>
      </c>
      <c r="Y668" t="str">
        <f>V668*0.038</f>
        <v>#REF!</v>
      </c>
      <c r="Z668" t="str">
        <f>V668*0.02</f>
        <v>#REF!</v>
      </c>
      <c r="AA668" t="str">
        <f>W668*0.1</f>
        <v>#REF!</v>
      </c>
      <c r="AB668" t="str">
        <f>V668-Y668-Z668</f>
        <v>#REF!</v>
      </c>
      <c r="AC668" t="str">
        <f>W668-AA668</f>
        <v>#REF!</v>
      </c>
      <c r="AD668" t="str">
        <f>AB668*0.01</f>
        <v>#REF!</v>
      </c>
      <c r="AE668" t="str">
        <f>AB668-Q668-AD668-R668</f>
        <v>#REF!</v>
      </c>
      <c r="AF668" t="str">
        <f>AC668-Q668-AD668-R668</f>
        <v>#REF!</v>
      </c>
      <c r="AG668" t="str">
        <f>AE668/V668</f>
        <v>#REF!</v>
      </c>
      <c r="AH668" t="str">
        <f>AF668/W668</f>
        <v>#REF!</v>
      </c>
    </row>
    <row r="669">
      <c r="G669" t="str">
        <v>A</v>
      </c>
      <c r="J669" t="str">
        <f>IF(K669&gt;0,K669*0.0625,IF(L669&gt;0,L669*2.204623,))</f>
        <v>#REF!</v>
      </c>
      <c r="K669" t="str">
        <f>IF(L669&gt;0,L669*35.273962,IF(J669&gt;0,J669*16,))</f>
        <v>#REF!</v>
      </c>
      <c r="L669" t="str">
        <f>IF(J669&gt;0,J669*0.453592,IF(K669&gt;0,K669*0.02835,))</f>
        <v>#REF!</v>
      </c>
      <c r="O669">
        <f>I669+N669+M669</f>
        <v>0</v>
      </c>
      <c r="P669">
        <f>O669*B$3</f>
        <v>0</v>
      </c>
      <c r="Q669">
        <f>ROUND(SUM(P669), -2)</f>
        <v>0</v>
      </c>
      <c r="R669" t="str">
        <f>ROUNDUP(HLOOKUP(IF(CEILING(L669,0.5)&lt;1,0.5,CEILING(L669,0.5)),'배송비 조회'!A$44:AO$56,7,0)*B$3,-2)</f>
        <v>#REF!</v>
      </c>
      <c r="S669">
        <v>0</v>
      </c>
      <c r="T669" t="str">
        <f>ROUND((Q669+R669)*0.3,-2)</f>
        <v>#REF!</v>
      </c>
      <c r="U669" t="str">
        <f>ROUND((Q669+R669)*0.4,-2)</f>
        <v>#REF!</v>
      </c>
      <c r="V669" t="str">
        <f>SUM(Q669:R669)+T669</f>
        <v>#REF!</v>
      </c>
      <c r="W669" t="str">
        <f>SUM(Q669:S669)+U669</f>
        <v>#REF!</v>
      </c>
      <c r="X669">
        <v>0</v>
      </c>
      <c r="Y669" t="str">
        <f>V669*0.038</f>
        <v>#REF!</v>
      </c>
      <c r="Z669" t="str">
        <f>V669*0.02</f>
        <v>#REF!</v>
      </c>
      <c r="AA669" t="str">
        <f>W669*0.1</f>
        <v>#REF!</v>
      </c>
      <c r="AB669" t="str">
        <f>V669-Y669-Z669</f>
        <v>#REF!</v>
      </c>
      <c r="AC669" t="str">
        <f>W669-AA669</f>
        <v>#REF!</v>
      </c>
      <c r="AD669" t="str">
        <f>AB669*0.01</f>
        <v>#REF!</v>
      </c>
      <c r="AE669" t="str">
        <f>AB669-Q669-AD669-R669</f>
        <v>#REF!</v>
      </c>
      <c r="AF669" t="str">
        <f>AC669-Q669-AD669-R669</f>
        <v>#REF!</v>
      </c>
      <c r="AG669" t="str">
        <f>AE669/V669</f>
        <v>#REF!</v>
      </c>
      <c r="AH669" t="str">
        <f>AF669/W669</f>
        <v>#REF!</v>
      </c>
    </row>
    <row r="670">
      <c r="G670" t="str">
        <v>A</v>
      </c>
      <c r="J670" t="str">
        <f>IF(K670&gt;0,K670*0.0625,IF(L670&gt;0,L670*2.204623,))</f>
        <v>#REF!</v>
      </c>
      <c r="K670" t="str">
        <f>IF(L670&gt;0,L670*35.273962,IF(J670&gt;0,J670*16,))</f>
        <v>#REF!</v>
      </c>
      <c r="L670" t="str">
        <f>IF(J670&gt;0,J670*0.453592,IF(K670&gt;0,K670*0.02835,))</f>
        <v>#REF!</v>
      </c>
      <c r="O670">
        <f>I670+N670+M670</f>
        <v>0</v>
      </c>
      <c r="P670">
        <f>O670*B$3</f>
        <v>0</v>
      </c>
      <c r="Q670">
        <f>ROUND(SUM(P670), -2)</f>
        <v>0</v>
      </c>
      <c r="R670" t="str">
        <f>ROUNDUP(HLOOKUP(IF(CEILING(L670,0.5)&lt;1,0.5,CEILING(L670,0.5)),'배송비 조회'!A$44:AO$56,7,0)*B$3,-2)</f>
        <v>#REF!</v>
      </c>
      <c r="S670">
        <v>0</v>
      </c>
      <c r="T670" t="str">
        <f>ROUND((Q670+R670)*0.3,-2)</f>
        <v>#REF!</v>
      </c>
      <c r="U670" t="str">
        <f>ROUND((Q670+R670)*0.4,-2)</f>
        <v>#REF!</v>
      </c>
      <c r="V670" t="str">
        <f>SUM(Q670:R670)+T670</f>
        <v>#REF!</v>
      </c>
      <c r="W670" t="str">
        <f>SUM(Q670:S670)+U670</f>
        <v>#REF!</v>
      </c>
      <c r="X670">
        <v>0</v>
      </c>
      <c r="Y670" t="str">
        <f>V670*0.038</f>
        <v>#REF!</v>
      </c>
      <c r="Z670" t="str">
        <f>V670*0.02</f>
        <v>#REF!</v>
      </c>
      <c r="AA670" t="str">
        <f>W670*0.1</f>
        <v>#REF!</v>
      </c>
      <c r="AB670" t="str">
        <f>V670-Y670-Z670</f>
        <v>#REF!</v>
      </c>
      <c r="AC670" t="str">
        <f>W670-AA670</f>
        <v>#REF!</v>
      </c>
      <c r="AD670" t="str">
        <f>AB670*0.01</f>
        <v>#REF!</v>
      </c>
      <c r="AE670" t="str">
        <f>AB670-Q670-AD670-R670</f>
        <v>#REF!</v>
      </c>
      <c r="AF670" t="str">
        <f>AC670-Q670-AD670-R670</f>
        <v>#REF!</v>
      </c>
      <c r="AG670" t="str">
        <f>AE670/V670</f>
        <v>#REF!</v>
      </c>
      <c r="AH670" t="str">
        <f>AF670/W670</f>
        <v>#REF!</v>
      </c>
    </row>
    <row r="671">
      <c r="G671" t="str">
        <v>A</v>
      </c>
      <c r="J671" t="str">
        <f>IF(K671&gt;0,K671*0.0625,IF(L671&gt;0,L671*2.204623,))</f>
        <v>#REF!</v>
      </c>
      <c r="K671" t="str">
        <f>IF(L671&gt;0,L671*35.273962,IF(J671&gt;0,J671*16,))</f>
        <v>#REF!</v>
      </c>
      <c r="L671" t="str">
        <f>IF(J671&gt;0,J671*0.453592,IF(K671&gt;0,K671*0.02835,))</f>
        <v>#REF!</v>
      </c>
      <c r="O671">
        <f>I671+N671+M671</f>
        <v>0</v>
      </c>
      <c r="P671">
        <f>O671*B$3</f>
        <v>0</v>
      </c>
      <c r="Q671">
        <f>ROUND(SUM(P671), -2)</f>
        <v>0</v>
      </c>
      <c r="R671" t="str">
        <f>ROUNDUP(HLOOKUP(IF(CEILING(L671,0.5)&lt;1,0.5,CEILING(L671,0.5)),'배송비 조회'!A$44:AO$56,7,0)*B$3,-2)</f>
        <v>#REF!</v>
      </c>
      <c r="S671">
        <v>0</v>
      </c>
      <c r="T671" t="str">
        <f>ROUND((Q671+R671)*0.3,-2)</f>
        <v>#REF!</v>
      </c>
      <c r="U671" t="str">
        <f>ROUND((Q671+R671)*0.4,-2)</f>
        <v>#REF!</v>
      </c>
      <c r="V671" t="str">
        <f>SUM(Q671:R671)+T671</f>
        <v>#REF!</v>
      </c>
      <c r="W671" t="str">
        <f>SUM(Q671:S671)+U671</f>
        <v>#REF!</v>
      </c>
      <c r="X671">
        <v>0</v>
      </c>
      <c r="Y671" t="str">
        <f>V671*0.038</f>
        <v>#REF!</v>
      </c>
      <c r="Z671" t="str">
        <f>V671*0.02</f>
        <v>#REF!</v>
      </c>
      <c r="AA671" t="str">
        <f>W671*0.1</f>
        <v>#REF!</v>
      </c>
      <c r="AB671" t="str">
        <f>V671-Y671-Z671</f>
        <v>#REF!</v>
      </c>
      <c r="AC671" t="str">
        <f>W671-AA671</f>
        <v>#REF!</v>
      </c>
      <c r="AD671" t="str">
        <f>AB671*0.01</f>
        <v>#REF!</v>
      </c>
      <c r="AE671" t="str">
        <f>AB671-Q671-AD671-R671</f>
        <v>#REF!</v>
      </c>
      <c r="AF671" t="str">
        <f>AC671-Q671-AD671-R671</f>
        <v>#REF!</v>
      </c>
      <c r="AG671" t="str">
        <f>AE671/V671</f>
        <v>#REF!</v>
      </c>
      <c r="AH671" t="str">
        <f>AF671/W671</f>
        <v>#REF!</v>
      </c>
    </row>
    <row r="672">
      <c r="G672" t="str">
        <v>A</v>
      </c>
      <c r="J672" t="str">
        <f>IF(K672&gt;0,K672*0.0625,IF(L672&gt;0,L672*2.204623,))</f>
        <v>#REF!</v>
      </c>
      <c r="K672" t="str">
        <f>IF(L672&gt;0,L672*35.273962,IF(J672&gt;0,J672*16,))</f>
        <v>#REF!</v>
      </c>
      <c r="L672" t="str">
        <f>IF(J672&gt;0,J672*0.453592,IF(K672&gt;0,K672*0.02835,))</f>
        <v>#REF!</v>
      </c>
      <c r="O672">
        <f>I672+N672+M672</f>
        <v>0</v>
      </c>
      <c r="P672">
        <f>O672*B$3</f>
        <v>0</v>
      </c>
      <c r="Q672">
        <f>ROUND(SUM(P672), -2)</f>
        <v>0</v>
      </c>
      <c r="R672" t="str">
        <f>ROUNDUP(HLOOKUP(IF(CEILING(L672,0.5)&lt;1,0.5,CEILING(L672,0.5)),'배송비 조회'!A$44:AO$56,7,0)*B$3,-2)</f>
        <v>#REF!</v>
      </c>
      <c r="S672">
        <v>0</v>
      </c>
      <c r="T672" t="str">
        <f>ROUND((Q672+R672)*0.3,-2)</f>
        <v>#REF!</v>
      </c>
      <c r="U672" t="str">
        <f>ROUND((Q672+R672)*0.4,-2)</f>
        <v>#REF!</v>
      </c>
      <c r="V672" t="str">
        <f>SUM(Q672:R672)+T672</f>
        <v>#REF!</v>
      </c>
      <c r="W672" t="str">
        <f>SUM(Q672:S672)+U672</f>
        <v>#REF!</v>
      </c>
      <c r="X672">
        <v>0</v>
      </c>
      <c r="Y672" t="str">
        <f>V672*0.038</f>
        <v>#REF!</v>
      </c>
      <c r="Z672" t="str">
        <f>V672*0.02</f>
        <v>#REF!</v>
      </c>
      <c r="AA672" t="str">
        <f>W672*0.1</f>
        <v>#REF!</v>
      </c>
      <c r="AB672" t="str">
        <f>V672-Y672-Z672</f>
        <v>#REF!</v>
      </c>
      <c r="AC672" t="str">
        <f>W672-AA672</f>
        <v>#REF!</v>
      </c>
      <c r="AD672" t="str">
        <f>AB672*0.01</f>
        <v>#REF!</v>
      </c>
      <c r="AE672" t="str">
        <f>AB672-Q672-AD672-R672</f>
        <v>#REF!</v>
      </c>
      <c r="AF672" t="str">
        <f>AC672-Q672-AD672-R672</f>
        <v>#REF!</v>
      </c>
      <c r="AG672" t="str">
        <f>AE672/V672</f>
        <v>#REF!</v>
      </c>
      <c r="AH672" t="str">
        <f>AF672/W672</f>
        <v>#REF!</v>
      </c>
    </row>
    <row r="673">
      <c r="G673" t="str">
        <v>A</v>
      </c>
      <c r="J673" t="str">
        <f>IF(K673&gt;0,K673*0.0625,IF(L673&gt;0,L673*2.204623,))</f>
        <v>#REF!</v>
      </c>
      <c r="K673" t="str">
        <f>IF(L673&gt;0,L673*35.273962,IF(J673&gt;0,J673*16,))</f>
        <v>#REF!</v>
      </c>
      <c r="L673" t="str">
        <f>IF(J673&gt;0,J673*0.453592,IF(K673&gt;0,K673*0.02835,))</f>
        <v>#REF!</v>
      </c>
      <c r="O673">
        <f>I673+N673+M673</f>
        <v>0</v>
      </c>
      <c r="P673">
        <f>O673*B$3</f>
        <v>0</v>
      </c>
      <c r="Q673">
        <f>ROUND(SUM(P673), -2)</f>
        <v>0</v>
      </c>
      <c r="R673" t="str">
        <f>ROUNDUP(HLOOKUP(IF(CEILING(L673,0.5)&lt;1,0.5,CEILING(L673,0.5)),'배송비 조회'!A$44:AO$56,7,0)*B$3,-2)</f>
        <v>#REF!</v>
      </c>
      <c r="S673">
        <v>0</v>
      </c>
      <c r="T673" t="str">
        <f>ROUND((Q673+R673)*0.3,-2)</f>
        <v>#REF!</v>
      </c>
      <c r="U673" t="str">
        <f>ROUND((Q673+R673)*0.4,-2)</f>
        <v>#REF!</v>
      </c>
      <c r="V673" t="str">
        <f>SUM(Q673:R673)+T673</f>
        <v>#REF!</v>
      </c>
      <c r="W673" t="str">
        <f>SUM(Q673:S673)+U673</f>
        <v>#REF!</v>
      </c>
      <c r="X673">
        <v>0</v>
      </c>
      <c r="Y673" t="str">
        <f>V673*0.038</f>
        <v>#REF!</v>
      </c>
      <c r="Z673" t="str">
        <f>V673*0.02</f>
        <v>#REF!</v>
      </c>
      <c r="AA673" t="str">
        <f>W673*0.1</f>
        <v>#REF!</v>
      </c>
      <c r="AB673" t="str">
        <f>V673-Y673-Z673</f>
        <v>#REF!</v>
      </c>
      <c r="AC673" t="str">
        <f>W673-AA673</f>
        <v>#REF!</v>
      </c>
      <c r="AD673" t="str">
        <f>AB673*0.01</f>
        <v>#REF!</v>
      </c>
      <c r="AE673" t="str">
        <f>AB673-Q673-AD673-R673</f>
        <v>#REF!</v>
      </c>
      <c r="AF673" t="str">
        <f>AC673-Q673-AD673-R673</f>
        <v>#REF!</v>
      </c>
      <c r="AG673" t="str">
        <f>AE673/V673</f>
        <v>#REF!</v>
      </c>
      <c r="AH673" t="str">
        <f>AF673/W673</f>
        <v>#REF!</v>
      </c>
    </row>
    <row r="674">
      <c r="G674" t="str">
        <v>A</v>
      </c>
      <c r="J674" t="str">
        <f>IF(K674&gt;0,K674*0.0625,IF(L674&gt;0,L674*2.204623,))</f>
        <v>#REF!</v>
      </c>
      <c r="K674" t="str">
        <f>IF(L674&gt;0,L674*35.273962,IF(J674&gt;0,J674*16,))</f>
        <v>#REF!</v>
      </c>
      <c r="L674" t="str">
        <f>IF(J674&gt;0,J674*0.453592,IF(K674&gt;0,K674*0.02835,))</f>
        <v>#REF!</v>
      </c>
      <c r="O674">
        <f>I674+N674+M674</f>
        <v>0</v>
      </c>
      <c r="P674">
        <f>O674*B$3</f>
        <v>0</v>
      </c>
      <c r="Q674">
        <f>ROUND(SUM(P674), -2)</f>
        <v>0</v>
      </c>
      <c r="R674" t="str">
        <f>ROUNDUP(HLOOKUP(IF(CEILING(L674,0.5)&lt;1,0.5,CEILING(L674,0.5)),'배송비 조회'!A$44:AO$56,7,0)*B$3,-2)</f>
        <v>#REF!</v>
      </c>
      <c r="S674">
        <v>0</v>
      </c>
      <c r="T674" t="str">
        <f>ROUND((Q674+R674)*0.3,-2)</f>
        <v>#REF!</v>
      </c>
      <c r="U674" t="str">
        <f>ROUND((Q674+R674)*0.4,-2)</f>
        <v>#REF!</v>
      </c>
      <c r="V674" t="str">
        <f>SUM(Q674:R674)+T674</f>
        <v>#REF!</v>
      </c>
      <c r="W674" t="str">
        <f>SUM(Q674:S674)+U674</f>
        <v>#REF!</v>
      </c>
      <c r="X674">
        <v>0</v>
      </c>
      <c r="Y674" t="str">
        <f>V674*0.038</f>
        <v>#REF!</v>
      </c>
      <c r="Z674" t="str">
        <f>V674*0.02</f>
        <v>#REF!</v>
      </c>
      <c r="AA674" t="str">
        <f>W674*0.1</f>
        <v>#REF!</v>
      </c>
      <c r="AB674" t="str">
        <f>V674-Y674-Z674</f>
        <v>#REF!</v>
      </c>
      <c r="AC674" t="str">
        <f>W674-AA674</f>
        <v>#REF!</v>
      </c>
      <c r="AD674" t="str">
        <f>AB674*0.01</f>
        <v>#REF!</v>
      </c>
      <c r="AE674" t="str">
        <f>AB674-Q674-AD674-R674</f>
        <v>#REF!</v>
      </c>
      <c r="AF674" t="str">
        <f>AC674-Q674-AD674-R674</f>
        <v>#REF!</v>
      </c>
      <c r="AG674" t="str">
        <f>AE674/V674</f>
        <v>#REF!</v>
      </c>
      <c r="AH674" t="str">
        <f>AF674/W674</f>
        <v>#REF!</v>
      </c>
    </row>
    <row r="675">
      <c r="G675" t="str">
        <v>A</v>
      </c>
      <c r="J675" t="str">
        <f>IF(K675&gt;0,K675*0.0625,IF(L675&gt;0,L675*2.204623,))</f>
        <v>#REF!</v>
      </c>
      <c r="K675" t="str">
        <f>IF(L675&gt;0,L675*35.273962,IF(J675&gt;0,J675*16,))</f>
        <v>#REF!</v>
      </c>
      <c r="L675" t="str">
        <f>IF(J675&gt;0,J675*0.453592,IF(K675&gt;0,K675*0.02835,))</f>
        <v>#REF!</v>
      </c>
      <c r="O675">
        <f>I675+N675+M675</f>
        <v>0</v>
      </c>
      <c r="P675">
        <f>O675*B$3</f>
        <v>0</v>
      </c>
      <c r="Q675">
        <f>ROUND(SUM(P675), -2)</f>
        <v>0</v>
      </c>
      <c r="R675" t="str">
        <f>ROUNDUP(HLOOKUP(IF(CEILING(L675,0.5)&lt;1,0.5,CEILING(L675,0.5)),'배송비 조회'!A$44:AO$56,7,0)*B$3,-2)</f>
        <v>#REF!</v>
      </c>
      <c r="S675">
        <v>0</v>
      </c>
      <c r="T675" t="str">
        <f>ROUND((Q675+R675)*0.3,-2)</f>
        <v>#REF!</v>
      </c>
      <c r="U675" t="str">
        <f>ROUND((Q675+R675)*0.4,-2)</f>
        <v>#REF!</v>
      </c>
      <c r="V675" t="str">
        <f>SUM(Q675:R675)+T675</f>
        <v>#REF!</v>
      </c>
      <c r="W675" t="str">
        <f>SUM(Q675:S675)+U675</f>
        <v>#REF!</v>
      </c>
      <c r="X675">
        <v>0</v>
      </c>
      <c r="Y675" t="str">
        <f>V675*0.038</f>
        <v>#REF!</v>
      </c>
      <c r="Z675" t="str">
        <f>V675*0.02</f>
        <v>#REF!</v>
      </c>
      <c r="AA675" t="str">
        <f>W675*0.1</f>
        <v>#REF!</v>
      </c>
      <c r="AB675" t="str">
        <f>V675-Y675-Z675</f>
        <v>#REF!</v>
      </c>
      <c r="AC675" t="str">
        <f>W675-AA675</f>
        <v>#REF!</v>
      </c>
      <c r="AD675" t="str">
        <f>AB675*0.01</f>
        <v>#REF!</v>
      </c>
      <c r="AE675" t="str">
        <f>AB675-Q675-AD675-R675</f>
        <v>#REF!</v>
      </c>
      <c r="AF675" t="str">
        <f>AC675-Q675-AD675-R675</f>
        <v>#REF!</v>
      </c>
      <c r="AG675" t="str">
        <f>AE675/V675</f>
        <v>#REF!</v>
      </c>
      <c r="AH675" t="str">
        <f>AF675/W675</f>
        <v>#REF!</v>
      </c>
    </row>
    <row r="676">
      <c r="G676" t="str">
        <v>A</v>
      </c>
      <c r="J676" t="str">
        <f>IF(K676&gt;0,K676*0.0625,IF(L676&gt;0,L676*2.204623,))</f>
        <v>#REF!</v>
      </c>
      <c r="K676" t="str">
        <f>IF(L676&gt;0,L676*35.273962,IF(J676&gt;0,J676*16,))</f>
        <v>#REF!</v>
      </c>
      <c r="L676" t="str">
        <f>IF(J676&gt;0,J676*0.453592,IF(K676&gt;0,K676*0.02835,))</f>
        <v>#REF!</v>
      </c>
      <c r="O676">
        <f>I676+N676+M676</f>
        <v>0</v>
      </c>
      <c r="P676">
        <f>O676*B$3</f>
        <v>0</v>
      </c>
      <c r="Q676">
        <f>ROUND(SUM(P676), -2)</f>
        <v>0</v>
      </c>
      <c r="R676" t="str">
        <f>ROUNDUP(HLOOKUP(IF(CEILING(L676,0.5)&lt;1,0.5,CEILING(L676,0.5)),'배송비 조회'!A$44:AO$56,7,0)*B$3,-2)</f>
        <v>#REF!</v>
      </c>
      <c r="S676">
        <v>0</v>
      </c>
      <c r="T676" t="str">
        <f>ROUND((Q676+R676)*0.3,-2)</f>
        <v>#REF!</v>
      </c>
      <c r="U676" t="str">
        <f>ROUND((Q676+R676)*0.4,-2)</f>
        <v>#REF!</v>
      </c>
      <c r="V676" t="str">
        <f>SUM(Q676:R676)+T676</f>
        <v>#REF!</v>
      </c>
      <c r="W676" t="str">
        <f>SUM(Q676:S676)+U676</f>
        <v>#REF!</v>
      </c>
      <c r="X676">
        <v>0</v>
      </c>
      <c r="Y676" t="str">
        <f>V676*0.038</f>
        <v>#REF!</v>
      </c>
      <c r="Z676" t="str">
        <f>V676*0.02</f>
        <v>#REF!</v>
      </c>
      <c r="AA676" t="str">
        <f>W676*0.1</f>
        <v>#REF!</v>
      </c>
      <c r="AB676" t="str">
        <f>V676-Y676-Z676</f>
        <v>#REF!</v>
      </c>
      <c r="AC676" t="str">
        <f>W676-AA676</f>
        <v>#REF!</v>
      </c>
      <c r="AD676" t="str">
        <f>AB676*0.01</f>
        <v>#REF!</v>
      </c>
      <c r="AE676" t="str">
        <f>AB676-Q676-AD676-R676</f>
        <v>#REF!</v>
      </c>
      <c r="AF676" t="str">
        <f>AC676-Q676-AD676-R676</f>
        <v>#REF!</v>
      </c>
      <c r="AG676" t="str">
        <f>AE676/V676</f>
        <v>#REF!</v>
      </c>
      <c r="AH676" t="str">
        <f>AF676/W676</f>
        <v>#REF!</v>
      </c>
    </row>
    <row r="677">
      <c r="G677" t="str">
        <v>A</v>
      </c>
      <c r="J677" t="str">
        <f>IF(K677&gt;0,K677*0.0625,IF(L677&gt;0,L677*2.204623,))</f>
        <v>#REF!</v>
      </c>
      <c r="K677" t="str">
        <f>IF(L677&gt;0,L677*35.273962,IF(J677&gt;0,J677*16,))</f>
        <v>#REF!</v>
      </c>
      <c r="L677" t="str">
        <f>IF(J677&gt;0,J677*0.453592,IF(K677&gt;0,K677*0.02835,))</f>
        <v>#REF!</v>
      </c>
      <c r="O677">
        <f>I677+N677+M677</f>
        <v>0</v>
      </c>
      <c r="P677">
        <f>O677*B$3</f>
        <v>0</v>
      </c>
      <c r="Q677">
        <f>ROUND(SUM(P677), -2)</f>
        <v>0</v>
      </c>
      <c r="R677" t="str">
        <f>ROUNDUP(HLOOKUP(IF(CEILING(L677,0.5)&lt;1,0.5,CEILING(L677,0.5)),'배송비 조회'!A$44:AO$56,7,0)*B$3,-2)</f>
        <v>#REF!</v>
      </c>
      <c r="S677">
        <v>0</v>
      </c>
      <c r="T677" t="str">
        <f>ROUND((Q677+R677)*0.3,-2)</f>
        <v>#REF!</v>
      </c>
      <c r="U677" t="str">
        <f>ROUND((Q677+R677)*0.4,-2)</f>
        <v>#REF!</v>
      </c>
      <c r="V677" t="str">
        <f>SUM(Q677:R677)+T677</f>
        <v>#REF!</v>
      </c>
      <c r="W677" t="str">
        <f>SUM(Q677:S677)+U677</f>
        <v>#REF!</v>
      </c>
      <c r="X677">
        <v>0</v>
      </c>
      <c r="Y677" t="str">
        <f>V677*0.038</f>
        <v>#REF!</v>
      </c>
      <c r="Z677" t="str">
        <f>V677*0.02</f>
        <v>#REF!</v>
      </c>
      <c r="AA677" t="str">
        <f>W677*0.1</f>
        <v>#REF!</v>
      </c>
      <c r="AB677" t="str">
        <f>V677-Y677-Z677</f>
        <v>#REF!</v>
      </c>
      <c r="AC677" t="str">
        <f>W677-AA677</f>
        <v>#REF!</v>
      </c>
      <c r="AD677" t="str">
        <f>AB677*0.01</f>
        <v>#REF!</v>
      </c>
      <c r="AE677" t="str">
        <f>AB677-Q677-AD677-R677</f>
        <v>#REF!</v>
      </c>
      <c r="AF677" t="str">
        <f>AC677-Q677-AD677-R677</f>
        <v>#REF!</v>
      </c>
      <c r="AG677" t="str">
        <f>AE677/V677</f>
        <v>#REF!</v>
      </c>
      <c r="AH677" t="str">
        <f>AF677/W677</f>
        <v>#REF!</v>
      </c>
    </row>
    <row r="678">
      <c r="G678" t="str">
        <v>A</v>
      </c>
      <c r="J678" t="str">
        <f>IF(K678&gt;0,K678*0.0625,IF(L678&gt;0,L678*2.204623,))</f>
        <v>#REF!</v>
      </c>
      <c r="K678" t="str">
        <f>IF(L678&gt;0,L678*35.273962,IF(J678&gt;0,J678*16,))</f>
        <v>#REF!</v>
      </c>
      <c r="L678" t="str">
        <f>IF(J678&gt;0,J678*0.453592,IF(K678&gt;0,K678*0.02835,))</f>
        <v>#REF!</v>
      </c>
      <c r="O678">
        <f>I678+N678+M678</f>
        <v>0</v>
      </c>
      <c r="P678">
        <f>O678*B$3</f>
        <v>0</v>
      </c>
      <c r="Q678">
        <f>ROUND(SUM(P678), -2)</f>
        <v>0</v>
      </c>
      <c r="R678" t="str">
        <f>ROUNDUP(HLOOKUP(IF(CEILING(L678,0.5)&lt;1,0.5,CEILING(L678,0.5)),'배송비 조회'!A$44:AO$56,7,0)*B$3,-2)</f>
        <v>#REF!</v>
      </c>
      <c r="S678">
        <v>0</v>
      </c>
      <c r="T678" t="str">
        <f>ROUND((Q678+R678)*0.3,-2)</f>
        <v>#REF!</v>
      </c>
      <c r="U678" t="str">
        <f>ROUND((Q678+R678)*0.4,-2)</f>
        <v>#REF!</v>
      </c>
      <c r="V678" t="str">
        <f>SUM(Q678:R678)+T678</f>
        <v>#REF!</v>
      </c>
      <c r="W678" t="str">
        <f>SUM(Q678:S678)+U678</f>
        <v>#REF!</v>
      </c>
      <c r="X678">
        <v>0</v>
      </c>
      <c r="Y678" t="str">
        <f>V678*0.038</f>
        <v>#REF!</v>
      </c>
      <c r="Z678" t="str">
        <f>V678*0.02</f>
        <v>#REF!</v>
      </c>
      <c r="AA678" t="str">
        <f>W678*0.1</f>
        <v>#REF!</v>
      </c>
      <c r="AB678" t="str">
        <f>V678-Y678-Z678</f>
        <v>#REF!</v>
      </c>
      <c r="AC678" t="str">
        <f>W678-AA678</f>
        <v>#REF!</v>
      </c>
      <c r="AD678" t="str">
        <f>AB678*0.01</f>
        <v>#REF!</v>
      </c>
      <c r="AE678" t="str">
        <f>AB678-Q678-AD678-R678</f>
        <v>#REF!</v>
      </c>
      <c r="AF678" t="str">
        <f>AC678-Q678-AD678-R678</f>
        <v>#REF!</v>
      </c>
      <c r="AG678" t="str">
        <f>AE678/V678</f>
        <v>#REF!</v>
      </c>
      <c r="AH678" t="str">
        <f>AF678/W678</f>
        <v>#REF!</v>
      </c>
    </row>
    <row r="679">
      <c r="G679" t="str">
        <v>A</v>
      </c>
      <c r="J679" t="str">
        <f>IF(K679&gt;0,K679*0.0625,IF(L679&gt;0,L679*2.204623,))</f>
        <v>#REF!</v>
      </c>
      <c r="K679" t="str">
        <f>IF(L679&gt;0,L679*35.273962,IF(J679&gt;0,J679*16,))</f>
        <v>#REF!</v>
      </c>
      <c r="L679" t="str">
        <f>IF(J679&gt;0,J679*0.453592,IF(K679&gt;0,K679*0.02835,))</f>
        <v>#REF!</v>
      </c>
      <c r="O679">
        <f>I679+N679+M679</f>
        <v>0</v>
      </c>
      <c r="P679">
        <f>O679*B$3</f>
        <v>0</v>
      </c>
      <c r="Q679">
        <f>ROUND(SUM(P679), -2)</f>
        <v>0</v>
      </c>
      <c r="R679" t="str">
        <f>ROUNDUP(HLOOKUP(IF(CEILING(L679,0.5)&lt;1,0.5,CEILING(L679,0.5)),'배송비 조회'!A$44:AO$56,7,0)*B$3,-2)</f>
        <v>#REF!</v>
      </c>
      <c r="S679">
        <v>0</v>
      </c>
      <c r="T679" t="str">
        <f>ROUND((Q679+R679)*0.3,-2)</f>
        <v>#REF!</v>
      </c>
      <c r="U679" t="str">
        <f>ROUND((Q679+R679)*0.4,-2)</f>
        <v>#REF!</v>
      </c>
      <c r="V679" t="str">
        <f>SUM(Q679:R679)+T679</f>
        <v>#REF!</v>
      </c>
      <c r="W679" t="str">
        <f>SUM(Q679:S679)+U679</f>
        <v>#REF!</v>
      </c>
      <c r="X679">
        <v>0</v>
      </c>
      <c r="Y679" t="str">
        <f>V679*0.038</f>
        <v>#REF!</v>
      </c>
      <c r="Z679" t="str">
        <f>V679*0.02</f>
        <v>#REF!</v>
      </c>
      <c r="AA679" t="str">
        <f>W679*0.1</f>
        <v>#REF!</v>
      </c>
      <c r="AB679" t="str">
        <f>V679-Y679-Z679</f>
        <v>#REF!</v>
      </c>
      <c r="AC679" t="str">
        <f>W679-AA679</f>
        <v>#REF!</v>
      </c>
      <c r="AD679" t="str">
        <f>AB679*0.01</f>
        <v>#REF!</v>
      </c>
      <c r="AE679" t="str">
        <f>AB679-Q679-AD679-R679</f>
        <v>#REF!</v>
      </c>
      <c r="AF679" t="str">
        <f>AC679-Q679-AD679-R679</f>
        <v>#REF!</v>
      </c>
      <c r="AG679" t="str">
        <f>AE679/V679</f>
        <v>#REF!</v>
      </c>
      <c r="AH679" t="str">
        <f>AF679/W679</f>
        <v>#REF!</v>
      </c>
    </row>
    <row r="680">
      <c r="G680" t="str">
        <v>A</v>
      </c>
      <c r="J680" t="str">
        <f>IF(K680&gt;0,K680*0.0625,IF(L680&gt;0,L680*2.204623,))</f>
        <v>#REF!</v>
      </c>
      <c r="K680" t="str">
        <f>IF(L680&gt;0,L680*35.273962,IF(J680&gt;0,J680*16,))</f>
        <v>#REF!</v>
      </c>
      <c r="L680" t="str">
        <f>IF(J680&gt;0,J680*0.453592,IF(K680&gt;0,K680*0.02835,))</f>
        <v>#REF!</v>
      </c>
      <c r="O680">
        <f>I680+N680+M680</f>
        <v>0</v>
      </c>
      <c r="P680">
        <f>O680*B$3</f>
        <v>0</v>
      </c>
      <c r="Q680">
        <f>ROUND(SUM(P680), -2)</f>
        <v>0</v>
      </c>
      <c r="R680" t="str">
        <f>ROUNDUP(HLOOKUP(IF(CEILING(L680,0.5)&lt;1,0.5,CEILING(L680,0.5)),'배송비 조회'!A$44:AO$56,7,0)*B$3,-2)</f>
        <v>#REF!</v>
      </c>
      <c r="S680">
        <v>0</v>
      </c>
      <c r="T680" t="str">
        <f>ROUND((Q680+R680)*0.3,-2)</f>
        <v>#REF!</v>
      </c>
      <c r="U680" t="str">
        <f>ROUND((Q680+R680)*0.4,-2)</f>
        <v>#REF!</v>
      </c>
      <c r="V680" t="str">
        <f>SUM(Q680:R680)+T680</f>
        <v>#REF!</v>
      </c>
      <c r="W680" t="str">
        <f>SUM(Q680:S680)+U680</f>
        <v>#REF!</v>
      </c>
      <c r="X680">
        <v>0</v>
      </c>
      <c r="Y680" t="str">
        <f>V680*0.038</f>
        <v>#REF!</v>
      </c>
      <c r="Z680" t="str">
        <f>V680*0.02</f>
        <v>#REF!</v>
      </c>
      <c r="AA680" t="str">
        <f>W680*0.1</f>
        <v>#REF!</v>
      </c>
      <c r="AB680" t="str">
        <f>V680-Y680-Z680</f>
        <v>#REF!</v>
      </c>
      <c r="AC680" t="str">
        <f>W680-AA680</f>
        <v>#REF!</v>
      </c>
      <c r="AD680" t="str">
        <f>AB680*0.01</f>
        <v>#REF!</v>
      </c>
      <c r="AE680" t="str">
        <f>AB680-Q680-AD680-R680</f>
        <v>#REF!</v>
      </c>
      <c r="AF680" t="str">
        <f>AC680-Q680-AD680-R680</f>
        <v>#REF!</v>
      </c>
      <c r="AG680" t="str">
        <f>AE680/V680</f>
        <v>#REF!</v>
      </c>
      <c r="AH680" t="str">
        <f>AF680/W680</f>
        <v>#REF!</v>
      </c>
    </row>
    <row r="681">
      <c r="G681" t="str">
        <v>A</v>
      </c>
      <c r="J681" t="str">
        <f>IF(K681&gt;0,K681*0.0625,IF(L681&gt;0,L681*2.204623,))</f>
        <v>#REF!</v>
      </c>
      <c r="K681" t="str">
        <f>IF(L681&gt;0,L681*35.273962,IF(J681&gt;0,J681*16,))</f>
        <v>#REF!</v>
      </c>
      <c r="L681" t="str">
        <f>IF(J681&gt;0,J681*0.453592,IF(K681&gt;0,K681*0.02835,))</f>
        <v>#REF!</v>
      </c>
      <c r="O681">
        <f>I681+N681+M681</f>
        <v>0</v>
      </c>
      <c r="P681">
        <f>O681*B$3</f>
        <v>0</v>
      </c>
      <c r="Q681">
        <f>ROUND(SUM(P681), -2)</f>
        <v>0</v>
      </c>
      <c r="R681" t="str">
        <f>ROUNDUP(HLOOKUP(IF(CEILING(L681,0.5)&lt;1,0.5,CEILING(L681,0.5)),'배송비 조회'!A$44:AO$56,7,0)*B$3,-2)</f>
        <v>#REF!</v>
      </c>
      <c r="S681">
        <v>0</v>
      </c>
      <c r="T681" t="str">
        <f>ROUND((Q681+R681)*0.3,-2)</f>
        <v>#REF!</v>
      </c>
      <c r="U681" t="str">
        <f>ROUND((Q681+R681)*0.4,-2)</f>
        <v>#REF!</v>
      </c>
      <c r="V681" t="str">
        <f>SUM(Q681:R681)+T681</f>
        <v>#REF!</v>
      </c>
      <c r="W681" t="str">
        <f>SUM(Q681:S681)+U681</f>
        <v>#REF!</v>
      </c>
      <c r="X681">
        <v>0</v>
      </c>
      <c r="Y681" t="str">
        <f>V681*0.038</f>
        <v>#REF!</v>
      </c>
      <c r="Z681" t="str">
        <f>V681*0.02</f>
        <v>#REF!</v>
      </c>
      <c r="AA681" t="str">
        <f>W681*0.1</f>
        <v>#REF!</v>
      </c>
      <c r="AB681" t="str">
        <f>V681-Y681-Z681</f>
        <v>#REF!</v>
      </c>
      <c r="AC681" t="str">
        <f>W681-AA681</f>
        <v>#REF!</v>
      </c>
      <c r="AD681" t="str">
        <f>AB681*0.01</f>
        <v>#REF!</v>
      </c>
      <c r="AE681" t="str">
        <f>AB681-Q681-AD681-R681</f>
        <v>#REF!</v>
      </c>
      <c r="AF681" t="str">
        <f>AC681-Q681-AD681-R681</f>
        <v>#REF!</v>
      </c>
      <c r="AG681" t="str">
        <f>AE681/V681</f>
        <v>#REF!</v>
      </c>
      <c r="AH681" t="str">
        <f>AF681/W681</f>
        <v>#REF!</v>
      </c>
    </row>
    <row r="682">
      <c r="G682" t="str">
        <v>A</v>
      </c>
      <c r="J682" t="str">
        <f>IF(K682&gt;0,K682*0.0625,IF(L682&gt;0,L682*2.204623,))</f>
        <v>#REF!</v>
      </c>
      <c r="K682" t="str">
        <f>IF(L682&gt;0,L682*35.273962,IF(J682&gt;0,J682*16,))</f>
        <v>#REF!</v>
      </c>
      <c r="L682" t="str">
        <f>IF(J682&gt;0,J682*0.453592,IF(K682&gt;0,K682*0.02835,))</f>
        <v>#REF!</v>
      </c>
      <c r="O682">
        <f>I682+N682+M682</f>
        <v>0</v>
      </c>
      <c r="P682">
        <f>O682*B$3</f>
        <v>0</v>
      </c>
      <c r="Q682">
        <f>ROUND(SUM(P682), -2)</f>
        <v>0</v>
      </c>
      <c r="R682" t="str">
        <f>ROUNDUP(HLOOKUP(IF(CEILING(L682,0.5)&lt;1,0.5,CEILING(L682,0.5)),'배송비 조회'!A$44:AO$56,7,0)*B$3,-2)</f>
        <v>#REF!</v>
      </c>
      <c r="S682">
        <v>0</v>
      </c>
      <c r="T682" t="str">
        <f>ROUND((Q682+R682)*0.3,-2)</f>
        <v>#REF!</v>
      </c>
      <c r="U682" t="str">
        <f>ROUND((Q682+R682)*0.4,-2)</f>
        <v>#REF!</v>
      </c>
      <c r="V682" t="str">
        <f>SUM(Q682:R682)+T682</f>
        <v>#REF!</v>
      </c>
      <c r="W682" t="str">
        <f>SUM(Q682:S682)+U682</f>
        <v>#REF!</v>
      </c>
      <c r="X682">
        <v>0</v>
      </c>
      <c r="Y682" t="str">
        <f>V682*0.038</f>
        <v>#REF!</v>
      </c>
      <c r="Z682" t="str">
        <f>V682*0.02</f>
        <v>#REF!</v>
      </c>
      <c r="AA682" t="str">
        <f>W682*0.1</f>
        <v>#REF!</v>
      </c>
      <c r="AB682" t="str">
        <f>V682-Y682-Z682</f>
        <v>#REF!</v>
      </c>
      <c r="AC682" t="str">
        <f>W682-AA682</f>
        <v>#REF!</v>
      </c>
      <c r="AD682" t="str">
        <f>AB682*0.01</f>
        <v>#REF!</v>
      </c>
      <c r="AE682" t="str">
        <f>AB682-Q682-AD682-R682</f>
        <v>#REF!</v>
      </c>
      <c r="AF682" t="str">
        <f>AC682-Q682-AD682-R682</f>
        <v>#REF!</v>
      </c>
      <c r="AG682" t="str">
        <f>AE682/V682</f>
        <v>#REF!</v>
      </c>
      <c r="AH682" t="str">
        <f>AF682/W682</f>
        <v>#REF!</v>
      </c>
    </row>
    <row r="683">
      <c r="G683" t="str">
        <v>A</v>
      </c>
      <c r="J683" t="str">
        <f>IF(K683&gt;0,K683*0.0625,IF(L683&gt;0,L683*2.204623,))</f>
        <v>#REF!</v>
      </c>
      <c r="K683" t="str">
        <f>IF(L683&gt;0,L683*35.273962,IF(J683&gt;0,J683*16,))</f>
        <v>#REF!</v>
      </c>
      <c r="L683" t="str">
        <f>IF(J683&gt;0,J683*0.453592,IF(K683&gt;0,K683*0.02835,))</f>
        <v>#REF!</v>
      </c>
      <c r="O683">
        <f>I683+N683+M683</f>
        <v>0</v>
      </c>
      <c r="P683">
        <f>O683*B$3</f>
        <v>0</v>
      </c>
      <c r="Q683">
        <f>ROUND(SUM(P683), -2)</f>
        <v>0</v>
      </c>
      <c r="R683" t="str">
        <f>ROUNDUP(HLOOKUP(IF(CEILING(L683,0.5)&lt;1,0.5,CEILING(L683,0.5)),'배송비 조회'!A$44:AO$56,7,0)*B$3,-2)</f>
        <v>#REF!</v>
      </c>
      <c r="S683">
        <v>0</v>
      </c>
      <c r="T683" t="str">
        <f>ROUND((Q683+R683)*0.3,-2)</f>
        <v>#REF!</v>
      </c>
      <c r="U683" t="str">
        <f>ROUND((Q683+R683)*0.4,-2)</f>
        <v>#REF!</v>
      </c>
      <c r="V683" t="str">
        <f>SUM(Q683:R683)+T683</f>
        <v>#REF!</v>
      </c>
      <c r="W683" t="str">
        <f>SUM(Q683:S683)+U683</f>
        <v>#REF!</v>
      </c>
      <c r="X683">
        <v>0</v>
      </c>
      <c r="Y683" t="str">
        <f>V683*0.038</f>
        <v>#REF!</v>
      </c>
      <c r="Z683" t="str">
        <f>V683*0.02</f>
        <v>#REF!</v>
      </c>
      <c r="AA683" t="str">
        <f>W683*0.1</f>
        <v>#REF!</v>
      </c>
      <c r="AB683" t="str">
        <f>V683-Y683-Z683</f>
        <v>#REF!</v>
      </c>
      <c r="AC683" t="str">
        <f>W683-AA683</f>
        <v>#REF!</v>
      </c>
      <c r="AD683" t="str">
        <f>AB683*0.01</f>
        <v>#REF!</v>
      </c>
      <c r="AE683" t="str">
        <f>AB683-Q683-AD683-R683</f>
        <v>#REF!</v>
      </c>
      <c r="AF683" t="str">
        <f>AC683-Q683-AD683-R683</f>
        <v>#REF!</v>
      </c>
      <c r="AG683" t="str">
        <f>AE683/V683</f>
        <v>#REF!</v>
      </c>
      <c r="AH683" t="str">
        <f>AF683/W683</f>
        <v>#REF!</v>
      </c>
    </row>
    <row r="684">
      <c r="G684" t="str">
        <v>A</v>
      </c>
      <c r="J684" t="str">
        <f>IF(K684&gt;0,K684*0.0625,IF(L684&gt;0,L684*2.204623,))</f>
        <v>#REF!</v>
      </c>
      <c r="K684" t="str">
        <f>IF(L684&gt;0,L684*35.273962,IF(J684&gt;0,J684*16,))</f>
        <v>#REF!</v>
      </c>
      <c r="L684" t="str">
        <f>IF(J684&gt;0,J684*0.453592,IF(K684&gt;0,K684*0.02835,))</f>
        <v>#REF!</v>
      </c>
      <c r="O684">
        <f>I684+N684+M684</f>
        <v>0</v>
      </c>
      <c r="P684">
        <f>O684*B$3</f>
        <v>0</v>
      </c>
      <c r="Q684">
        <f>ROUND(SUM(P684), -2)</f>
        <v>0</v>
      </c>
      <c r="R684" t="str">
        <f>ROUNDUP(HLOOKUP(IF(CEILING(L684,0.5)&lt;1,0.5,CEILING(L684,0.5)),'배송비 조회'!A$44:AO$56,7,0)*B$3,-2)</f>
        <v>#REF!</v>
      </c>
      <c r="S684">
        <v>0</v>
      </c>
      <c r="T684" t="str">
        <f>ROUND((Q684+R684)*0.3,-2)</f>
        <v>#REF!</v>
      </c>
      <c r="U684" t="str">
        <f>ROUND((Q684+R684)*0.4,-2)</f>
        <v>#REF!</v>
      </c>
      <c r="V684" t="str">
        <f>SUM(Q684:R684)+T684</f>
        <v>#REF!</v>
      </c>
      <c r="W684" t="str">
        <f>SUM(Q684:S684)+U684</f>
        <v>#REF!</v>
      </c>
      <c r="X684">
        <v>0</v>
      </c>
      <c r="Y684" t="str">
        <f>V684*0.038</f>
        <v>#REF!</v>
      </c>
      <c r="Z684" t="str">
        <f>V684*0.02</f>
        <v>#REF!</v>
      </c>
      <c r="AA684" t="str">
        <f>W684*0.1</f>
        <v>#REF!</v>
      </c>
      <c r="AB684" t="str">
        <f>V684-Y684-Z684</f>
        <v>#REF!</v>
      </c>
      <c r="AC684" t="str">
        <f>W684-AA684</f>
        <v>#REF!</v>
      </c>
      <c r="AD684" t="str">
        <f>AB684*0.01</f>
        <v>#REF!</v>
      </c>
      <c r="AE684" t="str">
        <f>AB684-Q684-AD684-R684</f>
        <v>#REF!</v>
      </c>
      <c r="AF684" t="str">
        <f>AC684-Q684-AD684-R684</f>
        <v>#REF!</v>
      </c>
      <c r="AG684" t="str">
        <f>AE684/V684</f>
        <v>#REF!</v>
      </c>
      <c r="AH684" t="str">
        <f>AF684/W684</f>
        <v>#REF!</v>
      </c>
    </row>
    <row r="685">
      <c r="G685" t="str">
        <v>A</v>
      </c>
      <c r="J685" t="str">
        <f>IF(K685&gt;0,K685*0.0625,IF(L685&gt;0,L685*2.204623,))</f>
        <v>#REF!</v>
      </c>
      <c r="K685" t="str">
        <f>IF(L685&gt;0,L685*35.273962,IF(J685&gt;0,J685*16,))</f>
        <v>#REF!</v>
      </c>
      <c r="L685" t="str">
        <f>IF(J685&gt;0,J685*0.453592,IF(K685&gt;0,K685*0.02835,))</f>
        <v>#REF!</v>
      </c>
      <c r="O685">
        <f>I685+N685+M685</f>
        <v>0</v>
      </c>
      <c r="P685">
        <f>O685*B$3</f>
        <v>0</v>
      </c>
      <c r="Q685">
        <f>ROUND(SUM(P685), -2)</f>
        <v>0</v>
      </c>
      <c r="R685" t="str">
        <f>ROUNDUP(HLOOKUP(IF(CEILING(L685,0.5)&lt;1,0.5,CEILING(L685,0.5)),'배송비 조회'!A$44:AO$56,7,0)*B$3,-2)</f>
        <v>#REF!</v>
      </c>
      <c r="S685">
        <v>0</v>
      </c>
      <c r="T685" t="str">
        <f>ROUND((Q685+R685)*0.3,-2)</f>
        <v>#REF!</v>
      </c>
      <c r="U685" t="str">
        <f>ROUND((Q685+R685)*0.4,-2)</f>
        <v>#REF!</v>
      </c>
      <c r="V685" t="str">
        <f>SUM(Q685:R685)+T685</f>
        <v>#REF!</v>
      </c>
      <c r="W685" t="str">
        <f>SUM(Q685:S685)+U685</f>
        <v>#REF!</v>
      </c>
      <c r="X685">
        <v>0</v>
      </c>
      <c r="Y685" t="str">
        <f>V685*0.038</f>
        <v>#REF!</v>
      </c>
      <c r="Z685" t="str">
        <f>V685*0.02</f>
        <v>#REF!</v>
      </c>
      <c r="AA685" t="str">
        <f>W685*0.1</f>
        <v>#REF!</v>
      </c>
      <c r="AB685" t="str">
        <f>V685-Y685-Z685</f>
        <v>#REF!</v>
      </c>
      <c r="AC685" t="str">
        <f>W685-AA685</f>
        <v>#REF!</v>
      </c>
      <c r="AD685" t="str">
        <f>AB685*0.01</f>
        <v>#REF!</v>
      </c>
      <c r="AE685" t="str">
        <f>AB685-Q685-AD685-R685</f>
        <v>#REF!</v>
      </c>
      <c r="AF685" t="str">
        <f>AC685-Q685-AD685-R685</f>
        <v>#REF!</v>
      </c>
      <c r="AG685" t="str">
        <f>AE685/V685</f>
        <v>#REF!</v>
      </c>
      <c r="AH685" t="str">
        <f>AF685/W685</f>
        <v>#REF!</v>
      </c>
    </row>
    <row r="686">
      <c r="G686" t="str">
        <v>A</v>
      </c>
      <c r="J686" t="str">
        <f>IF(K686&gt;0,K686*0.0625,IF(L686&gt;0,L686*2.204623,))</f>
        <v>#REF!</v>
      </c>
      <c r="K686" t="str">
        <f>IF(L686&gt;0,L686*35.273962,IF(J686&gt;0,J686*16,))</f>
        <v>#REF!</v>
      </c>
      <c r="L686" t="str">
        <f>IF(J686&gt;0,J686*0.453592,IF(K686&gt;0,K686*0.02835,))</f>
        <v>#REF!</v>
      </c>
      <c r="O686">
        <f>I686+N686+M686</f>
        <v>0</v>
      </c>
      <c r="P686">
        <f>O686*B$3</f>
        <v>0</v>
      </c>
      <c r="Q686">
        <f>ROUND(SUM(P686), -2)</f>
        <v>0</v>
      </c>
      <c r="R686" t="str">
        <f>ROUNDUP(HLOOKUP(IF(CEILING(L686,0.5)&lt;1,0.5,CEILING(L686,0.5)),'배송비 조회'!A$44:AO$56,7,0)*B$3,-2)</f>
        <v>#REF!</v>
      </c>
      <c r="S686">
        <v>0</v>
      </c>
      <c r="T686" t="str">
        <f>ROUND((Q686+R686)*0.3,-2)</f>
        <v>#REF!</v>
      </c>
      <c r="U686" t="str">
        <f>ROUND((Q686+R686)*0.4,-2)</f>
        <v>#REF!</v>
      </c>
      <c r="V686" t="str">
        <f>SUM(Q686:R686)+T686</f>
        <v>#REF!</v>
      </c>
      <c r="W686" t="str">
        <f>SUM(Q686:S686)+U686</f>
        <v>#REF!</v>
      </c>
      <c r="X686">
        <v>0</v>
      </c>
      <c r="Y686" t="str">
        <f>V686*0.038</f>
        <v>#REF!</v>
      </c>
      <c r="Z686" t="str">
        <f>V686*0.02</f>
        <v>#REF!</v>
      </c>
      <c r="AA686" t="str">
        <f>W686*0.1</f>
        <v>#REF!</v>
      </c>
      <c r="AB686" t="str">
        <f>V686-Y686-Z686</f>
        <v>#REF!</v>
      </c>
      <c r="AC686" t="str">
        <f>W686-AA686</f>
        <v>#REF!</v>
      </c>
      <c r="AD686" t="str">
        <f>AB686*0.01</f>
        <v>#REF!</v>
      </c>
      <c r="AE686" t="str">
        <f>AB686-Q686-AD686-R686</f>
        <v>#REF!</v>
      </c>
      <c r="AF686" t="str">
        <f>AC686-Q686-AD686-R686</f>
        <v>#REF!</v>
      </c>
      <c r="AG686" t="str">
        <f>AE686/V686</f>
        <v>#REF!</v>
      </c>
      <c r="AH686" t="str">
        <f>AF686/W686</f>
        <v>#REF!</v>
      </c>
    </row>
    <row r="687">
      <c r="G687" t="str">
        <v>A</v>
      </c>
      <c r="J687" t="str">
        <f>IF(K687&gt;0,K687*0.0625,IF(L687&gt;0,L687*2.204623,))</f>
        <v>#REF!</v>
      </c>
      <c r="K687" t="str">
        <f>IF(L687&gt;0,L687*35.273962,IF(J687&gt;0,J687*16,))</f>
        <v>#REF!</v>
      </c>
      <c r="L687" t="str">
        <f>IF(J687&gt;0,J687*0.453592,IF(K687&gt;0,K687*0.02835,))</f>
        <v>#REF!</v>
      </c>
      <c r="O687">
        <f>I687+N687+M687</f>
        <v>0</v>
      </c>
      <c r="P687">
        <f>O687*B$3</f>
        <v>0</v>
      </c>
      <c r="Q687">
        <f>ROUND(SUM(P687), -2)</f>
        <v>0</v>
      </c>
      <c r="R687" t="str">
        <f>ROUNDUP(HLOOKUP(IF(CEILING(L687,0.5)&lt;1,0.5,CEILING(L687,0.5)),'배송비 조회'!A$44:AO$56,7,0)*B$3,-2)</f>
        <v>#REF!</v>
      </c>
      <c r="S687">
        <v>0</v>
      </c>
      <c r="T687" t="str">
        <f>ROUND((Q687+R687)*0.3,-2)</f>
        <v>#REF!</v>
      </c>
      <c r="U687" t="str">
        <f>ROUND((Q687+R687)*0.4,-2)</f>
        <v>#REF!</v>
      </c>
      <c r="V687" t="str">
        <f>SUM(Q687:R687)+T687</f>
        <v>#REF!</v>
      </c>
      <c r="W687" t="str">
        <f>SUM(Q687:S687)+U687</f>
        <v>#REF!</v>
      </c>
      <c r="X687">
        <v>0</v>
      </c>
      <c r="Y687" t="str">
        <f>V687*0.038</f>
        <v>#REF!</v>
      </c>
      <c r="Z687" t="str">
        <f>V687*0.02</f>
        <v>#REF!</v>
      </c>
      <c r="AA687" t="str">
        <f>W687*0.1</f>
        <v>#REF!</v>
      </c>
      <c r="AB687" t="str">
        <f>V687-Y687-Z687</f>
        <v>#REF!</v>
      </c>
      <c r="AC687" t="str">
        <f>W687-AA687</f>
        <v>#REF!</v>
      </c>
      <c r="AD687" t="str">
        <f>AB687*0.01</f>
        <v>#REF!</v>
      </c>
      <c r="AE687" t="str">
        <f>AB687-Q687-AD687-R687</f>
        <v>#REF!</v>
      </c>
      <c r="AF687" t="str">
        <f>AC687-Q687-AD687-R687</f>
        <v>#REF!</v>
      </c>
      <c r="AG687" t="str">
        <f>AE687/V687</f>
        <v>#REF!</v>
      </c>
      <c r="AH687" t="str">
        <f>AF687/W687</f>
        <v>#REF!</v>
      </c>
    </row>
    <row r="688">
      <c r="G688" t="str">
        <v>A</v>
      </c>
      <c r="J688" t="str">
        <f>IF(K688&gt;0,K688*0.0625,IF(L688&gt;0,L688*2.204623,))</f>
        <v>#REF!</v>
      </c>
      <c r="K688" t="str">
        <f>IF(L688&gt;0,L688*35.273962,IF(J688&gt;0,J688*16,))</f>
        <v>#REF!</v>
      </c>
      <c r="L688" t="str">
        <f>IF(J688&gt;0,J688*0.453592,IF(K688&gt;0,K688*0.02835,))</f>
        <v>#REF!</v>
      </c>
      <c r="O688">
        <f>I688+N688+M688</f>
        <v>0</v>
      </c>
      <c r="P688">
        <f>O688*B$3</f>
        <v>0</v>
      </c>
      <c r="Q688">
        <f>ROUND(SUM(P688), -2)</f>
        <v>0</v>
      </c>
      <c r="R688" t="str">
        <f>ROUNDUP(HLOOKUP(IF(CEILING(L688,0.5)&lt;1,0.5,CEILING(L688,0.5)),'배송비 조회'!A$44:AO$56,7,0)*B$3,-2)</f>
        <v>#REF!</v>
      </c>
      <c r="S688">
        <v>0</v>
      </c>
      <c r="T688" t="str">
        <f>ROUND((Q688+R688)*0.3,-2)</f>
        <v>#REF!</v>
      </c>
      <c r="U688" t="str">
        <f>ROUND((Q688+R688)*0.4,-2)</f>
        <v>#REF!</v>
      </c>
      <c r="V688" t="str">
        <f>SUM(Q688:R688)+T688</f>
        <v>#REF!</v>
      </c>
      <c r="W688" t="str">
        <f>SUM(Q688:S688)+U688</f>
        <v>#REF!</v>
      </c>
      <c r="X688">
        <v>0</v>
      </c>
      <c r="Y688" t="str">
        <f>V688*0.038</f>
        <v>#REF!</v>
      </c>
      <c r="Z688" t="str">
        <f>V688*0.02</f>
        <v>#REF!</v>
      </c>
      <c r="AA688" t="str">
        <f>W688*0.1</f>
        <v>#REF!</v>
      </c>
      <c r="AB688" t="str">
        <f>V688-Y688-Z688</f>
        <v>#REF!</v>
      </c>
      <c r="AC688" t="str">
        <f>W688-AA688</f>
        <v>#REF!</v>
      </c>
      <c r="AD688" t="str">
        <f>AB688*0.01</f>
        <v>#REF!</v>
      </c>
      <c r="AE688" t="str">
        <f>AB688-Q688-AD688-R688</f>
        <v>#REF!</v>
      </c>
      <c r="AF688" t="str">
        <f>AC688-Q688-AD688-R688</f>
        <v>#REF!</v>
      </c>
      <c r="AG688" t="str">
        <f>AE688/V688</f>
        <v>#REF!</v>
      </c>
      <c r="AH688" t="str">
        <f>AF688/W688</f>
        <v>#REF!</v>
      </c>
    </row>
    <row r="689">
      <c r="G689" t="str">
        <v>A</v>
      </c>
      <c r="J689" t="str">
        <f>IF(K689&gt;0,K689*0.0625,IF(L689&gt;0,L689*2.204623,))</f>
        <v>#REF!</v>
      </c>
      <c r="K689" t="str">
        <f>IF(L689&gt;0,L689*35.273962,IF(J689&gt;0,J689*16,))</f>
        <v>#REF!</v>
      </c>
      <c r="L689" t="str">
        <f>IF(J689&gt;0,J689*0.453592,IF(K689&gt;0,K689*0.02835,))</f>
        <v>#REF!</v>
      </c>
      <c r="O689">
        <f>I689+N689+M689</f>
        <v>0</v>
      </c>
      <c r="P689">
        <f>O689*B$3</f>
        <v>0</v>
      </c>
      <c r="Q689">
        <f>ROUND(SUM(P689), -2)</f>
        <v>0</v>
      </c>
      <c r="R689" t="str">
        <f>ROUNDUP(HLOOKUP(IF(CEILING(L689,0.5)&lt;1,0.5,CEILING(L689,0.5)),'배송비 조회'!A$44:AO$56,7,0)*B$3,-2)</f>
        <v>#REF!</v>
      </c>
      <c r="S689">
        <v>0</v>
      </c>
      <c r="T689" t="str">
        <f>ROUND((Q689+R689)*0.3,-2)</f>
        <v>#REF!</v>
      </c>
      <c r="U689" t="str">
        <f>ROUND((Q689+R689)*0.4,-2)</f>
        <v>#REF!</v>
      </c>
      <c r="V689" t="str">
        <f>SUM(Q689:R689)+T689</f>
        <v>#REF!</v>
      </c>
      <c r="W689" t="str">
        <f>SUM(Q689:S689)+U689</f>
        <v>#REF!</v>
      </c>
      <c r="X689">
        <v>0</v>
      </c>
      <c r="Y689" t="str">
        <f>V689*0.038</f>
        <v>#REF!</v>
      </c>
      <c r="Z689" t="str">
        <f>V689*0.02</f>
        <v>#REF!</v>
      </c>
      <c r="AA689" t="str">
        <f>W689*0.1</f>
        <v>#REF!</v>
      </c>
      <c r="AB689" t="str">
        <f>V689-Y689-Z689</f>
        <v>#REF!</v>
      </c>
      <c r="AC689" t="str">
        <f>W689-AA689</f>
        <v>#REF!</v>
      </c>
      <c r="AD689" t="str">
        <f>AB689*0.01</f>
        <v>#REF!</v>
      </c>
      <c r="AE689" t="str">
        <f>AB689-Q689-AD689-R689</f>
        <v>#REF!</v>
      </c>
      <c r="AF689" t="str">
        <f>AC689-Q689-AD689-R689</f>
        <v>#REF!</v>
      </c>
      <c r="AG689" t="str">
        <f>AE689/V689</f>
        <v>#REF!</v>
      </c>
      <c r="AH689" t="str">
        <f>AF689/W689</f>
        <v>#REF!</v>
      </c>
    </row>
    <row r="690">
      <c r="G690" t="str">
        <v>A</v>
      </c>
      <c r="J690" t="str">
        <f>IF(K690&gt;0,K690*0.0625,IF(L690&gt;0,L690*2.204623,))</f>
        <v>#REF!</v>
      </c>
      <c r="K690" t="str">
        <f>IF(L690&gt;0,L690*35.273962,IF(J690&gt;0,J690*16,))</f>
        <v>#REF!</v>
      </c>
      <c r="L690" t="str">
        <f>IF(J690&gt;0,J690*0.453592,IF(K690&gt;0,K690*0.02835,))</f>
        <v>#REF!</v>
      </c>
      <c r="O690">
        <f>I690+N690+M690</f>
        <v>0</v>
      </c>
      <c r="P690">
        <f>O690*B$3</f>
        <v>0</v>
      </c>
      <c r="Q690">
        <f>ROUND(SUM(P690), -2)</f>
        <v>0</v>
      </c>
      <c r="R690" t="str">
        <f>ROUNDUP(HLOOKUP(IF(CEILING(L690,0.5)&lt;1,0.5,CEILING(L690,0.5)),'배송비 조회'!A$44:AO$56,7,0)*B$3,-2)</f>
        <v>#REF!</v>
      </c>
      <c r="S690">
        <v>0</v>
      </c>
      <c r="T690" t="str">
        <f>ROUND((Q690+R690)*0.3,-2)</f>
        <v>#REF!</v>
      </c>
      <c r="U690" t="str">
        <f>ROUND((Q690+R690)*0.4,-2)</f>
        <v>#REF!</v>
      </c>
      <c r="V690" t="str">
        <f>SUM(Q690:R690)+T690</f>
        <v>#REF!</v>
      </c>
      <c r="W690" t="str">
        <f>SUM(Q690:S690)+U690</f>
        <v>#REF!</v>
      </c>
      <c r="X690">
        <v>0</v>
      </c>
      <c r="Y690" t="str">
        <f>V690*0.038</f>
        <v>#REF!</v>
      </c>
      <c r="Z690" t="str">
        <f>V690*0.02</f>
        <v>#REF!</v>
      </c>
      <c r="AA690" t="str">
        <f>W690*0.1</f>
        <v>#REF!</v>
      </c>
      <c r="AB690" t="str">
        <f>V690-Y690-Z690</f>
        <v>#REF!</v>
      </c>
      <c r="AC690" t="str">
        <f>W690-AA690</f>
        <v>#REF!</v>
      </c>
      <c r="AD690" t="str">
        <f>AB690*0.01</f>
        <v>#REF!</v>
      </c>
      <c r="AE690" t="str">
        <f>AB690-Q690-AD690-R690</f>
        <v>#REF!</v>
      </c>
      <c r="AF690" t="str">
        <f>AC690-Q690-AD690-R690</f>
        <v>#REF!</v>
      </c>
      <c r="AG690" t="str">
        <f>AE690/V690</f>
        <v>#REF!</v>
      </c>
      <c r="AH690" t="str">
        <f>AF690/W690</f>
        <v>#REF!</v>
      </c>
    </row>
    <row r="691">
      <c r="G691" t="str">
        <v>A</v>
      </c>
      <c r="J691" t="str">
        <f>IF(K691&gt;0,K691*0.0625,IF(L691&gt;0,L691*2.204623,))</f>
        <v>#REF!</v>
      </c>
      <c r="K691" t="str">
        <f>IF(L691&gt;0,L691*35.273962,IF(J691&gt;0,J691*16,))</f>
        <v>#REF!</v>
      </c>
      <c r="L691" t="str">
        <f>IF(J691&gt;0,J691*0.453592,IF(K691&gt;0,K691*0.02835,))</f>
        <v>#REF!</v>
      </c>
      <c r="O691">
        <f>I691+N691+M691</f>
        <v>0</v>
      </c>
      <c r="P691">
        <f>O691*B$3</f>
        <v>0</v>
      </c>
      <c r="Q691">
        <f>ROUND(SUM(P691), -2)</f>
        <v>0</v>
      </c>
      <c r="R691" t="str">
        <f>ROUNDUP(HLOOKUP(IF(CEILING(L691,0.5)&lt;1,0.5,CEILING(L691,0.5)),'배송비 조회'!A$44:AO$56,7,0)*B$3,-2)</f>
        <v>#REF!</v>
      </c>
      <c r="S691">
        <v>0</v>
      </c>
      <c r="T691" t="str">
        <f>ROUND((Q691+R691)*0.3,-2)</f>
        <v>#REF!</v>
      </c>
      <c r="U691" t="str">
        <f>ROUND((Q691+R691)*0.4,-2)</f>
        <v>#REF!</v>
      </c>
      <c r="V691" t="str">
        <f>SUM(Q691:R691)+T691</f>
        <v>#REF!</v>
      </c>
      <c r="W691" t="str">
        <f>SUM(Q691:S691)+U691</f>
        <v>#REF!</v>
      </c>
      <c r="X691">
        <v>0</v>
      </c>
      <c r="Y691" t="str">
        <f>V691*0.038</f>
        <v>#REF!</v>
      </c>
      <c r="Z691" t="str">
        <f>V691*0.02</f>
        <v>#REF!</v>
      </c>
      <c r="AA691" t="str">
        <f>W691*0.1</f>
        <v>#REF!</v>
      </c>
      <c r="AB691" t="str">
        <f>V691-Y691-Z691</f>
        <v>#REF!</v>
      </c>
      <c r="AC691" t="str">
        <f>W691-AA691</f>
        <v>#REF!</v>
      </c>
      <c r="AD691" t="str">
        <f>AB691*0.01</f>
        <v>#REF!</v>
      </c>
      <c r="AE691" t="str">
        <f>AB691-Q691-AD691-R691</f>
        <v>#REF!</v>
      </c>
      <c r="AF691" t="str">
        <f>AC691-Q691-AD691-R691</f>
        <v>#REF!</v>
      </c>
      <c r="AG691" t="str">
        <f>AE691/V691</f>
        <v>#REF!</v>
      </c>
      <c r="AH691" t="str">
        <f>AF691/W691</f>
        <v>#REF!</v>
      </c>
    </row>
    <row r="692">
      <c r="G692" t="str">
        <v>A</v>
      </c>
      <c r="J692" t="str">
        <f>IF(K692&gt;0,K692*0.0625,IF(L692&gt;0,L692*2.204623,))</f>
        <v>#REF!</v>
      </c>
      <c r="K692" t="str">
        <f>IF(L692&gt;0,L692*35.273962,IF(J692&gt;0,J692*16,))</f>
        <v>#REF!</v>
      </c>
      <c r="L692" t="str">
        <f>IF(J692&gt;0,J692*0.453592,IF(K692&gt;0,K692*0.02835,))</f>
        <v>#REF!</v>
      </c>
      <c r="O692">
        <f>I692+N692+M692</f>
        <v>0</v>
      </c>
      <c r="P692">
        <f>O692*B$3</f>
        <v>0</v>
      </c>
      <c r="Q692">
        <f>ROUND(SUM(P692), -2)</f>
        <v>0</v>
      </c>
      <c r="R692" t="str">
        <f>ROUNDUP(HLOOKUP(IF(CEILING(L692,0.5)&lt;1,0.5,CEILING(L692,0.5)),'배송비 조회'!A$44:AO$56,7,0)*B$3,-2)</f>
        <v>#REF!</v>
      </c>
      <c r="S692">
        <v>0</v>
      </c>
      <c r="T692" t="str">
        <f>ROUND((Q692+R692)*0.3,-2)</f>
        <v>#REF!</v>
      </c>
      <c r="U692" t="str">
        <f>ROUND((Q692+R692)*0.4,-2)</f>
        <v>#REF!</v>
      </c>
      <c r="V692" t="str">
        <f>SUM(Q692:R692)+T692</f>
        <v>#REF!</v>
      </c>
      <c r="W692" t="str">
        <f>SUM(Q692:S692)+U692</f>
        <v>#REF!</v>
      </c>
      <c r="X692">
        <v>0</v>
      </c>
      <c r="Y692" t="str">
        <f>V692*0.038</f>
        <v>#REF!</v>
      </c>
      <c r="Z692" t="str">
        <f>V692*0.02</f>
        <v>#REF!</v>
      </c>
      <c r="AA692" t="str">
        <f>W692*0.1</f>
        <v>#REF!</v>
      </c>
      <c r="AB692" t="str">
        <f>V692-Y692-Z692</f>
        <v>#REF!</v>
      </c>
      <c r="AC692" t="str">
        <f>W692-AA692</f>
        <v>#REF!</v>
      </c>
      <c r="AD692" t="str">
        <f>AB692*0.01</f>
        <v>#REF!</v>
      </c>
      <c r="AE692" t="str">
        <f>AB692-Q692-AD692-R692</f>
        <v>#REF!</v>
      </c>
      <c r="AF692" t="str">
        <f>AC692-Q692-AD692-R692</f>
        <v>#REF!</v>
      </c>
      <c r="AG692" t="str">
        <f>AE692/V692</f>
        <v>#REF!</v>
      </c>
      <c r="AH692" t="str">
        <f>AF692/W692</f>
        <v>#REF!</v>
      </c>
    </row>
    <row r="693">
      <c r="G693" t="str">
        <v>A</v>
      </c>
      <c r="J693" t="str">
        <f>IF(K693&gt;0,K693*0.0625,IF(L693&gt;0,L693*2.204623,))</f>
        <v>#REF!</v>
      </c>
      <c r="K693" t="str">
        <f>IF(L693&gt;0,L693*35.273962,IF(J693&gt;0,J693*16,))</f>
        <v>#REF!</v>
      </c>
      <c r="L693" t="str">
        <f>IF(J693&gt;0,J693*0.453592,IF(K693&gt;0,K693*0.02835,))</f>
        <v>#REF!</v>
      </c>
      <c r="O693">
        <f>I693+N693+M693</f>
        <v>0</v>
      </c>
      <c r="P693">
        <f>O693*B$3</f>
        <v>0</v>
      </c>
      <c r="Q693">
        <f>ROUND(SUM(P693), -2)</f>
        <v>0</v>
      </c>
      <c r="R693" t="str">
        <f>ROUNDUP(HLOOKUP(IF(CEILING(L693,0.5)&lt;1,0.5,CEILING(L693,0.5)),'배송비 조회'!A$44:AO$56,7,0)*B$3,-2)</f>
        <v>#REF!</v>
      </c>
      <c r="S693">
        <v>0</v>
      </c>
      <c r="T693" t="str">
        <f>ROUND((Q693+R693)*0.3,-2)</f>
        <v>#REF!</v>
      </c>
      <c r="U693" t="str">
        <f>ROUND((Q693+R693)*0.4,-2)</f>
        <v>#REF!</v>
      </c>
      <c r="V693" t="str">
        <f>SUM(Q693:R693)+T693</f>
        <v>#REF!</v>
      </c>
      <c r="W693" t="str">
        <f>SUM(Q693:S693)+U693</f>
        <v>#REF!</v>
      </c>
      <c r="X693">
        <v>0</v>
      </c>
      <c r="Y693" t="str">
        <f>V693*0.038</f>
        <v>#REF!</v>
      </c>
      <c r="Z693" t="str">
        <f>V693*0.02</f>
        <v>#REF!</v>
      </c>
      <c r="AA693" t="str">
        <f>W693*0.1</f>
        <v>#REF!</v>
      </c>
      <c r="AB693" t="str">
        <f>V693-Y693-Z693</f>
        <v>#REF!</v>
      </c>
      <c r="AC693" t="str">
        <f>W693-AA693</f>
        <v>#REF!</v>
      </c>
      <c r="AD693" t="str">
        <f>AB693*0.01</f>
        <v>#REF!</v>
      </c>
      <c r="AE693" t="str">
        <f>AB693-Q693-AD693-R693</f>
        <v>#REF!</v>
      </c>
      <c r="AF693" t="str">
        <f>AC693-Q693-AD693-R693</f>
        <v>#REF!</v>
      </c>
      <c r="AG693" t="str">
        <f>AE693/V693</f>
        <v>#REF!</v>
      </c>
      <c r="AH693" t="str">
        <f>AF693/W693</f>
        <v>#REF!</v>
      </c>
    </row>
    <row r="694">
      <c r="G694" t="str">
        <v>A</v>
      </c>
      <c r="J694" t="str">
        <f>IF(K694&gt;0,K694*0.0625,IF(L694&gt;0,L694*2.204623,))</f>
        <v>#REF!</v>
      </c>
      <c r="K694" t="str">
        <f>IF(L694&gt;0,L694*35.273962,IF(J694&gt;0,J694*16,))</f>
        <v>#REF!</v>
      </c>
      <c r="L694" t="str">
        <f>IF(J694&gt;0,J694*0.453592,IF(K694&gt;0,K694*0.02835,))</f>
        <v>#REF!</v>
      </c>
      <c r="O694">
        <f>I694+N694+M694</f>
        <v>0</v>
      </c>
      <c r="P694">
        <f>O694*B$3</f>
        <v>0</v>
      </c>
      <c r="Q694">
        <f>ROUND(SUM(P694), -2)</f>
        <v>0</v>
      </c>
      <c r="R694" t="str">
        <f>ROUNDUP(HLOOKUP(IF(CEILING(L694,0.5)&lt;1,0.5,CEILING(L694,0.5)),'배송비 조회'!A$44:AO$56,7,0)*B$3,-2)</f>
        <v>#REF!</v>
      </c>
      <c r="S694">
        <v>0</v>
      </c>
      <c r="T694" t="str">
        <f>ROUND((Q694+R694)*0.3,-2)</f>
        <v>#REF!</v>
      </c>
      <c r="U694" t="str">
        <f>ROUND((Q694+R694)*0.4,-2)</f>
        <v>#REF!</v>
      </c>
      <c r="V694" t="str">
        <f>SUM(Q694:R694)+T694</f>
        <v>#REF!</v>
      </c>
      <c r="W694" t="str">
        <f>SUM(Q694:S694)+U694</f>
        <v>#REF!</v>
      </c>
      <c r="X694">
        <v>0</v>
      </c>
      <c r="Y694" t="str">
        <f>V694*0.038</f>
        <v>#REF!</v>
      </c>
      <c r="Z694" t="str">
        <f>V694*0.02</f>
        <v>#REF!</v>
      </c>
      <c r="AA694" t="str">
        <f>W694*0.1</f>
        <v>#REF!</v>
      </c>
      <c r="AB694" t="str">
        <f>V694-Y694-Z694</f>
        <v>#REF!</v>
      </c>
      <c r="AC694" t="str">
        <f>W694-AA694</f>
        <v>#REF!</v>
      </c>
      <c r="AD694" t="str">
        <f>AB694*0.01</f>
        <v>#REF!</v>
      </c>
      <c r="AE694" t="str">
        <f>AB694-Q694-AD694-R694</f>
        <v>#REF!</v>
      </c>
      <c r="AF694" t="str">
        <f>AC694-Q694-AD694-R694</f>
        <v>#REF!</v>
      </c>
      <c r="AG694" t="str">
        <f>AE694/V694</f>
        <v>#REF!</v>
      </c>
      <c r="AH694" t="str">
        <f>AF694/W694</f>
        <v>#REF!</v>
      </c>
    </row>
    <row r="695">
      <c r="G695" t="str">
        <v>A</v>
      </c>
      <c r="J695" t="str">
        <f>IF(K695&gt;0,K695*0.0625,IF(L695&gt;0,L695*2.204623,))</f>
        <v>#REF!</v>
      </c>
      <c r="K695" t="str">
        <f>IF(L695&gt;0,L695*35.273962,IF(J695&gt;0,J695*16,))</f>
        <v>#REF!</v>
      </c>
      <c r="L695" t="str">
        <f>IF(J695&gt;0,J695*0.453592,IF(K695&gt;0,K695*0.02835,))</f>
        <v>#REF!</v>
      </c>
      <c r="O695">
        <f>I695+N695+M695</f>
        <v>0</v>
      </c>
      <c r="P695">
        <f>O695*B$3</f>
        <v>0</v>
      </c>
      <c r="Q695">
        <f>ROUND(SUM(P695), -2)</f>
        <v>0</v>
      </c>
      <c r="R695" t="str">
        <f>ROUNDUP(HLOOKUP(IF(CEILING(L695,0.5)&lt;1,0.5,CEILING(L695,0.5)),'배송비 조회'!A$44:AO$56,7,0)*B$3,-2)</f>
        <v>#REF!</v>
      </c>
      <c r="S695">
        <v>0</v>
      </c>
      <c r="T695" t="str">
        <f>ROUND((Q695+R695)*0.3,-2)</f>
        <v>#REF!</v>
      </c>
      <c r="U695" t="str">
        <f>ROUND((Q695+R695)*0.4,-2)</f>
        <v>#REF!</v>
      </c>
      <c r="V695" t="str">
        <f>SUM(Q695:R695)+T695</f>
        <v>#REF!</v>
      </c>
      <c r="W695" t="str">
        <f>SUM(Q695:S695)+U695</f>
        <v>#REF!</v>
      </c>
      <c r="X695">
        <v>0</v>
      </c>
      <c r="Y695" t="str">
        <f>V695*0.038</f>
        <v>#REF!</v>
      </c>
      <c r="Z695" t="str">
        <f>V695*0.02</f>
        <v>#REF!</v>
      </c>
      <c r="AA695" t="str">
        <f>W695*0.1</f>
        <v>#REF!</v>
      </c>
      <c r="AB695" t="str">
        <f>V695-Y695-Z695</f>
        <v>#REF!</v>
      </c>
      <c r="AC695" t="str">
        <f>W695-AA695</f>
        <v>#REF!</v>
      </c>
      <c r="AD695" t="str">
        <f>AB695*0.01</f>
        <v>#REF!</v>
      </c>
      <c r="AE695" t="str">
        <f>AB695-Q695-AD695-R695</f>
        <v>#REF!</v>
      </c>
      <c r="AF695" t="str">
        <f>AC695-Q695-AD695-R695</f>
        <v>#REF!</v>
      </c>
      <c r="AG695" t="str">
        <f>AE695/V695</f>
        <v>#REF!</v>
      </c>
      <c r="AH695" t="str">
        <f>AF695/W695</f>
        <v>#REF!</v>
      </c>
    </row>
    <row r="696">
      <c r="G696" t="str">
        <v>A</v>
      </c>
      <c r="J696" t="str">
        <f>IF(K696&gt;0,K696*0.0625,IF(L696&gt;0,L696*2.204623,))</f>
        <v>#REF!</v>
      </c>
      <c r="K696" t="str">
        <f>IF(L696&gt;0,L696*35.273962,IF(J696&gt;0,J696*16,))</f>
        <v>#REF!</v>
      </c>
      <c r="L696" t="str">
        <f>IF(J696&gt;0,J696*0.453592,IF(K696&gt;0,K696*0.02835,))</f>
        <v>#REF!</v>
      </c>
      <c r="O696">
        <f>I696+N696+M696</f>
        <v>0</v>
      </c>
      <c r="P696">
        <f>O696*B$3</f>
        <v>0</v>
      </c>
      <c r="Q696">
        <f>ROUND(SUM(P696), -2)</f>
        <v>0</v>
      </c>
      <c r="R696" t="str">
        <f>ROUNDUP(HLOOKUP(IF(CEILING(L696,0.5)&lt;1,0.5,CEILING(L696,0.5)),'배송비 조회'!A$44:AO$56,7,0)*B$3,-2)</f>
        <v>#REF!</v>
      </c>
      <c r="S696">
        <v>0</v>
      </c>
      <c r="T696" t="str">
        <f>ROUND((Q696+R696)*0.3,-2)</f>
        <v>#REF!</v>
      </c>
      <c r="U696" t="str">
        <f>ROUND((Q696+R696)*0.4,-2)</f>
        <v>#REF!</v>
      </c>
      <c r="V696" t="str">
        <f>SUM(Q696:R696)+T696</f>
        <v>#REF!</v>
      </c>
      <c r="W696" t="str">
        <f>SUM(Q696:S696)+U696</f>
        <v>#REF!</v>
      </c>
      <c r="X696">
        <v>0</v>
      </c>
      <c r="Y696" t="str">
        <f>V696*0.038</f>
        <v>#REF!</v>
      </c>
      <c r="Z696" t="str">
        <f>V696*0.02</f>
        <v>#REF!</v>
      </c>
      <c r="AA696" t="str">
        <f>W696*0.1</f>
        <v>#REF!</v>
      </c>
      <c r="AB696" t="str">
        <f>V696-Y696-Z696</f>
        <v>#REF!</v>
      </c>
      <c r="AC696" t="str">
        <f>W696-AA696</f>
        <v>#REF!</v>
      </c>
      <c r="AD696" t="str">
        <f>AB696*0.01</f>
        <v>#REF!</v>
      </c>
      <c r="AE696" t="str">
        <f>AB696-Q696-AD696-R696</f>
        <v>#REF!</v>
      </c>
      <c r="AF696" t="str">
        <f>AC696-Q696-AD696-R696</f>
        <v>#REF!</v>
      </c>
      <c r="AG696" t="str">
        <f>AE696/V696</f>
        <v>#REF!</v>
      </c>
      <c r="AH696" t="str">
        <f>AF696/W696</f>
        <v>#REF!</v>
      </c>
    </row>
    <row r="697">
      <c r="G697" t="str">
        <v>A</v>
      </c>
      <c r="J697" t="str">
        <f>IF(K697&gt;0,K697*0.0625,IF(L697&gt;0,L697*2.204623,))</f>
        <v>#REF!</v>
      </c>
      <c r="K697" t="str">
        <f>IF(L697&gt;0,L697*35.273962,IF(J697&gt;0,J697*16,))</f>
        <v>#REF!</v>
      </c>
      <c r="L697" t="str">
        <f>IF(J697&gt;0,J697*0.453592,IF(K697&gt;0,K697*0.02835,))</f>
        <v>#REF!</v>
      </c>
      <c r="O697">
        <f>I697+N697+M697</f>
        <v>0</v>
      </c>
      <c r="P697">
        <f>O697*B$3</f>
        <v>0</v>
      </c>
      <c r="Q697">
        <f>ROUND(SUM(P697), -2)</f>
        <v>0</v>
      </c>
      <c r="R697" t="str">
        <f>ROUNDUP(HLOOKUP(IF(CEILING(L697,0.5)&lt;1,0.5,CEILING(L697,0.5)),'배송비 조회'!A$44:AO$56,7,0)*B$3,-2)</f>
        <v>#REF!</v>
      </c>
      <c r="S697">
        <v>0</v>
      </c>
      <c r="T697" t="str">
        <f>ROUND((Q697+R697)*0.3,-2)</f>
        <v>#REF!</v>
      </c>
      <c r="U697" t="str">
        <f>ROUND((Q697+R697)*0.4,-2)</f>
        <v>#REF!</v>
      </c>
      <c r="V697" t="str">
        <f>SUM(Q697:R697)+T697</f>
        <v>#REF!</v>
      </c>
      <c r="W697" t="str">
        <f>SUM(Q697:S697)+U697</f>
        <v>#REF!</v>
      </c>
      <c r="X697">
        <v>0</v>
      </c>
      <c r="Y697" t="str">
        <f>V697*0.038</f>
        <v>#REF!</v>
      </c>
      <c r="Z697" t="str">
        <f>V697*0.02</f>
        <v>#REF!</v>
      </c>
      <c r="AA697" t="str">
        <f>W697*0.1</f>
        <v>#REF!</v>
      </c>
      <c r="AB697" t="str">
        <f>V697-Y697-Z697</f>
        <v>#REF!</v>
      </c>
      <c r="AC697" t="str">
        <f>W697-AA697</f>
        <v>#REF!</v>
      </c>
      <c r="AD697" t="str">
        <f>AB697*0.01</f>
        <v>#REF!</v>
      </c>
      <c r="AE697" t="str">
        <f>AB697-Q697-AD697-R697</f>
        <v>#REF!</v>
      </c>
      <c r="AF697" t="str">
        <f>AC697-Q697-AD697-R697</f>
        <v>#REF!</v>
      </c>
      <c r="AG697" t="str">
        <f>AE697/V697</f>
        <v>#REF!</v>
      </c>
      <c r="AH697" t="str">
        <f>AF697/W697</f>
        <v>#REF!</v>
      </c>
    </row>
    <row r="698">
      <c r="G698" t="str">
        <v>A</v>
      </c>
      <c r="J698" t="str">
        <f>IF(K698&gt;0,K698*0.0625,IF(L698&gt;0,L698*2.204623,))</f>
        <v>#REF!</v>
      </c>
      <c r="K698" t="str">
        <f>IF(L698&gt;0,L698*35.273962,IF(J698&gt;0,J698*16,))</f>
        <v>#REF!</v>
      </c>
      <c r="L698" t="str">
        <f>IF(J698&gt;0,J698*0.453592,IF(K698&gt;0,K698*0.02835,))</f>
        <v>#REF!</v>
      </c>
      <c r="O698">
        <f>I698+N698+M698</f>
        <v>0</v>
      </c>
      <c r="P698">
        <f>O698*B$3</f>
        <v>0</v>
      </c>
      <c r="Q698">
        <f>ROUND(SUM(P698), -2)</f>
        <v>0</v>
      </c>
      <c r="R698" t="str">
        <f>ROUNDUP(HLOOKUP(IF(CEILING(L698,0.5)&lt;1,0.5,CEILING(L698,0.5)),'배송비 조회'!A$44:AO$56,7,0)*B$3,-2)</f>
        <v>#REF!</v>
      </c>
      <c r="S698">
        <v>0</v>
      </c>
      <c r="T698" t="str">
        <f>ROUND((Q698+R698)*0.3,-2)</f>
        <v>#REF!</v>
      </c>
      <c r="U698" t="str">
        <f>ROUND((Q698+R698)*0.4,-2)</f>
        <v>#REF!</v>
      </c>
      <c r="V698" t="str">
        <f>SUM(Q698:R698)+T698</f>
        <v>#REF!</v>
      </c>
      <c r="W698" t="str">
        <f>SUM(Q698:S698)+U698</f>
        <v>#REF!</v>
      </c>
      <c r="X698">
        <v>0</v>
      </c>
      <c r="Y698" t="str">
        <f>V698*0.038</f>
        <v>#REF!</v>
      </c>
      <c r="Z698" t="str">
        <f>V698*0.02</f>
        <v>#REF!</v>
      </c>
      <c r="AA698" t="str">
        <f>W698*0.1</f>
        <v>#REF!</v>
      </c>
      <c r="AB698" t="str">
        <f>V698-Y698-Z698</f>
        <v>#REF!</v>
      </c>
      <c r="AC698" t="str">
        <f>W698-AA698</f>
        <v>#REF!</v>
      </c>
      <c r="AD698" t="str">
        <f>AB698*0.01</f>
        <v>#REF!</v>
      </c>
      <c r="AE698" t="str">
        <f>AB698-Q698-AD698-R698</f>
        <v>#REF!</v>
      </c>
      <c r="AF698" t="str">
        <f>AC698-Q698-AD698-R698</f>
        <v>#REF!</v>
      </c>
      <c r="AG698" t="str">
        <f>AE698/V698</f>
        <v>#REF!</v>
      </c>
      <c r="AH698" t="str">
        <f>AF698/W698</f>
        <v>#REF!</v>
      </c>
    </row>
    <row r="699">
      <c r="G699" t="str">
        <v>A</v>
      </c>
      <c r="J699" t="str">
        <f>IF(K699&gt;0,K699*0.0625,IF(L699&gt;0,L699*2.204623,))</f>
        <v>#REF!</v>
      </c>
      <c r="K699" t="str">
        <f>IF(L699&gt;0,L699*35.273962,IF(J699&gt;0,J699*16,))</f>
        <v>#REF!</v>
      </c>
      <c r="L699" t="str">
        <f>IF(J699&gt;0,J699*0.453592,IF(K699&gt;0,K699*0.02835,))</f>
        <v>#REF!</v>
      </c>
      <c r="O699">
        <f>I699+N699+M699</f>
        <v>0</v>
      </c>
      <c r="P699">
        <f>O699*B$3</f>
        <v>0</v>
      </c>
      <c r="Q699">
        <f>ROUND(SUM(P699), -2)</f>
        <v>0</v>
      </c>
      <c r="R699" t="str">
        <f>ROUNDUP(HLOOKUP(IF(CEILING(L699,0.5)&lt;1,0.5,CEILING(L699,0.5)),'배송비 조회'!A$44:AO$56,7,0)*B$3,-2)</f>
        <v>#REF!</v>
      </c>
      <c r="S699">
        <v>0</v>
      </c>
      <c r="T699" t="str">
        <f>ROUND((Q699+R699)*0.3,-2)</f>
        <v>#REF!</v>
      </c>
      <c r="U699" t="str">
        <f>ROUND((Q699+R699)*0.4,-2)</f>
        <v>#REF!</v>
      </c>
      <c r="V699" t="str">
        <f>SUM(Q699:R699)+T699</f>
        <v>#REF!</v>
      </c>
      <c r="W699" t="str">
        <f>SUM(Q699:S699)+U699</f>
        <v>#REF!</v>
      </c>
      <c r="X699">
        <v>0</v>
      </c>
      <c r="Y699" t="str">
        <f>V699*0.038</f>
        <v>#REF!</v>
      </c>
      <c r="Z699" t="str">
        <f>V699*0.02</f>
        <v>#REF!</v>
      </c>
      <c r="AA699" t="str">
        <f>W699*0.1</f>
        <v>#REF!</v>
      </c>
      <c r="AB699" t="str">
        <f>V699-Y699-Z699</f>
        <v>#REF!</v>
      </c>
      <c r="AC699" t="str">
        <f>W699-AA699</f>
        <v>#REF!</v>
      </c>
      <c r="AD699" t="str">
        <f>AB699*0.01</f>
        <v>#REF!</v>
      </c>
      <c r="AE699" t="str">
        <f>AB699-Q699-AD699-R699</f>
        <v>#REF!</v>
      </c>
      <c r="AF699" t="str">
        <f>AC699-Q699-AD699-R699</f>
        <v>#REF!</v>
      </c>
      <c r="AG699" t="str">
        <f>AE699/V699</f>
        <v>#REF!</v>
      </c>
      <c r="AH699" t="str">
        <f>AF699/W699</f>
        <v>#REF!</v>
      </c>
    </row>
    <row r="700">
      <c r="G700" t="str">
        <v>A</v>
      </c>
      <c r="J700" t="str">
        <f>IF(K700&gt;0,K700*0.0625,IF(L700&gt;0,L700*2.204623,))</f>
        <v>#REF!</v>
      </c>
      <c r="K700" t="str">
        <f>IF(L700&gt;0,L700*35.273962,IF(J700&gt;0,J700*16,))</f>
        <v>#REF!</v>
      </c>
      <c r="L700" t="str">
        <f>IF(J700&gt;0,J700*0.453592,IF(K700&gt;0,K700*0.02835,))</f>
        <v>#REF!</v>
      </c>
      <c r="O700">
        <f>I700+N700+M700</f>
        <v>0</v>
      </c>
      <c r="P700">
        <f>O700*B$3</f>
        <v>0</v>
      </c>
      <c r="Q700">
        <f>ROUND(SUM(P700), -2)</f>
        <v>0</v>
      </c>
      <c r="R700" t="str">
        <f>ROUNDUP(HLOOKUP(IF(CEILING(L700,0.5)&lt;1,0.5,CEILING(L700,0.5)),'배송비 조회'!A$44:AO$56,7,0)*B$3,-2)</f>
        <v>#REF!</v>
      </c>
      <c r="S700">
        <v>0</v>
      </c>
      <c r="T700" t="str">
        <f>ROUND((Q700+R700)*0.3,-2)</f>
        <v>#REF!</v>
      </c>
      <c r="U700" t="str">
        <f>ROUND((Q700+R700)*0.4,-2)</f>
        <v>#REF!</v>
      </c>
      <c r="V700" t="str">
        <f>SUM(Q700:R700)+T700</f>
        <v>#REF!</v>
      </c>
      <c r="W700" t="str">
        <f>SUM(Q700:S700)+U700</f>
        <v>#REF!</v>
      </c>
      <c r="X700">
        <v>0</v>
      </c>
      <c r="Y700" t="str">
        <f>V700*0.038</f>
        <v>#REF!</v>
      </c>
      <c r="Z700" t="str">
        <f>V700*0.02</f>
        <v>#REF!</v>
      </c>
      <c r="AA700" t="str">
        <f>W700*0.1</f>
        <v>#REF!</v>
      </c>
      <c r="AB700" t="str">
        <f>V700-Y700-Z700</f>
        <v>#REF!</v>
      </c>
      <c r="AC700" t="str">
        <f>W700-AA700</f>
        <v>#REF!</v>
      </c>
      <c r="AD700" t="str">
        <f>AB700*0.01</f>
        <v>#REF!</v>
      </c>
      <c r="AE700" t="str">
        <f>AB700-Q700-AD700-R700</f>
        <v>#REF!</v>
      </c>
      <c r="AF700" t="str">
        <f>AC700-Q700-AD700-R700</f>
        <v>#REF!</v>
      </c>
      <c r="AG700" t="str">
        <f>AE700/V700</f>
        <v>#REF!</v>
      </c>
      <c r="AH700" t="str">
        <f>AF700/W700</f>
        <v>#REF!</v>
      </c>
    </row>
    <row r="701">
      <c r="G701" t="str">
        <v>A</v>
      </c>
      <c r="J701" t="str">
        <f>IF(K701&gt;0,K701*0.0625,IF(L701&gt;0,L701*2.204623,))</f>
        <v>#REF!</v>
      </c>
      <c r="K701" t="str">
        <f>IF(L701&gt;0,L701*35.273962,IF(J701&gt;0,J701*16,))</f>
        <v>#REF!</v>
      </c>
      <c r="L701" t="str">
        <f>IF(J701&gt;0,J701*0.453592,IF(K701&gt;0,K701*0.02835,))</f>
        <v>#REF!</v>
      </c>
      <c r="O701">
        <f>I701+N701+M701</f>
        <v>0</v>
      </c>
      <c r="P701">
        <f>O701*B$3</f>
        <v>0</v>
      </c>
      <c r="Q701">
        <f>ROUND(SUM(P701), -2)</f>
        <v>0</v>
      </c>
      <c r="R701" t="str">
        <f>ROUNDUP(HLOOKUP(IF(CEILING(L701,0.5)&lt;1,0.5,CEILING(L701,0.5)),'배송비 조회'!A$44:AO$56,7,0)*B$3,-2)</f>
        <v>#REF!</v>
      </c>
      <c r="S701">
        <v>0</v>
      </c>
      <c r="T701" t="str">
        <f>ROUND((Q701+R701)*0.3,-2)</f>
        <v>#REF!</v>
      </c>
      <c r="U701" t="str">
        <f>ROUND((Q701+R701)*0.4,-2)</f>
        <v>#REF!</v>
      </c>
      <c r="V701" t="str">
        <f>SUM(Q701:R701)+T701</f>
        <v>#REF!</v>
      </c>
      <c r="W701" t="str">
        <f>SUM(Q701:S701)+U701</f>
        <v>#REF!</v>
      </c>
      <c r="X701">
        <v>0</v>
      </c>
      <c r="Y701" t="str">
        <f>V701*0.038</f>
        <v>#REF!</v>
      </c>
      <c r="Z701" t="str">
        <f>V701*0.02</f>
        <v>#REF!</v>
      </c>
      <c r="AA701" t="str">
        <f>W701*0.1</f>
        <v>#REF!</v>
      </c>
      <c r="AB701" t="str">
        <f>V701-Y701-Z701</f>
        <v>#REF!</v>
      </c>
      <c r="AC701" t="str">
        <f>W701-AA701</f>
        <v>#REF!</v>
      </c>
      <c r="AD701" t="str">
        <f>AB701*0.01</f>
        <v>#REF!</v>
      </c>
      <c r="AE701" t="str">
        <f>AB701-Q701-AD701-R701</f>
        <v>#REF!</v>
      </c>
      <c r="AF701" t="str">
        <f>AC701-Q701-AD701-R701</f>
        <v>#REF!</v>
      </c>
      <c r="AG701" t="str">
        <f>AE701/V701</f>
        <v>#REF!</v>
      </c>
      <c r="AH701" t="str">
        <f>AF701/W701</f>
        <v>#REF!</v>
      </c>
    </row>
    <row r="702">
      <c r="G702" t="str">
        <v>A</v>
      </c>
      <c r="J702" t="str">
        <f>IF(K702&gt;0,K702*0.0625,IF(L702&gt;0,L702*2.204623,))</f>
        <v>#REF!</v>
      </c>
      <c r="K702" t="str">
        <f>IF(L702&gt;0,L702*35.273962,IF(J702&gt;0,J702*16,))</f>
        <v>#REF!</v>
      </c>
      <c r="L702" t="str">
        <f>IF(J702&gt;0,J702*0.453592,IF(K702&gt;0,K702*0.02835,))</f>
        <v>#REF!</v>
      </c>
      <c r="O702">
        <f>I702+N702+M702</f>
        <v>0</v>
      </c>
      <c r="P702">
        <f>O702*B$3</f>
        <v>0</v>
      </c>
      <c r="Q702">
        <f>ROUND(SUM(P702), -2)</f>
        <v>0</v>
      </c>
      <c r="R702" t="str">
        <f>ROUNDUP(HLOOKUP(IF(CEILING(L702,0.5)&lt;1,0.5,CEILING(L702,0.5)),'배송비 조회'!A$44:AO$56,7,0)*B$3,-2)</f>
        <v>#REF!</v>
      </c>
      <c r="S702">
        <v>0</v>
      </c>
      <c r="T702" t="str">
        <f>ROUND((Q702+R702)*0.3,-2)</f>
        <v>#REF!</v>
      </c>
      <c r="U702" t="str">
        <f>ROUND((Q702+R702)*0.4,-2)</f>
        <v>#REF!</v>
      </c>
      <c r="V702" t="str">
        <f>SUM(Q702:R702)+T702</f>
        <v>#REF!</v>
      </c>
      <c r="W702" t="str">
        <f>SUM(Q702:S702)+U702</f>
        <v>#REF!</v>
      </c>
      <c r="X702">
        <v>0</v>
      </c>
      <c r="Y702" t="str">
        <f>V702*0.038</f>
        <v>#REF!</v>
      </c>
      <c r="Z702" t="str">
        <f>V702*0.02</f>
        <v>#REF!</v>
      </c>
      <c r="AA702" t="str">
        <f>W702*0.1</f>
        <v>#REF!</v>
      </c>
      <c r="AB702" t="str">
        <f>V702-Y702-Z702</f>
        <v>#REF!</v>
      </c>
      <c r="AC702" t="str">
        <f>W702-AA702</f>
        <v>#REF!</v>
      </c>
      <c r="AD702" t="str">
        <f>AB702*0.01</f>
        <v>#REF!</v>
      </c>
      <c r="AE702" t="str">
        <f>AB702-Q702-AD702-R702</f>
        <v>#REF!</v>
      </c>
      <c r="AF702" t="str">
        <f>AC702-Q702-AD702-R702</f>
        <v>#REF!</v>
      </c>
      <c r="AG702" t="str">
        <f>AE702/V702</f>
        <v>#REF!</v>
      </c>
      <c r="AH702" t="str">
        <f>AF702/W702</f>
        <v>#REF!</v>
      </c>
    </row>
    <row r="703">
      <c r="G703" t="str">
        <v>A</v>
      </c>
      <c r="J703" t="str">
        <f>IF(K703&gt;0,K703*0.0625,IF(L703&gt;0,L703*2.204623,))</f>
        <v>#REF!</v>
      </c>
      <c r="K703" t="str">
        <f>IF(L703&gt;0,L703*35.273962,IF(J703&gt;0,J703*16,))</f>
        <v>#REF!</v>
      </c>
      <c r="L703" t="str">
        <f>IF(J703&gt;0,J703*0.453592,IF(K703&gt;0,K703*0.02835,))</f>
        <v>#REF!</v>
      </c>
      <c r="O703">
        <f>I703+N703+M703</f>
        <v>0</v>
      </c>
      <c r="P703">
        <f>O703*B$3</f>
        <v>0</v>
      </c>
      <c r="Q703">
        <f>ROUND(SUM(P703), -2)</f>
        <v>0</v>
      </c>
      <c r="R703" t="str">
        <f>ROUNDUP(HLOOKUP(IF(CEILING(L703,0.5)&lt;1,0.5,CEILING(L703,0.5)),'배송비 조회'!A$44:AO$56,7,0)*B$3,-2)</f>
        <v>#REF!</v>
      </c>
      <c r="S703">
        <v>0</v>
      </c>
      <c r="T703" t="str">
        <f>ROUND((Q703+R703)*0.3,-2)</f>
        <v>#REF!</v>
      </c>
      <c r="U703" t="str">
        <f>ROUND((Q703+R703)*0.4,-2)</f>
        <v>#REF!</v>
      </c>
      <c r="V703" t="str">
        <f>SUM(Q703:R703)+T703</f>
        <v>#REF!</v>
      </c>
      <c r="W703" t="str">
        <f>SUM(Q703:S703)+U703</f>
        <v>#REF!</v>
      </c>
      <c r="X703">
        <v>0</v>
      </c>
      <c r="Y703" t="str">
        <f>V703*0.038</f>
        <v>#REF!</v>
      </c>
      <c r="Z703" t="str">
        <f>V703*0.02</f>
        <v>#REF!</v>
      </c>
      <c r="AA703" t="str">
        <f>W703*0.1</f>
        <v>#REF!</v>
      </c>
      <c r="AB703" t="str">
        <f>V703-Y703-Z703</f>
        <v>#REF!</v>
      </c>
      <c r="AC703" t="str">
        <f>W703-AA703</f>
        <v>#REF!</v>
      </c>
      <c r="AD703" t="str">
        <f>AB703*0.01</f>
        <v>#REF!</v>
      </c>
      <c r="AE703" t="str">
        <f>AB703-Q703-AD703-R703</f>
        <v>#REF!</v>
      </c>
      <c r="AF703" t="str">
        <f>AC703-Q703-AD703-R703</f>
        <v>#REF!</v>
      </c>
      <c r="AG703" t="str">
        <f>AE703/V703</f>
        <v>#REF!</v>
      </c>
      <c r="AH703" t="str">
        <f>AF703/W703</f>
        <v>#REF!</v>
      </c>
    </row>
    <row r="704">
      <c r="G704" t="str">
        <v>A</v>
      </c>
      <c r="J704" t="str">
        <f>IF(K704&gt;0,K704*0.0625,IF(L704&gt;0,L704*2.204623,))</f>
        <v>#REF!</v>
      </c>
      <c r="K704" t="str">
        <f>IF(L704&gt;0,L704*35.273962,IF(J704&gt;0,J704*16,))</f>
        <v>#REF!</v>
      </c>
      <c r="L704" t="str">
        <f>IF(J704&gt;0,J704*0.453592,IF(K704&gt;0,K704*0.02835,))</f>
        <v>#REF!</v>
      </c>
      <c r="O704">
        <f>I704+N704+M704</f>
        <v>0</v>
      </c>
      <c r="P704">
        <f>O704*B$3</f>
        <v>0</v>
      </c>
      <c r="Q704">
        <f>ROUND(SUM(P704), -2)</f>
        <v>0</v>
      </c>
      <c r="R704" t="str">
        <f>ROUNDUP(HLOOKUP(IF(CEILING(L704,0.5)&lt;1,0.5,CEILING(L704,0.5)),'배송비 조회'!A$44:AO$56,7,0)*B$3,-2)</f>
        <v>#REF!</v>
      </c>
      <c r="S704">
        <v>0</v>
      </c>
      <c r="T704" t="str">
        <f>ROUND((Q704+R704)*0.3,-2)</f>
        <v>#REF!</v>
      </c>
      <c r="U704" t="str">
        <f>ROUND((Q704+R704)*0.4,-2)</f>
        <v>#REF!</v>
      </c>
      <c r="V704" t="str">
        <f>SUM(Q704:R704)+T704</f>
        <v>#REF!</v>
      </c>
      <c r="W704" t="str">
        <f>SUM(Q704:S704)+U704</f>
        <v>#REF!</v>
      </c>
      <c r="X704">
        <v>0</v>
      </c>
      <c r="Y704" t="str">
        <f>V704*0.038</f>
        <v>#REF!</v>
      </c>
      <c r="Z704" t="str">
        <f>V704*0.02</f>
        <v>#REF!</v>
      </c>
      <c r="AA704" t="str">
        <f>W704*0.1</f>
        <v>#REF!</v>
      </c>
      <c r="AB704" t="str">
        <f>V704-Y704-Z704</f>
        <v>#REF!</v>
      </c>
      <c r="AC704" t="str">
        <f>W704-AA704</f>
        <v>#REF!</v>
      </c>
      <c r="AD704" t="str">
        <f>AB704*0.01</f>
        <v>#REF!</v>
      </c>
      <c r="AE704" t="str">
        <f>AB704-Q704-AD704-R704</f>
        <v>#REF!</v>
      </c>
      <c r="AF704" t="str">
        <f>AC704-Q704-AD704-R704</f>
        <v>#REF!</v>
      </c>
      <c r="AG704" t="str">
        <f>AE704/V704</f>
        <v>#REF!</v>
      </c>
      <c r="AH704" t="str">
        <f>AF704/W704</f>
        <v>#REF!</v>
      </c>
    </row>
    <row r="705">
      <c r="G705" t="str">
        <v>A</v>
      </c>
      <c r="J705" t="str">
        <f>IF(K705&gt;0,K705*0.0625,IF(L705&gt;0,L705*2.204623,))</f>
        <v>#REF!</v>
      </c>
      <c r="K705" t="str">
        <f>IF(L705&gt;0,L705*35.273962,IF(J705&gt;0,J705*16,))</f>
        <v>#REF!</v>
      </c>
      <c r="L705" t="str">
        <f>IF(J705&gt;0,J705*0.453592,IF(K705&gt;0,K705*0.02835,))</f>
        <v>#REF!</v>
      </c>
      <c r="O705">
        <f>I705+N705+M705</f>
        <v>0</v>
      </c>
      <c r="P705">
        <f>O705*B$3</f>
        <v>0</v>
      </c>
      <c r="Q705">
        <f>ROUND(SUM(P705), -2)</f>
        <v>0</v>
      </c>
      <c r="R705" t="str">
        <f>ROUNDUP(HLOOKUP(IF(CEILING(L705,0.5)&lt;1,0.5,CEILING(L705,0.5)),'배송비 조회'!A$44:AO$56,7,0)*B$3,-2)</f>
        <v>#REF!</v>
      </c>
      <c r="S705">
        <v>0</v>
      </c>
      <c r="T705" t="str">
        <f>ROUND((Q705+R705)*0.3,-2)</f>
        <v>#REF!</v>
      </c>
      <c r="U705" t="str">
        <f>ROUND((Q705+R705)*0.4,-2)</f>
        <v>#REF!</v>
      </c>
      <c r="V705" t="str">
        <f>SUM(Q705:R705)+T705</f>
        <v>#REF!</v>
      </c>
      <c r="W705" t="str">
        <f>SUM(Q705:S705)+U705</f>
        <v>#REF!</v>
      </c>
      <c r="X705">
        <v>0</v>
      </c>
      <c r="Y705" t="str">
        <f>V705*0.038</f>
        <v>#REF!</v>
      </c>
      <c r="Z705" t="str">
        <f>V705*0.02</f>
        <v>#REF!</v>
      </c>
      <c r="AA705" t="str">
        <f>W705*0.1</f>
        <v>#REF!</v>
      </c>
      <c r="AB705" t="str">
        <f>V705-Y705-Z705</f>
        <v>#REF!</v>
      </c>
      <c r="AC705" t="str">
        <f>W705-AA705</f>
        <v>#REF!</v>
      </c>
      <c r="AD705" t="str">
        <f>AB705*0.01</f>
        <v>#REF!</v>
      </c>
      <c r="AE705" t="str">
        <f>AB705-Q705-AD705-R705</f>
        <v>#REF!</v>
      </c>
      <c r="AF705" t="str">
        <f>AC705-Q705-AD705-R705</f>
        <v>#REF!</v>
      </c>
      <c r="AG705" t="str">
        <f>AE705/V705</f>
        <v>#REF!</v>
      </c>
      <c r="AH705" t="str">
        <f>AF705/W705</f>
        <v>#REF!</v>
      </c>
    </row>
    <row r="706">
      <c r="G706" t="str">
        <v>A</v>
      </c>
      <c r="J706" t="str">
        <f>IF(K706&gt;0,K706*0.0625,IF(L706&gt;0,L706*2.204623,))</f>
        <v>#REF!</v>
      </c>
      <c r="K706" t="str">
        <f>IF(L706&gt;0,L706*35.273962,IF(J706&gt;0,J706*16,))</f>
        <v>#REF!</v>
      </c>
      <c r="L706" t="str">
        <f>IF(J706&gt;0,J706*0.453592,IF(K706&gt;0,K706*0.02835,))</f>
        <v>#REF!</v>
      </c>
      <c r="O706">
        <f>I706+N706+M706</f>
        <v>0</v>
      </c>
      <c r="P706">
        <f>O706*B$3</f>
        <v>0</v>
      </c>
      <c r="Q706">
        <f>ROUND(SUM(P706), -2)</f>
        <v>0</v>
      </c>
      <c r="R706" t="str">
        <f>ROUNDUP(HLOOKUP(IF(CEILING(L706,0.5)&lt;1,0.5,CEILING(L706,0.5)),'배송비 조회'!A$44:AO$56,7,0)*B$3,-2)</f>
        <v>#REF!</v>
      </c>
      <c r="S706">
        <v>0</v>
      </c>
      <c r="T706" t="str">
        <f>ROUND((Q706+R706)*0.3,-2)</f>
        <v>#REF!</v>
      </c>
      <c r="U706" t="str">
        <f>ROUND((Q706+R706)*0.4,-2)</f>
        <v>#REF!</v>
      </c>
      <c r="V706" t="str">
        <f>SUM(Q706:R706)+T706</f>
        <v>#REF!</v>
      </c>
      <c r="W706" t="str">
        <f>SUM(Q706:S706)+U706</f>
        <v>#REF!</v>
      </c>
      <c r="X706">
        <v>0</v>
      </c>
      <c r="Y706" t="str">
        <f>V706*0.038</f>
        <v>#REF!</v>
      </c>
      <c r="Z706" t="str">
        <f>V706*0.02</f>
        <v>#REF!</v>
      </c>
      <c r="AA706" t="str">
        <f>W706*0.1</f>
        <v>#REF!</v>
      </c>
      <c r="AB706" t="str">
        <f>V706-Y706-Z706</f>
        <v>#REF!</v>
      </c>
      <c r="AC706" t="str">
        <f>W706-AA706</f>
        <v>#REF!</v>
      </c>
      <c r="AD706" t="str">
        <f>AB706*0.01</f>
        <v>#REF!</v>
      </c>
      <c r="AE706" t="str">
        <f>AB706-Q706-AD706-R706</f>
        <v>#REF!</v>
      </c>
      <c r="AF706" t="str">
        <f>AC706-Q706-AD706-R706</f>
        <v>#REF!</v>
      </c>
      <c r="AG706" t="str">
        <f>AE706/V706</f>
        <v>#REF!</v>
      </c>
      <c r="AH706" t="str">
        <f>AF706/W706</f>
        <v>#REF!</v>
      </c>
    </row>
    <row r="707">
      <c r="G707" t="str">
        <v>A</v>
      </c>
      <c r="J707" t="str">
        <f>IF(K707&gt;0,K707*0.0625,IF(L707&gt;0,L707*2.204623,))</f>
        <v>#REF!</v>
      </c>
      <c r="K707" t="str">
        <f>IF(L707&gt;0,L707*35.273962,IF(J707&gt;0,J707*16,))</f>
        <v>#REF!</v>
      </c>
      <c r="L707" t="str">
        <f>IF(J707&gt;0,J707*0.453592,IF(K707&gt;0,K707*0.02835,))</f>
        <v>#REF!</v>
      </c>
      <c r="O707">
        <f>I707+N707+M707</f>
        <v>0</v>
      </c>
      <c r="P707">
        <f>O707*B$3</f>
        <v>0</v>
      </c>
      <c r="Q707">
        <f>ROUND(SUM(P707), -2)</f>
        <v>0</v>
      </c>
      <c r="R707" t="str">
        <f>ROUNDUP(HLOOKUP(IF(CEILING(L707,0.5)&lt;1,0.5,CEILING(L707,0.5)),'배송비 조회'!A$44:AO$56,7,0)*B$3,-2)</f>
        <v>#REF!</v>
      </c>
      <c r="S707">
        <v>0</v>
      </c>
      <c r="T707" t="str">
        <f>ROUND((Q707+R707)*0.3,-2)</f>
        <v>#REF!</v>
      </c>
      <c r="U707" t="str">
        <f>ROUND((Q707+R707)*0.4,-2)</f>
        <v>#REF!</v>
      </c>
      <c r="V707" t="str">
        <f>SUM(Q707:R707)+T707</f>
        <v>#REF!</v>
      </c>
      <c r="W707" t="str">
        <f>SUM(Q707:S707)+U707</f>
        <v>#REF!</v>
      </c>
      <c r="X707">
        <v>0</v>
      </c>
      <c r="Y707" t="str">
        <f>V707*0.038</f>
        <v>#REF!</v>
      </c>
      <c r="Z707" t="str">
        <f>V707*0.02</f>
        <v>#REF!</v>
      </c>
      <c r="AA707" t="str">
        <f>W707*0.1</f>
        <v>#REF!</v>
      </c>
      <c r="AB707" t="str">
        <f>V707-Y707-Z707</f>
        <v>#REF!</v>
      </c>
      <c r="AC707" t="str">
        <f>W707-AA707</f>
        <v>#REF!</v>
      </c>
      <c r="AD707" t="str">
        <f>AB707*0.01</f>
        <v>#REF!</v>
      </c>
      <c r="AE707" t="str">
        <f>AB707-Q707-AD707-R707</f>
        <v>#REF!</v>
      </c>
      <c r="AF707" t="str">
        <f>AC707-Q707-AD707-R707</f>
        <v>#REF!</v>
      </c>
      <c r="AG707" t="str">
        <f>AE707/V707</f>
        <v>#REF!</v>
      </c>
      <c r="AH707" t="str">
        <f>AF707/W707</f>
        <v>#REF!</v>
      </c>
    </row>
    <row r="708">
      <c r="G708" t="str">
        <v>A</v>
      </c>
      <c r="J708" t="str">
        <f>IF(K708&gt;0,K708*0.0625,IF(L708&gt;0,L708*2.204623,))</f>
        <v>#REF!</v>
      </c>
      <c r="K708" t="str">
        <f>IF(L708&gt;0,L708*35.273962,IF(J708&gt;0,J708*16,))</f>
        <v>#REF!</v>
      </c>
      <c r="L708" t="str">
        <f>IF(J708&gt;0,J708*0.453592,IF(K708&gt;0,K708*0.02835,))</f>
        <v>#REF!</v>
      </c>
      <c r="O708">
        <f>I708+N708+M708</f>
        <v>0</v>
      </c>
      <c r="P708">
        <f>O708*B$3</f>
        <v>0</v>
      </c>
      <c r="Q708">
        <f>ROUND(SUM(P708), -2)</f>
        <v>0</v>
      </c>
      <c r="R708" t="str">
        <f>ROUNDUP(HLOOKUP(IF(CEILING(L708,0.5)&lt;1,0.5,CEILING(L708,0.5)),'배송비 조회'!A$44:AO$56,7,0)*B$3,-2)</f>
        <v>#REF!</v>
      </c>
      <c r="S708">
        <v>0</v>
      </c>
      <c r="T708" t="str">
        <f>ROUND((Q708+R708)*0.3,-2)</f>
        <v>#REF!</v>
      </c>
      <c r="U708" t="str">
        <f>ROUND((Q708+R708)*0.4,-2)</f>
        <v>#REF!</v>
      </c>
      <c r="V708" t="str">
        <f>SUM(Q708:R708)+T708</f>
        <v>#REF!</v>
      </c>
      <c r="W708" t="str">
        <f>SUM(Q708:S708)+U708</f>
        <v>#REF!</v>
      </c>
      <c r="X708">
        <v>0</v>
      </c>
      <c r="Y708" t="str">
        <f>V708*0.038</f>
        <v>#REF!</v>
      </c>
      <c r="Z708" t="str">
        <f>V708*0.02</f>
        <v>#REF!</v>
      </c>
      <c r="AA708" t="str">
        <f>W708*0.1</f>
        <v>#REF!</v>
      </c>
      <c r="AB708" t="str">
        <f>V708-Y708-Z708</f>
        <v>#REF!</v>
      </c>
      <c r="AC708" t="str">
        <f>W708-AA708</f>
        <v>#REF!</v>
      </c>
      <c r="AD708" t="str">
        <f>AB708*0.01</f>
        <v>#REF!</v>
      </c>
      <c r="AE708" t="str">
        <f>AB708-Q708-AD708-R708</f>
        <v>#REF!</v>
      </c>
      <c r="AF708" t="str">
        <f>AC708-Q708-AD708-R708</f>
        <v>#REF!</v>
      </c>
      <c r="AG708" t="str">
        <f>AE708/V708</f>
        <v>#REF!</v>
      </c>
      <c r="AH708" t="str">
        <f>AF708/W708</f>
        <v>#REF!</v>
      </c>
    </row>
    <row r="709">
      <c r="G709" t="str">
        <v>A</v>
      </c>
      <c r="J709" t="str">
        <f>IF(K709&gt;0,K709*0.0625,IF(L709&gt;0,L709*2.204623,))</f>
        <v>#REF!</v>
      </c>
      <c r="K709" t="str">
        <f>IF(L709&gt;0,L709*35.273962,IF(J709&gt;0,J709*16,))</f>
        <v>#REF!</v>
      </c>
      <c r="L709" t="str">
        <f>IF(J709&gt;0,J709*0.453592,IF(K709&gt;0,K709*0.02835,))</f>
        <v>#REF!</v>
      </c>
      <c r="O709">
        <f>I709+N709+M709</f>
        <v>0</v>
      </c>
      <c r="P709">
        <f>O709*B$3</f>
        <v>0</v>
      </c>
      <c r="Q709">
        <f>ROUND(SUM(P709), -2)</f>
        <v>0</v>
      </c>
      <c r="R709" t="str">
        <f>ROUNDUP(HLOOKUP(IF(CEILING(L709,0.5)&lt;1,0.5,CEILING(L709,0.5)),'배송비 조회'!A$44:AO$56,7,0)*B$3,-2)</f>
        <v>#REF!</v>
      </c>
      <c r="S709">
        <v>0</v>
      </c>
      <c r="T709" t="str">
        <f>ROUND((Q709+R709)*0.3,-2)</f>
        <v>#REF!</v>
      </c>
      <c r="U709" t="str">
        <f>ROUND((Q709+R709)*0.4,-2)</f>
        <v>#REF!</v>
      </c>
      <c r="V709" t="str">
        <f>SUM(Q709:R709)+T709</f>
        <v>#REF!</v>
      </c>
      <c r="W709" t="str">
        <f>SUM(Q709:S709)+U709</f>
        <v>#REF!</v>
      </c>
      <c r="X709">
        <v>0</v>
      </c>
      <c r="Y709" t="str">
        <f>V709*0.038</f>
        <v>#REF!</v>
      </c>
      <c r="Z709" t="str">
        <f>V709*0.02</f>
        <v>#REF!</v>
      </c>
      <c r="AA709" t="str">
        <f>W709*0.1</f>
        <v>#REF!</v>
      </c>
      <c r="AB709" t="str">
        <f>V709-Y709-Z709</f>
        <v>#REF!</v>
      </c>
      <c r="AC709" t="str">
        <f>W709-AA709</f>
        <v>#REF!</v>
      </c>
      <c r="AD709" t="str">
        <f>AB709*0.01</f>
        <v>#REF!</v>
      </c>
      <c r="AE709" t="str">
        <f>AB709-Q709-AD709-R709</f>
        <v>#REF!</v>
      </c>
      <c r="AF709" t="str">
        <f>AC709-Q709-AD709-R709</f>
        <v>#REF!</v>
      </c>
      <c r="AG709" t="str">
        <f>AE709/V709</f>
        <v>#REF!</v>
      </c>
      <c r="AH709" t="str">
        <f>AF709/W709</f>
        <v>#REF!</v>
      </c>
    </row>
    <row r="710">
      <c r="G710" t="str">
        <v>A</v>
      </c>
      <c r="J710" t="str">
        <f>IF(K710&gt;0,K710*0.0625,IF(L710&gt;0,L710*2.204623,))</f>
        <v>#REF!</v>
      </c>
      <c r="K710" t="str">
        <f>IF(L710&gt;0,L710*35.273962,IF(J710&gt;0,J710*16,))</f>
        <v>#REF!</v>
      </c>
      <c r="L710" t="str">
        <f>IF(J710&gt;0,J710*0.453592,IF(K710&gt;0,K710*0.02835,))</f>
        <v>#REF!</v>
      </c>
      <c r="O710">
        <f>I710+N710+M710</f>
        <v>0</v>
      </c>
      <c r="P710">
        <f>O710*B$3</f>
        <v>0</v>
      </c>
      <c r="Q710">
        <f>ROUND(SUM(P710), -2)</f>
        <v>0</v>
      </c>
      <c r="R710" t="str">
        <f>ROUNDUP(HLOOKUP(IF(CEILING(L710,0.5)&lt;1,0.5,CEILING(L710,0.5)),'배송비 조회'!A$44:AO$56,7,0)*B$3,-2)</f>
        <v>#REF!</v>
      </c>
      <c r="S710">
        <v>0</v>
      </c>
      <c r="T710" t="str">
        <f>ROUND((Q710+R710)*0.3,-2)</f>
        <v>#REF!</v>
      </c>
      <c r="U710" t="str">
        <f>ROUND((Q710+R710)*0.4,-2)</f>
        <v>#REF!</v>
      </c>
      <c r="V710" t="str">
        <f>SUM(Q710:R710)+T710</f>
        <v>#REF!</v>
      </c>
      <c r="W710" t="str">
        <f>SUM(Q710:S710)+U710</f>
        <v>#REF!</v>
      </c>
      <c r="X710">
        <v>0</v>
      </c>
      <c r="Y710" t="str">
        <f>V710*0.038</f>
        <v>#REF!</v>
      </c>
      <c r="Z710" t="str">
        <f>V710*0.02</f>
        <v>#REF!</v>
      </c>
      <c r="AA710" t="str">
        <f>W710*0.1</f>
        <v>#REF!</v>
      </c>
      <c r="AB710" t="str">
        <f>V710-Y710-Z710</f>
        <v>#REF!</v>
      </c>
      <c r="AC710" t="str">
        <f>W710-AA710</f>
        <v>#REF!</v>
      </c>
      <c r="AD710" t="str">
        <f>AB710*0.01</f>
        <v>#REF!</v>
      </c>
      <c r="AE710" t="str">
        <f>AB710-Q710-AD710-R710</f>
        <v>#REF!</v>
      </c>
      <c r="AF710" t="str">
        <f>AC710-Q710-AD710-R710</f>
        <v>#REF!</v>
      </c>
      <c r="AG710" t="str">
        <f>AE710/V710</f>
        <v>#REF!</v>
      </c>
      <c r="AH710" t="str">
        <f>AF710/W710</f>
        <v>#REF!</v>
      </c>
    </row>
    <row r="711">
      <c r="G711" t="str">
        <v>A</v>
      </c>
      <c r="J711" t="str">
        <f>IF(K711&gt;0,K711*0.0625,IF(L711&gt;0,L711*2.204623,))</f>
        <v>#REF!</v>
      </c>
      <c r="K711" t="str">
        <f>IF(L711&gt;0,L711*35.273962,IF(J711&gt;0,J711*16,))</f>
        <v>#REF!</v>
      </c>
      <c r="L711" t="str">
        <f>IF(J711&gt;0,J711*0.453592,IF(K711&gt;0,K711*0.02835,))</f>
        <v>#REF!</v>
      </c>
      <c r="O711">
        <f>I711+N711+M711</f>
        <v>0</v>
      </c>
      <c r="P711">
        <f>O711*B$3</f>
        <v>0</v>
      </c>
      <c r="Q711">
        <f>ROUND(SUM(P711), -2)</f>
        <v>0</v>
      </c>
      <c r="R711" t="str">
        <f>ROUNDUP(HLOOKUP(IF(CEILING(L711,0.5)&lt;1,0.5,CEILING(L711,0.5)),'배송비 조회'!A$44:AO$56,7,0)*B$3,-2)</f>
        <v>#REF!</v>
      </c>
      <c r="S711">
        <v>0</v>
      </c>
      <c r="T711" t="str">
        <f>ROUND((Q711+R711)*0.3,-2)</f>
        <v>#REF!</v>
      </c>
      <c r="U711" t="str">
        <f>ROUND((Q711+R711)*0.4,-2)</f>
        <v>#REF!</v>
      </c>
      <c r="V711" t="str">
        <f>SUM(Q711:R711)+T711</f>
        <v>#REF!</v>
      </c>
      <c r="W711" t="str">
        <f>SUM(Q711:S711)+U711</f>
        <v>#REF!</v>
      </c>
      <c r="X711">
        <v>0</v>
      </c>
      <c r="Y711" t="str">
        <f>V711*0.038</f>
        <v>#REF!</v>
      </c>
      <c r="Z711" t="str">
        <f>V711*0.02</f>
        <v>#REF!</v>
      </c>
      <c r="AA711" t="str">
        <f>W711*0.1</f>
        <v>#REF!</v>
      </c>
      <c r="AB711" t="str">
        <f>V711-Y711-Z711</f>
        <v>#REF!</v>
      </c>
      <c r="AC711" t="str">
        <f>W711-AA711</f>
        <v>#REF!</v>
      </c>
      <c r="AD711" t="str">
        <f>AB711*0.01</f>
        <v>#REF!</v>
      </c>
      <c r="AE711" t="str">
        <f>AB711-Q711-AD711-R711</f>
        <v>#REF!</v>
      </c>
      <c r="AF711" t="str">
        <f>AC711-Q711-AD711-R711</f>
        <v>#REF!</v>
      </c>
      <c r="AG711" t="str">
        <f>AE711/V711</f>
        <v>#REF!</v>
      </c>
      <c r="AH711" t="str">
        <f>AF711/W711</f>
        <v>#REF!</v>
      </c>
    </row>
    <row r="712">
      <c r="G712" t="str">
        <v>A</v>
      </c>
      <c r="J712" t="str">
        <f>IF(K712&gt;0,K712*0.0625,IF(L712&gt;0,L712*2.204623,))</f>
        <v>#REF!</v>
      </c>
      <c r="K712" t="str">
        <f>IF(L712&gt;0,L712*35.273962,IF(J712&gt;0,J712*16,))</f>
        <v>#REF!</v>
      </c>
      <c r="L712" t="str">
        <f>IF(J712&gt;0,J712*0.453592,IF(K712&gt;0,K712*0.02835,))</f>
        <v>#REF!</v>
      </c>
      <c r="O712">
        <f>I712+N712+M712</f>
        <v>0</v>
      </c>
      <c r="P712">
        <f>O712*B$3</f>
        <v>0</v>
      </c>
      <c r="Q712">
        <f>ROUND(SUM(P712), -2)</f>
        <v>0</v>
      </c>
      <c r="R712" t="str">
        <f>ROUNDUP(HLOOKUP(IF(CEILING(L712,0.5)&lt;1,0.5,CEILING(L712,0.5)),'배송비 조회'!A$44:AO$56,7,0)*B$3,-2)</f>
        <v>#REF!</v>
      </c>
      <c r="S712">
        <v>0</v>
      </c>
      <c r="T712" t="str">
        <f>ROUND((Q712+R712)*0.3,-2)</f>
        <v>#REF!</v>
      </c>
      <c r="U712" t="str">
        <f>ROUND((Q712+R712)*0.4,-2)</f>
        <v>#REF!</v>
      </c>
      <c r="V712" t="str">
        <f>SUM(Q712:R712)+T712</f>
        <v>#REF!</v>
      </c>
      <c r="W712" t="str">
        <f>SUM(Q712:S712)+U712</f>
        <v>#REF!</v>
      </c>
      <c r="X712">
        <v>0</v>
      </c>
      <c r="Y712" t="str">
        <f>V712*0.038</f>
        <v>#REF!</v>
      </c>
      <c r="Z712" t="str">
        <f>V712*0.02</f>
        <v>#REF!</v>
      </c>
      <c r="AA712" t="str">
        <f>W712*0.1</f>
        <v>#REF!</v>
      </c>
      <c r="AB712" t="str">
        <f>V712-Y712-Z712</f>
        <v>#REF!</v>
      </c>
      <c r="AC712" t="str">
        <f>W712-AA712</f>
        <v>#REF!</v>
      </c>
      <c r="AD712" t="str">
        <f>AB712*0.01</f>
        <v>#REF!</v>
      </c>
      <c r="AE712" t="str">
        <f>AB712-Q712-AD712-R712</f>
        <v>#REF!</v>
      </c>
      <c r="AF712" t="str">
        <f>AC712-Q712-AD712-R712</f>
        <v>#REF!</v>
      </c>
      <c r="AG712" t="str">
        <f>AE712/V712</f>
        <v>#REF!</v>
      </c>
      <c r="AH712" t="str">
        <f>AF712/W712</f>
        <v>#REF!</v>
      </c>
    </row>
    <row r="713">
      <c r="G713" t="str">
        <v>A</v>
      </c>
      <c r="J713" t="str">
        <f>IF(K713&gt;0,K713*0.0625,IF(L713&gt;0,L713*2.204623,))</f>
        <v>#REF!</v>
      </c>
      <c r="K713" t="str">
        <f>IF(L713&gt;0,L713*35.273962,IF(J713&gt;0,J713*16,))</f>
        <v>#REF!</v>
      </c>
      <c r="L713" t="str">
        <f>IF(J713&gt;0,J713*0.453592,IF(K713&gt;0,K713*0.02835,))</f>
        <v>#REF!</v>
      </c>
      <c r="O713">
        <f>I713+N713+M713</f>
        <v>0</v>
      </c>
      <c r="P713">
        <f>O713*B$3</f>
        <v>0</v>
      </c>
      <c r="Q713">
        <f>ROUND(SUM(P713), -2)</f>
        <v>0</v>
      </c>
      <c r="R713" t="str">
        <f>ROUNDUP(HLOOKUP(IF(CEILING(L713,0.5)&lt;1,0.5,CEILING(L713,0.5)),'배송비 조회'!A$44:AO$56,7,0)*B$3,-2)</f>
        <v>#REF!</v>
      </c>
      <c r="S713">
        <v>0</v>
      </c>
      <c r="T713" t="str">
        <f>ROUND((Q713+R713)*0.3,-2)</f>
        <v>#REF!</v>
      </c>
      <c r="U713" t="str">
        <f>ROUND((Q713+R713)*0.4,-2)</f>
        <v>#REF!</v>
      </c>
      <c r="V713" t="str">
        <f>SUM(Q713:R713)+T713</f>
        <v>#REF!</v>
      </c>
      <c r="W713" t="str">
        <f>SUM(Q713:S713)+U713</f>
        <v>#REF!</v>
      </c>
      <c r="X713">
        <v>0</v>
      </c>
      <c r="Y713" t="str">
        <f>V713*0.038</f>
        <v>#REF!</v>
      </c>
      <c r="Z713" t="str">
        <f>V713*0.02</f>
        <v>#REF!</v>
      </c>
      <c r="AA713" t="str">
        <f>W713*0.1</f>
        <v>#REF!</v>
      </c>
      <c r="AB713" t="str">
        <f>V713-Y713-Z713</f>
        <v>#REF!</v>
      </c>
      <c r="AC713" t="str">
        <f>W713-AA713</f>
        <v>#REF!</v>
      </c>
      <c r="AD713" t="str">
        <f>AB713*0.01</f>
        <v>#REF!</v>
      </c>
      <c r="AE713" t="str">
        <f>AB713-Q713-AD713-R713</f>
        <v>#REF!</v>
      </c>
      <c r="AF713" t="str">
        <f>AC713-Q713-AD713-R713</f>
        <v>#REF!</v>
      </c>
      <c r="AG713" t="str">
        <f>AE713/V713</f>
        <v>#REF!</v>
      </c>
      <c r="AH713" t="str">
        <f>AF713/W713</f>
        <v>#REF!</v>
      </c>
    </row>
    <row r="714">
      <c r="G714" t="str">
        <v>A</v>
      </c>
      <c r="J714" t="str">
        <f>IF(K714&gt;0,K714*0.0625,IF(L714&gt;0,L714*2.204623,))</f>
        <v>#REF!</v>
      </c>
      <c r="K714" t="str">
        <f>IF(L714&gt;0,L714*35.273962,IF(J714&gt;0,J714*16,))</f>
        <v>#REF!</v>
      </c>
      <c r="L714" t="str">
        <f>IF(J714&gt;0,J714*0.453592,IF(K714&gt;0,K714*0.02835,))</f>
        <v>#REF!</v>
      </c>
      <c r="O714">
        <f>I714+N714+M714</f>
        <v>0</v>
      </c>
      <c r="P714">
        <f>O714*B$3</f>
        <v>0</v>
      </c>
      <c r="Q714">
        <f>ROUND(SUM(P714), -2)</f>
        <v>0</v>
      </c>
      <c r="R714" t="str">
        <f>ROUNDUP(HLOOKUP(IF(CEILING(L714,0.5)&lt;1,0.5,CEILING(L714,0.5)),'배송비 조회'!A$44:AO$56,7,0)*B$3,-2)</f>
        <v>#REF!</v>
      </c>
      <c r="S714">
        <v>0</v>
      </c>
      <c r="T714" t="str">
        <f>ROUND((Q714+R714)*0.3,-2)</f>
        <v>#REF!</v>
      </c>
      <c r="U714" t="str">
        <f>ROUND((Q714+R714)*0.4,-2)</f>
        <v>#REF!</v>
      </c>
      <c r="V714" t="str">
        <f>SUM(Q714:R714)+T714</f>
        <v>#REF!</v>
      </c>
      <c r="W714" t="str">
        <f>SUM(Q714:S714)+U714</f>
        <v>#REF!</v>
      </c>
      <c r="X714">
        <v>0</v>
      </c>
      <c r="Y714" t="str">
        <f>V714*0.038</f>
        <v>#REF!</v>
      </c>
      <c r="Z714" t="str">
        <f>V714*0.02</f>
        <v>#REF!</v>
      </c>
      <c r="AA714" t="str">
        <f>W714*0.1</f>
        <v>#REF!</v>
      </c>
      <c r="AB714" t="str">
        <f>V714-Y714-Z714</f>
        <v>#REF!</v>
      </c>
      <c r="AC714" t="str">
        <f>W714-AA714</f>
        <v>#REF!</v>
      </c>
      <c r="AD714" t="str">
        <f>AB714*0.01</f>
        <v>#REF!</v>
      </c>
      <c r="AE714" t="str">
        <f>AB714-Q714-AD714-R714</f>
        <v>#REF!</v>
      </c>
      <c r="AF714" t="str">
        <f>AC714-Q714-AD714-R714</f>
        <v>#REF!</v>
      </c>
      <c r="AG714" t="str">
        <f>AE714/V714</f>
        <v>#REF!</v>
      </c>
      <c r="AH714" t="str">
        <f>AF714/W714</f>
        <v>#REF!</v>
      </c>
    </row>
    <row r="715">
      <c r="G715" t="str">
        <v>A</v>
      </c>
      <c r="J715" t="str">
        <f>IF(K715&gt;0,K715*0.0625,IF(L715&gt;0,L715*2.204623,))</f>
        <v>#REF!</v>
      </c>
      <c r="K715" t="str">
        <f>IF(L715&gt;0,L715*35.273962,IF(J715&gt;0,J715*16,))</f>
        <v>#REF!</v>
      </c>
      <c r="L715" t="str">
        <f>IF(J715&gt;0,J715*0.453592,IF(K715&gt;0,K715*0.02835,))</f>
        <v>#REF!</v>
      </c>
      <c r="O715">
        <f>I715+N715+M715</f>
        <v>0</v>
      </c>
      <c r="P715">
        <f>O715*B$3</f>
        <v>0</v>
      </c>
      <c r="Q715">
        <f>ROUND(SUM(P715), -2)</f>
        <v>0</v>
      </c>
      <c r="R715" t="str">
        <f>ROUNDUP(HLOOKUP(IF(CEILING(L715,0.5)&lt;1,0.5,CEILING(L715,0.5)),'배송비 조회'!A$44:AO$56,7,0)*B$3,-2)</f>
        <v>#REF!</v>
      </c>
      <c r="S715">
        <v>0</v>
      </c>
      <c r="T715" t="str">
        <f>ROUND((Q715+R715)*0.3,-2)</f>
        <v>#REF!</v>
      </c>
      <c r="U715" t="str">
        <f>ROUND((Q715+R715)*0.4,-2)</f>
        <v>#REF!</v>
      </c>
      <c r="V715" t="str">
        <f>SUM(Q715:R715)+T715</f>
        <v>#REF!</v>
      </c>
      <c r="W715" t="str">
        <f>SUM(Q715:S715)+U715</f>
        <v>#REF!</v>
      </c>
      <c r="X715">
        <v>0</v>
      </c>
      <c r="Y715" t="str">
        <f>V715*0.038</f>
        <v>#REF!</v>
      </c>
      <c r="Z715" t="str">
        <f>V715*0.02</f>
        <v>#REF!</v>
      </c>
      <c r="AA715" t="str">
        <f>W715*0.1</f>
        <v>#REF!</v>
      </c>
      <c r="AB715" t="str">
        <f>V715-Y715-Z715</f>
        <v>#REF!</v>
      </c>
      <c r="AC715" t="str">
        <f>W715-AA715</f>
        <v>#REF!</v>
      </c>
      <c r="AD715" t="str">
        <f>AB715*0.01</f>
        <v>#REF!</v>
      </c>
      <c r="AE715" t="str">
        <f>AB715-Q715-AD715-R715</f>
        <v>#REF!</v>
      </c>
      <c r="AF715" t="str">
        <f>AC715-Q715-AD715-R715</f>
        <v>#REF!</v>
      </c>
      <c r="AG715" t="str">
        <f>AE715/V715</f>
        <v>#REF!</v>
      </c>
      <c r="AH715" t="str">
        <f>AF715/W715</f>
        <v>#REF!</v>
      </c>
    </row>
    <row r="716">
      <c r="G716" t="str">
        <v>A</v>
      </c>
      <c r="J716" t="str">
        <f>IF(K716&gt;0,K716*0.0625,IF(L716&gt;0,L716*2.204623,))</f>
        <v>#REF!</v>
      </c>
      <c r="K716" t="str">
        <f>IF(L716&gt;0,L716*35.273962,IF(J716&gt;0,J716*16,))</f>
        <v>#REF!</v>
      </c>
      <c r="L716" t="str">
        <f>IF(J716&gt;0,J716*0.453592,IF(K716&gt;0,K716*0.02835,))</f>
        <v>#REF!</v>
      </c>
      <c r="O716">
        <f>I716+N716+M716</f>
        <v>0</v>
      </c>
      <c r="P716">
        <f>O716*B$3</f>
        <v>0</v>
      </c>
      <c r="Q716">
        <f>ROUND(SUM(P716), -2)</f>
        <v>0</v>
      </c>
      <c r="R716" t="str">
        <f>ROUNDUP(HLOOKUP(IF(CEILING(L716,0.5)&lt;1,0.5,CEILING(L716,0.5)),'배송비 조회'!A$44:AO$56,7,0)*B$3,-2)</f>
        <v>#REF!</v>
      </c>
      <c r="S716">
        <v>0</v>
      </c>
      <c r="T716" t="str">
        <f>ROUND((Q716+R716)*0.3,-2)</f>
        <v>#REF!</v>
      </c>
      <c r="U716" t="str">
        <f>ROUND((Q716+R716)*0.4,-2)</f>
        <v>#REF!</v>
      </c>
      <c r="V716" t="str">
        <f>SUM(Q716:R716)+T716</f>
        <v>#REF!</v>
      </c>
      <c r="W716" t="str">
        <f>SUM(Q716:S716)+U716</f>
        <v>#REF!</v>
      </c>
      <c r="X716">
        <v>0</v>
      </c>
      <c r="Y716" t="str">
        <f>V716*0.038</f>
        <v>#REF!</v>
      </c>
      <c r="Z716" t="str">
        <f>V716*0.02</f>
        <v>#REF!</v>
      </c>
      <c r="AA716" t="str">
        <f>W716*0.1</f>
        <v>#REF!</v>
      </c>
      <c r="AB716" t="str">
        <f>V716-Y716-Z716</f>
        <v>#REF!</v>
      </c>
      <c r="AC716" t="str">
        <f>W716-AA716</f>
        <v>#REF!</v>
      </c>
      <c r="AD716" t="str">
        <f>AB716*0.01</f>
        <v>#REF!</v>
      </c>
      <c r="AE716" t="str">
        <f>AB716-Q716-AD716-R716</f>
        <v>#REF!</v>
      </c>
      <c r="AF716" t="str">
        <f>AC716-Q716-AD716-R716</f>
        <v>#REF!</v>
      </c>
      <c r="AG716" t="str">
        <f>AE716/V716</f>
        <v>#REF!</v>
      </c>
      <c r="AH716" t="str">
        <f>AF716/W716</f>
        <v>#REF!</v>
      </c>
    </row>
    <row r="717">
      <c r="G717" t="str">
        <v>A</v>
      </c>
      <c r="J717" t="str">
        <f>IF(K717&gt;0,K717*0.0625,IF(L717&gt;0,L717*2.204623,))</f>
        <v>#REF!</v>
      </c>
      <c r="K717" t="str">
        <f>IF(L717&gt;0,L717*35.273962,IF(J717&gt;0,J717*16,))</f>
        <v>#REF!</v>
      </c>
      <c r="L717" t="str">
        <f>IF(J717&gt;0,J717*0.453592,IF(K717&gt;0,K717*0.02835,))</f>
        <v>#REF!</v>
      </c>
      <c r="O717">
        <f>I717+N717+M717</f>
        <v>0</v>
      </c>
      <c r="P717">
        <f>O717*B$3</f>
        <v>0</v>
      </c>
      <c r="Q717">
        <f>ROUND(SUM(P717), -2)</f>
        <v>0</v>
      </c>
      <c r="R717" t="str">
        <f>ROUNDUP(HLOOKUP(IF(CEILING(L717,0.5)&lt;1,0.5,CEILING(L717,0.5)),'배송비 조회'!A$44:AO$56,7,0)*B$3,-2)</f>
        <v>#REF!</v>
      </c>
      <c r="S717">
        <v>0</v>
      </c>
      <c r="T717" t="str">
        <f>ROUND((Q717+R717)*0.3,-2)</f>
        <v>#REF!</v>
      </c>
      <c r="U717" t="str">
        <f>ROUND((Q717+R717)*0.4,-2)</f>
        <v>#REF!</v>
      </c>
      <c r="V717" t="str">
        <f>SUM(Q717:R717)+T717</f>
        <v>#REF!</v>
      </c>
      <c r="W717" t="str">
        <f>SUM(Q717:S717)+U717</f>
        <v>#REF!</v>
      </c>
      <c r="X717">
        <v>0</v>
      </c>
      <c r="Y717" t="str">
        <f>V717*0.038</f>
        <v>#REF!</v>
      </c>
      <c r="Z717" t="str">
        <f>V717*0.02</f>
        <v>#REF!</v>
      </c>
      <c r="AA717" t="str">
        <f>W717*0.1</f>
        <v>#REF!</v>
      </c>
      <c r="AB717" t="str">
        <f>V717-Y717-Z717</f>
        <v>#REF!</v>
      </c>
      <c r="AC717" t="str">
        <f>W717-AA717</f>
        <v>#REF!</v>
      </c>
      <c r="AD717" t="str">
        <f>AB717*0.01</f>
        <v>#REF!</v>
      </c>
      <c r="AE717" t="str">
        <f>AB717-Q717-AD717-R717</f>
        <v>#REF!</v>
      </c>
      <c r="AF717" t="str">
        <f>AC717-Q717-AD717-R717</f>
        <v>#REF!</v>
      </c>
      <c r="AG717" t="str">
        <f>AE717/V717</f>
        <v>#REF!</v>
      </c>
      <c r="AH717" t="str">
        <f>AF717/W717</f>
        <v>#REF!</v>
      </c>
    </row>
    <row r="718">
      <c r="G718" t="str">
        <v>A</v>
      </c>
      <c r="J718" t="str">
        <f>IF(K718&gt;0,K718*0.0625,IF(L718&gt;0,L718*2.204623,))</f>
        <v>#REF!</v>
      </c>
      <c r="K718" t="str">
        <f>IF(L718&gt;0,L718*35.273962,IF(J718&gt;0,J718*16,))</f>
        <v>#REF!</v>
      </c>
      <c r="L718" t="str">
        <f>IF(J718&gt;0,J718*0.453592,IF(K718&gt;0,K718*0.02835,))</f>
        <v>#REF!</v>
      </c>
      <c r="O718">
        <f>I718+N718+M718</f>
        <v>0</v>
      </c>
      <c r="P718">
        <f>O718*B$3</f>
        <v>0</v>
      </c>
      <c r="Q718">
        <f>ROUND(SUM(P718), -2)</f>
        <v>0</v>
      </c>
      <c r="R718" t="str">
        <f>ROUNDUP(HLOOKUP(IF(CEILING(L718,0.5)&lt;1,0.5,CEILING(L718,0.5)),'배송비 조회'!A$44:AO$56,7,0)*B$3,-2)</f>
        <v>#REF!</v>
      </c>
      <c r="S718">
        <v>0</v>
      </c>
      <c r="T718" t="str">
        <f>ROUND((Q718+R718)*0.3,-2)</f>
        <v>#REF!</v>
      </c>
      <c r="U718" t="str">
        <f>ROUND((Q718+R718)*0.4,-2)</f>
        <v>#REF!</v>
      </c>
      <c r="V718" t="str">
        <f>SUM(Q718:R718)+T718</f>
        <v>#REF!</v>
      </c>
      <c r="W718" t="str">
        <f>SUM(Q718:S718)+U718</f>
        <v>#REF!</v>
      </c>
      <c r="X718">
        <v>0</v>
      </c>
      <c r="Y718" t="str">
        <f>V718*0.038</f>
        <v>#REF!</v>
      </c>
      <c r="Z718" t="str">
        <f>V718*0.02</f>
        <v>#REF!</v>
      </c>
      <c r="AA718" t="str">
        <f>W718*0.1</f>
        <v>#REF!</v>
      </c>
      <c r="AB718" t="str">
        <f>V718-Y718-Z718</f>
        <v>#REF!</v>
      </c>
      <c r="AC718" t="str">
        <f>W718-AA718</f>
        <v>#REF!</v>
      </c>
      <c r="AD718" t="str">
        <f>AB718*0.01</f>
        <v>#REF!</v>
      </c>
      <c r="AE718" t="str">
        <f>AB718-Q718-AD718-R718</f>
        <v>#REF!</v>
      </c>
      <c r="AF718" t="str">
        <f>AC718-Q718-AD718-R718</f>
        <v>#REF!</v>
      </c>
      <c r="AG718" t="str">
        <f>AE718/V718</f>
        <v>#REF!</v>
      </c>
      <c r="AH718" t="str">
        <f>AF718/W718</f>
        <v>#REF!</v>
      </c>
    </row>
    <row r="719">
      <c r="G719" t="str">
        <v>A</v>
      </c>
      <c r="J719" t="str">
        <f>IF(K719&gt;0,K719*0.0625,IF(L719&gt;0,L719*2.204623,))</f>
        <v>#REF!</v>
      </c>
      <c r="K719" t="str">
        <f>IF(L719&gt;0,L719*35.273962,IF(J719&gt;0,J719*16,))</f>
        <v>#REF!</v>
      </c>
      <c r="L719" t="str">
        <f>IF(J719&gt;0,J719*0.453592,IF(K719&gt;0,K719*0.02835,))</f>
        <v>#REF!</v>
      </c>
      <c r="O719">
        <f>I719+N719+M719</f>
        <v>0</v>
      </c>
      <c r="P719">
        <f>O719*B$3</f>
        <v>0</v>
      </c>
      <c r="Q719">
        <f>ROUND(SUM(P719), -2)</f>
        <v>0</v>
      </c>
      <c r="R719" t="str">
        <f>ROUNDUP(HLOOKUP(IF(CEILING(L719,0.5)&lt;1,0.5,CEILING(L719,0.5)),'배송비 조회'!A$44:AO$56,7,0)*B$3,-2)</f>
        <v>#REF!</v>
      </c>
      <c r="S719">
        <v>0</v>
      </c>
      <c r="T719" t="str">
        <f>ROUND((Q719+R719)*0.3,-2)</f>
        <v>#REF!</v>
      </c>
      <c r="U719" t="str">
        <f>ROUND((Q719+R719)*0.4,-2)</f>
        <v>#REF!</v>
      </c>
      <c r="V719" t="str">
        <f>SUM(Q719:R719)+T719</f>
        <v>#REF!</v>
      </c>
      <c r="W719" t="str">
        <f>SUM(Q719:S719)+U719</f>
        <v>#REF!</v>
      </c>
      <c r="X719">
        <v>0</v>
      </c>
      <c r="Y719" t="str">
        <f>V719*0.038</f>
        <v>#REF!</v>
      </c>
      <c r="Z719" t="str">
        <f>V719*0.02</f>
        <v>#REF!</v>
      </c>
      <c r="AA719" t="str">
        <f>W719*0.1</f>
        <v>#REF!</v>
      </c>
      <c r="AB719" t="str">
        <f>V719-Y719-Z719</f>
        <v>#REF!</v>
      </c>
      <c r="AC719" t="str">
        <f>W719-AA719</f>
        <v>#REF!</v>
      </c>
      <c r="AD719" t="str">
        <f>AB719*0.01</f>
        <v>#REF!</v>
      </c>
      <c r="AE719" t="str">
        <f>AB719-Q719-AD719-R719</f>
        <v>#REF!</v>
      </c>
      <c r="AF719" t="str">
        <f>AC719-Q719-AD719-R719</f>
        <v>#REF!</v>
      </c>
      <c r="AG719" t="str">
        <f>AE719/V719</f>
        <v>#REF!</v>
      </c>
      <c r="AH719" t="str">
        <f>AF719/W719</f>
        <v>#REF!</v>
      </c>
    </row>
    <row r="720">
      <c r="G720" t="str">
        <v>A</v>
      </c>
      <c r="J720" t="str">
        <f>IF(K720&gt;0,K720*0.0625,IF(L720&gt;0,L720*2.204623,))</f>
        <v>#REF!</v>
      </c>
      <c r="K720" t="str">
        <f>IF(L720&gt;0,L720*35.273962,IF(J720&gt;0,J720*16,))</f>
        <v>#REF!</v>
      </c>
      <c r="L720" t="str">
        <f>IF(J720&gt;0,J720*0.453592,IF(K720&gt;0,K720*0.02835,))</f>
        <v>#REF!</v>
      </c>
      <c r="O720">
        <f>I720+N720+M720</f>
        <v>0</v>
      </c>
      <c r="P720">
        <f>O720*B$3</f>
        <v>0</v>
      </c>
      <c r="Q720">
        <f>ROUND(SUM(P720), -2)</f>
        <v>0</v>
      </c>
      <c r="R720" t="str">
        <f>ROUNDUP(HLOOKUP(IF(CEILING(L720,0.5)&lt;1,0.5,CEILING(L720,0.5)),'배송비 조회'!A$44:AO$56,7,0)*B$3,-2)</f>
        <v>#REF!</v>
      </c>
      <c r="S720">
        <v>0</v>
      </c>
      <c r="T720" t="str">
        <f>ROUND((Q720+R720)*0.3,-2)</f>
        <v>#REF!</v>
      </c>
      <c r="U720" t="str">
        <f>ROUND((Q720+R720)*0.4,-2)</f>
        <v>#REF!</v>
      </c>
      <c r="V720" t="str">
        <f>SUM(Q720:R720)+T720</f>
        <v>#REF!</v>
      </c>
      <c r="W720" t="str">
        <f>SUM(Q720:S720)+U720</f>
        <v>#REF!</v>
      </c>
      <c r="X720">
        <v>0</v>
      </c>
      <c r="Y720" t="str">
        <f>V720*0.038</f>
        <v>#REF!</v>
      </c>
      <c r="Z720" t="str">
        <f>V720*0.02</f>
        <v>#REF!</v>
      </c>
      <c r="AA720" t="str">
        <f>W720*0.1</f>
        <v>#REF!</v>
      </c>
      <c r="AB720" t="str">
        <f>V720-Y720-Z720</f>
        <v>#REF!</v>
      </c>
      <c r="AC720" t="str">
        <f>W720-AA720</f>
        <v>#REF!</v>
      </c>
      <c r="AD720" t="str">
        <f>AB720*0.01</f>
        <v>#REF!</v>
      </c>
      <c r="AE720" t="str">
        <f>AB720-Q720-AD720-R720</f>
        <v>#REF!</v>
      </c>
      <c r="AF720" t="str">
        <f>AC720-Q720-AD720-R720</f>
        <v>#REF!</v>
      </c>
      <c r="AG720" t="str">
        <f>AE720/V720</f>
        <v>#REF!</v>
      </c>
      <c r="AH720" t="str">
        <f>AF720/W720</f>
        <v>#REF!</v>
      </c>
    </row>
    <row r="721">
      <c r="G721" t="str">
        <v>A</v>
      </c>
      <c r="J721" t="str">
        <f>IF(K721&gt;0,K721*0.0625,IF(L721&gt;0,L721*2.204623,))</f>
        <v>#REF!</v>
      </c>
      <c r="K721" t="str">
        <f>IF(L721&gt;0,L721*35.273962,IF(J721&gt;0,J721*16,))</f>
        <v>#REF!</v>
      </c>
      <c r="L721" t="str">
        <f>IF(J721&gt;0,J721*0.453592,IF(K721&gt;0,K721*0.02835,))</f>
        <v>#REF!</v>
      </c>
      <c r="O721">
        <f>I721+N721+M721</f>
        <v>0</v>
      </c>
      <c r="P721">
        <f>O721*B$3</f>
        <v>0</v>
      </c>
      <c r="Q721">
        <f>ROUND(SUM(P721), -2)</f>
        <v>0</v>
      </c>
      <c r="R721" t="str">
        <f>ROUNDUP(HLOOKUP(IF(CEILING(L721,0.5)&lt;1,0.5,CEILING(L721,0.5)),'배송비 조회'!A$44:AO$56,7,0)*B$3,-2)</f>
        <v>#REF!</v>
      </c>
      <c r="S721">
        <v>0</v>
      </c>
      <c r="T721" t="str">
        <f>ROUND((Q721+R721)*0.3,-2)</f>
        <v>#REF!</v>
      </c>
      <c r="U721" t="str">
        <f>ROUND((Q721+R721)*0.4,-2)</f>
        <v>#REF!</v>
      </c>
      <c r="V721" t="str">
        <f>SUM(Q721:R721)+T721</f>
        <v>#REF!</v>
      </c>
      <c r="W721" t="str">
        <f>SUM(Q721:S721)+U721</f>
        <v>#REF!</v>
      </c>
      <c r="X721">
        <v>0</v>
      </c>
      <c r="Y721" t="str">
        <f>V721*0.038</f>
        <v>#REF!</v>
      </c>
      <c r="Z721" t="str">
        <f>V721*0.02</f>
        <v>#REF!</v>
      </c>
      <c r="AA721" t="str">
        <f>W721*0.1</f>
        <v>#REF!</v>
      </c>
      <c r="AB721" t="str">
        <f>V721-Y721-Z721</f>
        <v>#REF!</v>
      </c>
      <c r="AC721" t="str">
        <f>W721-AA721</f>
        <v>#REF!</v>
      </c>
      <c r="AD721" t="str">
        <f>AB721*0.01</f>
        <v>#REF!</v>
      </c>
      <c r="AE721" t="str">
        <f>AB721-Q721-AD721-R721</f>
        <v>#REF!</v>
      </c>
      <c r="AF721" t="str">
        <f>AC721-Q721-AD721-R721</f>
        <v>#REF!</v>
      </c>
      <c r="AG721" t="str">
        <f>AE721/V721</f>
        <v>#REF!</v>
      </c>
      <c r="AH721" t="str">
        <f>AF721/W721</f>
        <v>#REF!</v>
      </c>
    </row>
    <row r="722">
      <c r="G722" t="str">
        <v>A</v>
      </c>
      <c r="J722" t="str">
        <f>IF(K722&gt;0,K722*0.0625,IF(L722&gt;0,L722*2.204623,))</f>
        <v>#REF!</v>
      </c>
      <c r="K722" t="str">
        <f>IF(L722&gt;0,L722*35.273962,IF(J722&gt;0,J722*16,))</f>
        <v>#REF!</v>
      </c>
      <c r="L722" t="str">
        <f>IF(J722&gt;0,J722*0.453592,IF(K722&gt;0,K722*0.02835,))</f>
        <v>#REF!</v>
      </c>
      <c r="O722">
        <f>I722+N722+M722</f>
        <v>0</v>
      </c>
      <c r="P722">
        <f>O722*B$3</f>
        <v>0</v>
      </c>
      <c r="Q722">
        <f>ROUND(SUM(P722), -2)</f>
        <v>0</v>
      </c>
      <c r="R722" t="str">
        <f>ROUNDUP(HLOOKUP(IF(CEILING(L722,0.5)&lt;1,0.5,CEILING(L722,0.5)),'배송비 조회'!A$44:AO$56,7,0)*B$3,-2)</f>
        <v>#REF!</v>
      </c>
      <c r="S722">
        <v>0</v>
      </c>
      <c r="T722" t="str">
        <f>ROUND((Q722+R722)*0.3,-2)</f>
        <v>#REF!</v>
      </c>
      <c r="U722" t="str">
        <f>ROUND((Q722+R722)*0.4,-2)</f>
        <v>#REF!</v>
      </c>
      <c r="V722" t="str">
        <f>SUM(Q722:R722)+T722</f>
        <v>#REF!</v>
      </c>
      <c r="W722" t="str">
        <f>SUM(Q722:S722)+U722</f>
        <v>#REF!</v>
      </c>
      <c r="X722">
        <v>0</v>
      </c>
      <c r="Y722" t="str">
        <f>V722*0.038</f>
        <v>#REF!</v>
      </c>
      <c r="Z722" t="str">
        <f>V722*0.02</f>
        <v>#REF!</v>
      </c>
      <c r="AA722" t="str">
        <f>W722*0.1</f>
        <v>#REF!</v>
      </c>
      <c r="AB722" t="str">
        <f>V722-Y722-Z722</f>
        <v>#REF!</v>
      </c>
      <c r="AC722" t="str">
        <f>W722-AA722</f>
        <v>#REF!</v>
      </c>
      <c r="AD722" t="str">
        <f>AB722*0.01</f>
        <v>#REF!</v>
      </c>
      <c r="AE722" t="str">
        <f>AB722-Q722-AD722-R722</f>
        <v>#REF!</v>
      </c>
      <c r="AF722" t="str">
        <f>AC722-Q722-AD722-R722</f>
        <v>#REF!</v>
      </c>
      <c r="AG722" t="str">
        <f>AE722/V722</f>
        <v>#REF!</v>
      </c>
      <c r="AH722" t="str">
        <f>AF722/W722</f>
        <v>#REF!</v>
      </c>
    </row>
    <row r="723">
      <c r="G723" t="str">
        <v>A</v>
      </c>
      <c r="J723" t="str">
        <f>IF(K723&gt;0,K723*0.0625,IF(L723&gt;0,L723*2.204623,))</f>
        <v>#REF!</v>
      </c>
      <c r="K723" t="str">
        <f>IF(L723&gt;0,L723*35.273962,IF(J723&gt;0,J723*16,))</f>
        <v>#REF!</v>
      </c>
      <c r="L723" t="str">
        <f>IF(J723&gt;0,J723*0.453592,IF(K723&gt;0,K723*0.02835,))</f>
        <v>#REF!</v>
      </c>
      <c r="O723">
        <f>I723+N723+M723</f>
        <v>0</v>
      </c>
      <c r="P723">
        <f>O723*B$3</f>
        <v>0</v>
      </c>
      <c r="Q723">
        <f>ROUND(SUM(P723), -2)</f>
        <v>0</v>
      </c>
      <c r="R723" t="str">
        <f>ROUNDUP(HLOOKUP(IF(CEILING(L723,0.5)&lt;1,0.5,CEILING(L723,0.5)),'배송비 조회'!A$44:AO$56,7,0)*B$3,-2)</f>
        <v>#REF!</v>
      </c>
      <c r="S723">
        <v>0</v>
      </c>
      <c r="T723" t="str">
        <f>ROUND((Q723+R723)*0.3,-2)</f>
        <v>#REF!</v>
      </c>
      <c r="U723" t="str">
        <f>ROUND((Q723+R723)*0.4,-2)</f>
        <v>#REF!</v>
      </c>
      <c r="V723" t="str">
        <f>SUM(Q723:R723)+T723</f>
        <v>#REF!</v>
      </c>
      <c r="W723" t="str">
        <f>SUM(Q723:S723)+U723</f>
        <v>#REF!</v>
      </c>
      <c r="X723">
        <v>0</v>
      </c>
      <c r="Y723" t="str">
        <f>V723*0.038</f>
        <v>#REF!</v>
      </c>
      <c r="Z723" t="str">
        <f>V723*0.02</f>
        <v>#REF!</v>
      </c>
      <c r="AA723" t="str">
        <f>W723*0.1</f>
        <v>#REF!</v>
      </c>
      <c r="AB723" t="str">
        <f>V723-Y723-Z723</f>
        <v>#REF!</v>
      </c>
      <c r="AC723" t="str">
        <f>W723-AA723</f>
        <v>#REF!</v>
      </c>
      <c r="AD723" t="str">
        <f>AB723*0.01</f>
        <v>#REF!</v>
      </c>
      <c r="AE723" t="str">
        <f>AB723-Q723-AD723-R723</f>
        <v>#REF!</v>
      </c>
      <c r="AF723" t="str">
        <f>AC723-Q723-AD723-R723</f>
        <v>#REF!</v>
      </c>
      <c r="AG723" t="str">
        <f>AE723/V723</f>
        <v>#REF!</v>
      </c>
      <c r="AH723" t="str">
        <f>AF723/W723</f>
        <v>#REF!</v>
      </c>
    </row>
    <row r="724">
      <c r="G724" t="str">
        <v>A</v>
      </c>
      <c r="J724" t="str">
        <f>IF(K724&gt;0,K724*0.0625,IF(L724&gt;0,L724*2.204623,))</f>
        <v>#REF!</v>
      </c>
      <c r="K724" t="str">
        <f>IF(L724&gt;0,L724*35.273962,IF(J724&gt;0,J724*16,))</f>
        <v>#REF!</v>
      </c>
      <c r="L724" t="str">
        <f>IF(J724&gt;0,J724*0.453592,IF(K724&gt;0,K724*0.02835,))</f>
        <v>#REF!</v>
      </c>
      <c r="O724">
        <f>I724+N724+M724</f>
        <v>0</v>
      </c>
      <c r="P724">
        <f>O724*B$3</f>
        <v>0</v>
      </c>
      <c r="Q724">
        <f>ROUND(SUM(P724), -2)</f>
        <v>0</v>
      </c>
      <c r="R724" t="str">
        <f>ROUNDUP(HLOOKUP(IF(CEILING(L724,0.5)&lt;1,0.5,CEILING(L724,0.5)),'배송비 조회'!A$44:AO$56,7,0)*B$3,-2)</f>
        <v>#REF!</v>
      </c>
      <c r="S724">
        <v>0</v>
      </c>
      <c r="T724" t="str">
        <f>ROUND((Q724+R724)*0.3,-2)</f>
        <v>#REF!</v>
      </c>
      <c r="U724" t="str">
        <f>ROUND((Q724+R724)*0.4,-2)</f>
        <v>#REF!</v>
      </c>
      <c r="V724" t="str">
        <f>SUM(Q724:R724)+T724</f>
        <v>#REF!</v>
      </c>
      <c r="W724" t="str">
        <f>SUM(Q724:S724)+U724</f>
        <v>#REF!</v>
      </c>
      <c r="X724">
        <v>0</v>
      </c>
      <c r="Y724" t="str">
        <f>V724*0.038</f>
        <v>#REF!</v>
      </c>
      <c r="Z724" t="str">
        <f>V724*0.02</f>
        <v>#REF!</v>
      </c>
      <c r="AA724" t="str">
        <f>W724*0.1</f>
        <v>#REF!</v>
      </c>
      <c r="AB724" t="str">
        <f>V724-Y724-Z724</f>
        <v>#REF!</v>
      </c>
      <c r="AC724" t="str">
        <f>W724-AA724</f>
        <v>#REF!</v>
      </c>
      <c r="AD724" t="str">
        <f>AB724*0.01</f>
        <v>#REF!</v>
      </c>
      <c r="AE724" t="str">
        <f>AB724-Q724-AD724-R724</f>
        <v>#REF!</v>
      </c>
      <c r="AF724" t="str">
        <f>AC724-Q724-AD724-R724</f>
        <v>#REF!</v>
      </c>
      <c r="AG724" t="str">
        <f>AE724/V724</f>
        <v>#REF!</v>
      </c>
      <c r="AH724" t="str">
        <f>AF724/W724</f>
        <v>#REF!</v>
      </c>
    </row>
    <row r="725">
      <c r="G725" t="str">
        <v>A</v>
      </c>
      <c r="J725" t="str">
        <f>IF(K725&gt;0,K725*0.0625,IF(L725&gt;0,L725*2.204623,))</f>
        <v>#REF!</v>
      </c>
      <c r="K725" t="str">
        <f>IF(L725&gt;0,L725*35.273962,IF(J725&gt;0,J725*16,))</f>
        <v>#REF!</v>
      </c>
      <c r="L725" t="str">
        <f>IF(J725&gt;0,J725*0.453592,IF(K725&gt;0,K725*0.02835,))</f>
        <v>#REF!</v>
      </c>
      <c r="O725">
        <f>I725+N725+M725</f>
        <v>0</v>
      </c>
      <c r="P725">
        <f>O725*B$3</f>
        <v>0</v>
      </c>
      <c r="Q725">
        <f>ROUND(SUM(P725), -2)</f>
        <v>0</v>
      </c>
      <c r="R725" t="str">
        <f>ROUNDUP(HLOOKUP(IF(CEILING(L725,0.5)&lt;1,0.5,CEILING(L725,0.5)),'배송비 조회'!A$44:AO$56,7,0)*B$3,-2)</f>
        <v>#REF!</v>
      </c>
      <c r="S725">
        <v>0</v>
      </c>
      <c r="T725" t="str">
        <f>ROUND((Q725+R725)*0.3,-2)</f>
        <v>#REF!</v>
      </c>
      <c r="U725" t="str">
        <f>ROUND((Q725+R725)*0.4,-2)</f>
        <v>#REF!</v>
      </c>
      <c r="V725" t="str">
        <f>SUM(Q725:R725)+T725</f>
        <v>#REF!</v>
      </c>
      <c r="W725" t="str">
        <f>SUM(Q725:S725)+U725</f>
        <v>#REF!</v>
      </c>
      <c r="X725">
        <v>0</v>
      </c>
      <c r="Y725" t="str">
        <f>V725*0.038</f>
        <v>#REF!</v>
      </c>
      <c r="Z725" t="str">
        <f>V725*0.02</f>
        <v>#REF!</v>
      </c>
      <c r="AA725" t="str">
        <f>W725*0.1</f>
        <v>#REF!</v>
      </c>
      <c r="AB725" t="str">
        <f>V725-Y725-Z725</f>
        <v>#REF!</v>
      </c>
      <c r="AC725" t="str">
        <f>W725-AA725</f>
        <v>#REF!</v>
      </c>
      <c r="AD725" t="str">
        <f>AB725*0.01</f>
        <v>#REF!</v>
      </c>
      <c r="AE725" t="str">
        <f>AB725-Q725-AD725-R725</f>
        <v>#REF!</v>
      </c>
      <c r="AF725" t="str">
        <f>AC725-Q725-AD725-R725</f>
        <v>#REF!</v>
      </c>
      <c r="AG725" t="str">
        <f>AE725/V725</f>
        <v>#REF!</v>
      </c>
      <c r="AH725" t="str">
        <f>AF725/W725</f>
        <v>#REF!</v>
      </c>
    </row>
    <row r="726">
      <c r="G726" t="str">
        <v>A</v>
      </c>
      <c r="J726" t="str">
        <f>IF(K726&gt;0,K726*0.0625,IF(L726&gt;0,L726*2.204623,))</f>
        <v>#REF!</v>
      </c>
      <c r="K726" t="str">
        <f>IF(L726&gt;0,L726*35.273962,IF(J726&gt;0,J726*16,))</f>
        <v>#REF!</v>
      </c>
      <c r="L726" t="str">
        <f>IF(J726&gt;0,J726*0.453592,IF(K726&gt;0,K726*0.02835,))</f>
        <v>#REF!</v>
      </c>
      <c r="O726">
        <f>I726+N726+M726</f>
        <v>0</v>
      </c>
      <c r="P726">
        <f>O726*B$3</f>
        <v>0</v>
      </c>
      <c r="Q726">
        <f>ROUND(SUM(P726), -2)</f>
        <v>0</v>
      </c>
      <c r="R726" t="str">
        <f>ROUNDUP(HLOOKUP(IF(CEILING(L726,0.5)&lt;1,0.5,CEILING(L726,0.5)),'배송비 조회'!A$44:AO$56,7,0)*B$3,-2)</f>
        <v>#REF!</v>
      </c>
      <c r="S726">
        <v>0</v>
      </c>
      <c r="T726" t="str">
        <f>ROUND((Q726+R726)*0.3,-2)</f>
        <v>#REF!</v>
      </c>
      <c r="U726" t="str">
        <f>ROUND((Q726+R726)*0.4,-2)</f>
        <v>#REF!</v>
      </c>
      <c r="V726" t="str">
        <f>SUM(Q726:R726)+T726</f>
        <v>#REF!</v>
      </c>
      <c r="W726" t="str">
        <f>SUM(Q726:S726)+U726</f>
        <v>#REF!</v>
      </c>
      <c r="X726">
        <v>0</v>
      </c>
      <c r="Y726" t="str">
        <f>V726*0.038</f>
        <v>#REF!</v>
      </c>
      <c r="Z726" t="str">
        <f>V726*0.02</f>
        <v>#REF!</v>
      </c>
      <c r="AA726" t="str">
        <f>W726*0.1</f>
        <v>#REF!</v>
      </c>
      <c r="AB726" t="str">
        <f>V726-Y726-Z726</f>
        <v>#REF!</v>
      </c>
      <c r="AC726" t="str">
        <f>W726-AA726</f>
        <v>#REF!</v>
      </c>
      <c r="AD726" t="str">
        <f>AB726*0.01</f>
        <v>#REF!</v>
      </c>
      <c r="AE726" t="str">
        <f>AB726-Q726-AD726-R726</f>
        <v>#REF!</v>
      </c>
      <c r="AF726" t="str">
        <f>AC726-Q726-AD726-R726</f>
        <v>#REF!</v>
      </c>
      <c r="AG726" t="str">
        <f>AE726/V726</f>
        <v>#REF!</v>
      </c>
      <c r="AH726" t="str">
        <f>AF726/W726</f>
        <v>#REF!</v>
      </c>
    </row>
    <row r="727">
      <c r="G727" t="str">
        <v>A</v>
      </c>
      <c r="J727" t="str">
        <f>IF(K727&gt;0,K727*0.0625,IF(L727&gt;0,L727*2.204623,))</f>
        <v>#REF!</v>
      </c>
      <c r="K727" t="str">
        <f>IF(L727&gt;0,L727*35.273962,IF(J727&gt;0,J727*16,))</f>
        <v>#REF!</v>
      </c>
      <c r="L727" t="str">
        <f>IF(J727&gt;0,J727*0.453592,IF(K727&gt;0,K727*0.02835,))</f>
        <v>#REF!</v>
      </c>
      <c r="O727">
        <f>I727+N727+M727</f>
        <v>0</v>
      </c>
      <c r="P727">
        <f>O727*B$3</f>
        <v>0</v>
      </c>
      <c r="Q727">
        <f>ROUND(SUM(P727), -2)</f>
        <v>0</v>
      </c>
      <c r="R727" t="str">
        <f>ROUNDUP(HLOOKUP(IF(CEILING(L727,0.5)&lt;1,0.5,CEILING(L727,0.5)),'배송비 조회'!A$44:AO$56,7,0)*B$3,-2)</f>
        <v>#REF!</v>
      </c>
      <c r="S727">
        <v>0</v>
      </c>
      <c r="T727" t="str">
        <f>ROUND((Q727+R727)*0.3,-2)</f>
        <v>#REF!</v>
      </c>
      <c r="U727" t="str">
        <f>ROUND((Q727+R727)*0.4,-2)</f>
        <v>#REF!</v>
      </c>
      <c r="V727" t="str">
        <f>SUM(Q727:R727)+T727</f>
        <v>#REF!</v>
      </c>
      <c r="W727" t="str">
        <f>SUM(Q727:S727)+U727</f>
        <v>#REF!</v>
      </c>
      <c r="X727">
        <v>0</v>
      </c>
      <c r="Y727" t="str">
        <f>V727*0.038</f>
        <v>#REF!</v>
      </c>
      <c r="Z727" t="str">
        <f>V727*0.02</f>
        <v>#REF!</v>
      </c>
      <c r="AA727" t="str">
        <f>W727*0.1</f>
        <v>#REF!</v>
      </c>
      <c r="AB727" t="str">
        <f>V727-Y727-Z727</f>
        <v>#REF!</v>
      </c>
      <c r="AC727" t="str">
        <f>W727-AA727</f>
        <v>#REF!</v>
      </c>
      <c r="AD727" t="str">
        <f>AB727*0.01</f>
        <v>#REF!</v>
      </c>
      <c r="AE727" t="str">
        <f>AB727-Q727-AD727-R727</f>
        <v>#REF!</v>
      </c>
      <c r="AF727" t="str">
        <f>AC727-Q727-AD727-R727</f>
        <v>#REF!</v>
      </c>
      <c r="AG727" t="str">
        <f>AE727/V727</f>
        <v>#REF!</v>
      </c>
      <c r="AH727" t="str">
        <f>AF727/W727</f>
        <v>#REF!</v>
      </c>
    </row>
    <row r="728">
      <c r="G728" t="str">
        <v>A</v>
      </c>
      <c r="J728" t="str">
        <f>IF(K728&gt;0,K728*0.0625,IF(L728&gt;0,L728*2.204623,))</f>
        <v>#REF!</v>
      </c>
      <c r="K728" t="str">
        <f>IF(L728&gt;0,L728*35.273962,IF(J728&gt;0,J728*16,))</f>
        <v>#REF!</v>
      </c>
      <c r="L728" t="str">
        <f>IF(J728&gt;0,J728*0.453592,IF(K728&gt;0,K728*0.02835,))</f>
        <v>#REF!</v>
      </c>
      <c r="O728">
        <f>I728+N728+M728</f>
        <v>0</v>
      </c>
      <c r="P728">
        <f>O728*B$3</f>
        <v>0</v>
      </c>
      <c r="Q728">
        <f>ROUND(SUM(P728), -2)</f>
        <v>0</v>
      </c>
      <c r="R728" t="str">
        <f>ROUNDUP(HLOOKUP(IF(CEILING(L728,0.5)&lt;1,0.5,CEILING(L728,0.5)),'배송비 조회'!A$44:AO$56,7,0)*B$3,-2)</f>
        <v>#REF!</v>
      </c>
      <c r="S728">
        <v>0</v>
      </c>
      <c r="T728" t="str">
        <f>ROUND((Q728+R728)*0.3,-2)</f>
        <v>#REF!</v>
      </c>
      <c r="U728" t="str">
        <f>ROUND((Q728+R728)*0.4,-2)</f>
        <v>#REF!</v>
      </c>
      <c r="V728" t="str">
        <f>SUM(Q728:R728)+T728</f>
        <v>#REF!</v>
      </c>
      <c r="W728" t="str">
        <f>SUM(Q728:S728)+U728</f>
        <v>#REF!</v>
      </c>
      <c r="X728">
        <v>0</v>
      </c>
      <c r="Y728" t="str">
        <f>V728*0.038</f>
        <v>#REF!</v>
      </c>
      <c r="Z728" t="str">
        <f>V728*0.02</f>
        <v>#REF!</v>
      </c>
      <c r="AA728" t="str">
        <f>W728*0.1</f>
        <v>#REF!</v>
      </c>
      <c r="AB728" t="str">
        <f>V728-Y728-Z728</f>
        <v>#REF!</v>
      </c>
      <c r="AC728" t="str">
        <f>W728-AA728</f>
        <v>#REF!</v>
      </c>
      <c r="AD728" t="str">
        <f>AB728*0.01</f>
        <v>#REF!</v>
      </c>
      <c r="AE728" t="str">
        <f>AB728-Q728-AD728-R728</f>
        <v>#REF!</v>
      </c>
      <c r="AF728" t="str">
        <f>AC728-Q728-AD728-R728</f>
        <v>#REF!</v>
      </c>
      <c r="AG728" t="str">
        <f>AE728/V728</f>
        <v>#REF!</v>
      </c>
      <c r="AH728" t="str">
        <f>AF728/W728</f>
        <v>#REF!</v>
      </c>
    </row>
    <row r="729">
      <c r="G729" t="str">
        <v>A</v>
      </c>
      <c r="J729" t="str">
        <f>IF(K729&gt;0,K729*0.0625,IF(L729&gt;0,L729*2.204623,))</f>
        <v>#REF!</v>
      </c>
      <c r="K729" t="str">
        <f>IF(L729&gt;0,L729*35.273962,IF(J729&gt;0,J729*16,))</f>
        <v>#REF!</v>
      </c>
      <c r="L729" t="str">
        <f>IF(J729&gt;0,J729*0.453592,IF(K729&gt;0,K729*0.02835,))</f>
        <v>#REF!</v>
      </c>
      <c r="O729">
        <f>I729+N729+M729</f>
        <v>0</v>
      </c>
      <c r="P729">
        <f>O729*B$3</f>
        <v>0</v>
      </c>
      <c r="Q729">
        <f>ROUND(SUM(P729), -2)</f>
        <v>0</v>
      </c>
      <c r="R729" t="str">
        <f>ROUNDUP(HLOOKUP(IF(CEILING(L729,0.5)&lt;1,0.5,CEILING(L729,0.5)),'배송비 조회'!A$44:AO$56,7,0)*B$3,-2)</f>
        <v>#REF!</v>
      </c>
      <c r="S729">
        <v>0</v>
      </c>
      <c r="T729" t="str">
        <f>ROUND((Q729+R729)*0.3,-2)</f>
        <v>#REF!</v>
      </c>
      <c r="U729" t="str">
        <f>ROUND((Q729+R729)*0.4,-2)</f>
        <v>#REF!</v>
      </c>
      <c r="V729" t="str">
        <f>SUM(Q729:R729)+T729</f>
        <v>#REF!</v>
      </c>
      <c r="W729" t="str">
        <f>SUM(Q729:S729)+U729</f>
        <v>#REF!</v>
      </c>
      <c r="X729">
        <v>0</v>
      </c>
      <c r="Y729" t="str">
        <f>V729*0.038</f>
        <v>#REF!</v>
      </c>
      <c r="Z729" t="str">
        <f>V729*0.02</f>
        <v>#REF!</v>
      </c>
      <c r="AA729" t="str">
        <f>W729*0.1</f>
        <v>#REF!</v>
      </c>
      <c r="AB729" t="str">
        <f>V729-Y729-Z729</f>
        <v>#REF!</v>
      </c>
      <c r="AC729" t="str">
        <f>W729-AA729</f>
        <v>#REF!</v>
      </c>
      <c r="AD729" t="str">
        <f>AB729*0.01</f>
        <v>#REF!</v>
      </c>
      <c r="AE729" t="str">
        <f>AB729-Q729-AD729-R729</f>
        <v>#REF!</v>
      </c>
      <c r="AF729" t="str">
        <f>AC729-Q729-AD729-R729</f>
        <v>#REF!</v>
      </c>
      <c r="AG729" t="str">
        <f>AE729/V729</f>
        <v>#REF!</v>
      </c>
      <c r="AH729" t="str">
        <f>AF729/W729</f>
        <v>#REF!</v>
      </c>
    </row>
    <row r="730">
      <c r="G730" t="str">
        <v>A</v>
      </c>
      <c r="J730" t="str">
        <f>IF(K730&gt;0,K730*0.0625,IF(L730&gt;0,L730*2.204623,))</f>
        <v>#REF!</v>
      </c>
      <c r="K730" t="str">
        <f>IF(L730&gt;0,L730*35.273962,IF(J730&gt;0,J730*16,))</f>
        <v>#REF!</v>
      </c>
      <c r="L730" t="str">
        <f>IF(J730&gt;0,J730*0.453592,IF(K730&gt;0,K730*0.02835,))</f>
        <v>#REF!</v>
      </c>
      <c r="O730">
        <f>I730+N730+M730</f>
        <v>0</v>
      </c>
      <c r="P730">
        <f>O730*B$3</f>
        <v>0</v>
      </c>
      <c r="Q730">
        <f>ROUND(SUM(P730), -2)</f>
        <v>0</v>
      </c>
      <c r="R730" t="str">
        <f>ROUNDUP(HLOOKUP(IF(CEILING(L730,0.5)&lt;1,0.5,CEILING(L730,0.5)),'배송비 조회'!A$44:AO$56,7,0)*B$3,-2)</f>
        <v>#REF!</v>
      </c>
      <c r="S730">
        <v>0</v>
      </c>
      <c r="T730" t="str">
        <f>ROUND((Q730+R730)*0.3,-2)</f>
        <v>#REF!</v>
      </c>
      <c r="U730" t="str">
        <f>ROUND((Q730+R730)*0.4,-2)</f>
        <v>#REF!</v>
      </c>
      <c r="V730" t="str">
        <f>SUM(Q730:R730)+T730</f>
        <v>#REF!</v>
      </c>
      <c r="W730" t="str">
        <f>SUM(Q730:S730)+U730</f>
        <v>#REF!</v>
      </c>
      <c r="X730">
        <v>0</v>
      </c>
      <c r="Y730" t="str">
        <f>V730*0.038</f>
        <v>#REF!</v>
      </c>
      <c r="Z730" t="str">
        <f>V730*0.02</f>
        <v>#REF!</v>
      </c>
      <c r="AA730" t="str">
        <f>W730*0.1</f>
        <v>#REF!</v>
      </c>
      <c r="AB730" t="str">
        <f>V730-Y730-Z730</f>
        <v>#REF!</v>
      </c>
      <c r="AC730" t="str">
        <f>W730-AA730</f>
        <v>#REF!</v>
      </c>
      <c r="AD730" t="str">
        <f>AB730*0.01</f>
        <v>#REF!</v>
      </c>
      <c r="AE730" t="str">
        <f>AB730-Q730-AD730-R730</f>
        <v>#REF!</v>
      </c>
      <c r="AF730" t="str">
        <f>AC730-Q730-AD730-R730</f>
        <v>#REF!</v>
      </c>
      <c r="AG730" t="str">
        <f>AE730/V730</f>
        <v>#REF!</v>
      </c>
      <c r="AH730" t="str">
        <f>AF730/W730</f>
        <v>#REF!</v>
      </c>
    </row>
    <row r="731">
      <c r="G731" t="str">
        <v>A</v>
      </c>
      <c r="J731" t="str">
        <f>IF(K731&gt;0,K731*0.0625,IF(L731&gt;0,L731*2.204623,))</f>
        <v>#REF!</v>
      </c>
      <c r="K731" t="str">
        <f>IF(L731&gt;0,L731*35.273962,IF(J731&gt;0,J731*16,))</f>
        <v>#REF!</v>
      </c>
      <c r="L731" t="str">
        <f>IF(J731&gt;0,J731*0.453592,IF(K731&gt;0,K731*0.02835,))</f>
        <v>#REF!</v>
      </c>
      <c r="O731">
        <f>I731+N731+M731</f>
        <v>0</v>
      </c>
      <c r="P731">
        <f>O731*B$3</f>
        <v>0</v>
      </c>
      <c r="Q731">
        <f>ROUND(SUM(P731), -2)</f>
        <v>0</v>
      </c>
      <c r="R731" t="str">
        <f>ROUNDUP(HLOOKUP(IF(CEILING(L731,0.5)&lt;1,0.5,CEILING(L731,0.5)),'배송비 조회'!A$44:AO$56,7,0)*B$3,-2)</f>
        <v>#REF!</v>
      </c>
      <c r="S731">
        <v>0</v>
      </c>
      <c r="T731" t="str">
        <f>ROUND((Q731+R731)*0.3,-2)</f>
        <v>#REF!</v>
      </c>
      <c r="U731" t="str">
        <f>ROUND((Q731+R731)*0.4,-2)</f>
        <v>#REF!</v>
      </c>
      <c r="V731" t="str">
        <f>SUM(Q731:R731)+T731</f>
        <v>#REF!</v>
      </c>
      <c r="W731" t="str">
        <f>SUM(Q731:S731)+U731</f>
        <v>#REF!</v>
      </c>
      <c r="X731">
        <v>0</v>
      </c>
      <c r="Y731" t="str">
        <f>V731*0.038</f>
        <v>#REF!</v>
      </c>
      <c r="Z731" t="str">
        <f>V731*0.02</f>
        <v>#REF!</v>
      </c>
      <c r="AA731" t="str">
        <f>W731*0.1</f>
        <v>#REF!</v>
      </c>
      <c r="AB731" t="str">
        <f>V731-Y731-Z731</f>
        <v>#REF!</v>
      </c>
      <c r="AC731" t="str">
        <f>W731-AA731</f>
        <v>#REF!</v>
      </c>
      <c r="AD731" t="str">
        <f>AB731*0.01</f>
        <v>#REF!</v>
      </c>
      <c r="AE731" t="str">
        <f>AB731-Q731-AD731-R731</f>
        <v>#REF!</v>
      </c>
      <c r="AF731" t="str">
        <f>AC731-Q731-AD731-R731</f>
        <v>#REF!</v>
      </c>
      <c r="AG731" t="str">
        <f>AE731/V731</f>
        <v>#REF!</v>
      </c>
      <c r="AH731" t="str">
        <f>AF731/W731</f>
        <v>#REF!</v>
      </c>
    </row>
    <row r="732">
      <c r="G732" t="str">
        <v>A</v>
      </c>
      <c r="J732" t="str">
        <f>IF(K732&gt;0,K732*0.0625,IF(L732&gt;0,L732*2.204623,))</f>
        <v>#REF!</v>
      </c>
      <c r="K732" t="str">
        <f>IF(L732&gt;0,L732*35.273962,IF(J732&gt;0,J732*16,))</f>
        <v>#REF!</v>
      </c>
      <c r="L732" t="str">
        <f>IF(J732&gt;0,J732*0.453592,IF(K732&gt;0,K732*0.02835,))</f>
        <v>#REF!</v>
      </c>
      <c r="O732">
        <f>I732+N732+M732</f>
        <v>0</v>
      </c>
      <c r="P732">
        <f>O732*B$3</f>
        <v>0</v>
      </c>
      <c r="Q732">
        <f>ROUND(SUM(P732), -2)</f>
        <v>0</v>
      </c>
      <c r="R732" t="str">
        <f>ROUNDUP(HLOOKUP(IF(CEILING(L732,0.5)&lt;1,0.5,CEILING(L732,0.5)),'배송비 조회'!A$44:AO$56,7,0)*B$3,-2)</f>
        <v>#REF!</v>
      </c>
      <c r="S732">
        <v>0</v>
      </c>
      <c r="T732" t="str">
        <f>ROUND((Q732+R732)*0.3,-2)</f>
        <v>#REF!</v>
      </c>
      <c r="U732" t="str">
        <f>ROUND((Q732+R732)*0.4,-2)</f>
        <v>#REF!</v>
      </c>
      <c r="V732" t="str">
        <f>SUM(Q732:R732)+T732</f>
        <v>#REF!</v>
      </c>
      <c r="W732" t="str">
        <f>SUM(Q732:S732)+U732</f>
        <v>#REF!</v>
      </c>
      <c r="X732">
        <v>0</v>
      </c>
      <c r="Y732" t="str">
        <f>V732*0.038</f>
        <v>#REF!</v>
      </c>
      <c r="Z732" t="str">
        <f>V732*0.02</f>
        <v>#REF!</v>
      </c>
      <c r="AA732" t="str">
        <f>W732*0.1</f>
        <v>#REF!</v>
      </c>
      <c r="AB732" t="str">
        <f>V732-Y732-Z732</f>
        <v>#REF!</v>
      </c>
      <c r="AC732" t="str">
        <f>W732-AA732</f>
        <v>#REF!</v>
      </c>
      <c r="AD732" t="str">
        <f>AB732*0.01</f>
        <v>#REF!</v>
      </c>
      <c r="AE732" t="str">
        <f>AB732-Q732-AD732-R732</f>
        <v>#REF!</v>
      </c>
      <c r="AF732" t="str">
        <f>AC732-Q732-AD732-R732</f>
        <v>#REF!</v>
      </c>
      <c r="AG732" t="str">
        <f>AE732/V732</f>
        <v>#REF!</v>
      </c>
      <c r="AH732" t="str">
        <f>AF732/W732</f>
        <v>#REF!</v>
      </c>
    </row>
    <row r="733">
      <c r="G733" t="str">
        <v>A</v>
      </c>
      <c r="J733" t="str">
        <f>IF(K733&gt;0,K733*0.0625,IF(L733&gt;0,L733*2.204623,))</f>
        <v>#REF!</v>
      </c>
      <c r="K733" t="str">
        <f>IF(L733&gt;0,L733*35.273962,IF(J733&gt;0,J733*16,))</f>
        <v>#REF!</v>
      </c>
      <c r="L733" t="str">
        <f>IF(J733&gt;0,J733*0.453592,IF(K733&gt;0,K733*0.02835,))</f>
        <v>#REF!</v>
      </c>
      <c r="O733">
        <f>I733+N733+M733</f>
        <v>0</v>
      </c>
      <c r="P733">
        <f>O733*B$3</f>
        <v>0</v>
      </c>
      <c r="Q733">
        <f>ROUND(SUM(P733), -2)</f>
        <v>0</v>
      </c>
      <c r="R733" t="str">
        <f>ROUNDUP(HLOOKUP(IF(CEILING(L733,0.5)&lt;1,0.5,CEILING(L733,0.5)),'배송비 조회'!A$44:AO$56,7,0)*B$3,-2)</f>
        <v>#REF!</v>
      </c>
      <c r="S733">
        <v>0</v>
      </c>
      <c r="T733" t="str">
        <f>ROUND((Q733+R733)*0.3,-2)</f>
        <v>#REF!</v>
      </c>
      <c r="U733" t="str">
        <f>ROUND((Q733+R733)*0.4,-2)</f>
        <v>#REF!</v>
      </c>
      <c r="V733" t="str">
        <f>SUM(Q733:R733)+T733</f>
        <v>#REF!</v>
      </c>
      <c r="W733" t="str">
        <f>SUM(Q733:S733)+U733</f>
        <v>#REF!</v>
      </c>
      <c r="X733">
        <v>0</v>
      </c>
      <c r="Y733" t="str">
        <f>V733*0.038</f>
        <v>#REF!</v>
      </c>
      <c r="Z733" t="str">
        <f>V733*0.02</f>
        <v>#REF!</v>
      </c>
      <c r="AA733" t="str">
        <f>W733*0.1</f>
        <v>#REF!</v>
      </c>
      <c r="AB733" t="str">
        <f>V733-Y733-Z733</f>
        <v>#REF!</v>
      </c>
      <c r="AC733" t="str">
        <f>W733-AA733</f>
        <v>#REF!</v>
      </c>
      <c r="AD733" t="str">
        <f>AB733*0.01</f>
        <v>#REF!</v>
      </c>
      <c r="AE733" t="str">
        <f>AB733-Q733-AD733-R733</f>
        <v>#REF!</v>
      </c>
      <c r="AF733" t="str">
        <f>AC733-Q733-AD733-R733</f>
        <v>#REF!</v>
      </c>
      <c r="AG733" t="str">
        <f>AE733/V733</f>
        <v>#REF!</v>
      </c>
      <c r="AH733" t="str">
        <f>AF733/W733</f>
        <v>#REF!</v>
      </c>
    </row>
    <row r="734">
      <c r="G734" t="str">
        <v>A</v>
      </c>
      <c r="J734" t="str">
        <f>IF(K734&gt;0,K734*0.0625,IF(L734&gt;0,L734*2.204623,))</f>
        <v>#REF!</v>
      </c>
      <c r="K734" t="str">
        <f>IF(L734&gt;0,L734*35.273962,IF(J734&gt;0,J734*16,))</f>
        <v>#REF!</v>
      </c>
      <c r="L734" t="str">
        <f>IF(J734&gt;0,J734*0.453592,IF(K734&gt;0,K734*0.02835,))</f>
        <v>#REF!</v>
      </c>
      <c r="O734">
        <f>I734+N734+M734</f>
        <v>0</v>
      </c>
      <c r="P734">
        <f>O734*B$3</f>
        <v>0</v>
      </c>
      <c r="Q734">
        <f>ROUND(SUM(P734), -2)</f>
        <v>0</v>
      </c>
      <c r="R734" t="str">
        <f>ROUNDUP(HLOOKUP(IF(CEILING(L734,0.5)&lt;1,0.5,CEILING(L734,0.5)),'배송비 조회'!A$44:AO$56,7,0)*B$3,-2)</f>
        <v>#REF!</v>
      </c>
      <c r="S734">
        <v>0</v>
      </c>
      <c r="T734" t="str">
        <f>ROUND((Q734+R734)*0.3,-2)</f>
        <v>#REF!</v>
      </c>
      <c r="U734" t="str">
        <f>ROUND((Q734+R734)*0.4,-2)</f>
        <v>#REF!</v>
      </c>
      <c r="V734" t="str">
        <f>SUM(Q734:R734)+T734</f>
        <v>#REF!</v>
      </c>
      <c r="W734" t="str">
        <f>SUM(Q734:S734)+U734</f>
        <v>#REF!</v>
      </c>
      <c r="X734">
        <v>0</v>
      </c>
      <c r="Y734" t="str">
        <f>V734*0.038</f>
        <v>#REF!</v>
      </c>
      <c r="Z734" t="str">
        <f>V734*0.02</f>
        <v>#REF!</v>
      </c>
      <c r="AA734" t="str">
        <f>W734*0.1</f>
        <v>#REF!</v>
      </c>
      <c r="AB734" t="str">
        <f>V734-Y734-Z734</f>
        <v>#REF!</v>
      </c>
      <c r="AC734" t="str">
        <f>W734-AA734</f>
        <v>#REF!</v>
      </c>
      <c r="AD734" t="str">
        <f>AB734*0.01</f>
        <v>#REF!</v>
      </c>
      <c r="AE734" t="str">
        <f>AB734-Q734-AD734-R734</f>
        <v>#REF!</v>
      </c>
      <c r="AF734" t="str">
        <f>AC734-Q734-AD734-R734</f>
        <v>#REF!</v>
      </c>
      <c r="AG734" t="str">
        <f>AE734/V734</f>
        <v>#REF!</v>
      </c>
      <c r="AH734" t="str">
        <f>AF734/W734</f>
        <v>#REF!</v>
      </c>
    </row>
    <row r="735">
      <c r="G735" t="str">
        <v>A</v>
      </c>
      <c r="J735" t="str">
        <f>IF(K735&gt;0,K735*0.0625,IF(L735&gt;0,L735*2.204623,))</f>
        <v>#REF!</v>
      </c>
      <c r="K735" t="str">
        <f>IF(L735&gt;0,L735*35.273962,IF(J735&gt;0,J735*16,))</f>
        <v>#REF!</v>
      </c>
      <c r="L735" t="str">
        <f>IF(J735&gt;0,J735*0.453592,IF(K735&gt;0,K735*0.02835,))</f>
        <v>#REF!</v>
      </c>
      <c r="O735">
        <f>I735+N735+M735</f>
        <v>0</v>
      </c>
      <c r="P735">
        <f>O735*B$3</f>
        <v>0</v>
      </c>
      <c r="Q735">
        <f>ROUND(SUM(P735), -2)</f>
        <v>0</v>
      </c>
      <c r="R735" t="str">
        <f>ROUNDUP(HLOOKUP(IF(CEILING(L735,0.5)&lt;1,0.5,CEILING(L735,0.5)),'배송비 조회'!A$44:AO$56,7,0)*B$3,-2)</f>
        <v>#REF!</v>
      </c>
      <c r="S735">
        <v>0</v>
      </c>
      <c r="T735" t="str">
        <f>ROUND((Q735+R735)*0.3,-2)</f>
        <v>#REF!</v>
      </c>
      <c r="U735" t="str">
        <f>ROUND((Q735+R735)*0.4,-2)</f>
        <v>#REF!</v>
      </c>
      <c r="V735" t="str">
        <f>SUM(Q735:R735)+T735</f>
        <v>#REF!</v>
      </c>
      <c r="W735" t="str">
        <f>SUM(Q735:S735)+U735</f>
        <v>#REF!</v>
      </c>
      <c r="X735">
        <v>0</v>
      </c>
      <c r="Y735" t="str">
        <f>V735*0.038</f>
        <v>#REF!</v>
      </c>
      <c r="Z735" t="str">
        <f>V735*0.02</f>
        <v>#REF!</v>
      </c>
      <c r="AA735" t="str">
        <f>W735*0.1</f>
        <v>#REF!</v>
      </c>
      <c r="AB735" t="str">
        <f>V735-Y735-Z735</f>
        <v>#REF!</v>
      </c>
      <c r="AC735" t="str">
        <f>W735-AA735</f>
        <v>#REF!</v>
      </c>
      <c r="AD735" t="str">
        <f>AB735*0.01</f>
        <v>#REF!</v>
      </c>
      <c r="AE735" t="str">
        <f>AB735-Q735-AD735-R735</f>
        <v>#REF!</v>
      </c>
      <c r="AF735" t="str">
        <f>AC735-Q735-AD735-R735</f>
        <v>#REF!</v>
      </c>
      <c r="AG735" t="str">
        <f>AE735/V735</f>
        <v>#REF!</v>
      </c>
      <c r="AH735" t="str">
        <f>AF735/W735</f>
        <v>#REF!</v>
      </c>
    </row>
    <row r="736">
      <c r="G736" t="str">
        <v>A</v>
      </c>
      <c r="J736" t="str">
        <f>IF(K736&gt;0,K736*0.0625,IF(L736&gt;0,L736*2.204623,))</f>
        <v>#REF!</v>
      </c>
      <c r="K736" t="str">
        <f>IF(L736&gt;0,L736*35.273962,IF(J736&gt;0,J736*16,))</f>
        <v>#REF!</v>
      </c>
      <c r="L736" t="str">
        <f>IF(J736&gt;0,J736*0.453592,IF(K736&gt;0,K736*0.02835,))</f>
        <v>#REF!</v>
      </c>
      <c r="O736">
        <f>I736+N736+M736</f>
        <v>0</v>
      </c>
      <c r="P736">
        <f>O736*B$3</f>
        <v>0</v>
      </c>
      <c r="Q736">
        <f>ROUND(SUM(P736), -2)</f>
        <v>0</v>
      </c>
      <c r="R736" t="str">
        <f>ROUNDUP(HLOOKUP(IF(CEILING(L736,0.5)&lt;1,0.5,CEILING(L736,0.5)),'배송비 조회'!A$44:AO$56,7,0)*B$3,-2)</f>
        <v>#REF!</v>
      </c>
      <c r="S736">
        <v>0</v>
      </c>
      <c r="T736" t="str">
        <f>ROUND((Q736+R736)*0.3,-2)</f>
        <v>#REF!</v>
      </c>
      <c r="U736" t="str">
        <f>ROUND((Q736+R736)*0.4,-2)</f>
        <v>#REF!</v>
      </c>
      <c r="V736" t="str">
        <f>SUM(Q736:R736)+T736</f>
        <v>#REF!</v>
      </c>
      <c r="W736" t="str">
        <f>SUM(Q736:S736)+U736</f>
        <v>#REF!</v>
      </c>
      <c r="X736">
        <v>0</v>
      </c>
      <c r="Y736" t="str">
        <f>V736*0.038</f>
        <v>#REF!</v>
      </c>
      <c r="Z736" t="str">
        <f>V736*0.02</f>
        <v>#REF!</v>
      </c>
      <c r="AA736" t="str">
        <f>W736*0.1</f>
        <v>#REF!</v>
      </c>
      <c r="AB736" t="str">
        <f>V736-Y736-Z736</f>
        <v>#REF!</v>
      </c>
      <c r="AC736" t="str">
        <f>W736-AA736</f>
        <v>#REF!</v>
      </c>
      <c r="AD736" t="str">
        <f>AB736*0.01</f>
        <v>#REF!</v>
      </c>
      <c r="AE736" t="str">
        <f>AB736-Q736-AD736-R736</f>
        <v>#REF!</v>
      </c>
      <c r="AF736" t="str">
        <f>AC736-Q736-AD736-R736</f>
        <v>#REF!</v>
      </c>
      <c r="AG736" t="str">
        <f>AE736/V736</f>
        <v>#REF!</v>
      </c>
      <c r="AH736" t="str">
        <f>AF736/W736</f>
        <v>#REF!</v>
      </c>
    </row>
    <row r="737">
      <c r="G737" t="str">
        <v>A</v>
      </c>
      <c r="J737" t="str">
        <f>IF(K737&gt;0,K737*0.0625,IF(L737&gt;0,L737*2.204623,))</f>
        <v>#REF!</v>
      </c>
      <c r="K737" t="str">
        <f>IF(L737&gt;0,L737*35.273962,IF(J737&gt;0,J737*16,))</f>
        <v>#REF!</v>
      </c>
      <c r="L737" t="str">
        <f>IF(J737&gt;0,J737*0.453592,IF(K737&gt;0,K737*0.02835,))</f>
        <v>#REF!</v>
      </c>
      <c r="O737">
        <f>I737+N737+M737</f>
        <v>0</v>
      </c>
      <c r="P737">
        <f>O737*B$3</f>
        <v>0</v>
      </c>
      <c r="Q737">
        <f>ROUND(SUM(P737), -2)</f>
        <v>0</v>
      </c>
      <c r="R737" t="str">
        <f>ROUNDUP(HLOOKUP(IF(CEILING(L737,0.5)&lt;1,0.5,CEILING(L737,0.5)),'배송비 조회'!A$44:AO$56,7,0)*B$3,-2)</f>
        <v>#REF!</v>
      </c>
      <c r="S737">
        <v>0</v>
      </c>
      <c r="T737" t="str">
        <f>ROUND((Q737+R737)*0.3,-2)</f>
        <v>#REF!</v>
      </c>
      <c r="U737" t="str">
        <f>ROUND((Q737+R737)*0.4,-2)</f>
        <v>#REF!</v>
      </c>
      <c r="V737" t="str">
        <f>SUM(Q737:R737)+T737</f>
        <v>#REF!</v>
      </c>
      <c r="W737" t="str">
        <f>SUM(Q737:S737)+U737</f>
        <v>#REF!</v>
      </c>
      <c r="X737">
        <v>0</v>
      </c>
      <c r="Y737" t="str">
        <f>V737*0.038</f>
        <v>#REF!</v>
      </c>
      <c r="Z737" t="str">
        <f>V737*0.02</f>
        <v>#REF!</v>
      </c>
      <c r="AA737" t="str">
        <f>W737*0.1</f>
        <v>#REF!</v>
      </c>
      <c r="AB737" t="str">
        <f>V737-Y737-Z737</f>
        <v>#REF!</v>
      </c>
      <c r="AC737" t="str">
        <f>W737-AA737</f>
        <v>#REF!</v>
      </c>
      <c r="AD737" t="str">
        <f>AB737*0.01</f>
        <v>#REF!</v>
      </c>
      <c r="AE737" t="str">
        <f>AB737-Q737-AD737-R737</f>
        <v>#REF!</v>
      </c>
      <c r="AF737" t="str">
        <f>AC737-Q737-AD737-R737</f>
        <v>#REF!</v>
      </c>
      <c r="AG737" t="str">
        <f>AE737/V737</f>
        <v>#REF!</v>
      </c>
      <c r="AH737" t="str">
        <f>AF737/W737</f>
        <v>#REF!</v>
      </c>
    </row>
    <row r="738">
      <c r="G738" t="str">
        <v>A</v>
      </c>
      <c r="J738" t="str">
        <f>IF(K738&gt;0,K738*0.0625,IF(L738&gt;0,L738*2.204623,))</f>
        <v>#REF!</v>
      </c>
      <c r="K738" t="str">
        <f>IF(L738&gt;0,L738*35.273962,IF(J738&gt;0,J738*16,))</f>
        <v>#REF!</v>
      </c>
      <c r="L738" t="str">
        <f>IF(J738&gt;0,J738*0.453592,IF(K738&gt;0,K738*0.02835,))</f>
        <v>#REF!</v>
      </c>
      <c r="O738">
        <f>I738+N738+M738</f>
        <v>0</v>
      </c>
      <c r="P738">
        <f>O738*B$3</f>
        <v>0</v>
      </c>
      <c r="Q738">
        <f>ROUND(SUM(P738), -2)</f>
        <v>0</v>
      </c>
      <c r="R738" t="str">
        <f>ROUNDUP(HLOOKUP(IF(CEILING(L738,0.5)&lt;1,0.5,CEILING(L738,0.5)),'배송비 조회'!A$44:AO$56,7,0)*B$3,-2)</f>
        <v>#REF!</v>
      </c>
      <c r="S738">
        <v>0</v>
      </c>
      <c r="T738" t="str">
        <f>ROUND((Q738+R738)*0.3,-2)</f>
        <v>#REF!</v>
      </c>
      <c r="U738" t="str">
        <f>ROUND((Q738+R738)*0.4,-2)</f>
        <v>#REF!</v>
      </c>
      <c r="V738" t="str">
        <f>SUM(Q738:R738)+T738</f>
        <v>#REF!</v>
      </c>
      <c r="W738" t="str">
        <f>SUM(Q738:S738)+U738</f>
        <v>#REF!</v>
      </c>
      <c r="X738">
        <v>0</v>
      </c>
      <c r="Y738" t="str">
        <f>V738*0.038</f>
        <v>#REF!</v>
      </c>
      <c r="Z738" t="str">
        <f>V738*0.02</f>
        <v>#REF!</v>
      </c>
      <c r="AA738" t="str">
        <f>W738*0.1</f>
        <v>#REF!</v>
      </c>
      <c r="AB738" t="str">
        <f>V738-Y738-Z738</f>
        <v>#REF!</v>
      </c>
      <c r="AC738" t="str">
        <f>W738-AA738</f>
        <v>#REF!</v>
      </c>
      <c r="AD738" t="str">
        <f>AB738*0.01</f>
        <v>#REF!</v>
      </c>
      <c r="AE738" t="str">
        <f>AB738-Q738-AD738-R738</f>
        <v>#REF!</v>
      </c>
      <c r="AF738" t="str">
        <f>AC738-Q738-AD738-R738</f>
        <v>#REF!</v>
      </c>
      <c r="AG738" t="str">
        <f>AE738/V738</f>
        <v>#REF!</v>
      </c>
      <c r="AH738" t="str">
        <f>AF738/W738</f>
        <v>#REF!</v>
      </c>
    </row>
    <row r="739">
      <c r="G739" t="str">
        <v>A</v>
      </c>
      <c r="J739" t="str">
        <f>IF(K739&gt;0,K739*0.0625,IF(L739&gt;0,L739*2.204623,))</f>
        <v>#REF!</v>
      </c>
      <c r="K739" t="str">
        <f>IF(L739&gt;0,L739*35.273962,IF(J739&gt;0,J739*16,))</f>
        <v>#REF!</v>
      </c>
      <c r="L739" t="str">
        <f>IF(J739&gt;0,J739*0.453592,IF(K739&gt;0,K739*0.02835,))</f>
        <v>#REF!</v>
      </c>
      <c r="O739">
        <f>I739+N739+M739</f>
        <v>0</v>
      </c>
      <c r="P739">
        <f>O739*B$3</f>
        <v>0</v>
      </c>
      <c r="Q739">
        <f>ROUND(SUM(P739), -2)</f>
        <v>0</v>
      </c>
      <c r="R739" t="str">
        <f>ROUNDUP(HLOOKUP(IF(CEILING(L739,0.5)&lt;1,0.5,CEILING(L739,0.5)),'배송비 조회'!A$44:AO$56,7,0)*B$3,-2)</f>
        <v>#REF!</v>
      </c>
      <c r="S739">
        <v>0</v>
      </c>
      <c r="T739" t="str">
        <f>ROUND((Q739+R739)*0.3,-2)</f>
        <v>#REF!</v>
      </c>
      <c r="U739" t="str">
        <f>ROUND((Q739+R739)*0.4,-2)</f>
        <v>#REF!</v>
      </c>
      <c r="V739" t="str">
        <f>SUM(Q739:R739)+T739</f>
        <v>#REF!</v>
      </c>
      <c r="W739" t="str">
        <f>SUM(Q739:S739)+U739</f>
        <v>#REF!</v>
      </c>
      <c r="X739">
        <v>0</v>
      </c>
      <c r="Y739" t="str">
        <f>V739*0.038</f>
        <v>#REF!</v>
      </c>
      <c r="Z739" t="str">
        <f>V739*0.02</f>
        <v>#REF!</v>
      </c>
      <c r="AA739" t="str">
        <f>W739*0.1</f>
        <v>#REF!</v>
      </c>
      <c r="AB739" t="str">
        <f>V739-Y739-Z739</f>
        <v>#REF!</v>
      </c>
      <c r="AC739" t="str">
        <f>W739-AA739</f>
        <v>#REF!</v>
      </c>
      <c r="AD739" t="str">
        <f>AB739*0.01</f>
        <v>#REF!</v>
      </c>
      <c r="AE739" t="str">
        <f>AB739-Q739-AD739-R739</f>
        <v>#REF!</v>
      </c>
      <c r="AF739" t="str">
        <f>AC739-Q739-AD739-R739</f>
        <v>#REF!</v>
      </c>
      <c r="AG739" t="str">
        <f>AE739/V739</f>
        <v>#REF!</v>
      </c>
      <c r="AH739" t="str">
        <f>AF739/W739</f>
        <v>#REF!</v>
      </c>
    </row>
    <row r="740">
      <c r="G740" t="str">
        <v>A</v>
      </c>
      <c r="J740" t="str">
        <f>IF(K740&gt;0,K740*0.0625,IF(L740&gt;0,L740*2.204623,))</f>
        <v>#REF!</v>
      </c>
      <c r="K740" t="str">
        <f>IF(L740&gt;0,L740*35.273962,IF(J740&gt;0,J740*16,))</f>
        <v>#REF!</v>
      </c>
      <c r="L740" t="str">
        <f>IF(J740&gt;0,J740*0.453592,IF(K740&gt;0,K740*0.02835,))</f>
        <v>#REF!</v>
      </c>
      <c r="O740">
        <f>I740+N740+M740</f>
        <v>0</v>
      </c>
      <c r="P740">
        <f>O740*B$3</f>
        <v>0</v>
      </c>
      <c r="Q740">
        <f>ROUND(SUM(P740), -2)</f>
        <v>0</v>
      </c>
      <c r="R740" t="str">
        <f>ROUNDUP(HLOOKUP(IF(CEILING(L740,0.5)&lt;1,0.5,CEILING(L740,0.5)),'배송비 조회'!A$44:AO$56,7,0)*B$3,-2)</f>
        <v>#REF!</v>
      </c>
      <c r="S740">
        <v>0</v>
      </c>
      <c r="T740" t="str">
        <f>ROUND((Q740+R740)*0.3,-2)</f>
        <v>#REF!</v>
      </c>
      <c r="U740" t="str">
        <f>ROUND((Q740+R740)*0.4,-2)</f>
        <v>#REF!</v>
      </c>
      <c r="V740" t="str">
        <f>SUM(Q740:R740)+T740</f>
        <v>#REF!</v>
      </c>
      <c r="W740" t="str">
        <f>SUM(Q740:S740)+U740</f>
        <v>#REF!</v>
      </c>
      <c r="X740">
        <v>0</v>
      </c>
      <c r="Y740" t="str">
        <f>V740*0.038</f>
        <v>#REF!</v>
      </c>
      <c r="Z740" t="str">
        <f>V740*0.02</f>
        <v>#REF!</v>
      </c>
      <c r="AA740" t="str">
        <f>W740*0.1</f>
        <v>#REF!</v>
      </c>
      <c r="AB740" t="str">
        <f>V740-Y740-Z740</f>
        <v>#REF!</v>
      </c>
      <c r="AC740" t="str">
        <f>W740-AA740</f>
        <v>#REF!</v>
      </c>
      <c r="AD740" t="str">
        <f>AB740*0.01</f>
        <v>#REF!</v>
      </c>
      <c r="AE740" t="str">
        <f>AB740-Q740-AD740-R740</f>
        <v>#REF!</v>
      </c>
      <c r="AF740" t="str">
        <f>AC740-Q740-AD740-R740</f>
        <v>#REF!</v>
      </c>
      <c r="AG740" t="str">
        <f>AE740/V740</f>
        <v>#REF!</v>
      </c>
      <c r="AH740" t="str">
        <f>AF740/W740</f>
        <v>#REF!</v>
      </c>
    </row>
    <row r="741">
      <c r="G741" t="str">
        <v>A</v>
      </c>
      <c r="J741" t="str">
        <f>IF(K741&gt;0,K741*0.0625,IF(L741&gt;0,L741*2.204623,))</f>
        <v>#REF!</v>
      </c>
      <c r="K741" t="str">
        <f>IF(L741&gt;0,L741*35.273962,IF(J741&gt;0,J741*16,))</f>
        <v>#REF!</v>
      </c>
      <c r="L741" t="str">
        <f>IF(J741&gt;0,J741*0.453592,IF(K741&gt;0,K741*0.02835,))</f>
        <v>#REF!</v>
      </c>
      <c r="O741">
        <f>I741+N741+M741</f>
        <v>0</v>
      </c>
      <c r="P741">
        <f>O741*B$3</f>
        <v>0</v>
      </c>
      <c r="Q741">
        <f>ROUND(SUM(P741), -2)</f>
        <v>0</v>
      </c>
      <c r="R741" t="str">
        <f>ROUNDUP(HLOOKUP(IF(CEILING(L741,0.5)&lt;1,0.5,CEILING(L741,0.5)),'배송비 조회'!A$44:AO$56,7,0)*B$3,-2)</f>
        <v>#REF!</v>
      </c>
      <c r="S741">
        <v>0</v>
      </c>
      <c r="T741" t="str">
        <f>ROUND((Q741+R741)*0.3,-2)</f>
        <v>#REF!</v>
      </c>
      <c r="U741" t="str">
        <f>ROUND((Q741+R741)*0.4,-2)</f>
        <v>#REF!</v>
      </c>
      <c r="V741" t="str">
        <f>SUM(Q741:R741)+T741</f>
        <v>#REF!</v>
      </c>
      <c r="W741" t="str">
        <f>SUM(Q741:S741)+U741</f>
        <v>#REF!</v>
      </c>
      <c r="X741">
        <v>0</v>
      </c>
      <c r="Y741" t="str">
        <f>V741*0.038</f>
        <v>#REF!</v>
      </c>
      <c r="Z741" t="str">
        <f>V741*0.02</f>
        <v>#REF!</v>
      </c>
      <c r="AA741" t="str">
        <f>W741*0.1</f>
        <v>#REF!</v>
      </c>
      <c r="AB741" t="str">
        <f>V741-Y741-Z741</f>
        <v>#REF!</v>
      </c>
      <c r="AC741" t="str">
        <f>W741-AA741</f>
        <v>#REF!</v>
      </c>
      <c r="AD741" t="str">
        <f>AB741*0.01</f>
        <v>#REF!</v>
      </c>
      <c r="AE741" t="str">
        <f>AB741-Q741-AD741-R741</f>
        <v>#REF!</v>
      </c>
      <c r="AF741" t="str">
        <f>AC741-Q741-AD741-R741</f>
        <v>#REF!</v>
      </c>
      <c r="AG741" t="str">
        <f>AE741/V741</f>
        <v>#REF!</v>
      </c>
      <c r="AH741" t="str">
        <f>AF741/W741</f>
        <v>#REF!</v>
      </c>
    </row>
    <row r="742">
      <c r="G742" t="str">
        <v>A</v>
      </c>
      <c r="J742" t="str">
        <f>IF(K742&gt;0,K742*0.0625,IF(L742&gt;0,L742*2.204623,))</f>
        <v>#REF!</v>
      </c>
      <c r="K742" t="str">
        <f>IF(L742&gt;0,L742*35.273962,IF(J742&gt;0,J742*16,))</f>
        <v>#REF!</v>
      </c>
      <c r="L742" t="str">
        <f>IF(J742&gt;0,J742*0.453592,IF(K742&gt;0,K742*0.02835,))</f>
        <v>#REF!</v>
      </c>
      <c r="O742">
        <f>I742+N742+M742</f>
        <v>0</v>
      </c>
      <c r="P742">
        <f>O742*B$3</f>
        <v>0</v>
      </c>
      <c r="Q742">
        <f>ROUND(SUM(P742), -2)</f>
        <v>0</v>
      </c>
      <c r="R742" t="str">
        <f>ROUNDUP(HLOOKUP(IF(CEILING(L742,0.5)&lt;1,0.5,CEILING(L742,0.5)),'배송비 조회'!A$44:AO$56,7,0)*B$3,-2)</f>
        <v>#REF!</v>
      </c>
      <c r="S742">
        <v>0</v>
      </c>
      <c r="T742" t="str">
        <f>ROUND((Q742+R742)*0.3,-2)</f>
        <v>#REF!</v>
      </c>
      <c r="U742" t="str">
        <f>ROUND((Q742+R742)*0.4,-2)</f>
        <v>#REF!</v>
      </c>
      <c r="V742" t="str">
        <f>SUM(Q742:R742)+T742</f>
        <v>#REF!</v>
      </c>
      <c r="W742" t="str">
        <f>SUM(Q742:S742)+U742</f>
        <v>#REF!</v>
      </c>
      <c r="X742">
        <v>0</v>
      </c>
      <c r="Y742" t="str">
        <f>V742*0.038</f>
        <v>#REF!</v>
      </c>
      <c r="Z742" t="str">
        <f>V742*0.02</f>
        <v>#REF!</v>
      </c>
      <c r="AA742" t="str">
        <f>W742*0.1</f>
        <v>#REF!</v>
      </c>
      <c r="AB742" t="str">
        <f>V742-Y742-Z742</f>
        <v>#REF!</v>
      </c>
      <c r="AC742" t="str">
        <f>W742-AA742</f>
        <v>#REF!</v>
      </c>
      <c r="AD742" t="str">
        <f>AB742*0.01</f>
        <v>#REF!</v>
      </c>
      <c r="AE742" t="str">
        <f>AB742-Q742-AD742-R742</f>
        <v>#REF!</v>
      </c>
      <c r="AF742" t="str">
        <f>AC742-Q742-AD742-R742</f>
        <v>#REF!</v>
      </c>
      <c r="AG742" t="str">
        <f>AE742/V742</f>
        <v>#REF!</v>
      </c>
      <c r="AH742" t="str">
        <f>AF742/W742</f>
        <v>#REF!</v>
      </c>
    </row>
    <row r="743">
      <c r="G743" t="str">
        <v>A</v>
      </c>
      <c r="J743" t="str">
        <f>IF(K743&gt;0,K743*0.0625,IF(L743&gt;0,L743*2.204623,))</f>
        <v>#REF!</v>
      </c>
      <c r="K743" t="str">
        <f>IF(L743&gt;0,L743*35.273962,IF(J743&gt;0,J743*16,))</f>
        <v>#REF!</v>
      </c>
      <c r="L743" t="str">
        <f>IF(J743&gt;0,J743*0.453592,IF(K743&gt;0,K743*0.02835,))</f>
        <v>#REF!</v>
      </c>
      <c r="O743">
        <f>I743+N743+M743</f>
        <v>0</v>
      </c>
      <c r="P743">
        <f>O743*B$3</f>
        <v>0</v>
      </c>
      <c r="Q743">
        <f>ROUND(SUM(P743), -2)</f>
        <v>0</v>
      </c>
      <c r="R743" t="str">
        <f>ROUNDUP(HLOOKUP(IF(CEILING(L743,0.5)&lt;1,0.5,CEILING(L743,0.5)),'배송비 조회'!A$44:AO$56,7,0)*B$3,-2)</f>
        <v>#REF!</v>
      </c>
      <c r="S743">
        <v>0</v>
      </c>
      <c r="T743" t="str">
        <f>ROUND((Q743+R743)*0.3,-2)</f>
        <v>#REF!</v>
      </c>
      <c r="U743" t="str">
        <f>ROUND((Q743+R743)*0.4,-2)</f>
        <v>#REF!</v>
      </c>
      <c r="V743" t="str">
        <f>SUM(Q743:R743)+T743</f>
        <v>#REF!</v>
      </c>
      <c r="W743" t="str">
        <f>SUM(Q743:S743)+U743</f>
        <v>#REF!</v>
      </c>
      <c r="X743">
        <v>0</v>
      </c>
      <c r="Y743" t="str">
        <f>V743*0.038</f>
        <v>#REF!</v>
      </c>
      <c r="Z743" t="str">
        <f>V743*0.02</f>
        <v>#REF!</v>
      </c>
      <c r="AA743" t="str">
        <f>W743*0.1</f>
        <v>#REF!</v>
      </c>
      <c r="AB743" t="str">
        <f>V743-Y743-Z743</f>
        <v>#REF!</v>
      </c>
      <c r="AC743" t="str">
        <f>W743-AA743</f>
        <v>#REF!</v>
      </c>
      <c r="AD743" t="str">
        <f>AB743*0.01</f>
        <v>#REF!</v>
      </c>
      <c r="AE743" t="str">
        <f>AB743-Q743-AD743-R743</f>
        <v>#REF!</v>
      </c>
      <c r="AF743" t="str">
        <f>AC743-Q743-AD743-R743</f>
        <v>#REF!</v>
      </c>
      <c r="AG743" t="str">
        <f>AE743/V743</f>
        <v>#REF!</v>
      </c>
      <c r="AH743" t="str">
        <f>AF743/W743</f>
        <v>#REF!</v>
      </c>
    </row>
    <row r="744">
      <c r="G744" t="str">
        <v>A</v>
      </c>
      <c r="J744" t="str">
        <f>IF(K744&gt;0,K744*0.0625,IF(L744&gt;0,L744*2.204623,))</f>
        <v>#REF!</v>
      </c>
      <c r="K744" t="str">
        <f>IF(L744&gt;0,L744*35.273962,IF(J744&gt;0,J744*16,))</f>
        <v>#REF!</v>
      </c>
      <c r="L744" t="str">
        <f>IF(J744&gt;0,J744*0.453592,IF(K744&gt;0,K744*0.02835,))</f>
        <v>#REF!</v>
      </c>
      <c r="O744">
        <f>I744+N744+M744</f>
        <v>0</v>
      </c>
      <c r="P744">
        <f>O744*B$3</f>
        <v>0</v>
      </c>
      <c r="Q744">
        <f>ROUND(SUM(P744), -2)</f>
        <v>0</v>
      </c>
      <c r="R744" t="str">
        <f>ROUNDUP(HLOOKUP(IF(CEILING(L744,0.5)&lt;1,0.5,CEILING(L744,0.5)),'배송비 조회'!A$44:AO$56,7,0)*B$3,-2)</f>
        <v>#REF!</v>
      </c>
      <c r="S744">
        <v>0</v>
      </c>
      <c r="T744" t="str">
        <f>ROUND((Q744+R744)*0.3,-2)</f>
        <v>#REF!</v>
      </c>
      <c r="U744" t="str">
        <f>ROUND((Q744+R744)*0.4,-2)</f>
        <v>#REF!</v>
      </c>
      <c r="V744" t="str">
        <f>SUM(Q744:R744)+T744</f>
        <v>#REF!</v>
      </c>
      <c r="W744" t="str">
        <f>SUM(Q744:S744)+U744</f>
        <v>#REF!</v>
      </c>
      <c r="X744">
        <v>0</v>
      </c>
      <c r="Y744" t="str">
        <f>V744*0.038</f>
        <v>#REF!</v>
      </c>
      <c r="Z744" t="str">
        <f>V744*0.02</f>
        <v>#REF!</v>
      </c>
      <c r="AA744" t="str">
        <f>W744*0.1</f>
        <v>#REF!</v>
      </c>
      <c r="AB744" t="str">
        <f>V744-Y744-Z744</f>
        <v>#REF!</v>
      </c>
      <c r="AC744" t="str">
        <f>W744-AA744</f>
        <v>#REF!</v>
      </c>
      <c r="AD744" t="str">
        <f>AB744*0.01</f>
        <v>#REF!</v>
      </c>
      <c r="AE744" t="str">
        <f>AB744-Q744-AD744-R744</f>
        <v>#REF!</v>
      </c>
      <c r="AF744" t="str">
        <f>AC744-Q744-AD744-R744</f>
        <v>#REF!</v>
      </c>
      <c r="AG744" t="str">
        <f>AE744/V744</f>
        <v>#REF!</v>
      </c>
      <c r="AH744" t="str">
        <f>AF744/W744</f>
        <v>#REF!</v>
      </c>
    </row>
    <row r="745">
      <c r="G745" t="str">
        <v>A</v>
      </c>
      <c r="J745" t="str">
        <f>IF(K745&gt;0,K745*0.0625,IF(L745&gt;0,L745*2.204623,))</f>
        <v>#REF!</v>
      </c>
      <c r="K745" t="str">
        <f>IF(L745&gt;0,L745*35.273962,IF(J745&gt;0,J745*16,))</f>
        <v>#REF!</v>
      </c>
      <c r="L745" t="str">
        <f>IF(J745&gt;0,J745*0.453592,IF(K745&gt;0,K745*0.02835,))</f>
        <v>#REF!</v>
      </c>
      <c r="O745">
        <f>I745+N745+M745</f>
        <v>0</v>
      </c>
      <c r="P745">
        <f>O745*B$3</f>
        <v>0</v>
      </c>
      <c r="Q745">
        <f>ROUND(SUM(P745), -2)</f>
        <v>0</v>
      </c>
      <c r="R745" t="str">
        <f>ROUNDUP(HLOOKUP(IF(CEILING(L745,0.5)&lt;1,0.5,CEILING(L745,0.5)),'배송비 조회'!A$44:AO$56,7,0)*B$3,-2)</f>
        <v>#REF!</v>
      </c>
      <c r="S745">
        <v>0</v>
      </c>
      <c r="T745" t="str">
        <f>ROUND((Q745+R745)*0.3,-2)</f>
        <v>#REF!</v>
      </c>
      <c r="U745" t="str">
        <f>ROUND((Q745+R745)*0.4,-2)</f>
        <v>#REF!</v>
      </c>
      <c r="V745" t="str">
        <f>SUM(Q745:R745)+T745</f>
        <v>#REF!</v>
      </c>
      <c r="W745" t="str">
        <f>SUM(Q745:S745)+U745</f>
        <v>#REF!</v>
      </c>
      <c r="X745">
        <v>0</v>
      </c>
      <c r="Y745" t="str">
        <f>V745*0.038</f>
        <v>#REF!</v>
      </c>
      <c r="Z745" t="str">
        <f>V745*0.02</f>
        <v>#REF!</v>
      </c>
      <c r="AA745" t="str">
        <f>W745*0.1</f>
        <v>#REF!</v>
      </c>
      <c r="AB745" t="str">
        <f>V745-Y745-Z745</f>
        <v>#REF!</v>
      </c>
      <c r="AC745" t="str">
        <f>W745-AA745</f>
        <v>#REF!</v>
      </c>
      <c r="AD745" t="str">
        <f>AB745*0.01</f>
        <v>#REF!</v>
      </c>
      <c r="AE745" t="str">
        <f>AB745-Q745-AD745-R745</f>
        <v>#REF!</v>
      </c>
      <c r="AF745" t="str">
        <f>AC745-Q745-AD745-R745</f>
        <v>#REF!</v>
      </c>
      <c r="AG745" t="str">
        <f>AE745/V745</f>
        <v>#REF!</v>
      </c>
      <c r="AH745" t="str">
        <f>AF745/W745</f>
        <v>#REF!</v>
      </c>
    </row>
    <row r="746">
      <c r="G746" t="str">
        <v>A</v>
      </c>
      <c r="J746" t="str">
        <f>IF(K746&gt;0,K746*0.0625,IF(L746&gt;0,L746*2.204623,))</f>
        <v>#REF!</v>
      </c>
      <c r="K746" t="str">
        <f>IF(L746&gt;0,L746*35.273962,IF(J746&gt;0,J746*16,))</f>
        <v>#REF!</v>
      </c>
      <c r="L746" t="str">
        <f>IF(J746&gt;0,J746*0.453592,IF(K746&gt;0,K746*0.02835,))</f>
        <v>#REF!</v>
      </c>
      <c r="O746">
        <f>I746+N746+M746</f>
        <v>0</v>
      </c>
      <c r="P746">
        <f>O746*B$3</f>
        <v>0</v>
      </c>
      <c r="Q746">
        <f>ROUND(SUM(P746), -2)</f>
        <v>0</v>
      </c>
      <c r="R746" t="str">
        <f>ROUNDUP(HLOOKUP(IF(CEILING(L746,0.5)&lt;1,0.5,CEILING(L746,0.5)),'배송비 조회'!A$44:AO$56,7,0)*B$3,-2)</f>
        <v>#REF!</v>
      </c>
      <c r="S746">
        <v>0</v>
      </c>
      <c r="T746" t="str">
        <f>ROUND((Q746+R746)*0.3,-2)</f>
        <v>#REF!</v>
      </c>
      <c r="U746" t="str">
        <f>ROUND((Q746+R746)*0.4,-2)</f>
        <v>#REF!</v>
      </c>
      <c r="V746" t="str">
        <f>SUM(Q746:R746)+T746</f>
        <v>#REF!</v>
      </c>
      <c r="W746" t="str">
        <f>SUM(Q746:S746)+U746</f>
        <v>#REF!</v>
      </c>
      <c r="X746">
        <v>0</v>
      </c>
      <c r="Y746" t="str">
        <f>V746*0.038</f>
        <v>#REF!</v>
      </c>
      <c r="Z746" t="str">
        <f>V746*0.02</f>
        <v>#REF!</v>
      </c>
      <c r="AA746" t="str">
        <f>W746*0.1</f>
        <v>#REF!</v>
      </c>
      <c r="AB746" t="str">
        <f>V746-Y746-Z746</f>
        <v>#REF!</v>
      </c>
      <c r="AC746" t="str">
        <f>W746-AA746</f>
        <v>#REF!</v>
      </c>
      <c r="AD746" t="str">
        <f>AB746*0.01</f>
        <v>#REF!</v>
      </c>
      <c r="AE746" t="str">
        <f>AB746-Q746-AD746-R746</f>
        <v>#REF!</v>
      </c>
      <c r="AF746" t="str">
        <f>AC746-Q746-AD746-R746</f>
        <v>#REF!</v>
      </c>
      <c r="AG746" t="str">
        <f>AE746/V746</f>
        <v>#REF!</v>
      </c>
      <c r="AH746" t="str">
        <f>AF746/W746</f>
        <v>#REF!</v>
      </c>
    </row>
    <row r="747">
      <c r="G747" t="str">
        <v>A</v>
      </c>
      <c r="J747" t="str">
        <f>IF(K747&gt;0,K747*0.0625,IF(L747&gt;0,L747*2.204623,))</f>
        <v>#REF!</v>
      </c>
      <c r="K747" t="str">
        <f>IF(L747&gt;0,L747*35.273962,IF(J747&gt;0,J747*16,))</f>
        <v>#REF!</v>
      </c>
      <c r="L747" t="str">
        <f>IF(J747&gt;0,J747*0.453592,IF(K747&gt;0,K747*0.02835,))</f>
        <v>#REF!</v>
      </c>
      <c r="O747">
        <f>I747+N747+M747</f>
        <v>0</v>
      </c>
      <c r="P747">
        <f>O747*B$3</f>
        <v>0</v>
      </c>
      <c r="Q747">
        <f>ROUND(SUM(P747), -2)</f>
        <v>0</v>
      </c>
      <c r="R747" t="str">
        <f>ROUNDUP(HLOOKUP(IF(CEILING(L747,0.5)&lt;1,0.5,CEILING(L747,0.5)),'배송비 조회'!A$44:AO$56,7,0)*B$3,-2)</f>
        <v>#REF!</v>
      </c>
      <c r="S747">
        <v>0</v>
      </c>
      <c r="T747" t="str">
        <f>ROUND((Q747+R747)*0.3,-2)</f>
        <v>#REF!</v>
      </c>
      <c r="U747" t="str">
        <f>ROUND((Q747+R747)*0.4,-2)</f>
        <v>#REF!</v>
      </c>
      <c r="V747" t="str">
        <f>SUM(Q747:R747)+T747</f>
        <v>#REF!</v>
      </c>
      <c r="W747" t="str">
        <f>SUM(Q747:S747)+U747</f>
        <v>#REF!</v>
      </c>
      <c r="X747">
        <v>0</v>
      </c>
      <c r="Y747" t="str">
        <f>V747*0.038</f>
        <v>#REF!</v>
      </c>
      <c r="Z747" t="str">
        <f>V747*0.02</f>
        <v>#REF!</v>
      </c>
      <c r="AA747" t="str">
        <f>W747*0.1</f>
        <v>#REF!</v>
      </c>
      <c r="AB747" t="str">
        <f>V747-Y747-Z747</f>
        <v>#REF!</v>
      </c>
      <c r="AC747" t="str">
        <f>W747-AA747</f>
        <v>#REF!</v>
      </c>
      <c r="AD747" t="str">
        <f>AB747*0.01</f>
        <v>#REF!</v>
      </c>
      <c r="AE747" t="str">
        <f>AB747-Q747-AD747-R747</f>
        <v>#REF!</v>
      </c>
      <c r="AF747" t="str">
        <f>AC747-Q747-AD747-R747</f>
        <v>#REF!</v>
      </c>
      <c r="AG747" t="str">
        <f>AE747/V747</f>
        <v>#REF!</v>
      </c>
      <c r="AH747" t="str">
        <f>AF747/W747</f>
        <v>#REF!</v>
      </c>
    </row>
    <row r="748">
      <c r="G748" t="str">
        <v>A</v>
      </c>
      <c r="J748" t="str">
        <f>IF(K748&gt;0,K748*0.0625,IF(L748&gt;0,L748*2.204623,))</f>
        <v>#REF!</v>
      </c>
      <c r="K748" t="str">
        <f>IF(L748&gt;0,L748*35.273962,IF(J748&gt;0,J748*16,))</f>
        <v>#REF!</v>
      </c>
      <c r="L748" t="str">
        <f>IF(J748&gt;0,J748*0.453592,IF(K748&gt;0,K748*0.02835,))</f>
        <v>#REF!</v>
      </c>
      <c r="O748">
        <f>I748+N748+M748</f>
        <v>0</v>
      </c>
      <c r="P748">
        <f>O748*B$3</f>
        <v>0</v>
      </c>
      <c r="Q748">
        <f>ROUND(SUM(P748), -2)</f>
        <v>0</v>
      </c>
      <c r="R748" t="str">
        <f>ROUNDUP(HLOOKUP(IF(CEILING(L748,0.5)&lt;1,0.5,CEILING(L748,0.5)),'배송비 조회'!A$44:AO$56,7,0)*B$3,-2)</f>
        <v>#REF!</v>
      </c>
      <c r="S748">
        <v>0</v>
      </c>
      <c r="T748" t="str">
        <f>ROUND((Q748+R748)*0.3,-2)</f>
        <v>#REF!</v>
      </c>
      <c r="U748" t="str">
        <f>ROUND((Q748+R748)*0.4,-2)</f>
        <v>#REF!</v>
      </c>
      <c r="V748" t="str">
        <f>SUM(Q748:R748)+T748</f>
        <v>#REF!</v>
      </c>
      <c r="W748" t="str">
        <f>SUM(Q748:S748)+U748</f>
        <v>#REF!</v>
      </c>
      <c r="X748">
        <v>0</v>
      </c>
      <c r="Y748" t="str">
        <f>V748*0.038</f>
        <v>#REF!</v>
      </c>
      <c r="Z748" t="str">
        <f>V748*0.02</f>
        <v>#REF!</v>
      </c>
      <c r="AA748" t="str">
        <f>W748*0.1</f>
        <v>#REF!</v>
      </c>
      <c r="AB748" t="str">
        <f>V748-Y748-Z748</f>
        <v>#REF!</v>
      </c>
      <c r="AC748" t="str">
        <f>W748-AA748</f>
        <v>#REF!</v>
      </c>
      <c r="AD748" t="str">
        <f>AB748*0.01</f>
        <v>#REF!</v>
      </c>
      <c r="AE748" t="str">
        <f>AB748-Q748-AD748-R748</f>
        <v>#REF!</v>
      </c>
      <c r="AF748" t="str">
        <f>AC748-Q748-AD748-R748</f>
        <v>#REF!</v>
      </c>
      <c r="AG748" t="str">
        <f>AE748/V748</f>
        <v>#REF!</v>
      </c>
      <c r="AH748" t="str">
        <f>AF748/W748</f>
        <v>#REF!</v>
      </c>
    </row>
    <row r="749">
      <c r="G749" t="str">
        <v>A</v>
      </c>
      <c r="J749" t="str">
        <f>IF(K749&gt;0,K749*0.0625,IF(L749&gt;0,L749*2.204623,))</f>
        <v>#REF!</v>
      </c>
      <c r="K749" t="str">
        <f>IF(L749&gt;0,L749*35.273962,IF(J749&gt;0,J749*16,))</f>
        <v>#REF!</v>
      </c>
      <c r="L749" t="str">
        <f>IF(J749&gt;0,J749*0.453592,IF(K749&gt;0,K749*0.02835,))</f>
        <v>#REF!</v>
      </c>
      <c r="O749">
        <f>I749+N749+M749</f>
        <v>0</v>
      </c>
      <c r="P749">
        <f>O749*B$3</f>
        <v>0</v>
      </c>
      <c r="Q749">
        <f>ROUND(SUM(P749), -2)</f>
        <v>0</v>
      </c>
      <c r="R749" t="str">
        <f>ROUNDUP(HLOOKUP(IF(CEILING(L749,0.5)&lt;1,0.5,CEILING(L749,0.5)),'배송비 조회'!A$44:AO$56,7,0)*B$3,-2)</f>
        <v>#REF!</v>
      </c>
      <c r="S749">
        <v>0</v>
      </c>
      <c r="T749" t="str">
        <f>ROUND((Q749+R749)*0.3,-2)</f>
        <v>#REF!</v>
      </c>
      <c r="U749" t="str">
        <f>ROUND((Q749+R749)*0.4,-2)</f>
        <v>#REF!</v>
      </c>
      <c r="V749" t="str">
        <f>SUM(Q749:R749)+T749</f>
        <v>#REF!</v>
      </c>
      <c r="W749" t="str">
        <f>SUM(Q749:S749)+U749</f>
        <v>#REF!</v>
      </c>
      <c r="X749">
        <v>0</v>
      </c>
      <c r="Y749" t="str">
        <f>V749*0.038</f>
        <v>#REF!</v>
      </c>
      <c r="Z749" t="str">
        <f>V749*0.02</f>
        <v>#REF!</v>
      </c>
      <c r="AA749" t="str">
        <f>W749*0.1</f>
        <v>#REF!</v>
      </c>
      <c r="AB749" t="str">
        <f>V749-Y749-Z749</f>
        <v>#REF!</v>
      </c>
      <c r="AC749" t="str">
        <f>W749-AA749</f>
        <v>#REF!</v>
      </c>
      <c r="AD749" t="str">
        <f>AB749*0.01</f>
        <v>#REF!</v>
      </c>
      <c r="AE749" t="str">
        <f>AB749-Q749-AD749-R749</f>
        <v>#REF!</v>
      </c>
      <c r="AF749" t="str">
        <f>AC749-Q749-AD749-R749</f>
        <v>#REF!</v>
      </c>
      <c r="AG749" t="str">
        <f>AE749/V749</f>
        <v>#REF!</v>
      </c>
      <c r="AH749" t="str">
        <f>AF749/W749</f>
        <v>#REF!</v>
      </c>
    </row>
    <row r="750">
      <c r="G750" t="str">
        <v>A</v>
      </c>
      <c r="J750" t="str">
        <f>IF(K750&gt;0,K750*0.0625,IF(L750&gt;0,L750*2.204623,))</f>
        <v>#REF!</v>
      </c>
      <c r="K750" t="str">
        <f>IF(L750&gt;0,L750*35.273962,IF(J750&gt;0,J750*16,))</f>
        <v>#REF!</v>
      </c>
      <c r="L750" t="str">
        <f>IF(J750&gt;0,J750*0.453592,IF(K750&gt;0,K750*0.02835,))</f>
        <v>#REF!</v>
      </c>
      <c r="O750">
        <f>I750+N750+M750</f>
        <v>0</v>
      </c>
      <c r="P750">
        <f>O750*B$3</f>
        <v>0</v>
      </c>
      <c r="Q750">
        <f>ROUND(SUM(P750), -2)</f>
        <v>0</v>
      </c>
      <c r="R750" t="str">
        <f>ROUNDUP(HLOOKUP(IF(CEILING(L750,0.5)&lt;1,0.5,CEILING(L750,0.5)),'배송비 조회'!A$44:AO$56,7,0)*B$3,-2)</f>
        <v>#REF!</v>
      </c>
      <c r="S750">
        <v>0</v>
      </c>
      <c r="T750" t="str">
        <f>ROUND((Q750+R750)*0.3,-2)</f>
        <v>#REF!</v>
      </c>
      <c r="U750" t="str">
        <f>ROUND((Q750+R750)*0.4,-2)</f>
        <v>#REF!</v>
      </c>
      <c r="V750" t="str">
        <f>SUM(Q750:R750)+T750</f>
        <v>#REF!</v>
      </c>
      <c r="W750" t="str">
        <f>SUM(Q750:S750)+U750</f>
        <v>#REF!</v>
      </c>
      <c r="X750">
        <v>0</v>
      </c>
      <c r="Y750" t="str">
        <f>V750*0.038</f>
        <v>#REF!</v>
      </c>
      <c r="Z750" t="str">
        <f>V750*0.02</f>
        <v>#REF!</v>
      </c>
      <c r="AA750" t="str">
        <f>W750*0.1</f>
        <v>#REF!</v>
      </c>
      <c r="AB750" t="str">
        <f>V750-Y750-Z750</f>
        <v>#REF!</v>
      </c>
      <c r="AC750" t="str">
        <f>W750-AA750</f>
        <v>#REF!</v>
      </c>
      <c r="AD750" t="str">
        <f>AB750*0.01</f>
        <v>#REF!</v>
      </c>
      <c r="AE750" t="str">
        <f>AB750-Q750-AD750-R750</f>
        <v>#REF!</v>
      </c>
      <c r="AF750" t="str">
        <f>AC750-Q750-AD750-R750</f>
        <v>#REF!</v>
      </c>
      <c r="AG750" t="str">
        <f>AE750/V750</f>
        <v>#REF!</v>
      </c>
      <c r="AH750" t="str">
        <f>AF750/W750</f>
        <v>#REF!</v>
      </c>
    </row>
    <row r="751">
      <c r="G751" t="str">
        <v>A</v>
      </c>
      <c r="J751" t="str">
        <f>IF(K751&gt;0,K751*0.0625,IF(L751&gt;0,L751*2.204623,))</f>
        <v>#REF!</v>
      </c>
      <c r="K751" t="str">
        <f>IF(L751&gt;0,L751*35.273962,IF(J751&gt;0,J751*16,))</f>
        <v>#REF!</v>
      </c>
      <c r="L751" t="str">
        <f>IF(J751&gt;0,J751*0.453592,IF(K751&gt;0,K751*0.02835,))</f>
        <v>#REF!</v>
      </c>
      <c r="O751">
        <f>I751+N751+M751</f>
        <v>0</v>
      </c>
      <c r="P751">
        <f>O751*B$3</f>
        <v>0</v>
      </c>
      <c r="Q751">
        <f>ROUND(SUM(P751), -2)</f>
        <v>0</v>
      </c>
      <c r="R751" t="str">
        <f>ROUNDUP(HLOOKUP(IF(CEILING(L751,0.5)&lt;1,0.5,CEILING(L751,0.5)),'배송비 조회'!A$44:AO$56,7,0)*B$3,-2)</f>
        <v>#REF!</v>
      </c>
      <c r="S751">
        <v>0</v>
      </c>
      <c r="T751" t="str">
        <f>ROUND((Q751+R751)*0.3,-2)</f>
        <v>#REF!</v>
      </c>
      <c r="U751" t="str">
        <f>ROUND((Q751+R751)*0.4,-2)</f>
        <v>#REF!</v>
      </c>
      <c r="V751" t="str">
        <f>SUM(Q751:R751)+T751</f>
        <v>#REF!</v>
      </c>
      <c r="W751" t="str">
        <f>SUM(Q751:S751)+U751</f>
        <v>#REF!</v>
      </c>
      <c r="X751">
        <v>0</v>
      </c>
      <c r="Y751" t="str">
        <f>V751*0.038</f>
        <v>#REF!</v>
      </c>
      <c r="Z751" t="str">
        <f>V751*0.02</f>
        <v>#REF!</v>
      </c>
      <c r="AA751" t="str">
        <f>W751*0.1</f>
        <v>#REF!</v>
      </c>
      <c r="AB751" t="str">
        <f>V751-Y751-Z751</f>
        <v>#REF!</v>
      </c>
      <c r="AC751" t="str">
        <f>W751-AA751</f>
        <v>#REF!</v>
      </c>
      <c r="AD751" t="str">
        <f>AB751*0.01</f>
        <v>#REF!</v>
      </c>
      <c r="AE751" t="str">
        <f>AB751-Q751-AD751-R751</f>
        <v>#REF!</v>
      </c>
      <c r="AF751" t="str">
        <f>AC751-Q751-AD751-R751</f>
        <v>#REF!</v>
      </c>
      <c r="AG751" t="str">
        <f>AE751/V751</f>
        <v>#REF!</v>
      </c>
      <c r="AH751" t="str">
        <f>AF751/W751</f>
        <v>#REF!</v>
      </c>
    </row>
    <row r="752">
      <c r="G752" t="str">
        <v>A</v>
      </c>
      <c r="J752" t="str">
        <f>IF(K752&gt;0,K752*0.0625,IF(L752&gt;0,L752*2.204623,))</f>
        <v>#REF!</v>
      </c>
      <c r="K752" t="str">
        <f>IF(L752&gt;0,L752*35.273962,IF(J752&gt;0,J752*16,))</f>
        <v>#REF!</v>
      </c>
      <c r="L752" t="str">
        <f>IF(J752&gt;0,J752*0.453592,IF(K752&gt;0,K752*0.02835,))</f>
        <v>#REF!</v>
      </c>
      <c r="O752">
        <f>I752+N752+M752</f>
        <v>0</v>
      </c>
      <c r="P752">
        <f>O752*B$3</f>
        <v>0</v>
      </c>
      <c r="Q752">
        <f>ROUND(SUM(P752), -2)</f>
        <v>0</v>
      </c>
      <c r="R752" t="str">
        <f>ROUNDUP(HLOOKUP(IF(CEILING(L752,0.5)&lt;1,0.5,CEILING(L752,0.5)),'배송비 조회'!A$44:AO$56,7,0)*B$3,-2)</f>
        <v>#REF!</v>
      </c>
      <c r="S752">
        <v>0</v>
      </c>
      <c r="T752" t="str">
        <f>ROUND((Q752+R752)*0.3,-2)</f>
        <v>#REF!</v>
      </c>
      <c r="U752" t="str">
        <f>ROUND((Q752+R752)*0.4,-2)</f>
        <v>#REF!</v>
      </c>
      <c r="V752" t="str">
        <f>SUM(Q752:R752)+T752</f>
        <v>#REF!</v>
      </c>
      <c r="W752" t="str">
        <f>SUM(Q752:S752)+U752</f>
        <v>#REF!</v>
      </c>
      <c r="X752">
        <v>0</v>
      </c>
      <c r="Y752" t="str">
        <f>V752*0.038</f>
        <v>#REF!</v>
      </c>
      <c r="Z752" t="str">
        <f>V752*0.02</f>
        <v>#REF!</v>
      </c>
      <c r="AA752" t="str">
        <f>W752*0.1</f>
        <v>#REF!</v>
      </c>
      <c r="AB752" t="str">
        <f>V752-Y752-Z752</f>
        <v>#REF!</v>
      </c>
      <c r="AC752" t="str">
        <f>W752-AA752</f>
        <v>#REF!</v>
      </c>
      <c r="AD752" t="str">
        <f>AB752*0.01</f>
        <v>#REF!</v>
      </c>
      <c r="AE752" t="str">
        <f>AB752-Q752-AD752-R752</f>
        <v>#REF!</v>
      </c>
      <c r="AF752" t="str">
        <f>AC752-Q752-AD752-R752</f>
        <v>#REF!</v>
      </c>
      <c r="AG752" t="str">
        <f>AE752/V752</f>
        <v>#REF!</v>
      </c>
      <c r="AH752" t="str">
        <f>AF752/W752</f>
        <v>#REF!</v>
      </c>
    </row>
    <row r="753">
      <c r="G753" t="str">
        <v>A</v>
      </c>
      <c r="J753" t="str">
        <f>IF(K753&gt;0,K753*0.0625,IF(L753&gt;0,L753*2.204623,))</f>
        <v>#REF!</v>
      </c>
      <c r="K753" t="str">
        <f>IF(L753&gt;0,L753*35.273962,IF(J753&gt;0,J753*16,))</f>
        <v>#REF!</v>
      </c>
      <c r="L753" t="str">
        <f>IF(J753&gt;0,J753*0.453592,IF(K753&gt;0,K753*0.02835,))</f>
        <v>#REF!</v>
      </c>
      <c r="O753">
        <f>I753+N753+M753</f>
        <v>0</v>
      </c>
      <c r="P753">
        <f>O753*B$3</f>
        <v>0</v>
      </c>
      <c r="Q753">
        <f>ROUND(SUM(P753), -2)</f>
        <v>0</v>
      </c>
      <c r="R753" t="str">
        <f>ROUNDUP(HLOOKUP(IF(CEILING(L753,0.5)&lt;1,0.5,CEILING(L753,0.5)),'배송비 조회'!A$44:AO$56,7,0)*B$3,-2)</f>
        <v>#REF!</v>
      </c>
      <c r="S753">
        <v>0</v>
      </c>
      <c r="T753" t="str">
        <f>ROUND((Q753+R753)*0.3,-2)</f>
        <v>#REF!</v>
      </c>
      <c r="U753" t="str">
        <f>ROUND((Q753+R753)*0.4,-2)</f>
        <v>#REF!</v>
      </c>
      <c r="V753" t="str">
        <f>SUM(Q753:R753)+T753</f>
        <v>#REF!</v>
      </c>
      <c r="W753" t="str">
        <f>SUM(Q753:S753)+U753</f>
        <v>#REF!</v>
      </c>
      <c r="X753">
        <v>0</v>
      </c>
      <c r="Y753" t="str">
        <f>V753*0.038</f>
        <v>#REF!</v>
      </c>
      <c r="Z753" t="str">
        <f>V753*0.02</f>
        <v>#REF!</v>
      </c>
      <c r="AA753" t="str">
        <f>W753*0.1</f>
        <v>#REF!</v>
      </c>
      <c r="AB753" t="str">
        <f>V753-Y753-Z753</f>
        <v>#REF!</v>
      </c>
      <c r="AC753" t="str">
        <f>W753-AA753</f>
        <v>#REF!</v>
      </c>
      <c r="AD753" t="str">
        <f>AB753*0.01</f>
        <v>#REF!</v>
      </c>
      <c r="AE753" t="str">
        <f>AB753-Q753-AD753-R753</f>
        <v>#REF!</v>
      </c>
      <c r="AF753" t="str">
        <f>AC753-Q753-AD753-R753</f>
        <v>#REF!</v>
      </c>
      <c r="AG753" t="str">
        <f>AE753/V753</f>
        <v>#REF!</v>
      </c>
      <c r="AH753" t="str">
        <f>AF753/W753</f>
        <v>#REF!</v>
      </c>
    </row>
    <row r="754">
      <c r="G754" t="str">
        <v>A</v>
      </c>
      <c r="J754" t="str">
        <f>IF(K754&gt;0,K754*0.0625,IF(L754&gt;0,L754*2.204623,))</f>
        <v>#REF!</v>
      </c>
      <c r="K754" t="str">
        <f>IF(L754&gt;0,L754*35.273962,IF(J754&gt;0,J754*16,))</f>
        <v>#REF!</v>
      </c>
      <c r="L754" t="str">
        <f>IF(J754&gt;0,J754*0.453592,IF(K754&gt;0,K754*0.02835,))</f>
        <v>#REF!</v>
      </c>
      <c r="O754">
        <f>I754+N754+M754</f>
        <v>0</v>
      </c>
      <c r="P754">
        <f>O754*B$3</f>
        <v>0</v>
      </c>
      <c r="Q754">
        <f>ROUND(SUM(P754), -2)</f>
        <v>0</v>
      </c>
      <c r="R754" t="str">
        <f>ROUNDUP(HLOOKUP(IF(CEILING(L754,0.5)&lt;1,0.5,CEILING(L754,0.5)),'배송비 조회'!A$44:AO$56,7,0)*B$3,-2)</f>
        <v>#REF!</v>
      </c>
      <c r="S754">
        <v>0</v>
      </c>
      <c r="T754" t="str">
        <f>ROUND((Q754+R754)*0.3,-2)</f>
        <v>#REF!</v>
      </c>
      <c r="U754" t="str">
        <f>ROUND((Q754+R754)*0.4,-2)</f>
        <v>#REF!</v>
      </c>
      <c r="V754" t="str">
        <f>SUM(Q754:R754)+T754</f>
        <v>#REF!</v>
      </c>
      <c r="W754" t="str">
        <f>SUM(Q754:S754)+U754</f>
        <v>#REF!</v>
      </c>
      <c r="X754">
        <v>0</v>
      </c>
      <c r="Y754" t="str">
        <f>V754*0.038</f>
        <v>#REF!</v>
      </c>
      <c r="Z754" t="str">
        <f>V754*0.02</f>
        <v>#REF!</v>
      </c>
      <c r="AA754" t="str">
        <f>W754*0.1</f>
        <v>#REF!</v>
      </c>
      <c r="AB754" t="str">
        <f>V754-Y754-Z754</f>
        <v>#REF!</v>
      </c>
      <c r="AC754" t="str">
        <f>W754-AA754</f>
        <v>#REF!</v>
      </c>
      <c r="AD754" t="str">
        <f>AB754*0.01</f>
        <v>#REF!</v>
      </c>
      <c r="AE754" t="str">
        <f>AB754-Q754-AD754-R754</f>
        <v>#REF!</v>
      </c>
      <c r="AF754" t="str">
        <f>AC754-Q754-AD754-R754</f>
        <v>#REF!</v>
      </c>
      <c r="AG754" t="str">
        <f>AE754/V754</f>
        <v>#REF!</v>
      </c>
      <c r="AH754" t="str">
        <f>AF754/W754</f>
        <v>#REF!</v>
      </c>
    </row>
    <row r="755">
      <c r="G755" t="str">
        <v>A</v>
      </c>
      <c r="J755" t="str">
        <f>IF(K755&gt;0,K755*0.0625,IF(L755&gt;0,L755*2.204623,))</f>
        <v>#REF!</v>
      </c>
      <c r="K755" t="str">
        <f>IF(L755&gt;0,L755*35.273962,IF(J755&gt;0,J755*16,))</f>
        <v>#REF!</v>
      </c>
      <c r="L755" t="str">
        <f>IF(J755&gt;0,J755*0.453592,IF(K755&gt;0,K755*0.02835,))</f>
        <v>#REF!</v>
      </c>
      <c r="O755">
        <f>I755+N755+M755</f>
        <v>0</v>
      </c>
      <c r="P755">
        <f>O755*B$3</f>
        <v>0</v>
      </c>
      <c r="Q755">
        <f>ROUND(SUM(P755), -2)</f>
        <v>0</v>
      </c>
      <c r="R755" t="str">
        <f>ROUNDUP(HLOOKUP(IF(CEILING(L755,0.5)&lt;1,0.5,CEILING(L755,0.5)),'배송비 조회'!A$44:AO$56,7,0)*B$3,-2)</f>
        <v>#REF!</v>
      </c>
      <c r="S755">
        <v>0</v>
      </c>
      <c r="T755" t="str">
        <f>ROUND((Q755+R755)*0.3,-2)</f>
        <v>#REF!</v>
      </c>
      <c r="U755" t="str">
        <f>ROUND((Q755+R755)*0.4,-2)</f>
        <v>#REF!</v>
      </c>
      <c r="V755" t="str">
        <f>SUM(Q755:R755)+T755</f>
        <v>#REF!</v>
      </c>
      <c r="W755" t="str">
        <f>SUM(Q755:S755)+U755</f>
        <v>#REF!</v>
      </c>
      <c r="X755">
        <v>0</v>
      </c>
      <c r="Y755" t="str">
        <f>V755*0.038</f>
        <v>#REF!</v>
      </c>
      <c r="Z755" t="str">
        <f>V755*0.02</f>
        <v>#REF!</v>
      </c>
      <c r="AA755" t="str">
        <f>W755*0.1</f>
        <v>#REF!</v>
      </c>
      <c r="AB755" t="str">
        <f>V755-Y755-Z755</f>
        <v>#REF!</v>
      </c>
      <c r="AC755" t="str">
        <f>W755-AA755</f>
        <v>#REF!</v>
      </c>
      <c r="AD755" t="str">
        <f>AB755*0.01</f>
        <v>#REF!</v>
      </c>
      <c r="AE755" t="str">
        <f>AB755-Q755-AD755-R755</f>
        <v>#REF!</v>
      </c>
      <c r="AF755" t="str">
        <f>AC755-Q755-AD755-R755</f>
        <v>#REF!</v>
      </c>
      <c r="AG755" t="str">
        <f>AE755/V755</f>
        <v>#REF!</v>
      </c>
      <c r="AH755" t="str">
        <f>AF755/W755</f>
        <v>#REF!</v>
      </c>
    </row>
    <row r="756">
      <c r="G756" t="str">
        <v>A</v>
      </c>
      <c r="J756" t="str">
        <f>IF(K756&gt;0,K756*0.0625,IF(L756&gt;0,L756*2.204623,))</f>
        <v>#REF!</v>
      </c>
      <c r="K756" t="str">
        <f>IF(L756&gt;0,L756*35.273962,IF(J756&gt;0,J756*16,))</f>
        <v>#REF!</v>
      </c>
      <c r="L756" t="str">
        <f>IF(J756&gt;0,J756*0.453592,IF(K756&gt;0,K756*0.02835,))</f>
        <v>#REF!</v>
      </c>
      <c r="O756">
        <f>I756+N756+M756</f>
        <v>0</v>
      </c>
      <c r="P756">
        <f>O756*B$3</f>
        <v>0</v>
      </c>
      <c r="Q756">
        <f>ROUND(SUM(P756), -2)</f>
        <v>0</v>
      </c>
      <c r="R756" t="str">
        <f>ROUNDUP(HLOOKUP(IF(CEILING(L756,0.5)&lt;1,0.5,CEILING(L756,0.5)),'배송비 조회'!A$44:AO$56,7,0)*B$3,-2)</f>
        <v>#REF!</v>
      </c>
      <c r="S756">
        <v>0</v>
      </c>
      <c r="T756" t="str">
        <f>ROUND((Q756+R756)*0.3,-2)</f>
        <v>#REF!</v>
      </c>
      <c r="U756" t="str">
        <f>ROUND((Q756+R756)*0.4,-2)</f>
        <v>#REF!</v>
      </c>
      <c r="V756" t="str">
        <f>SUM(Q756:R756)+T756</f>
        <v>#REF!</v>
      </c>
      <c r="W756" t="str">
        <f>SUM(Q756:S756)+U756</f>
        <v>#REF!</v>
      </c>
      <c r="X756">
        <v>0</v>
      </c>
      <c r="Y756" t="str">
        <f>V756*0.038</f>
        <v>#REF!</v>
      </c>
      <c r="Z756" t="str">
        <f>V756*0.02</f>
        <v>#REF!</v>
      </c>
      <c r="AA756" t="str">
        <f>W756*0.1</f>
        <v>#REF!</v>
      </c>
      <c r="AB756" t="str">
        <f>V756-Y756-Z756</f>
        <v>#REF!</v>
      </c>
      <c r="AC756" t="str">
        <f>W756-AA756</f>
        <v>#REF!</v>
      </c>
      <c r="AD756" t="str">
        <f>AB756*0.01</f>
        <v>#REF!</v>
      </c>
      <c r="AE756" t="str">
        <f>AB756-Q756-AD756-R756</f>
        <v>#REF!</v>
      </c>
      <c r="AF756" t="str">
        <f>AC756-Q756-AD756-R756</f>
        <v>#REF!</v>
      </c>
      <c r="AG756" t="str">
        <f>AE756/V756</f>
        <v>#REF!</v>
      </c>
      <c r="AH756" t="str">
        <f>AF756/W756</f>
        <v>#REF!</v>
      </c>
    </row>
    <row r="757">
      <c r="G757" t="str">
        <v>A</v>
      </c>
      <c r="J757" t="str">
        <f>IF(K757&gt;0,K757*0.0625,IF(L757&gt;0,L757*2.204623,))</f>
        <v>#REF!</v>
      </c>
      <c r="K757" t="str">
        <f>IF(L757&gt;0,L757*35.273962,IF(J757&gt;0,J757*16,))</f>
        <v>#REF!</v>
      </c>
      <c r="L757" t="str">
        <f>IF(J757&gt;0,J757*0.453592,IF(K757&gt;0,K757*0.02835,))</f>
        <v>#REF!</v>
      </c>
      <c r="O757">
        <f>I757+N757+M757</f>
        <v>0</v>
      </c>
      <c r="P757">
        <f>O757*B$3</f>
        <v>0</v>
      </c>
      <c r="Q757">
        <f>ROUND(SUM(P757), -2)</f>
        <v>0</v>
      </c>
      <c r="R757" t="str">
        <f>ROUNDUP(HLOOKUP(IF(CEILING(L757,0.5)&lt;1,0.5,CEILING(L757,0.5)),'배송비 조회'!A$44:AO$56,7,0)*B$3,-2)</f>
        <v>#REF!</v>
      </c>
      <c r="S757">
        <v>0</v>
      </c>
      <c r="T757" t="str">
        <f>ROUND((Q757+R757)*0.3,-2)</f>
        <v>#REF!</v>
      </c>
      <c r="U757" t="str">
        <f>ROUND((Q757+R757)*0.4,-2)</f>
        <v>#REF!</v>
      </c>
      <c r="V757" t="str">
        <f>SUM(Q757:R757)+T757</f>
        <v>#REF!</v>
      </c>
      <c r="W757" t="str">
        <f>SUM(Q757:S757)+U757</f>
        <v>#REF!</v>
      </c>
      <c r="X757">
        <v>0</v>
      </c>
      <c r="Y757" t="str">
        <f>V757*0.038</f>
        <v>#REF!</v>
      </c>
      <c r="Z757" t="str">
        <f>V757*0.02</f>
        <v>#REF!</v>
      </c>
      <c r="AA757" t="str">
        <f>W757*0.1</f>
        <v>#REF!</v>
      </c>
      <c r="AB757" t="str">
        <f>V757-Y757-Z757</f>
        <v>#REF!</v>
      </c>
      <c r="AC757" t="str">
        <f>W757-AA757</f>
        <v>#REF!</v>
      </c>
      <c r="AD757" t="str">
        <f>AB757*0.01</f>
        <v>#REF!</v>
      </c>
      <c r="AE757" t="str">
        <f>AB757-Q757-AD757-R757</f>
        <v>#REF!</v>
      </c>
      <c r="AF757" t="str">
        <f>AC757-Q757-AD757-R757</f>
        <v>#REF!</v>
      </c>
      <c r="AG757" t="str">
        <f>AE757/V757</f>
        <v>#REF!</v>
      </c>
      <c r="AH757" t="str">
        <f>AF757/W757</f>
        <v>#REF!</v>
      </c>
    </row>
    <row r="758">
      <c r="G758" t="str">
        <v>A</v>
      </c>
      <c r="J758" t="str">
        <f>IF(K758&gt;0,K758*0.0625,IF(L758&gt;0,L758*2.204623,))</f>
        <v>#REF!</v>
      </c>
      <c r="K758" t="str">
        <f>IF(L758&gt;0,L758*35.273962,IF(J758&gt;0,J758*16,))</f>
        <v>#REF!</v>
      </c>
      <c r="L758" t="str">
        <f>IF(J758&gt;0,J758*0.453592,IF(K758&gt;0,K758*0.02835,))</f>
        <v>#REF!</v>
      </c>
      <c r="O758">
        <f>I758+N758+M758</f>
        <v>0</v>
      </c>
      <c r="P758">
        <f>O758*B$3</f>
        <v>0</v>
      </c>
      <c r="Q758">
        <f>ROUND(SUM(P758), -2)</f>
        <v>0</v>
      </c>
      <c r="R758" t="str">
        <f>ROUNDUP(HLOOKUP(IF(CEILING(L758,0.5)&lt;1,0.5,CEILING(L758,0.5)),'배송비 조회'!A$44:AO$56,7,0)*B$3,-2)</f>
        <v>#REF!</v>
      </c>
      <c r="S758">
        <v>0</v>
      </c>
      <c r="T758" t="str">
        <f>ROUND((Q758+R758)*0.3,-2)</f>
        <v>#REF!</v>
      </c>
      <c r="U758" t="str">
        <f>ROUND((Q758+R758)*0.4,-2)</f>
        <v>#REF!</v>
      </c>
      <c r="V758" t="str">
        <f>SUM(Q758:R758)+T758</f>
        <v>#REF!</v>
      </c>
      <c r="W758" t="str">
        <f>SUM(Q758:S758)+U758</f>
        <v>#REF!</v>
      </c>
      <c r="X758">
        <v>0</v>
      </c>
      <c r="Y758" t="str">
        <f>V758*0.038</f>
        <v>#REF!</v>
      </c>
      <c r="Z758" t="str">
        <f>V758*0.02</f>
        <v>#REF!</v>
      </c>
      <c r="AA758" t="str">
        <f>W758*0.1</f>
        <v>#REF!</v>
      </c>
      <c r="AB758" t="str">
        <f>V758-Y758-Z758</f>
        <v>#REF!</v>
      </c>
      <c r="AC758" t="str">
        <f>W758-AA758</f>
        <v>#REF!</v>
      </c>
      <c r="AD758" t="str">
        <f>AB758*0.01</f>
        <v>#REF!</v>
      </c>
      <c r="AE758" t="str">
        <f>AB758-Q758-AD758-R758</f>
        <v>#REF!</v>
      </c>
      <c r="AF758" t="str">
        <f>AC758-Q758-AD758-R758</f>
        <v>#REF!</v>
      </c>
      <c r="AG758" t="str">
        <f>AE758/V758</f>
        <v>#REF!</v>
      </c>
      <c r="AH758" t="str">
        <f>AF758/W758</f>
        <v>#REF!</v>
      </c>
    </row>
    <row r="759">
      <c r="G759" t="str">
        <v>A</v>
      </c>
      <c r="J759" t="str">
        <f>IF(K759&gt;0,K759*0.0625,IF(L759&gt;0,L759*2.204623,))</f>
        <v>#REF!</v>
      </c>
      <c r="K759" t="str">
        <f>IF(L759&gt;0,L759*35.273962,IF(J759&gt;0,J759*16,))</f>
        <v>#REF!</v>
      </c>
      <c r="L759" t="str">
        <f>IF(J759&gt;0,J759*0.453592,IF(K759&gt;0,K759*0.02835,))</f>
        <v>#REF!</v>
      </c>
      <c r="O759">
        <f>I759+N759+M759</f>
        <v>0</v>
      </c>
      <c r="P759">
        <f>O759*B$3</f>
        <v>0</v>
      </c>
      <c r="Q759">
        <f>ROUND(SUM(P759), -2)</f>
        <v>0</v>
      </c>
      <c r="R759" t="str">
        <f>ROUNDUP(HLOOKUP(IF(CEILING(L759,0.5)&lt;1,0.5,CEILING(L759,0.5)),'배송비 조회'!A$44:AO$56,7,0)*B$3,-2)</f>
        <v>#REF!</v>
      </c>
      <c r="S759">
        <v>0</v>
      </c>
      <c r="T759" t="str">
        <f>ROUND((Q759+R759)*0.3,-2)</f>
        <v>#REF!</v>
      </c>
      <c r="U759" t="str">
        <f>ROUND((Q759+R759)*0.4,-2)</f>
        <v>#REF!</v>
      </c>
      <c r="V759" t="str">
        <f>SUM(Q759:R759)+T759</f>
        <v>#REF!</v>
      </c>
      <c r="W759" t="str">
        <f>SUM(Q759:S759)+U759</f>
        <v>#REF!</v>
      </c>
      <c r="X759">
        <v>0</v>
      </c>
      <c r="Y759" t="str">
        <f>V759*0.038</f>
        <v>#REF!</v>
      </c>
      <c r="Z759" t="str">
        <f>V759*0.02</f>
        <v>#REF!</v>
      </c>
      <c r="AA759" t="str">
        <f>W759*0.1</f>
        <v>#REF!</v>
      </c>
      <c r="AB759" t="str">
        <f>V759-Y759-Z759</f>
        <v>#REF!</v>
      </c>
      <c r="AC759" t="str">
        <f>W759-AA759</f>
        <v>#REF!</v>
      </c>
      <c r="AD759" t="str">
        <f>AB759*0.01</f>
        <v>#REF!</v>
      </c>
      <c r="AE759" t="str">
        <f>AB759-Q759-AD759-R759</f>
        <v>#REF!</v>
      </c>
      <c r="AF759" t="str">
        <f>AC759-Q759-AD759-R759</f>
        <v>#REF!</v>
      </c>
      <c r="AG759" t="str">
        <f>AE759/V759</f>
        <v>#REF!</v>
      </c>
      <c r="AH759" t="str">
        <f>AF759/W759</f>
        <v>#REF!</v>
      </c>
    </row>
    <row r="760">
      <c r="G760" t="str">
        <v>A</v>
      </c>
      <c r="J760" t="str">
        <f>IF(K760&gt;0,K760*0.0625,IF(L760&gt;0,L760*2.204623,))</f>
        <v>#REF!</v>
      </c>
      <c r="K760" t="str">
        <f>IF(L760&gt;0,L760*35.273962,IF(J760&gt;0,J760*16,))</f>
        <v>#REF!</v>
      </c>
      <c r="L760" t="str">
        <f>IF(J760&gt;0,J760*0.453592,IF(K760&gt;0,K760*0.02835,))</f>
        <v>#REF!</v>
      </c>
      <c r="O760">
        <f>I760+N760+M760</f>
        <v>0</v>
      </c>
      <c r="P760">
        <f>O760*B$3</f>
        <v>0</v>
      </c>
      <c r="Q760">
        <f>ROUND(SUM(P760), -2)</f>
        <v>0</v>
      </c>
      <c r="R760" t="str">
        <f>ROUNDUP(HLOOKUP(IF(CEILING(L760,0.5)&lt;1,0.5,CEILING(L760,0.5)),'배송비 조회'!A$44:AO$56,7,0)*B$3,-2)</f>
        <v>#REF!</v>
      </c>
      <c r="S760">
        <v>0</v>
      </c>
      <c r="T760" t="str">
        <f>ROUND((Q760+R760)*0.3,-2)</f>
        <v>#REF!</v>
      </c>
      <c r="U760" t="str">
        <f>ROUND((Q760+R760)*0.4,-2)</f>
        <v>#REF!</v>
      </c>
      <c r="V760" t="str">
        <f>SUM(Q760:R760)+T760</f>
        <v>#REF!</v>
      </c>
      <c r="W760" t="str">
        <f>SUM(Q760:S760)+U760</f>
        <v>#REF!</v>
      </c>
      <c r="X760">
        <v>0</v>
      </c>
      <c r="Y760" t="str">
        <f>V760*0.038</f>
        <v>#REF!</v>
      </c>
      <c r="Z760" t="str">
        <f>V760*0.02</f>
        <v>#REF!</v>
      </c>
      <c r="AA760" t="str">
        <f>W760*0.1</f>
        <v>#REF!</v>
      </c>
      <c r="AB760" t="str">
        <f>V760-Y760-Z760</f>
        <v>#REF!</v>
      </c>
      <c r="AC760" t="str">
        <f>W760-AA760</f>
        <v>#REF!</v>
      </c>
      <c r="AD760" t="str">
        <f>AB760*0.01</f>
        <v>#REF!</v>
      </c>
      <c r="AE760" t="str">
        <f>AB760-Q760-AD760-R760</f>
        <v>#REF!</v>
      </c>
      <c r="AF760" t="str">
        <f>AC760-Q760-AD760-R760</f>
        <v>#REF!</v>
      </c>
      <c r="AG760" t="str">
        <f>AE760/V760</f>
        <v>#REF!</v>
      </c>
      <c r="AH760" t="str">
        <f>AF760/W760</f>
        <v>#REF!</v>
      </c>
    </row>
    <row r="761">
      <c r="G761" t="str">
        <v>A</v>
      </c>
      <c r="J761" t="str">
        <f>IF(K761&gt;0,K761*0.0625,IF(L761&gt;0,L761*2.204623,))</f>
        <v>#REF!</v>
      </c>
      <c r="K761" t="str">
        <f>IF(L761&gt;0,L761*35.273962,IF(J761&gt;0,J761*16,))</f>
        <v>#REF!</v>
      </c>
      <c r="L761" t="str">
        <f>IF(J761&gt;0,J761*0.453592,IF(K761&gt;0,K761*0.02835,))</f>
        <v>#REF!</v>
      </c>
      <c r="O761">
        <f>I761+N761+M761</f>
        <v>0</v>
      </c>
      <c r="P761">
        <f>O761*B$3</f>
        <v>0</v>
      </c>
      <c r="Q761">
        <f>ROUND(SUM(P761), -2)</f>
        <v>0</v>
      </c>
      <c r="R761" t="str">
        <f>ROUNDUP(HLOOKUP(IF(CEILING(L761,0.5)&lt;1,0.5,CEILING(L761,0.5)),'배송비 조회'!A$44:AO$56,7,0)*B$3,-2)</f>
        <v>#REF!</v>
      </c>
      <c r="S761">
        <v>0</v>
      </c>
      <c r="T761" t="str">
        <f>ROUND((Q761+R761)*0.3,-2)</f>
        <v>#REF!</v>
      </c>
      <c r="U761" t="str">
        <f>ROUND((Q761+R761)*0.4,-2)</f>
        <v>#REF!</v>
      </c>
      <c r="V761" t="str">
        <f>SUM(Q761:R761)+T761</f>
        <v>#REF!</v>
      </c>
      <c r="W761" t="str">
        <f>SUM(Q761:S761)+U761</f>
        <v>#REF!</v>
      </c>
      <c r="X761">
        <v>0</v>
      </c>
      <c r="Y761" t="str">
        <f>V761*0.038</f>
        <v>#REF!</v>
      </c>
      <c r="Z761" t="str">
        <f>V761*0.02</f>
        <v>#REF!</v>
      </c>
      <c r="AA761" t="str">
        <f>W761*0.1</f>
        <v>#REF!</v>
      </c>
      <c r="AB761" t="str">
        <f>V761-Y761-Z761</f>
        <v>#REF!</v>
      </c>
      <c r="AC761" t="str">
        <f>W761-AA761</f>
        <v>#REF!</v>
      </c>
      <c r="AD761" t="str">
        <f>AB761*0.01</f>
        <v>#REF!</v>
      </c>
      <c r="AE761" t="str">
        <f>AB761-Q761-AD761-R761</f>
        <v>#REF!</v>
      </c>
      <c r="AF761" t="str">
        <f>AC761-Q761-AD761-R761</f>
        <v>#REF!</v>
      </c>
      <c r="AG761" t="str">
        <f>AE761/V761</f>
        <v>#REF!</v>
      </c>
      <c r="AH761" t="str">
        <f>AF761/W761</f>
        <v>#REF!</v>
      </c>
    </row>
    <row r="762">
      <c r="G762" t="str">
        <v>A</v>
      </c>
      <c r="J762" t="str">
        <f>IF(K762&gt;0,K762*0.0625,IF(L762&gt;0,L762*2.204623,))</f>
        <v>#REF!</v>
      </c>
      <c r="K762" t="str">
        <f>IF(L762&gt;0,L762*35.273962,IF(J762&gt;0,J762*16,))</f>
        <v>#REF!</v>
      </c>
      <c r="L762" t="str">
        <f>IF(J762&gt;0,J762*0.453592,IF(K762&gt;0,K762*0.02835,))</f>
        <v>#REF!</v>
      </c>
      <c r="O762">
        <f>I762+N762+M762</f>
        <v>0</v>
      </c>
      <c r="P762">
        <f>O762*B$3</f>
        <v>0</v>
      </c>
      <c r="Q762">
        <f>ROUND(SUM(P762), -2)</f>
        <v>0</v>
      </c>
      <c r="R762" t="str">
        <f>ROUNDUP(HLOOKUP(IF(CEILING(L762,0.5)&lt;1,0.5,CEILING(L762,0.5)),'배송비 조회'!A$44:AO$56,7,0)*B$3,-2)</f>
        <v>#REF!</v>
      </c>
      <c r="S762">
        <v>0</v>
      </c>
      <c r="T762" t="str">
        <f>ROUND((Q762+R762)*0.3,-2)</f>
        <v>#REF!</v>
      </c>
      <c r="U762" t="str">
        <f>ROUND((Q762+R762)*0.4,-2)</f>
        <v>#REF!</v>
      </c>
      <c r="V762" t="str">
        <f>SUM(Q762:R762)+T762</f>
        <v>#REF!</v>
      </c>
      <c r="W762" t="str">
        <f>SUM(Q762:S762)+U762</f>
        <v>#REF!</v>
      </c>
      <c r="X762">
        <v>0</v>
      </c>
      <c r="Y762" t="str">
        <f>V762*0.038</f>
        <v>#REF!</v>
      </c>
      <c r="Z762" t="str">
        <f>V762*0.02</f>
        <v>#REF!</v>
      </c>
      <c r="AA762" t="str">
        <f>W762*0.1</f>
        <v>#REF!</v>
      </c>
      <c r="AB762" t="str">
        <f>V762-Y762-Z762</f>
        <v>#REF!</v>
      </c>
      <c r="AC762" t="str">
        <f>W762-AA762</f>
        <v>#REF!</v>
      </c>
      <c r="AD762" t="str">
        <f>AB762*0.01</f>
        <v>#REF!</v>
      </c>
      <c r="AE762" t="str">
        <f>AB762-Q762-AD762-R762</f>
        <v>#REF!</v>
      </c>
      <c r="AF762" t="str">
        <f>AC762-Q762-AD762-R762</f>
        <v>#REF!</v>
      </c>
      <c r="AG762" t="str">
        <f>AE762/V762</f>
        <v>#REF!</v>
      </c>
      <c r="AH762" t="str">
        <f>AF762/W762</f>
        <v>#REF!</v>
      </c>
    </row>
    <row r="763">
      <c r="G763" t="str">
        <v>A</v>
      </c>
      <c r="J763" t="str">
        <f>IF(K763&gt;0,K763*0.0625,IF(L763&gt;0,L763*2.204623,))</f>
        <v>#REF!</v>
      </c>
      <c r="K763" t="str">
        <f>IF(L763&gt;0,L763*35.273962,IF(J763&gt;0,J763*16,))</f>
        <v>#REF!</v>
      </c>
      <c r="L763" t="str">
        <f>IF(J763&gt;0,J763*0.453592,IF(K763&gt;0,K763*0.02835,))</f>
        <v>#REF!</v>
      </c>
      <c r="O763">
        <f>I763+N763+M763</f>
        <v>0</v>
      </c>
      <c r="P763">
        <f>O763*B$3</f>
        <v>0</v>
      </c>
      <c r="Q763">
        <f>ROUND(SUM(P763), -2)</f>
        <v>0</v>
      </c>
      <c r="R763" t="str">
        <f>ROUNDUP(HLOOKUP(IF(CEILING(L763,0.5)&lt;1,0.5,CEILING(L763,0.5)),'배송비 조회'!A$44:AO$56,7,0)*B$3,-2)</f>
        <v>#REF!</v>
      </c>
      <c r="S763">
        <v>0</v>
      </c>
      <c r="T763" t="str">
        <f>ROUND((Q763+R763)*0.3,-2)</f>
        <v>#REF!</v>
      </c>
      <c r="U763" t="str">
        <f>ROUND((Q763+R763)*0.4,-2)</f>
        <v>#REF!</v>
      </c>
      <c r="V763" t="str">
        <f>SUM(Q763:R763)+T763</f>
        <v>#REF!</v>
      </c>
      <c r="W763" t="str">
        <f>SUM(Q763:S763)+U763</f>
        <v>#REF!</v>
      </c>
      <c r="X763">
        <v>0</v>
      </c>
      <c r="Y763" t="str">
        <f>V763*0.038</f>
        <v>#REF!</v>
      </c>
      <c r="Z763" t="str">
        <f>V763*0.02</f>
        <v>#REF!</v>
      </c>
      <c r="AA763" t="str">
        <f>W763*0.1</f>
        <v>#REF!</v>
      </c>
      <c r="AB763" t="str">
        <f>V763-Y763-Z763</f>
        <v>#REF!</v>
      </c>
      <c r="AC763" t="str">
        <f>W763-AA763</f>
        <v>#REF!</v>
      </c>
      <c r="AD763" t="str">
        <f>AB763*0.01</f>
        <v>#REF!</v>
      </c>
      <c r="AE763" t="str">
        <f>AB763-Q763-AD763-R763</f>
        <v>#REF!</v>
      </c>
      <c r="AF763" t="str">
        <f>AC763-Q763-AD763-R763</f>
        <v>#REF!</v>
      </c>
      <c r="AG763" t="str">
        <f>AE763/V763</f>
        <v>#REF!</v>
      </c>
      <c r="AH763" t="str">
        <f>AF763/W763</f>
        <v>#REF!</v>
      </c>
    </row>
    <row r="764">
      <c r="G764" t="str">
        <v>A</v>
      </c>
      <c r="J764" t="str">
        <f>IF(K764&gt;0,K764*0.0625,IF(L764&gt;0,L764*2.204623,))</f>
        <v>#REF!</v>
      </c>
      <c r="K764" t="str">
        <f>IF(L764&gt;0,L764*35.273962,IF(J764&gt;0,J764*16,))</f>
        <v>#REF!</v>
      </c>
      <c r="L764" t="str">
        <f>IF(J764&gt;0,J764*0.453592,IF(K764&gt;0,K764*0.02835,))</f>
        <v>#REF!</v>
      </c>
      <c r="O764">
        <f>I764+N764+M764</f>
        <v>0</v>
      </c>
      <c r="P764">
        <f>O764*B$3</f>
        <v>0</v>
      </c>
      <c r="Q764">
        <f>ROUND(SUM(P764), -2)</f>
        <v>0</v>
      </c>
      <c r="R764" t="str">
        <f>ROUNDUP(HLOOKUP(IF(CEILING(L764,0.5)&lt;1,0.5,CEILING(L764,0.5)),'배송비 조회'!A$44:AO$56,7,0)*B$3,-2)</f>
        <v>#REF!</v>
      </c>
      <c r="S764">
        <v>0</v>
      </c>
      <c r="T764" t="str">
        <f>ROUND((Q764+R764)*0.3,-2)</f>
        <v>#REF!</v>
      </c>
      <c r="U764" t="str">
        <f>ROUND((Q764+R764)*0.4,-2)</f>
        <v>#REF!</v>
      </c>
      <c r="V764" t="str">
        <f>SUM(Q764:R764)+T764</f>
        <v>#REF!</v>
      </c>
      <c r="W764" t="str">
        <f>SUM(Q764:S764)+U764</f>
        <v>#REF!</v>
      </c>
      <c r="X764">
        <v>0</v>
      </c>
      <c r="Y764" t="str">
        <f>V764*0.038</f>
        <v>#REF!</v>
      </c>
      <c r="Z764" t="str">
        <f>V764*0.02</f>
        <v>#REF!</v>
      </c>
      <c r="AA764" t="str">
        <f>W764*0.1</f>
        <v>#REF!</v>
      </c>
      <c r="AB764" t="str">
        <f>V764-Y764-Z764</f>
        <v>#REF!</v>
      </c>
      <c r="AC764" t="str">
        <f>W764-AA764</f>
        <v>#REF!</v>
      </c>
      <c r="AD764" t="str">
        <f>AB764*0.01</f>
        <v>#REF!</v>
      </c>
      <c r="AE764" t="str">
        <f>AB764-Q764-AD764-R764</f>
        <v>#REF!</v>
      </c>
      <c r="AF764" t="str">
        <f>AC764-Q764-AD764-R764</f>
        <v>#REF!</v>
      </c>
      <c r="AG764" t="str">
        <f>AE764/V764</f>
        <v>#REF!</v>
      </c>
      <c r="AH764" t="str">
        <f>AF764/W764</f>
        <v>#REF!</v>
      </c>
    </row>
    <row r="765">
      <c r="G765" t="str">
        <v>A</v>
      </c>
      <c r="J765" t="str">
        <f>IF(K765&gt;0,K765*0.0625,IF(L765&gt;0,L765*2.204623,))</f>
        <v>#REF!</v>
      </c>
      <c r="K765" t="str">
        <f>IF(L765&gt;0,L765*35.273962,IF(J765&gt;0,J765*16,))</f>
        <v>#REF!</v>
      </c>
      <c r="L765" t="str">
        <f>IF(J765&gt;0,J765*0.453592,IF(K765&gt;0,K765*0.02835,))</f>
        <v>#REF!</v>
      </c>
      <c r="O765">
        <f>I765+N765+M765</f>
        <v>0</v>
      </c>
      <c r="P765">
        <f>O765*B$3</f>
        <v>0</v>
      </c>
      <c r="Q765">
        <f>ROUND(SUM(P765), -2)</f>
        <v>0</v>
      </c>
      <c r="R765" t="str">
        <f>ROUNDUP(HLOOKUP(IF(CEILING(L765,0.5)&lt;1,0.5,CEILING(L765,0.5)),'배송비 조회'!A$44:AO$56,7,0)*B$3,-2)</f>
        <v>#REF!</v>
      </c>
      <c r="S765">
        <v>0</v>
      </c>
      <c r="T765" t="str">
        <f>ROUND((Q765+R765)*0.3,-2)</f>
        <v>#REF!</v>
      </c>
      <c r="U765" t="str">
        <f>ROUND((Q765+R765)*0.4,-2)</f>
        <v>#REF!</v>
      </c>
      <c r="V765" t="str">
        <f>SUM(Q765:R765)+T765</f>
        <v>#REF!</v>
      </c>
      <c r="W765" t="str">
        <f>SUM(Q765:S765)+U765</f>
        <v>#REF!</v>
      </c>
      <c r="X765">
        <v>0</v>
      </c>
      <c r="Y765" t="str">
        <f>V765*0.038</f>
        <v>#REF!</v>
      </c>
      <c r="Z765" t="str">
        <f>V765*0.02</f>
        <v>#REF!</v>
      </c>
      <c r="AA765" t="str">
        <f>W765*0.1</f>
        <v>#REF!</v>
      </c>
      <c r="AB765" t="str">
        <f>V765-Y765-Z765</f>
        <v>#REF!</v>
      </c>
      <c r="AC765" t="str">
        <f>W765-AA765</f>
        <v>#REF!</v>
      </c>
      <c r="AD765" t="str">
        <f>AB765*0.01</f>
        <v>#REF!</v>
      </c>
      <c r="AE765" t="str">
        <f>AB765-Q765-AD765-R765</f>
        <v>#REF!</v>
      </c>
      <c r="AF765" t="str">
        <f>AC765-Q765-AD765-R765</f>
        <v>#REF!</v>
      </c>
      <c r="AG765" t="str">
        <f>AE765/V765</f>
        <v>#REF!</v>
      </c>
      <c r="AH765" t="str">
        <f>AF765/W765</f>
        <v>#REF!</v>
      </c>
    </row>
    <row r="766">
      <c r="G766" t="str">
        <v>A</v>
      </c>
      <c r="J766" t="str">
        <f>IF(K766&gt;0,K766*0.0625,IF(L766&gt;0,L766*2.204623,))</f>
        <v>#REF!</v>
      </c>
      <c r="K766" t="str">
        <f>IF(L766&gt;0,L766*35.273962,IF(J766&gt;0,J766*16,))</f>
        <v>#REF!</v>
      </c>
      <c r="L766" t="str">
        <f>IF(J766&gt;0,J766*0.453592,IF(K766&gt;0,K766*0.02835,))</f>
        <v>#REF!</v>
      </c>
      <c r="O766">
        <f>I766+N766+M766</f>
        <v>0</v>
      </c>
      <c r="P766">
        <f>O766*B$3</f>
        <v>0</v>
      </c>
      <c r="Q766">
        <f>ROUND(SUM(P766), -2)</f>
        <v>0</v>
      </c>
      <c r="R766" t="str">
        <f>ROUNDUP(HLOOKUP(IF(CEILING(L766,0.5)&lt;1,0.5,CEILING(L766,0.5)),'배송비 조회'!A$44:AO$56,7,0)*B$3,-2)</f>
        <v>#REF!</v>
      </c>
      <c r="S766">
        <v>0</v>
      </c>
      <c r="T766" t="str">
        <f>ROUND((Q766+R766)*0.3,-2)</f>
        <v>#REF!</v>
      </c>
      <c r="U766" t="str">
        <f>ROUND((Q766+R766)*0.4,-2)</f>
        <v>#REF!</v>
      </c>
      <c r="V766" t="str">
        <f>SUM(Q766:R766)+T766</f>
        <v>#REF!</v>
      </c>
      <c r="W766" t="str">
        <f>SUM(Q766:S766)+U766</f>
        <v>#REF!</v>
      </c>
      <c r="X766">
        <v>0</v>
      </c>
      <c r="Y766" t="str">
        <f>V766*0.038</f>
        <v>#REF!</v>
      </c>
      <c r="Z766" t="str">
        <f>V766*0.02</f>
        <v>#REF!</v>
      </c>
      <c r="AA766" t="str">
        <f>W766*0.1</f>
        <v>#REF!</v>
      </c>
      <c r="AB766" t="str">
        <f>V766-Y766-Z766</f>
        <v>#REF!</v>
      </c>
      <c r="AC766" t="str">
        <f>W766-AA766</f>
        <v>#REF!</v>
      </c>
      <c r="AD766" t="str">
        <f>AB766*0.01</f>
        <v>#REF!</v>
      </c>
      <c r="AE766" t="str">
        <f>AB766-Q766-AD766-R766</f>
        <v>#REF!</v>
      </c>
      <c r="AF766" t="str">
        <f>AC766-Q766-AD766-R766</f>
        <v>#REF!</v>
      </c>
      <c r="AG766" t="str">
        <f>AE766/V766</f>
        <v>#REF!</v>
      </c>
      <c r="AH766" t="str">
        <f>AF766/W766</f>
        <v>#REF!</v>
      </c>
    </row>
    <row r="767">
      <c r="G767" t="str">
        <v>A</v>
      </c>
      <c r="J767" t="str">
        <f>IF(K767&gt;0,K767*0.0625,IF(L767&gt;0,L767*2.204623,))</f>
        <v>#REF!</v>
      </c>
      <c r="K767" t="str">
        <f>IF(L767&gt;0,L767*35.273962,IF(J767&gt;0,J767*16,))</f>
        <v>#REF!</v>
      </c>
      <c r="L767" t="str">
        <f>IF(J767&gt;0,J767*0.453592,IF(K767&gt;0,K767*0.02835,))</f>
        <v>#REF!</v>
      </c>
      <c r="O767">
        <f>I767+N767+M767</f>
        <v>0</v>
      </c>
      <c r="P767">
        <f>O767*B$3</f>
        <v>0</v>
      </c>
      <c r="Q767">
        <f>ROUND(SUM(P767), -2)</f>
        <v>0</v>
      </c>
      <c r="R767" t="str">
        <f>ROUNDUP(HLOOKUP(IF(CEILING(L767,0.5)&lt;1,0.5,CEILING(L767,0.5)),'배송비 조회'!A$44:AO$56,7,0)*B$3,-2)</f>
        <v>#REF!</v>
      </c>
      <c r="S767">
        <v>0</v>
      </c>
      <c r="T767" t="str">
        <f>ROUND((Q767+R767)*0.3,-2)</f>
        <v>#REF!</v>
      </c>
      <c r="U767" t="str">
        <f>ROUND((Q767+R767)*0.4,-2)</f>
        <v>#REF!</v>
      </c>
      <c r="V767" t="str">
        <f>SUM(Q767:R767)+T767</f>
        <v>#REF!</v>
      </c>
      <c r="W767" t="str">
        <f>SUM(Q767:S767)+U767</f>
        <v>#REF!</v>
      </c>
      <c r="X767">
        <v>0</v>
      </c>
      <c r="Y767" t="str">
        <f>V767*0.038</f>
        <v>#REF!</v>
      </c>
      <c r="Z767" t="str">
        <f>V767*0.02</f>
        <v>#REF!</v>
      </c>
      <c r="AA767" t="str">
        <f>W767*0.1</f>
        <v>#REF!</v>
      </c>
      <c r="AB767" t="str">
        <f>V767-Y767-Z767</f>
        <v>#REF!</v>
      </c>
      <c r="AC767" t="str">
        <f>W767-AA767</f>
        <v>#REF!</v>
      </c>
      <c r="AD767" t="str">
        <f>AB767*0.01</f>
        <v>#REF!</v>
      </c>
      <c r="AE767" t="str">
        <f>AB767-Q767-AD767-R767</f>
        <v>#REF!</v>
      </c>
      <c r="AF767" t="str">
        <f>AC767-Q767-AD767-R767</f>
        <v>#REF!</v>
      </c>
      <c r="AG767" t="str">
        <f>AE767/V767</f>
        <v>#REF!</v>
      </c>
      <c r="AH767" t="str">
        <f>AF767/W767</f>
        <v>#REF!</v>
      </c>
    </row>
    <row r="768">
      <c r="G768" t="str">
        <v>A</v>
      </c>
      <c r="J768" t="str">
        <f>IF(K768&gt;0,K768*0.0625,IF(L768&gt;0,L768*2.204623,))</f>
        <v>#REF!</v>
      </c>
      <c r="K768" t="str">
        <f>IF(L768&gt;0,L768*35.273962,IF(J768&gt;0,J768*16,))</f>
        <v>#REF!</v>
      </c>
      <c r="L768" t="str">
        <f>IF(J768&gt;0,J768*0.453592,IF(K768&gt;0,K768*0.02835,))</f>
        <v>#REF!</v>
      </c>
      <c r="O768">
        <f>I768+N768+M768</f>
        <v>0</v>
      </c>
      <c r="P768">
        <f>O768*B$3</f>
        <v>0</v>
      </c>
      <c r="Q768">
        <f>ROUND(SUM(P768), -2)</f>
        <v>0</v>
      </c>
      <c r="R768" t="str">
        <f>ROUNDUP(HLOOKUP(IF(CEILING(L768,0.5)&lt;1,0.5,CEILING(L768,0.5)),'배송비 조회'!A$44:AO$56,7,0)*B$3,-2)</f>
        <v>#REF!</v>
      </c>
      <c r="S768">
        <v>0</v>
      </c>
      <c r="T768" t="str">
        <f>ROUND((Q768+R768)*0.3,-2)</f>
        <v>#REF!</v>
      </c>
      <c r="U768" t="str">
        <f>ROUND((Q768+R768)*0.4,-2)</f>
        <v>#REF!</v>
      </c>
      <c r="V768" t="str">
        <f>SUM(Q768:R768)+T768</f>
        <v>#REF!</v>
      </c>
      <c r="W768" t="str">
        <f>SUM(Q768:S768)+U768</f>
        <v>#REF!</v>
      </c>
      <c r="X768">
        <v>0</v>
      </c>
      <c r="Y768" t="str">
        <f>V768*0.038</f>
        <v>#REF!</v>
      </c>
      <c r="Z768" t="str">
        <f>V768*0.02</f>
        <v>#REF!</v>
      </c>
      <c r="AA768" t="str">
        <f>W768*0.1</f>
        <v>#REF!</v>
      </c>
      <c r="AB768" t="str">
        <f>V768-Y768-Z768</f>
        <v>#REF!</v>
      </c>
      <c r="AC768" t="str">
        <f>W768-AA768</f>
        <v>#REF!</v>
      </c>
      <c r="AD768" t="str">
        <f>AB768*0.01</f>
        <v>#REF!</v>
      </c>
      <c r="AE768" t="str">
        <f>AB768-Q768-AD768-R768</f>
        <v>#REF!</v>
      </c>
      <c r="AF768" t="str">
        <f>AC768-Q768-AD768-R768</f>
        <v>#REF!</v>
      </c>
      <c r="AG768" t="str">
        <f>AE768/V768</f>
        <v>#REF!</v>
      </c>
      <c r="AH768" t="str">
        <f>AF768/W768</f>
        <v>#REF!</v>
      </c>
    </row>
    <row r="769">
      <c r="G769" t="str">
        <v>A</v>
      </c>
      <c r="J769" t="str">
        <f>IF(K769&gt;0,K769*0.0625,IF(L769&gt;0,L769*2.204623,))</f>
        <v>#REF!</v>
      </c>
      <c r="K769" t="str">
        <f>IF(L769&gt;0,L769*35.273962,IF(J769&gt;0,J769*16,))</f>
        <v>#REF!</v>
      </c>
      <c r="L769" t="str">
        <f>IF(J769&gt;0,J769*0.453592,IF(K769&gt;0,K769*0.02835,))</f>
        <v>#REF!</v>
      </c>
      <c r="O769">
        <f>I769+N769+M769</f>
        <v>0</v>
      </c>
      <c r="P769">
        <f>O769*B$3</f>
        <v>0</v>
      </c>
      <c r="Q769">
        <f>ROUND(SUM(P769), -2)</f>
        <v>0</v>
      </c>
      <c r="R769" t="str">
        <f>ROUNDUP(HLOOKUP(IF(CEILING(L769,0.5)&lt;1,0.5,CEILING(L769,0.5)),'배송비 조회'!A$44:AO$56,7,0)*B$3,-2)</f>
        <v>#REF!</v>
      </c>
      <c r="S769">
        <v>0</v>
      </c>
      <c r="T769" t="str">
        <f>ROUND((Q769+R769)*0.3,-2)</f>
        <v>#REF!</v>
      </c>
      <c r="U769" t="str">
        <f>ROUND((Q769+R769)*0.4,-2)</f>
        <v>#REF!</v>
      </c>
      <c r="V769" t="str">
        <f>SUM(Q769:R769)+T769</f>
        <v>#REF!</v>
      </c>
      <c r="W769" t="str">
        <f>SUM(Q769:S769)+U769</f>
        <v>#REF!</v>
      </c>
      <c r="X769">
        <v>0</v>
      </c>
      <c r="Y769" t="str">
        <f>V769*0.038</f>
        <v>#REF!</v>
      </c>
      <c r="Z769" t="str">
        <f>V769*0.02</f>
        <v>#REF!</v>
      </c>
      <c r="AA769" t="str">
        <f>W769*0.1</f>
        <v>#REF!</v>
      </c>
      <c r="AB769" t="str">
        <f>V769-Y769-Z769</f>
        <v>#REF!</v>
      </c>
      <c r="AC769" t="str">
        <f>W769-AA769</f>
        <v>#REF!</v>
      </c>
      <c r="AD769" t="str">
        <f>AB769*0.01</f>
        <v>#REF!</v>
      </c>
      <c r="AE769" t="str">
        <f>AB769-Q769-AD769-R769</f>
        <v>#REF!</v>
      </c>
      <c r="AF769" t="str">
        <f>AC769-Q769-AD769-R769</f>
        <v>#REF!</v>
      </c>
      <c r="AG769" t="str">
        <f>AE769/V769</f>
        <v>#REF!</v>
      </c>
      <c r="AH769" t="str">
        <f>AF769/W769</f>
        <v>#REF!</v>
      </c>
    </row>
    <row r="770">
      <c r="G770" t="str">
        <v>A</v>
      </c>
      <c r="J770" t="str">
        <f>IF(K770&gt;0,K770*0.0625,IF(L770&gt;0,L770*2.204623,))</f>
        <v>#REF!</v>
      </c>
      <c r="K770" t="str">
        <f>IF(L770&gt;0,L770*35.273962,IF(J770&gt;0,J770*16,))</f>
        <v>#REF!</v>
      </c>
      <c r="L770" t="str">
        <f>IF(J770&gt;0,J770*0.453592,IF(K770&gt;0,K770*0.02835,))</f>
        <v>#REF!</v>
      </c>
      <c r="O770">
        <f>I770+N770+M770</f>
        <v>0</v>
      </c>
      <c r="P770">
        <f>O770*B$3</f>
        <v>0</v>
      </c>
      <c r="Q770">
        <f>ROUND(SUM(P770), -2)</f>
        <v>0</v>
      </c>
      <c r="R770" t="str">
        <f>ROUNDUP(HLOOKUP(IF(CEILING(L770,0.5)&lt;1,0.5,CEILING(L770,0.5)),'배송비 조회'!A$44:AO$56,7,0)*B$3,-2)</f>
        <v>#REF!</v>
      </c>
      <c r="S770">
        <v>0</v>
      </c>
      <c r="T770" t="str">
        <f>ROUND((Q770+R770)*0.3,-2)</f>
        <v>#REF!</v>
      </c>
      <c r="U770" t="str">
        <f>ROUND((Q770+R770)*0.4,-2)</f>
        <v>#REF!</v>
      </c>
      <c r="V770" t="str">
        <f>SUM(Q770:R770)+T770</f>
        <v>#REF!</v>
      </c>
      <c r="W770" t="str">
        <f>SUM(Q770:S770)+U770</f>
        <v>#REF!</v>
      </c>
      <c r="X770">
        <v>0</v>
      </c>
      <c r="Y770" t="str">
        <f>V770*0.038</f>
        <v>#REF!</v>
      </c>
      <c r="Z770" t="str">
        <f>V770*0.02</f>
        <v>#REF!</v>
      </c>
      <c r="AA770" t="str">
        <f>W770*0.1</f>
        <v>#REF!</v>
      </c>
      <c r="AB770" t="str">
        <f>V770-Y770-Z770</f>
        <v>#REF!</v>
      </c>
      <c r="AC770" t="str">
        <f>W770-AA770</f>
        <v>#REF!</v>
      </c>
      <c r="AD770" t="str">
        <f>AB770*0.01</f>
        <v>#REF!</v>
      </c>
      <c r="AE770" t="str">
        <f>AB770-Q770-AD770-R770</f>
        <v>#REF!</v>
      </c>
      <c r="AF770" t="str">
        <f>AC770-Q770-AD770-R770</f>
        <v>#REF!</v>
      </c>
      <c r="AG770" t="str">
        <f>AE770/V770</f>
        <v>#REF!</v>
      </c>
      <c r="AH770" t="str">
        <f>AF770/W770</f>
        <v>#REF!</v>
      </c>
    </row>
    <row r="771">
      <c r="G771" t="str">
        <v>A</v>
      </c>
      <c r="J771" t="str">
        <f>IF(K771&gt;0,K771*0.0625,IF(L771&gt;0,L771*2.204623,))</f>
        <v>#REF!</v>
      </c>
      <c r="K771" t="str">
        <f>IF(L771&gt;0,L771*35.273962,IF(J771&gt;0,J771*16,))</f>
        <v>#REF!</v>
      </c>
      <c r="L771" t="str">
        <f>IF(J771&gt;0,J771*0.453592,IF(K771&gt;0,K771*0.02835,))</f>
        <v>#REF!</v>
      </c>
      <c r="O771">
        <f>I771+N771+M771</f>
        <v>0</v>
      </c>
      <c r="P771">
        <f>O771*B$3</f>
        <v>0</v>
      </c>
      <c r="Q771">
        <f>ROUND(SUM(P771), -2)</f>
        <v>0</v>
      </c>
      <c r="R771" t="str">
        <f>ROUNDUP(HLOOKUP(IF(CEILING(L771,0.5)&lt;1,0.5,CEILING(L771,0.5)),'배송비 조회'!A$44:AO$56,7,0)*B$3,-2)</f>
        <v>#REF!</v>
      </c>
      <c r="S771">
        <v>0</v>
      </c>
      <c r="T771" t="str">
        <f>ROUND((Q771+R771)*0.3,-2)</f>
        <v>#REF!</v>
      </c>
      <c r="U771" t="str">
        <f>ROUND((Q771+R771)*0.4,-2)</f>
        <v>#REF!</v>
      </c>
      <c r="V771" t="str">
        <f>SUM(Q771:R771)+T771</f>
        <v>#REF!</v>
      </c>
      <c r="W771" t="str">
        <f>SUM(Q771:S771)+U771</f>
        <v>#REF!</v>
      </c>
      <c r="X771">
        <v>0</v>
      </c>
      <c r="Y771" t="str">
        <f>V771*0.038</f>
        <v>#REF!</v>
      </c>
      <c r="Z771" t="str">
        <f>V771*0.02</f>
        <v>#REF!</v>
      </c>
      <c r="AA771" t="str">
        <f>W771*0.1</f>
        <v>#REF!</v>
      </c>
      <c r="AB771" t="str">
        <f>V771-Y771-Z771</f>
        <v>#REF!</v>
      </c>
      <c r="AC771" t="str">
        <f>W771-AA771</f>
        <v>#REF!</v>
      </c>
      <c r="AD771" t="str">
        <f>AB771*0.01</f>
        <v>#REF!</v>
      </c>
      <c r="AE771" t="str">
        <f>AB771-Q771-AD771-R771</f>
        <v>#REF!</v>
      </c>
      <c r="AF771" t="str">
        <f>AC771-Q771-AD771-R771</f>
        <v>#REF!</v>
      </c>
      <c r="AG771" t="str">
        <f>AE771/V771</f>
        <v>#REF!</v>
      </c>
      <c r="AH771" t="str">
        <f>AF771/W771</f>
        <v>#REF!</v>
      </c>
    </row>
    <row r="772">
      <c r="G772" t="str">
        <v>A</v>
      </c>
      <c r="J772" t="str">
        <f>IF(K772&gt;0,K772*0.0625,IF(L772&gt;0,L772*2.204623,))</f>
        <v>#REF!</v>
      </c>
      <c r="K772" t="str">
        <f>IF(L772&gt;0,L772*35.273962,IF(J772&gt;0,J772*16,))</f>
        <v>#REF!</v>
      </c>
      <c r="L772" t="str">
        <f>IF(J772&gt;0,J772*0.453592,IF(K772&gt;0,K772*0.02835,))</f>
        <v>#REF!</v>
      </c>
      <c r="O772">
        <f>I772+N772+M772</f>
        <v>0</v>
      </c>
      <c r="P772">
        <f>O772*B$3</f>
        <v>0</v>
      </c>
      <c r="Q772">
        <f>ROUND(SUM(P772), -2)</f>
        <v>0</v>
      </c>
      <c r="R772" t="str">
        <f>ROUNDUP(HLOOKUP(IF(CEILING(L772,0.5)&lt;1,0.5,CEILING(L772,0.5)),'배송비 조회'!A$44:AO$56,7,0)*B$3,-2)</f>
        <v>#REF!</v>
      </c>
      <c r="S772">
        <v>0</v>
      </c>
      <c r="T772" t="str">
        <f>ROUND((Q772+R772)*0.3,-2)</f>
        <v>#REF!</v>
      </c>
      <c r="U772" t="str">
        <f>ROUND((Q772+R772)*0.4,-2)</f>
        <v>#REF!</v>
      </c>
      <c r="V772" t="str">
        <f>SUM(Q772:R772)+T772</f>
        <v>#REF!</v>
      </c>
      <c r="W772" t="str">
        <f>SUM(Q772:S772)+U772</f>
        <v>#REF!</v>
      </c>
      <c r="X772">
        <v>0</v>
      </c>
      <c r="Y772" t="str">
        <f>V772*0.038</f>
        <v>#REF!</v>
      </c>
      <c r="Z772" t="str">
        <f>V772*0.02</f>
        <v>#REF!</v>
      </c>
      <c r="AA772" t="str">
        <f>W772*0.1</f>
        <v>#REF!</v>
      </c>
      <c r="AB772" t="str">
        <f>V772-Y772-Z772</f>
        <v>#REF!</v>
      </c>
      <c r="AC772" t="str">
        <f>W772-AA772</f>
        <v>#REF!</v>
      </c>
      <c r="AD772" t="str">
        <f>AB772*0.01</f>
        <v>#REF!</v>
      </c>
      <c r="AE772" t="str">
        <f>AB772-Q772-AD772-R772</f>
        <v>#REF!</v>
      </c>
      <c r="AF772" t="str">
        <f>AC772-Q772-AD772-R772</f>
        <v>#REF!</v>
      </c>
      <c r="AG772" t="str">
        <f>AE772/V772</f>
        <v>#REF!</v>
      </c>
      <c r="AH772" t="str">
        <f>AF772/W772</f>
        <v>#REF!</v>
      </c>
    </row>
    <row r="773">
      <c r="G773" t="str">
        <v>A</v>
      </c>
      <c r="J773" t="str">
        <f>IF(K773&gt;0,K773*0.0625,IF(L773&gt;0,L773*2.204623,))</f>
        <v>#REF!</v>
      </c>
      <c r="K773" t="str">
        <f>IF(L773&gt;0,L773*35.273962,IF(J773&gt;0,J773*16,))</f>
        <v>#REF!</v>
      </c>
      <c r="L773" t="str">
        <f>IF(J773&gt;0,J773*0.453592,IF(K773&gt;0,K773*0.02835,))</f>
        <v>#REF!</v>
      </c>
      <c r="O773">
        <f>I773+N773+M773</f>
        <v>0</v>
      </c>
      <c r="P773">
        <f>O773*B$3</f>
        <v>0</v>
      </c>
      <c r="Q773">
        <f>ROUND(SUM(P773), -2)</f>
        <v>0</v>
      </c>
      <c r="R773" t="str">
        <f>ROUNDUP(HLOOKUP(IF(CEILING(L773,0.5)&lt;1,0.5,CEILING(L773,0.5)),'배송비 조회'!A$44:AO$56,7,0)*B$3,-2)</f>
        <v>#REF!</v>
      </c>
      <c r="S773">
        <v>0</v>
      </c>
      <c r="T773" t="str">
        <f>ROUND((Q773+R773)*0.3,-2)</f>
        <v>#REF!</v>
      </c>
      <c r="U773" t="str">
        <f>ROUND((Q773+R773)*0.4,-2)</f>
        <v>#REF!</v>
      </c>
      <c r="V773" t="str">
        <f>SUM(Q773:R773)+T773</f>
        <v>#REF!</v>
      </c>
      <c r="W773" t="str">
        <f>SUM(Q773:S773)+U773</f>
        <v>#REF!</v>
      </c>
      <c r="X773">
        <v>0</v>
      </c>
      <c r="Y773" t="str">
        <f>V773*0.038</f>
        <v>#REF!</v>
      </c>
      <c r="Z773" t="str">
        <f>V773*0.02</f>
        <v>#REF!</v>
      </c>
      <c r="AA773" t="str">
        <f>W773*0.1</f>
        <v>#REF!</v>
      </c>
      <c r="AB773" t="str">
        <f>V773-Y773-Z773</f>
        <v>#REF!</v>
      </c>
      <c r="AC773" t="str">
        <f>W773-AA773</f>
        <v>#REF!</v>
      </c>
      <c r="AD773" t="str">
        <f>AB773*0.01</f>
        <v>#REF!</v>
      </c>
      <c r="AE773" t="str">
        <f>AB773-Q773-AD773-R773</f>
        <v>#REF!</v>
      </c>
      <c r="AF773" t="str">
        <f>AC773-Q773-AD773-R773</f>
        <v>#REF!</v>
      </c>
      <c r="AG773" t="str">
        <f>AE773/V773</f>
        <v>#REF!</v>
      </c>
      <c r="AH773" t="str">
        <f>AF773/W773</f>
        <v>#REF!</v>
      </c>
    </row>
    <row r="774">
      <c r="G774" t="str">
        <v>A</v>
      </c>
      <c r="J774" t="str">
        <f>IF(K774&gt;0,K774*0.0625,IF(L774&gt;0,L774*2.204623,))</f>
        <v>#REF!</v>
      </c>
      <c r="K774" t="str">
        <f>IF(L774&gt;0,L774*35.273962,IF(J774&gt;0,J774*16,))</f>
        <v>#REF!</v>
      </c>
      <c r="L774" t="str">
        <f>IF(J774&gt;0,J774*0.453592,IF(K774&gt;0,K774*0.02835,))</f>
        <v>#REF!</v>
      </c>
      <c r="O774">
        <f>I774+N774+M774</f>
        <v>0</v>
      </c>
      <c r="P774">
        <f>O774*B$3</f>
        <v>0</v>
      </c>
      <c r="Q774">
        <f>ROUND(SUM(P774), -2)</f>
        <v>0</v>
      </c>
      <c r="R774" t="str">
        <f>ROUNDUP(HLOOKUP(IF(CEILING(L774,0.5)&lt;1,0.5,CEILING(L774,0.5)),'배송비 조회'!A$44:AO$56,7,0)*B$3,-2)</f>
        <v>#REF!</v>
      </c>
      <c r="S774">
        <v>0</v>
      </c>
      <c r="T774" t="str">
        <f>ROUND((Q774+R774)*0.3,-2)</f>
        <v>#REF!</v>
      </c>
      <c r="U774" t="str">
        <f>ROUND((Q774+R774)*0.4,-2)</f>
        <v>#REF!</v>
      </c>
      <c r="V774" t="str">
        <f>SUM(Q774:R774)+T774</f>
        <v>#REF!</v>
      </c>
      <c r="W774" t="str">
        <f>SUM(Q774:S774)+U774</f>
        <v>#REF!</v>
      </c>
      <c r="X774">
        <v>0</v>
      </c>
      <c r="Y774" t="str">
        <f>V774*0.038</f>
        <v>#REF!</v>
      </c>
      <c r="Z774" t="str">
        <f>V774*0.02</f>
        <v>#REF!</v>
      </c>
      <c r="AA774" t="str">
        <f>W774*0.1</f>
        <v>#REF!</v>
      </c>
      <c r="AB774" t="str">
        <f>V774-Y774-Z774</f>
        <v>#REF!</v>
      </c>
      <c r="AC774" t="str">
        <f>W774-AA774</f>
        <v>#REF!</v>
      </c>
      <c r="AD774" t="str">
        <f>AB774*0.01</f>
        <v>#REF!</v>
      </c>
      <c r="AE774" t="str">
        <f>AB774-Q774-AD774-R774</f>
        <v>#REF!</v>
      </c>
      <c r="AF774" t="str">
        <f>AC774-Q774-AD774-R774</f>
        <v>#REF!</v>
      </c>
      <c r="AG774" t="str">
        <f>AE774/V774</f>
        <v>#REF!</v>
      </c>
      <c r="AH774" t="str">
        <f>AF774/W774</f>
        <v>#REF!</v>
      </c>
    </row>
    <row r="775">
      <c r="G775" t="str">
        <v>A</v>
      </c>
      <c r="J775" t="str">
        <f>IF(K775&gt;0,K775*0.0625,IF(L775&gt;0,L775*2.204623,))</f>
        <v>#REF!</v>
      </c>
      <c r="K775" t="str">
        <f>IF(L775&gt;0,L775*35.273962,IF(J775&gt;0,J775*16,))</f>
        <v>#REF!</v>
      </c>
      <c r="L775" t="str">
        <f>IF(J775&gt;0,J775*0.453592,IF(K775&gt;0,K775*0.02835,))</f>
        <v>#REF!</v>
      </c>
      <c r="O775">
        <f>I775+N775+M775</f>
        <v>0</v>
      </c>
      <c r="P775">
        <f>O775*B$3</f>
        <v>0</v>
      </c>
      <c r="Q775">
        <f>ROUND(SUM(P775), -2)</f>
        <v>0</v>
      </c>
      <c r="R775" t="str">
        <f>ROUNDUP(HLOOKUP(IF(CEILING(L775,0.5)&lt;1,0.5,CEILING(L775,0.5)),'배송비 조회'!A$44:AO$56,7,0)*B$3,-2)</f>
        <v>#REF!</v>
      </c>
      <c r="S775">
        <v>0</v>
      </c>
      <c r="T775" t="str">
        <f>ROUND((Q775+R775)*0.3,-2)</f>
        <v>#REF!</v>
      </c>
      <c r="U775" t="str">
        <f>ROUND((Q775+R775)*0.4,-2)</f>
        <v>#REF!</v>
      </c>
      <c r="V775" t="str">
        <f>SUM(Q775:R775)+T775</f>
        <v>#REF!</v>
      </c>
      <c r="W775" t="str">
        <f>SUM(Q775:S775)+U775</f>
        <v>#REF!</v>
      </c>
      <c r="X775">
        <v>0</v>
      </c>
      <c r="Y775" t="str">
        <f>V775*0.038</f>
        <v>#REF!</v>
      </c>
      <c r="Z775" t="str">
        <f>V775*0.02</f>
        <v>#REF!</v>
      </c>
      <c r="AA775" t="str">
        <f>W775*0.1</f>
        <v>#REF!</v>
      </c>
      <c r="AB775" t="str">
        <f>V775-Y775-Z775</f>
        <v>#REF!</v>
      </c>
      <c r="AC775" t="str">
        <f>W775-AA775</f>
        <v>#REF!</v>
      </c>
      <c r="AD775" t="str">
        <f>AB775*0.01</f>
        <v>#REF!</v>
      </c>
      <c r="AE775" t="str">
        <f>AB775-Q775-AD775-R775</f>
        <v>#REF!</v>
      </c>
      <c r="AF775" t="str">
        <f>AC775-Q775-AD775-R775</f>
        <v>#REF!</v>
      </c>
      <c r="AG775" t="str">
        <f>AE775/V775</f>
        <v>#REF!</v>
      </c>
      <c r="AH775" t="str">
        <f>AF775/W775</f>
        <v>#REF!</v>
      </c>
    </row>
    <row r="776">
      <c r="G776" t="str">
        <v>A</v>
      </c>
      <c r="J776" t="str">
        <f>IF(K776&gt;0,K776*0.0625,IF(L776&gt;0,L776*2.204623,))</f>
        <v>#REF!</v>
      </c>
      <c r="K776" t="str">
        <f>IF(L776&gt;0,L776*35.273962,IF(J776&gt;0,J776*16,))</f>
        <v>#REF!</v>
      </c>
      <c r="L776" t="str">
        <f>IF(J776&gt;0,J776*0.453592,IF(K776&gt;0,K776*0.02835,))</f>
        <v>#REF!</v>
      </c>
      <c r="O776">
        <f>I776+N776+M776</f>
        <v>0</v>
      </c>
      <c r="P776">
        <f>O776*B$3</f>
        <v>0</v>
      </c>
      <c r="Q776">
        <f>ROUND(SUM(P776), -2)</f>
        <v>0</v>
      </c>
      <c r="R776" t="str">
        <f>ROUNDUP(HLOOKUP(IF(CEILING(L776,0.5)&lt;1,0.5,CEILING(L776,0.5)),'배송비 조회'!A$44:AO$56,7,0)*B$3,-2)</f>
        <v>#REF!</v>
      </c>
      <c r="S776">
        <v>0</v>
      </c>
      <c r="T776" t="str">
        <f>ROUND((Q776+R776)*0.3,-2)</f>
        <v>#REF!</v>
      </c>
      <c r="U776" t="str">
        <f>ROUND((Q776+R776)*0.4,-2)</f>
        <v>#REF!</v>
      </c>
      <c r="V776" t="str">
        <f>SUM(Q776:R776)+T776</f>
        <v>#REF!</v>
      </c>
      <c r="W776" t="str">
        <f>SUM(Q776:S776)+U776</f>
        <v>#REF!</v>
      </c>
      <c r="X776">
        <v>0</v>
      </c>
      <c r="Y776" t="str">
        <f>V776*0.038</f>
        <v>#REF!</v>
      </c>
      <c r="Z776" t="str">
        <f>V776*0.02</f>
        <v>#REF!</v>
      </c>
      <c r="AA776" t="str">
        <f>W776*0.1</f>
        <v>#REF!</v>
      </c>
      <c r="AB776" t="str">
        <f>V776-Y776-Z776</f>
        <v>#REF!</v>
      </c>
      <c r="AC776" t="str">
        <f>W776-AA776</f>
        <v>#REF!</v>
      </c>
      <c r="AD776" t="str">
        <f>AB776*0.01</f>
        <v>#REF!</v>
      </c>
      <c r="AE776" t="str">
        <f>AB776-Q776-AD776-R776</f>
        <v>#REF!</v>
      </c>
      <c r="AF776" t="str">
        <f>AC776-Q776-AD776-R776</f>
        <v>#REF!</v>
      </c>
      <c r="AG776" t="str">
        <f>AE776/V776</f>
        <v>#REF!</v>
      </c>
      <c r="AH776" t="str">
        <f>AF776/W776</f>
        <v>#REF!</v>
      </c>
    </row>
    <row r="777">
      <c r="G777" t="str">
        <v>A</v>
      </c>
      <c r="J777" t="str">
        <f>IF(K777&gt;0,K777*0.0625,IF(L777&gt;0,L777*2.204623,))</f>
        <v>#REF!</v>
      </c>
      <c r="K777" t="str">
        <f>IF(L777&gt;0,L777*35.273962,IF(J777&gt;0,J777*16,))</f>
        <v>#REF!</v>
      </c>
      <c r="L777" t="str">
        <f>IF(J777&gt;0,J777*0.453592,IF(K777&gt;0,K777*0.02835,))</f>
        <v>#REF!</v>
      </c>
      <c r="O777">
        <f>I777+N777+M777</f>
        <v>0</v>
      </c>
      <c r="P777">
        <f>O777*B$3</f>
        <v>0</v>
      </c>
      <c r="Q777">
        <f>ROUND(SUM(P777), -2)</f>
        <v>0</v>
      </c>
      <c r="R777" t="str">
        <f>ROUNDUP(HLOOKUP(IF(CEILING(L777,0.5)&lt;1,0.5,CEILING(L777,0.5)),'배송비 조회'!A$44:AO$56,7,0)*B$3,-2)</f>
        <v>#REF!</v>
      </c>
      <c r="S777">
        <v>0</v>
      </c>
      <c r="T777" t="str">
        <f>ROUND((Q777+R777)*0.3,-2)</f>
        <v>#REF!</v>
      </c>
      <c r="U777" t="str">
        <f>ROUND((Q777+R777)*0.4,-2)</f>
        <v>#REF!</v>
      </c>
      <c r="V777" t="str">
        <f>SUM(Q777:R777)+T777</f>
        <v>#REF!</v>
      </c>
      <c r="W777" t="str">
        <f>SUM(Q777:S777)+U777</f>
        <v>#REF!</v>
      </c>
      <c r="X777">
        <v>0</v>
      </c>
      <c r="Y777" t="str">
        <f>V777*0.038</f>
        <v>#REF!</v>
      </c>
      <c r="Z777" t="str">
        <f>V777*0.02</f>
        <v>#REF!</v>
      </c>
      <c r="AA777" t="str">
        <f>W777*0.1</f>
        <v>#REF!</v>
      </c>
      <c r="AB777" t="str">
        <f>V777-Y777-Z777</f>
        <v>#REF!</v>
      </c>
      <c r="AC777" t="str">
        <f>W777-AA777</f>
        <v>#REF!</v>
      </c>
      <c r="AD777" t="str">
        <f>AB777*0.01</f>
        <v>#REF!</v>
      </c>
      <c r="AE777" t="str">
        <f>AB777-Q777-AD777-R777</f>
        <v>#REF!</v>
      </c>
      <c r="AF777" t="str">
        <f>AC777-Q777-AD777-R777</f>
        <v>#REF!</v>
      </c>
      <c r="AG777" t="str">
        <f>AE777/V777</f>
        <v>#REF!</v>
      </c>
      <c r="AH777" t="str">
        <f>AF777/W777</f>
        <v>#REF!</v>
      </c>
    </row>
    <row r="778">
      <c r="G778" t="str">
        <v>A</v>
      </c>
      <c r="J778" t="str">
        <f>IF(K778&gt;0,K778*0.0625,IF(L778&gt;0,L778*2.204623,))</f>
        <v>#REF!</v>
      </c>
      <c r="K778" t="str">
        <f>IF(L778&gt;0,L778*35.273962,IF(J778&gt;0,J778*16,))</f>
        <v>#REF!</v>
      </c>
      <c r="L778" t="str">
        <f>IF(J778&gt;0,J778*0.453592,IF(K778&gt;0,K778*0.02835,))</f>
        <v>#REF!</v>
      </c>
      <c r="O778">
        <f>I778+N778+M778</f>
        <v>0</v>
      </c>
      <c r="P778">
        <f>O778*B$3</f>
        <v>0</v>
      </c>
      <c r="Q778">
        <f>ROUND(SUM(P778), -2)</f>
        <v>0</v>
      </c>
      <c r="R778" t="str">
        <f>ROUNDUP(HLOOKUP(IF(CEILING(L778,0.5)&lt;1,0.5,CEILING(L778,0.5)),'배송비 조회'!A$44:AO$56,7,0)*B$3,-2)</f>
        <v>#REF!</v>
      </c>
      <c r="S778">
        <v>0</v>
      </c>
      <c r="T778" t="str">
        <f>ROUND((Q778+R778)*0.3,-2)</f>
        <v>#REF!</v>
      </c>
      <c r="U778" t="str">
        <f>ROUND((Q778+R778)*0.4,-2)</f>
        <v>#REF!</v>
      </c>
      <c r="V778" t="str">
        <f>SUM(Q778:R778)+T778</f>
        <v>#REF!</v>
      </c>
      <c r="W778" t="str">
        <f>SUM(Q778:S778)+U778</f>
        <v>#REF!</v>
      </c>
      <c r="X778">
        <v>0</v>
      </c>
      <c r="Y778" t="str">
        <f>V778*0.038</f>
        <v>#REF!</v>
      </c>
      <c r="Z778" t="str">
        <f>V778*0.02</f>
        <v>#REF!</v>
      </c>
      <c r="AA778" t="str">
        <f>W778*0.1</f>
        <v>#REF!</v>
      </c>
      <c r="AB778" t="str">
        <f>V778-Y778-Z778</f>
        <v>#REF!</v>
      </c>
      <c r="AC778" t="str">
        <f>W778-AA778</f>
        <v>#REF!</v>
      </c>
      <c r="AD778" t="str">
        <f>AB778*0.01</f>
        <v>#REF!</v>
      </c>
      <c r="AE778" t="str">
        <f>AB778-Q778-AD778-R778</f>
        <v>#REF!</v>
      </c>
      <c r="AF778" t="str">
        <f>AC778-Q778-AD778-R778</f>
        <v>#REF!</v>
      </c>
      <c r="AG778" t="str">
        <f>AE778/V778</f>
        <v>#REF!</v>
      </c>
      <c r="AH778" t="str">
        <f>AF778/W778</f>
        <v>#REF!</v>
      </c>
    </row>
    <row r="779">
      <c r="G779" t="str">
        <v>A</v>
      </c>
      <c r="J779" t="str">
        <f>IF(K779&gt;0,K779*0.0625,IF(L779&gt;0,L779*2.204623,))</f>
        <v>#REF!</v>
      </c>
      <c r="K779" t="str">
        <f>IF(L779&gt;0,L779*35.273962,IF(J779&gt;0,J779*16,))</f>
        <v>#REF!</v>
      </c>
      <c r="L779" t="str">
        <f>IF(J779&gt;0,J779*0.453592,IF(K779&gt;0,K779*0.02835,))</f>
        <v>#REF!</v>
      </c>
      <c r="O779">
        <f>I779+N779+M779</f>
        <v>0</v>
      </c>
      <c r="P779">
        <f>O779*B$3</f>
        <v>0</v>
      </c>
      <c r="Q779">
        <f>ROUND(SUM(P779), -2)</f>
        <v>0</v>
      </c>
      <c r="R779" t="str">
        <f>ROUNDUP(HLOOKUP(IF(CEILING(L779,0.5)&lt;1,0.5,CEILING(L779,0.5)),'배송비 조회'!A$44:AO$56,7,0)*B$3,-2)</f>
        <v>#REF!</v>
      </c>
      <c r="S779">
        <v>0</v>
      </c>
      <c r="T779" t="str">
        <f>ROUND((Q779+R779)*0.3,-2)</f>
        <v>#REF!</v>
      </c>
      <c r="U779" t="str">
        <f>ROUND((Q779+R779)*0.4,-2)</f>
        <v>#REF!</v>
      </c>
      <c r="V779" t="str">
        <f>SUM(Q779:R779)+T779</f>
        <v>#REF!</v>
      </c>
      <c r="W779" t="str">
        <f>SUM(Q779:S779)+U779</f>
        <v>#REF!</v>
      </c>
      <c r="X779">
        <v>0</v>
      </c>
      <c r="Y779" t="str">
        <f>V779*0.038</f>
        <v>#REF!</v>
      </c>
      <c r="Z779" t="str">
        <f>V779*0.02</f>
        <v>#REF!</v>
      </c>
      <c r="AA779" t="str">
        <f>W779*0.1</f>
        <v>#REF!</v>
      </c>
      <c r="AB779" t="str">
        <f>V779-Y779-Z779</f>
        <v>#REF!</v>
      </c>
      <c r="AC779" t="str">
        <f>W779-AA779</f>
        <v>#REF!</v>
      </c>
      <c r="AD779" t="str">
        <f>AB779*0.01</f>
        <v>#REF!</v>
      </c>
      <c r="AE779" t="str">
        <f>AB779-Q779-AD779-R779</f>
        <v>#REF!</v>
      </c>
      <c r="AF779" t="str">
        <f>AC779-Q779-AD779-R779</f>
        <v>#REF!</v>
      </c>
      <c r="AG779" t="str">
        <f>AE779/V779</f>
        <v>#REF!</v>
      </c>
      <c r="AH779" t="str">
        <f>AF779/W779</f>
        <v>#REF!</v>
      </c>
    </row>
    <row r="780">
      <c r="G780" t="str">
        <v>A</v>
      </c>
      <c r="J780" t="str">
        <f>IF(K780&gt;0,K780*0.0625,IF(L780&gt;0,L780*2.204623,))</f>
        <v>#REF!</v>
      </c>
      <c r="K780" t="str">
        <f>IF(L780&gt;0,L780*35.273962,IF(J780&gt;0,J780*16,))</f>
        <v>#REF!</v>
      </c>
      <c r="L780" t="str">
        <f>IF(J780&gt;0,J780*0.453592,IF(K780&gt;0,K780*0.02835,))</f>
        <v>#REF!</v>
      </c>
      <c r="O780">
        <f>I780+N780+M780</f>
        <v>0</v>
      </c>
      <c r="P780">
        <f>O780*B$3</f>
        <v>0</v>
      </c>
      <c r="Q780">
        <f>ROUND(SUM(P780), -2)</f>
        <v>0</v>
      </c>
      <c r="R780" t="str">
        <f>ROUNDUP(HLOOKUP(IF(CEILING(L780,0.5)&lt;1,0.5,CEILING(L780,0.5)),'배송비 조회'!A$44:AO$56,7,0)*B$3,-2)</f>
        <v>#REF!</v>
      </c>
      <c r="S780">
        <v>0</v>
      </c>
      <c r="T780" t="str">
        <f>ROUND((Q780+R780)*0.3,-2)</f>
        <v>#REF!</v>
      </c>
      <c r="U780" t="str">
        <f>ROUND((Q780+R780)*0.4,-2)</f>
        <v>#REF!</v>
      </c>
      <c r="V780" t="str">
        <f>SUM(Q780:R780)+T780</f>
        <v>#REF!</v>
      </c>
      <c r="W780" t="str">
        <f>SUM(Q780:S780)+U780</f>
        <v>#REF!</v>
      </c>
      <c r="X780">
        <v>0</v>
      </c>
      <c r="Y780" t="str">
        <f>V780*0.038</f>
        <v>#REF!</v>
      </c>
      <c r="Z780" t="str">
        <f>V780*0.02</f>
        <v>#REF!</v>
      </c>
      <c r="AA780" t="str">
        <f>W780*0.1</f>
        <v>#REF!</v>
      </c>
      <c r="AB780" t="str">
        <f>V780-Y780-Z780</f>
        <v>#REF!</v>
      </c>
      <c r="AC780" t="str">
        <f>W780-AA780</f>
        <v>#REF!</v>
      </c>
      <c r="AD780" t="str">
        <f>AB780*0.01</f>
        <v>#REF!</v>
      </c>
      <c r="AE780" t="str">
        <f>AB780-Q780-AD780-R780</f>
        <v>#REF!</v>
      </c>
      <c r="AF780" t="str">
        <f>AC780-Q780-AD780-R780</f>
        <v>#REF!</v>
      </c>
      <c r="AG780" t="str">
        <f>AE780/V780</f>
        <v>#REF!</v>
      </c>
      <c r="AH780" t="str">
        <f>AF780/W780</f>
        <v>#REF!</v>
      </c>
    </row>
    <row r="781">
      <c r="G781" t="str">
        <v>A</v>
      </c>
      <c r="J781" t="str">
        <f>IF(K781&gt;0,K781*0.0625,IF(L781&gt;0,L781*2.204623,))</f>
        <v>#REF!</v>
      </c>
      <c r="K781" t="str">
        <f>IF(L781&gt;0,L781*35.273962,IF(J781&gt;0,J781*16,))</f>
        <v>#REF!</v>
      </c>
      <c r="L781" t="str">
        <f>IF(J781&gt;0,J781*0.453592,IF(K781&gt;0,K781*0.02835,))</f>
        <v>#REF!</v>
      </c>
      <c r="O781">
        <f>I781+N781+M781</f>
        <v>0</v>
      </c>
      <c r="P781">
        <f>O781*B$3</f>
        <v>0</v>
      </c>
      <c r="Q781">
        <f>ROUND(SUM(P781), -2)</f>
        <v>0</v>
      </c>
      <c r="R781" t="str">
        <f>ROUNDUP(HLOOKUP(IF(CEILING(L781,0.5)&lt;1,0.5,CEILING(L781,0.5)),'배송비 조회'!A$44:AO$56,7,0)*B$3,-2)</f>
        <v>#REF!</v>
      </c>
      <c r="S781">
        <v>0</v>
      </c>
      <c r="T781" t="str">
        <f>ROUND((Q781+R781)*0.3,-2)</f>
        <v>#REF!</v>
      </c>
      <c r="U781" t="str">
        <f>ROUND((Q781+R781)*0.4,-2)</f>
        <v>#REF!</v>
      </c>
      <c r="V781" t="str">
        <f>SUM(Q781:R781)+T781</f>
        <v>#REF!</v>
      </c>
      <c r="W781" t="str">
        <f>SUM(Q781:S781)+U781</f>
        <v>#REF!</v>
      </c>
      <c r="X781">
        <v>0</v>
      </c>
      <c r="Y781" t="str">
        <f>V781*0.038</f>
        <v>#REF!</v>
      </c>
      <c r="Z781" t="str">
        <f>V781*0.02</f>
        <v>#REF!</v>
      </c>
      <c r="AA781" t="str">
        <f>W781*0.1</f>
        <v>#REF!</v>
      </c>
      <c r="AB781" t="str">
        <f>V781-Y781-Z781</f>
        <v>#REF!</v>
      </c>
      <c r="AC781" t="str">
        <f>W781-AA781</f>
        <v>#REF!</v>
      </c>
      <c r="AD781" t="str">
        <f>AB781*0.01</f>
        <v>#REF!</v>
      </c>
      <c r="AE781" t="str">
        <f>AB781-Q781-AD781-R781</f>
        <v>#REF!</v>
      </c>
      <c r="AF781" t="str">
        <f>AC781-Q781-AD781-R781</f>
        <v>#REF!</v>
      </c>
      <c r="AG781" t="str">
        <f>AE781/V781</f>
        <v>#REF!</v>
      </c>
      <c r="AH781" t="str">
        <f>AF781/W781</f>
        <v>#REF!</v>
      </c>
    </row>
    <row r="782">
      <c r="G782" t="str">
        <v>A</v>
      </c>
      <c r="J782" t="str">
        <f>IF(K782&gt;0,K782*0.0625,IF(L782&gt;0,L782*2.204623,))</f>
        <v>#REF!</v>
      </c>
      <c r="K782" t="str">
        <f>IF(L782&gt;0,L782*35.273962,IF(J782&gt;0,J782*16,))</f>
        <v>#REF!</v>
      </c>
      <c r="L782" t="str">
        <f>IF(J782&gt;0,J782*0.453592,IF(K782&gt;0,K782*0.02835,))</f>
        <v>#REF!</v>
      </c>
      <c r="O782">
        <f>I782+N782+M782</f>
        <v>0</v>
      </c>
      <c r="P782">
        <f>O782*B$3</f>
        <v>0</v>
      </c>
      <c r="Q782">
        <f>ROUND(SUM(P782), -2)</f>
        <v>0</v>
      </c>
      <c r="R782" t="str">
        <f>ROUNDUP(HLOOKUP(IF(CEILING(L782,0.5)&lt;1,0.5,CEILING(L782,0.5)),'배송비 조회'!A$44:AO$56,7,0)*B$3,-2)</f>
        <v>#REF!</v>
      </c>
      <c r="S782">
        <v>0</v>
      </c>
      <c r="T782" t="str">
        <f>ROUND((Q782+R782)*0.3,-2)</f>
        <v>#REF!</v>
      </c>
      <c r="U782" t="str">
        <f>ROUND((Q782+R782)*0.4,-2)</f>
        <v>#REF!</v>
      </c>
      <c r="V782" t="str">
        <f>SUM(Q782:R782)+T782</f>
        <v>#REF!</v>
      </c>
      <c r="W782" t="str">
        <f>SUM(Q782:S782)+U782</f>
        <v>#REF!</v>
      </c>
      <c r="X782">
        <v>0</v>
      </c>
      <c r="Y782" t="str">
        <f>V782*0.038</f>
        <v>#REF!</v>
      </c>
      <c r="Z782" t="str">
        <f>V782*0.02</f>
        <v>#REF!</v>
      </c>
      <c r="AA782" t="str">
        <f>W782*0.1</f>
        <v>#REF!</v>
      </c>
      <c r="AB782" t="str">
        <f>V782-Y782-Z782</f>
        <v>#REF!</v>
      </c>
      <c r="AC782" t="str">
        <f>W782-AA782</f>
        <v>#REF!</v>
      </c>
      <c r="AD782" t="str">
        <f>AB782*0.01</f>
        <v>#REF!</v>
      </c>
      <c r="AE782" t="str">
        <f>AB782-Q782-AD782-R782</f>
        <v>#REF!</v>
      </c>
      <c r="AF782" t="str">
        <f>AC782-Q782-AD782-R782</f>
        <v>#REF!</v>
      </c>
      <c r="AG782" t="str">
        <f>AE782/V782</f>
        <v>#REF!</v>
      </c>
      <c r="AH782" t="str">
        <f>AF782/W782</f>
        <v>#REF!</v>
      </c>
    </row>
    <row r="783">
      <c r="G783" t="str">
        <v>A</v>
      </c>
      <c r="J783" t="str">
        <f>IF(K783&gt;0,K783*0.0625,IF(L783&gt;0,L783*2.204623,))</f>
        <v>#REF!</v>
      </c>
      <c r="K783" t="str">
        <f>IF(L783&gt;0,L783*35.273962,IF(J783&gt;0,J783*16,))</f>
        <v>#REF!</v>
      </c>
      <c r="L783" t="str">
        <f>IF(J783&gt;0,J783*0.453592,IF(K783&gt;0,K783*0.02835,))</f>
        <v>#REF!</v>
      </c>
      <c r="O783">
        <f>I783+N783+M783</f>
        <v>0</v>
      </c>
      <c r="P783">
        <f>O783*B$3</f>
        <v>0</v>
      </c>
      <c r="Q783">
        <f>ROUND(SUM(P783), -2)</f>
        <v>0</v>
      </c>
      <c r="R783" t="str">
        <f>ROUNDUP(HLOOKUP(IF(CEILING(L783,0.5)&lt;1,0.5,CEILING(L783,0.5)),'배송비 조회'!A$44:AO$56,7,0)*B$3,-2)</f>
        <v>#REF!</v>
      </c>
      <c r="S783">
        <v>0</v>
      </c>
      <c r="T783" t="str">
        <f>ROUND((Q783+R783)*0.3,-2)</f>
        <v>#REF!</v>
      </c>
      <c r="U783" t="str">
        <f>ROUND((Q783+R783)*0.4,-2)</f>
        <v>#REF!</v>
      </c>
      <c r="V783" t="str">
        <f>SUM(Q783:R783)+T783</f>
        <v>#REF!</v>
      </c>
      <c r="W783" t="str">
        <f>SUM(Q783:S783)+U783</f>
        <v>#REF!</v>
      </c>
      <c r="X783">
        <v>0</v>
      </c>
      <c r="Y783" t="str">
        <f>V783*0.038</f>
        <v>#REF!</v>
      </c>
      <c r="Z783" t="str">
        <f>V783*0.02</f>
        <v>#REF!</v>
      </c>
      <c r="AA783" t="str">
        <f>W783*0.1</f>
        <v>#REF!</v>
      </c>
      <c r="AB783" t="str">
        <f>V783-Y783-Z783</f>
        <v>#REF!</v>
      </c>
      <c r="AC783" t="str">
        <f>W783-AA783</f>
        <v>#REF!</v>
      </c>
      <c r="AD783" t="str">
        <f>AB783*0.01</f>
        <v>#REF!</v>
      </c>
      <c r="AE783" t="str">
        <f>AB783-Q783-AD783-R783</f>
        <v>#REF!</v>
      </c>
      <c r="AF783" t="str">
        <f>AC783-Q783-AD783-R783</f>
        <v>#REF!</v>
      </c>
      <c r="AG783" t="str">
        <f>AE783/V783</f>
        <v>#REF!</v>
      </c>
      <c r="AH783" t="str">
        <f>AF783/W783</f>
        <v>#REF!</v>
      </c>
    </row>
    <row r="784">
      <c r="G784" t="str">
        <v>A</v>
      </c>
      <c r="J784" t="str">
        <f>IF(K784&gt;0,K784*0.0625,IF(L784&gt;0,L784*2.204623,))</f>
        <v>#REF!</v>
      </c>
      <c r="K784" t="str">
        <f>IF(L784&gt;0,L784*35.273962,IF(J784&gt;0,J784*16,))</f>
        <v>#REF!</v>
      </c>
      <c r="L784" t="str">
        <f>IF(J784&gt;0,J784*0.453592,IF(K784&gt;0,K784*0.02835,))</f>
        <v>#REF!</v>
      </c>
      <c r="O784">
        <f>I784+N784+M784</f>
        <v>0</v>
      </c>
      <c r="P784">
        <f>O784*B$3</f>
        <v>0</v>
      </c>
      <c r="Q784">
        <f>ROUND(SUM(P784), -2)</f>
        <v>0</v>
      </c>
      <c r="R784" t="str">
        <f>ROUNDUP(HLOOKUP(IF(CEILING(L784,0.5)&lt;1,0.5,CEILING(L784,0.5)),'배송비 조회'!A$44:AO$56,7,0)*B$3,-2)</f>
        <v>#REF!</v>
      </c>
      <c r="S784">
        <v>0</v>
      </c>
      <c r="T784" t="str">
        <f>ROUND((Q784+R784)*0.3,-2)</f>
        <v>#REF!</v>
      </c>
      <c r="U784" t="str">
        <f>ROUND((Q784+R784)*0.4,-2)</f>
        <v>#REF!</v>
      </c>
      <c r="V784" t="str">
        <f>SUM(Q784:R784)+T784</f>
        <v>#REF!</v>
      </c>
      <c r="W784" t="str">
        <f>SUM(Q784:S784)+U784</f>
        <v>#REF!</v>
      </c>
      <c r="X784">
        <v>0</v>
      </c>
      <c r="Y784" t="str">
        <f>V784*0.038</f>
        <v>#REF!</v>
      </c>
      <c r="Z784" t="str">
        <f>V784*0.02</f>
        <v>#REF!</v>
      </c>
      <c r="AA784" t="str">
        <f>W784*0.1</f>
        <v>#REF!</v>
      </c>
      <c r="AB784" t="str">
        <f>V784-Y784-Z784</f>
        <v>#REF!</v>
      </c>
      <c r="AC784" t="str">
        <f>W784-AA784</f>
        <v>#REF!</v>
      </c>
      <c r="AD784" t="str">
        <f>AB784*0.01</f>
        <v>#REF!</v>
      </c>
      <c r="AE784" t="str">
        <f>AB784-Q784-AD784-R784</f>
        <v>#REF!</v>
      </c>
      <c r="AF784" t="str">
        <f>AC784-Q784-AD784-R784</f>
        <v>#REF!</v>
      </c>
      <c r="AG784" t="str">
        <f>AE784/V784</f>
        <v>#REF!</v>
      </c>
      <c r="AH784" t="str">
        <f>AF784/W784</f>
        <v>#REF!</v>
      </c>
    </row>
    <row r="785">
      <c r="G785" t="str">
        <v>A</v>
      </c>
      <c r="J785" t="str">
        <f>IF(K785&gt;0,K785*0.0625,IF(L785&gt;0,L785*2.204623,))</f>
        <v>#REF!</v>
      </c>
      <c r="K785" t="str">
        <f>IF(L785&gt;0,L785*35.273962,IF(J785&gt;0,J785*16,))</f>
        <v>#REF!</v>
      </c>
      <c r="L785" t="str">
        <f>IF(J785&gt;0,J785*0.453592,IF(K785&gt;0,K785*0.02835,))</f>
        <v>#REF!</v>
      </c>
      <c r="O785">
        <f>I785+N785+M785</f>
        <v>0</v>
      </c>
      <c r="P785">
        <f>O785*B$3</f>
        <v>0</v>
      </c>
      <c r="Q785">
        <f>ROUND(SUM(P785), -2)</f>
        <v>0</v>
      </c>
      <c r="R785" t="str">
        <f>ROUNDUP(HLOOKUP(IF(CEILING(L785,0.5)&lt;1,0.5,CEILING(L785,0.5)),'배송비 조회'!A$44:AO$56,7,0)*B$3,-2)</f>
        <v>#REF!</v>
      </c>
      <c r="S785">
        <v>0</v>
      </c>
      <c r="T785" t="str">
        <f>ROUND((Q785+R785)*0.3,-2)</f>
        <v>#REF!</v>
      </c>
      <c r="U785" t="str">
        <f>ROUND((Q785+R785)*0.4,-2)</f>
        <v>#REF!</v>
      </c>
      <c r="V785" t="str">
        <f>SUM(Q785:R785)+T785</f>
        <v>#REF!</v>
      </c>
      <c r="W785" t="str">
        <f>SUM(Q785:S785)+U785</f>
        <v>#REF!</v>
      </c>
      <c r="X785">
        <v>0</v>
      </c>
      <c r="Y785" t="str">
        <f>V785*0.038</f>
        <v>#REF!</v>
      </c>
      <c r="Z785" t="str">
        <f>V785*0.02</f>
        <v>#REF!</v>
      </c>
      <c r="AA785" t="str">
        <f>W785*0.1</f>
        <v>#REF!</v>
      </c>
      <c r="AB785" t="str">
        <f>V785-Y785-Z785</f>
        <v>#REF!</v>
      </c>
      <c r="AC785" t="str">
        <f>W785-AA785</f>
        <v>#REF!</v>
      </c>
      <c r="AD785" t="str">
        <f>AB785*0.01</f>
        <v>#REF!</v>
      </c>
      <c r="AE785" t="str">
        <f>AB785-Q785-AD785-R785</f>
        <v>#REF!</v>
      </c>
      <c r="AF785" t="str">
        <f>AC785-Q785-AD785-R785</f>
        <v>#REF!</v>
      </c>
      <c r="AG785" t="str">
        <f>AE785/V785</f>
        <v>#REF!</v>
      </c>
      <c r="AH785" t="str">
        <f>AF785/W785</f>
        <v>#REF!</v>
      </c>
    </row>
    <row r="786">
      <c r="G786" t="str">
        <v>A</v>
      </c>
      <c r="J786" t="str">
        <f>IF(K786&gt;0,K786*0.0625,IF(L786&gt;0,L786*2.204623,))</f>
        <v>#REF!</v>
      </c>
      <c r="K786" t="str">
        <f>IF(L786&gt;0,L786*35.273962,IF(J786&gt;0,J786*16,))</f>
        <v>#REF!</v>
      </c>
      <c r="L786" t="str">
        <f>IF(J786&gt;0,J786*0.453592,IF(K786&gt;0,K786*0.02835,))</f>
        <v>#REF!</v>
      </c>
      <c r="O786">
        <f>I786+N786+M786</f>
        <v>0</v>
      </c>
      <c r="P786">
        <f>O786*B$3</f>
        <v>0</v>
      </c>
      <c r="Q786">
        <f>ROUND(SUM(P786), -2)</f>
        <v>0</v>
      </c>
      <c r="R786" t="str">
        <f>ROUNDUP(HLOOKUP(IF(CEILING(L786,0.5)&lt;1,0.5,CEILING(L786,0.5)),'배송비 조회'!A$44:AO$56,7,0)*B$3,-2)</f>
        <v>#REF!</v>
      </c>
      <c r="S786">
        <v>0</v>
      </c>
      <c r="T786" t="str">
        <f>ROUND((Q786+R786)*0.3,-2)</f>
        <v>#REF!</v>
      </c>
      <c r="U786" t="str">
        <f>ROUND((Q786+R786)*0.4,-2)</f>
        <v>#REF!</v>
      </c>
      <c r="V786" t="str">
        <f>SUM(Q786:R786)+T786</f>
        <v>#REF!</v>
      </c>
      <c r="W786" t="str">
        <f>SUM(Q786:S786)+U786</f>
        <v>#REF!</v>
      </c>
      <c r="X786">
        <v>0</v>
      </c>
      <c r="Y786" t="str">
        <f>V786*0.038</f>
        <v>#REF!</v>
      </c>
      <c r="Z786" t="str">
        <f>V786*0.02</f>
        <v>#REF!</v>
      </c>
      <c r="AA786" t="str">
        <f>W786*0.1</f>
        <v>#REF!</v>
      </c>
      <c r="AB786" t="str">
        <f>V786-Y786-Z786</f>
        <v>#REF!</v>
      </c>
      <c r="AC786" t="str">
        <f>W786-AA786</f>
        <v>#REF!</v>
      </c>
      <c r="AD786" t="str">
        <f>AB786*0.01</f>
        <v>#REF!</v>
      </c>
      <c r="AE786" t="str">
        <f>AB786-Q786-AD786-R786</f>
        <v>#REF!</v>
      </c>
      <c r="AF786" t="str">
        <f>AC786-Q786-AD786-R786</f>
        <v>#REF!</v>
      </c>
      <c r="AG786" t="str">
        <f>AE786/V786</f>
        <v>#REF!</v>
      </c>
      <c r="AH786" t="str">
        <f>AF786/W786</f>
        <v>#REF!</v>
      </c>
    </row>
    <row r="787">
      <c r="G787" t="str">
        <v>A</v>
      </c>
      <c r="J787" t="str">
        <f>IF(K787&gt;0,K787*0.0625,IF(L787&gt;0,L787*2.204623,))</f>
        <v>#REF!</v>
      </c>
      <c r="K787" t="str">
        <f>IF(L787&gt;0,L787*35.273962,IF(J787&gt;0,J787*16,))</f>
        <v>#REF!</v>
      </c>
      <c r="L787" t="str">
        <f>IF(J787&gt;0,J787*0.453592,IF(K787&gt;0,K787*0.02835,))</f>
        <v>#REF!</v>
      </c>
      <c r="O787">
        <f>I787+N787+M787</f>
        <v>0</v>
      </c>
      <c r="P787">
        <f>O787*B$3</f>
        <v>0</v>
      </c>
      <c r="Q787">
        <f>ROUND(SUM(P787), -2)</f>
        <v>0</v>
      </c>
      <c r="R787" t="str">
        <f>ROUNDUP(HLOOKUP(IF(CEILING(L787,0.5)&lt;1,0.5,CEILING(L787,0.5)),'배송비 조회'!A$44:AO$56,7,0)*B$3,-2)</f>
        <v>#REF!</v>
      </c>
      <c r="S787">
        <v>0</v>
      </c>
      <c r="T787" t="str">
        <f>ROUND((Q787+R787)*0.3,-2)</f>
        <v>#REF!</v>
      </c>
      <c r="U787" t="str">
        <f>ROUND((Q787+R787)*0.4,-2)</f>
        <v>#REF!</v>
      </c>
      <c r="V787" t="str">
        <f>SUM(Q787:R787)+T787</f>
        <v>#REF!</v>
      </c>
      <c r="W787" t="str">
        <f>SUM(Q787:S787)+U787</f>
        <v>#REF!</v>
      </c>
      <c r="X787">
        <v>0</v>
      </c>
      <c r="Y787" t="str">
        <f>V787*0.038</f>
        <v>#REF!</v>
      </c>
      <c r="Z787" t="str">
        <f>V787*0.02</f>
        <v>#REF!</v>
      </c>
      <c r="AA787" t="str">
        <f>W787*0.1</f>
        <v>#REF!</v>
      </c>
      <c r="AB787" t="str">
        <f>V787-Y787-Z787</f>
        <v>#REF!</v>
      </c>
      <c r="AC787" t="str">
        <f>W787-AA787</f>
        <v>#REF!</v>
      </c>
      <c r="AD787" t="str">
        <f>AB787*0.01</f>
        <v>#REF!</v>
      </c>
      <c r="AE787" t="str">
        <f>AB787-Q787-AD787-R787</f>
        <v>#REF!</v>
      </c>
      <c r="AF787" t="str">
        <f>AC787-Q787-AD787-R787</f>
        <v>#REF!</v>
      </c>
      <c r="AG787" t="str">
        <f>AE787/V787</f>
        <v>#REF!</v>
      </c>
      <c r="AH787" t="str">
        <f>AF787/W787</f>
        <v>#REF!</v>
      </c>
    </row>
    <row r="788">
      <c r="G788" t="str">
        <v>A</v>
      </c>
      <c r="J788" t="str">
        <f>IF(K788&gt;0,K788*0.0625,IF(L788&gt;0,L788*2.204623,))</f>
        <v>#REF!</v>
      </c>
      <c r="K788" t="str">
        <f>IF(L788&gt;0,L788*35.273962,IF(J788&gt;0,J788*16,))</f>
        <v>#REF!</v>
      </c>
      <c r="L788" t="str">
        <f>IF(J788&gt;0,J788*0.453592,IF(K788&gt;0,K788*0.02835,))</f>
        <v>#REF!</v>
      </c>
      <c r="O788">
        <f>I788+N788+M788</f>
        <v>0</v>
      </c>
      <c r="P788">
        <f>O788*B$3</f>
        <v>0</v>
      </c>
      <c r="Q788">
        <f>ROUND(SUM(P788), -2)</f>
        <v>0</v>
      </c>
      <c r="R788" t="str">
        <f>ROUNDUP(HLOOKUP(IF(CEILING(L788,0.5)&lt;1,0.5,CEILING(L788,0.5)),'배송비 조회'!A$44:AO$56,7,0)*B$3,-2)</f>
        <v>#REF!</v>
      </c>
      <c r="S788">
        <v>0</v>
      </c>
      <c r="T788" t="str">
        <f>ROUND((Q788+R788)*0.3,-2)</f>
        <v>#REF!</v>
      </c>
      <c r="U788" t="str">
        <f>ROUND((Q788+R788)*0.4,-2)</f>
        <v>#REF!</v>
      </c>
      <c r="V788" t="str">
        <f>SUM(Q788:R788)+T788</f>
        <v>#REF!</v>
      </c>
      <c r="W788" t="str">
        <f>SUM(Q788:S788)+U788</f>
        <v>#REF!</v>
      </c>
      <c r="X788">
        <v>0</v>
      </c>
      <c r="Y788" t="str">
        <f>V788*0.038</f>
        <v>#REF!</v>
      </c>
      <c r="Z788" t="str">
        <f>V788*0.02</f>
        <v>#REF!</v>
      </c>
      <c r="AA788" t="str">
        <f>W788*0.1</f>
        <v>#REF!</v>
      </c>
      <c r="AB788" t="str">
        <f>V788-Y788-Z788</f>
        <v>#REF!</v>
      </c>
      <c r="AC788" t="str">
        <f>W788-AA788</f>
        <v>#REF!</v>
      </c>
      <c r="AD788" t="str">
        <f>AB788*0.01</f>
        <v>#REF!</v>
      </c>
      <c r="AE788" t="str">
        <f>AB788-Q788-AD788-R788</f>
        <v>#REF!</v>
      </c>
      <c r="AF788" t="str">
        <f>AC788-Q788-AD788-R788</f>
        <v>#REF!</v>
      </c>
      <c r="AG788" t="str">
        <f>AE788/V788</f>
        <v>#REF!</v>
      </c>
      <c r="AH788" t="str">
        <f>AF788/W788</f>
        <v>#REF!</v>
      </c>
    </row>
    <row r="789">
      <c r="G789" t="str">
        <v>A</v>
      </c>
      <c r="J789" t="str">
        <f>IF(K789&gt;0,K789*0.0625,IF(L789&gt;0,L789*2.204623,))</f>
        <v>#REF!</v>
      </c>
      <c r="K789" t="str">
        <f>IF(L789&gt;0,L789*35.273962,IF(J789&gt;0,J789*16,))</f>
        <v>#REF!</v>
      </c>
      <c r="L789" t="str">
        <f>IF(J789&gt;0,J789*0.453592,IF(K789&gt;0,K789*0.02835,))</f>
        <v>#REF!</v>
      </c>
      <c r="O789">
        <f>I789+N789+M789</f>
        <v>0</v>
      </c>
      <c r="P789">
        <f>O789*B$3</f>
        <v>0</v>
      </c>
      <c r="Q789">
        <f>ROUND(SUM(P789), -2)</f>
        <v>0</v>
      </c>
      <c r="R789" t="str">
        <f>ROUNDUP(HLOOKUP(IF(CEILING(L789,0.5)&lt;1,0.5,CEILING(L789,0.5)),'배송비 조회'!A$44:AO$56,7,0)*B$3,-2)</f>
        <v>#REF!</v>
      </c>
      <c r="S789">
        <v>0</v>
      </c>
      <c r="T789" t="str">
        <f>ROUND((Q789+R789)*0.3,-2)</f>
        <v>#REF!</v>
      </c>
      <c r="U789" t="str">
        <f>ROUND((Q789+R789)*0.4,-2)</f>
        <v>#REF!</v>
      </c>
      <c r="V789" t="str">
        <f>SUM(Q789:R789)+T789</f>
        <v>#REF!</v>
      </c>
      <c r="W789" t="str">
        <f>SUM(Q789:S789)+U789</f>
        <v>#REF!</v>
      </c>
      <c r="X789">
        <v>0</v>
      </c>
      <c r="Y789" t="str">
        <f>V789*0.038</f>
        <v>#REF!</v>
      </c>
      <c r="Z789" t="str">
        <f>V789*0.02</f>
        <v>#REF!</v>
      </c>
      <c r="AA789" t="str">
        <f>W789*0.1</f>
        <v>#REF!</v>
      </c>
      <c r="AB789" t="str">
        <f>V789-Y789-Z789</f>
        <v>#REF!</v>
      </c>
      <c r="AC789" t="str">
        <f>W789-AA789</f>
        <v>#REF!</v>
      </c>
      <c r="AD789" t="str">
        <f>AB789*0.01</f>
        <v>#REF!</v>
      </c>
      <c r="AE789" t="str">
        <f>AB789-Q789-AD789-R789</f>
        <v>#REF!</v>
      </c>
      <c r="AF789" t="str">
        <f>AC789-Q789-AD789-R789</f>
        <v>#REF!</v>
      </c>
      <c r="AG789" t="str">
        <f>AE789/V789</f>
        <v>#REF!</v>
      </c>
      <c r="AH789" t="str">
        <f>AF789/W789</f>
        <v>#REF!</v>
      </c>
    </row>
    <row r="790">
      <c r="G790" t="str">
        <v>A</v>
      </c>
      <c r="J790" t="str">
        <f>IF(K790&gt;0,K790*0.0625,IF(L790&gt;0,L790*2.204623,))</f>
        <v>#REF!</v>
      </c>
      <c r="K790" t="str">
        <f>IF(L790&gt;0,L790*35.273962,IF(J790&gt;0,J790*16,))</f>
        <v>#REF!</v>
      </c>
      <c r="L790" t="str">
        <f>IF(J790&gt;0,J790*0.453592,IF(K790&gt;0,K790*0.02835,))</f>
        <v>#REF!</v>
      </c>
      <c r="O790">
        <f>I790+N790+M790</f>
        <v>0</v>
      </c>
      <c r="P790">
        <f>O790*B$3</f>
        <v>0</v>
      </c>
      <c r="Q790">
        <f>ROUND(SUM(P790), -2)</f>
        <v>0</v>
      </c>
      <c r="R790" t="str">
        <f>ROUNDUP(HLOOKUP(IF(CEILING(L790,0.5)&lt;1,0.5,CEILING(L790,0.5)),'배송비 조회'!A$44:AO$56,7,0)*B$3,-2)</f>
        <v>#REF!</v>
      </c>
      <c r="S790">
        <v>0</v>
      </c>
      <c r="T790" t="str">
        <f>ROUND((Q790+R790)*0.3,-2)</f>
        <v>#REF!</v>
      </c>
      <c r="U790" t="str">
        <f>ROUND((Q790+R790)*0.4,-2)</f>
        <v>#REF!</v>
      </c>
      <c r="V790" t="str">
        <f>SUM(Q790:R790)+T790</f>
        <v>#REF!</v>
      </c>
      <c r="W790" t="str">
        <f>SUM(Q790:S790)+U790</f>
        <v>#REF!</v>
      </c>
      <c r="X790">
        <v>0</v>
      </c>
      <c r="Y790" t="str">
        <f>V790*0.038</f>
        <v>#REF!</v>
      </c>
      <c r="Z790" t="str">
        <f>V790*0.02</f>
        <v>#REF!</v>
      </c>
      <c r="AA790" t="str">
        <f>W790*0.1</f>
        <v>#REF!</v>
      </c>
      <c r="AB790" t="str">
        <f>V790-Y790-Z790</f>
        <v>#REF!</v>
      </c>
      <c r="AC790" t="str">
        <f>W790-AA790</f>
        <v>#REF!</v>
      </c>
      <c r="AD790" t="str">
        <f>AB790*0.01</f>
        <v>#REF!</v>
      </c>
      <c r="AE790" t="str">
        <f>AB790-Q790-AD790-R790</f>
        <v>#REF!</v>
      </c>
      <c r="AF790" t="str">
        <f>AC790-Q790-AD790-R790</f>
        <v>#REF!</v>
      </c>
      <c r="AG790" t="str">
        <f>AE790/V790</f>
        <v>#REF!</v>
      </c>
      <c r="AH790" t="str">
        <f>AF790/W790</f>
        <v>#REF!</v>
      </c>
    </row>
    <row r="791">
      <c r="G791" t="str">
        <v>A</v>
      </c>
      <c r="J791" t="str">
        <f>IF(K791&gt;0,K791*0.0625,IF(L791&gt;0,L791*2.204623,))</f>
        <v>#REF!</v>
      </c>
      <c r="K791" t="str">
        <f>IF(L791&gt;0,L791*35.273962,IF(J791&gt;0,J791*16,))</f>
        <v>#REF!</v>
      </c>
      <c r="L791" t="str">
        <f>IF(J791&gt;0,J791*0.453592,IF(K791&gt;0,K791*0.02835,))</f>
        <v>#REF!</v>
      </c>
      <c r="O791">
        <f>I791+N791+M791</f>
        <v>0</v>
      </c>
      <c r="P791">
        <f>O791*B$3</f>
        <v>0</v>
      </c>
      <c r="Q791">
        <f>ROUND(SUM(P791), -2)</f>
        <v>0</v>
      </c>
      <c r="R791" t="str">
        <f>ROUNDUP(HLOOKUP(IF(CEILING(L791,0.5)&lt;1,0.5,CEILING(L791,0.5)),'배송비 조회'!A$44:AO$56,7,0)*B$3,-2)</f>
        <v>#REF!</v>
      </c>
      <c r="S791">
        <v>0</v>
      </c>
      <c r="T791" t="str">
        <f>ROUND((Q791+R791)*0.3,-2)</f>
        <v>#REF!</v>
      </c>
      <c r="U791" t="str">
        <f>ROUND((Q791+R791)*0.4,-2)</f>
        <v>#REF!</v>
      </c>
      <c r="V791" t="str">
        <f>SUM(Q791:R791)+T791</f>
        <v>#REF!</v>
      </c>
      <c r="W791" t="str">
        <f>SUM(Q791:S791)+U791</f>
        <v>#REF!</v>
      </c>
      <c r="X791">
        <v>0</v>
      </c>
      <c r="Y791" t="str">
        <f>V791*0.038</f>
        <v>#REF!</v>
      </c>
      <c r="Z791" t="str">
        <f>V791*0.02</f>
        <v>#REF!</v>
      </c>
      <c r="AA791" t="str">
        <f>W791*0.1</f>
        <v>#REF!</v>
      </c>
      <c r="AB791" t="str">
        <f>V791-Y791-Z791</f>
        <v>#REF!</v>
      </c>
      <c r="AC791" t="str">
        <f>W791-AA791</f>
        <v>#REF!</v>
      </c>
      <c r="AD791" t="str">
        <f>AB791*0.01</f>
        <v>#REF!</v>
      </c>
      <c r="AE791" t="str">
        <f>AB791-Q791-AD791-R791</f>
        <v>#REF!</v>
      </c>
      <c r="AF791" t="str">
        <f>AC791-Q791-AD791-R791</f>
        <v>#REF!</v>
      </c>
      <c r="AG791" t="str">
        <f>AE791/V791</f>
        <v>#REF!</v>
      </c>
      <c r="AH791" t="str">
        <f>AF791/W791</f>
        <v>#REF!</v>
      </c>
    </row>
    <row r="792">
      <c r="G792" t="str">
        <v>A</v>
      </c>
      <c r="J792" t="str">
        <f>IF(K792&gt;0,K792*0.0625,IF(L792&gt;0,L792*2.204623,))</f>
        <v>#REF!</v>
      </c>
      <c r="K792" t="str">
        <f>IF(L792&gt;0,L792*35.273962,IF(J792&gt;0,J792*16,))</f>
        <v>#REF!</v>
      </c>
      <c r="L792" t="str">
        <f>IF(J792&gt;0,J792*0.453592,IF(K792&gt;0,K792*0.02835,))</f>
        <v>#REF!</v>
      </c>
      <c r="O792">
        <f>I792+N792+M792</f>
        <v>0</v>
      </c>
      <c r="P792">
        <f>O792*B$3</f>
        <v>0</v>
      </c>
      <c r="Q792">
        <f>ROUND(SUM(P792), -2)</f>
        <v>0</v>
      </c>
      <c r="R792" t="str">
        <f>ROUNDUP(HLOOKUP(IF(CEILING(L792,0.5)&lt;1,0.5,CEILING(L792,0.5)),'배송비 조회'!A$44:AO$56,7,0)*B$3,-2)</f>
        <v>#REF!</v>
      </c>
      <c r="S792">
        <v>0</v>
      </c>
      <c r="T792" t="str">
        <f>ROUND((Q792+R792)*0.3,-2)</f>
        <v>#REF!</v>
      </c>
      <c r="U792" t="str">
        <f>ROUND((Q792+R792)*0.4,-2)</f>
        <v>#REF!</v>
      </c>
      <c r="V792" t="str">
        <f>SUM(Q792:R792)+T792</f>
        <v>#REF!</v>
      </c>
      <c r="W792" t="str">
        <f>SUM(Q792:S792)+U792</f>
        <v>#REF!</v>
      </c>
      <c r="X792">
        <v>0</v>
      </c>
      <c r="Y792" t="str">
        <f>V792*0.038</f>
        <v>#REF!</v>
      </c>
      <c r="Z792" t="str">
        <f>V792*0.02</f>
        <v>#REF!</v>
      </c>
      <c r="AA792" t="str">
        <f>W792*0.1</f>
        <v>#REF!</v>
      </c>
      <c r="AB792" t="str">
        <f>V792-Y792-Z792</f>
        <v>#REF!</v>
      </c>
      <c r="AC792" t="str">
        <f>W792-AA792</f>
        <v>#REF!</v>
      </c>
      <c r="AD792" t="str">
        <f>AB792*0.01</f>
        <v>#REF!</v>
      </c>
      <c r="AE792" t="str">
        <f>AB792-Q792-AD792-R792</f>
        <v>#REF!</v>
      </c>
      <c r="AF792" t="str">
        <f>AC792-Q792-AD792-R792</f>
        <v>#REF!</v>
      </c>
      <c r="AG792" t="str">
        <f>AE792/V792</f>
        <v>#REF!</v>
      </c>
      <c r="AH792" t="str">
        <f>AF792/W792</f>
        <v>#REF!</v>
      </c>
    </row>
    <row r="793">
      <c r="G793" t="str">
        <v>A</v>
      </c>
      <c r="J793" t="str">
        <f>IF(K793&gt;0,K793*0.0625,IF(L793&gt;0,L793*2.204623,))</f>
        <v>#REF!</v>
      </c>
      <c r="K793" t="str">
        <f>IF(L793&gt;0,L793*35.273962,IF(J793&gt;0,J793*16,))</f>
        <v>#REF!</v>
      </c>
      <c r="L793" t="str">
        <f>IF(J793&gt;0,J793*0.453592,IF(K793&gt;0,K793*0.02835,))</f>
        <v>#REF!</v>
      </c>
      <c r="O793">
        <f>I793+N793+M793</f>
        <v>0</v>
      </c>
      <c r="P793">
        <f>O793*B$3</f>
        <v>0</v>
      </c>
      <c r="Q793">
        <f>ROUND(SUM(P793), -2)</f>
        <v>0</v>
      </c>
      <c r="R793" t="str">
        <f>ROUNDUP(HLOOKUP(IF(CEILING(L793,0.5)&lt;1,0.5,CEILING(L793,0.5)),'배송비 조회'!A$44:AO$56,7,0)*B$3,-2)</f>
        <v>#REF!</v>
      </c>
      <c r="S793">
        <v>0</v>
      </c>
      <c r="T793" t="str">
        <f>ROUND((Q793+R793)*0.3,-2)</f>
        <v>#REF!</v>
      </c>
      <c r="U793" t="str">
        <f>ROUND((Q793+R793)*0.4,-2)</f>
        <v>#REF!</v>
      </c>
      <c r="V793" t="str">
        <f>SUM(Q793:R793)+T793</f>
        <v>#REF!</v>
      </c>
      <c r="W793" t="str">
        <f>SUM(Q793:S793)+U793</f>
        <v>#REF!</v>
      </c>
      <c r="X793">
        <v>0</v>
      </c>
      <c r="Y793" t="str">
        <f>V793*0.038</f>
        <v>#REF!</v>
      </c>
      <c r="Z793" t="str">
        <f>V793*0.02</f>
        <v>#REF!</v>
      </c>
      <c r="AA793" t="str">
        <f>W793*0.1</f>
        <v>#REF!</v>
      </c>
      <c r="AB793" t="str">
        <f>V793-Y793-Z793</f>
        <v>#REF!</v>
      </c>
      <c r="AC793" t="str">
        <f>W793-AA793</f>
        <v>#REF!</v>
      </c>
      <c r="AD793" t="str">
        <f>AB793*0.01</f>
        <v>#REF!</v>
      </c>
      <c r="AE793" t="str">
        <f>AB793-Q793-AD793-R793</f>
        <v>#REF!</v>
      </c>
      <c r="AF793" t="str">
        <f>AC793-Q793-AD793-R793</f>
        <v>#REF!</v>
      </c>
      <c r="AG793" t="str">
        <f>AE793/V793</f>
        <v>#REF!</v>
      </c>
      <c r="AH793" t="str">
        <f>AF793/W793</f>
        <v>#REF!</v>
      </c>
    </row>
    <row r="794">
      <c r="G794" t="str">
        <v>A</v>
      </c>
      <c r="J794" t="str">
        <f>IF(K794&gt;0,K794*0.0625,IF(L794&gt;0,L794*2.204623,))</f>
        <v>#REF!</v>
      </c>
      <c r="K794" t="str">
        <f>IF(L794&gt;0,L794*35.273962,IF(J794&gt;0,J794*16,))</f>
        <v>#REF!</v>
      </c>
      <c r="L794" t="str">
        <f>IF(J794&gt;0,J794*0.453592,IF(K794&gt;0,K794*0.02835,))</f>
        <v>#REF!</v>
      </c>
      <c r="O794">
        <f>I794+N794+M794</f>
        <v>0</v>
      </c>
      <c r="P794">
        <f>O794*B$3</f>
        <v>0</v>
      </c>
      <c r="Q794">
        <f>ROUND(SUM(P794), -2)</f>
        <v>0</v>
      </c>
      <c r="R794" t="str">
        <f>ROUNDUP(HLOOKUP(IF(CEILING(L794,0.5)&lt;1,0.5,CEILING(L794,0.5)),'배송비 조회'!A$44:AO$56,7,0)*B$3,-2)</f>
        <v>#REF!</v>
      </c>
      <c r="S794">
        <v>0</v>
      </c>
      <c r="T794" t="str">
        <f>ROUND((Q794+R794)*0.3,-2)</f>
        <v>#REF!</v>
      </c>
      <c r="U794" t="str">
        <f>ROUND((Q794+R794)*0.4,-2)</f>
        <v>#REF!</v>
      </c>
      <c r="V794" t="str">
        <f>SUM(Q794:R794)+T794</f>
        <v>#REF!</v>
      </c>
      <c r="W794" t="str">
        <f>SUM(Q794:S794)+U794</f>
        <v>#REF!</v>
      </c>
      <c r="X794">
        <v>0</v>
      </c>
      <c r="Y794" t="str">
        <f>V794*0.038</f>
        <v>#REF!</v>
      </c>
      <c r="Z794" t="str">
        <f>V794*0.02</f>
        <v>#REF!</v>
      </c>
      <c r="AA794" t="str">
        <f>W794*0.1</f>
        <v>#REF!</v>
      </c>
      <c r="AB794" t="str">
        <f>V794-Y794-Z794</f>
        <v>#REF!</v>
      </c>
      <c r="AC794" t="str">
        <f>W794-AA794</f>
        <v>#REF!</v>
      </c>
      <c r="AD794" t="str">
        <f>AB794*0.01</f>
        <v>#REF!</v>
      </c>
      <c r="AE794" t="str">
        <f>AB794-Q794-AD794-R794</f>
        <v>#REF!</v>
      </c>
      <c r="AF794" t="str">
        <f>AC794-Q794-AD794-R794</f>
        <v>#REF!</v>
      </c>
      <c r="AG794" t="str">
        <f>AE794/V794</f>
        <v>#REF!</v>
      </c>
      <c r="AH794" t="str">
        <f>AF794/W794</f>
        <v>#REF!</v>
      </c>
    </row>
    <row r="795">
      <c r="G795" t="str">
        <v>A</v>
      </c>
      <c r="J795" t="str">
        <f>IF(K795&gt;0,K795*0.0625,IF(L795&gt;0,L795*2.204623,))</f>
        <v>#REF!</v>
      </c>
      <c r="K795" t="str">
        <f>IF(L795&gt;0,L795*35.273962,IF(J795&gt;0,J795*16,))</f>
        <v>#REF!</v>
      </c>
      <c r="L795" t="str">
        <f>IF(J795&gt;0,J795*0.453592,IF(K795&gt;0,K795*0.02835,))</f>
        <v>#REF!</v>
      </c>
      <c r="O795">
        <f>I795+N795+M795</f>
        <v>0</v>
      </c>
      <c r="P795">
        <f>O795*B$3</f>
        <v>0</v>
      </c>
      <c r="Q795">
        <f>ROUND(SUM(P795), -2)</f>
        <v>0</v>
      </c>
      <c r="R795" t="str">
        <f>ROUNDUP(HLOOKUP(IF(CEILING(L795,0.5)&lt;1,0.5,CEILING(L795,0.5)),'배송비 조회'!A$44:AO$56,7,0)*B$3,-2)</f>
        <v>#REF!</v>
      </c>
      <c r="S795">
        <v>0</v>
      </c>
      <c r="T795" t="str">
        <f>ROUND((Q795+R795)*0.3,-2)</f>
        <v>#REF!</v>
      </c>
      <c r="U795" t="str">
        <f>ROUND((Q795+R795)*0.4,-2)</f>
        <v>#REF!</v>
      </c>
      <c r="V795" t="str">
        <f>SUM(Q795:R795)+T795</f>
        <v>#REF!</v>
      </c>
      <c r="W795" t="str">
        <f>SUM(Q795:S795)+U795</f>
        <v>#REF!</v>
      </c>
      <c r="X795">
        <v>0</v>
      </c>
      <c r="Y795" t="str">
        <f>V795*0.038</f>
        <v>#REF!</v>
      </c>
      <c r="Z795" t="str">
        <f>V795*0.02</f>
        <v>#REF!</v>
      </c>
      <c r="AA795" t="str">
        <f>W795*0.1</f>
        <v>#REF!</v>
      </c>
      <c r="AB795" t="str">
        <f>V795-Y795-Z795</f>
        <v>#REF!</v>
      </c>
      <c r="AC795" t="str">
        <f>W795-AA795</f>
        <v>#REF!</v>
      </c>
      <c r="AD795" t="str">
        <f>AB795*0.01</f>
        <v>#REF!</v>
      </c>
      <c r="AE795" t="str">
        <f>AB795-Q795-AD795-R795</f>
        <v>#REF!</v>
      </c>
      <c r="AF795" t="str">
        <f>AC795-Q795-AD795-R795</f>
        <v>#REF!</v>
      </c>
      <c r="AG795" t="str">
        <f>AE795/V795</f>
        <v>#REF!</v>
      </c>
      <c r="AH795" t="str">
        <f>AF795/W795</f>
        <v>#REF!</v>
      </c>
    </row>
    <row r="796">
      <c r="G796" t="str">
        <v>A</v>
      </c>
      <c r="J796" t="str">
        <f>IF(K796&gt;0,K796*0.0625,IF(L796&gt;0,L796*2.204623,))</f>
        <v>#REF!</v>
      </c>
      <c r="K796" t="str">
        <f>IF(L796&gt;0,L796*35.273962,IF(J796&gt;0,J796*16,))</f>
        <v>#REF!</v>
      </c>
      <c r="L796" t="str">
        <f>IF(J796&gt;0,J796*0.453592,IF(K796&gt;0,K796*0.02835,))</f>
        <v>#REF!</v>
      </c>
      <c r="O796">
        <f>I796+N796+M796</f>
        <v>0</v>
      </c>
      <c r="P796">
        <f>O796*B$3</f>
        <v>0</v>
      </c>
      <c r="Q796">
        <f>ROUND(SUM(P796), -2)</f>
        <v>0</v>
      </c>
      <c r="R796" t="str">
        <f>ROUNDUP(HLOOKUP(IF(CEILING(L796,0.5)&lt;1,0.5,CEILING(L796,0.5)),'배송비 조회'!A$44:AO$56,7,0)*B$3,-2)</f>
        <v>#REF!</v>
      </c>
      <c r="S796">
        <v>0</v>
      </c>
      <c r="T796" t="str">
        <f>ROUND((Q796+R796)*0.3,-2)</f>
        <v>#REF!</v>
      </c>
      <c r="U796" t="str">
        <f>ROUND((Q796+R796)*0.4,-2)</f>
        <v>#REF!</v>
      </c>
      <c r="V796" t="str">
        <f>SUM(Q796:R796)+T796</f>
        <v>#REF!</v>
      </c>
      <c r="W796" t="str">
        <f>SUM(Q796:S796)+U796</f>
        <v>#REF!</v>
      </c>
      <c r="X796">
        <v>0</v>
      </c>
      <c r="Y796" t="str">
        <f>V796*0.038</f>
        <v>#REF!</v>
      </c>
      <c r="Z796" t="str">
        <f>V796*0.02</f>
        <v>#REF!</v>
      </c>
      <c r="AA796" t="str">
        <f>W796*0.1</f>
        <v>#REF!</v>
      </c>
      <c r="AB796" t="str">
        <f>V796-Y796-Z796</f>
        <v>#REF!</v>
      </c>
      <c r="AC796" t="str">
        <f>W796-AA796</f>
        <v>#REF!</v>
      </c>
      <c r="AD796" t="str">
        <f>AB796*0.01</f>
        <v>#REF!</v>
      </c>
      <c r="AE796" t="str">
        <f>AB796-Q796-AD796-R796</f>
        <v>#REF!</v>
      </c>
      <c r="AF796" t="str">
        <f>AC796-Q796-AD796-R796</f>
        <v>#REF!</v>
      </c>
      <c r="AG796" t="str">
        <f>AE796/V796</f>
        <v>#REF!</v>
      </c>
      <c r="AH796" t="str">
        <f>AF796/W796</f>
        <v>#REF!</v>
      </c>
    </row>
    <row r="797">
      <c r="G797" t="str">
        <v>A</v>
      </c>
      <c r="J797" t="str">
        <f>IF(K797&gt;0,K797*0.0625,IF(L797&gt;0,L797*2.204623,))</f>
        <v>#REF!</v>
      </c>
      <c r="K797" t="str">
        <f>IF(L797&gt;0,L797*35.273962,IF(J797&gt;0,J797*16,))</f>
        <v>#REF!</v>
      </c>
      <c r="L797" t="str">
        <f>IF(J797&gt;0,J797*0.453592,IF(K797&gt;0,K797*0.02835,))</f>
        <v>#REF!</v>
      </c>
      <c r="O797">
        <f>I797+N797+M797</f>
        <v>0</v>
      </c>
      <c r="P797">
        <f>O797*B$3</f>
        <v>0</v>
      </c>
      <c r="Q797">
        <f>ROUND(SUM(P797), -2)</f>
        <v>0</v>
      </c>
      <c r="R797" t="str">
        <f>ROUNDUP(HLOOKUP(IF(CEILING(L797,0.5)&lt;1,0.5,CEILING(L797,0.5)),'배송비 조회'!A$44:AO$56,7,0)*B$3,-2)</f>
        <v>#REF!</v>
      </c>
      <c r="S797">
        <v>0</v>
      </c>
      <c r="T797" t="str">
        <f>ROUND((Q797+R797)*0.3,-2)</f>
        <v>#REF!</v>
      </c>
      <c r="U797" t="str">
        <f>ROUND((Q797+R797)*0.4,-2)</f>
        <v>#REF!</v>
      </c>
      <c r="V797" t="str">
        <f>SUM(Q797:R797)+T797</f>
        <v>#REF!</v>
      </c>
      <c r="W797" t="str">
        <f>SUM(Q797:S797)+U797</f>
        <v>#REF!</v>
      </c>
      <c r="X797">
        <v>0</v>
      </c>
      <c r="Y797" t="str">
        <f>V797*0.038</f>
        <v>#REF!</v>
      </c>
      <c r="Z797" t="str">
        <f>V797*0.02</f>
        <v>#REF!</v>
      </c>
      <c r="AA797" t="str">
        <f>W797*0.1</f>
        <v>#REF!</v>
      </c>
      <c r="AB797" t="str">
        <f>V797-Y797-Z797</f>
        <v>#REF!</v>
      </c>
      <c r="AC797" t="str">
        <f>W797-AA797</f>
        <v>#REF!</v>
      </c>
      <c r="AD797" t="str">
        <f>AB797*0.01</f>
        <v>#REF!</v>
      </c>
      <c r="AE797" t="str">
        <f>AB797-Q797-AD797-R797</f>
        <v>#REF!</v>
      </c>
      <c r="AF797" t="str">
        <f>AC797-Q797-AD797-R797</f>
        <v>#REF!</v>
      </c>
      <c r="AG797" t="str">
        <f>AE797/V797</f>
        <v>#REF!</v>
      </c>
      <c r="AH797" t="str">
        <f>AF797/W797</f>
        <v>#REF!</v>
      </c>
    </row>
    <row r="798">
      <c r="G798" t="str">
        <v>A</v>
      </c>
      <c r="J798" t="str">
        <f>IF(K798&gt;0,K798*0.0625,IF(L798&gt;0,L798*2.204623,))</f>
        <v>#REF!</v>
      </c>
      <c r="K798" t="str">
        <f>IF(L798&gt;0,L798*35.273962,IF(J798&gt;0,J798*16,))</f>
        <v>#REF!</v>
      </c>
      <c r="L798" t="str">
        <f>IF(J798&gt;0,J798*0.453592,IF(K798&gt;0,K798*0.02835,))</f>
        <v>#REF!</v>
      </c>
      <c r="O798">
        <f>I798+N798+M798</f>
        <v>0</v>
      </c>
      <c r="P798">
        <f>O798*B$3</f>
        <v>0</v>
      </c>
      <c r="Q798">
        <f>ROUND(SUM(P798), -2)</f>
        <v>0</v>
      </c>
      <c r="R798" t="str">
        <f>ROUNDUP(HLOOKUP(IF(CEILING(L798,0.5)&lt;1,0.5,CEILING(L798,0.5)),'배송비 조회'!A$44:AO$56,7,0)*B$3,-2)</f>
        <v>#REF!</v>
      </c>
      <c r="S798">
        <v>0</v>
      </c>
      <c r="T798" t="str">
        <f>ROUND((Q798+R798)*0.3,-2)</f>
        <v>#REF!</v>
      </c>
      <c r="U798" t="str">
        <f>ROUND((Q798+R798)*0.4,-2)</f>
        <v>#REF!</v>
      </c>
      <c r="V798" t="str">
        <f>SUM(Q798:R798)+T798</f>
        <v>#REF!</v>
      </c>
      <c r="W798" t="str">
        <f>SUM(Q798:S798)+U798</f>
        <v>#REF!</v>
      </c>
      <c r="X798">
        <v>0</v>
      </c>
      <c r="Y798" t="str">
        <f>V798*0.038</f>
        <v>#REF!</v>
      </c>
      <c r="Z798" t="str">
        <f>V798*0.02</f>
        <v>#REF!</v>
      </c>
      <c r="AA798" t="str">
        <f>W798*0.1</f>
        <v>#REF!</v>
      </c>
      <c r="AB798" t="str">
        <f>V798-Y798-Z798</f>
        <v>#REF!</v>
      </c>
      <c r="AC798" t="str">
        <f>W798-AA798</f>
        <v>#REF!</v>
      </c>
      <c r="AD798" t="str">
        <f>AB798*0.01</f>
        <v>#REF!</v>
      </c>
      <c r="AE798" t="str">
        <f>AB798-Q798-AD798-R798</f>
        <v>#REF!</v>
      </c>
      <c r="AF798" t="str">
        <f>AC798-Q798-AD798-R798</f>
        <v>#REF!</v>
      </c>
      <c r="AG798" t="str">
        <f>AE798/V798</f>
        <v>#REF!</v>
      </c>
      <c r="AH798" t="str">
        <f>AF798/W798</f>
        <v>#REF!</v>
      </c>
    </row>
    <row r="799">
      <c r="G799" t="str">
        <v>A</v>
      </c>
      <c r="J799" t="str">
        <f>IF(K799&gt;0,K799*0.0625,IF(L799&gt;0,L799*2.204623,))</f>
        <v>#REF!</v>
      </c>
      <c r="K799" t="str">
        <f>IF(L799&gt;0,L799*35.273962,IF(J799&gt;0,J799*16,))</f>
        <v>#REF!</v>
      </c>
      <c r="L799" t="str">
        <f>IF(J799&gt;0,J799*0.453592,IF(K799&gt;0,K799*0.02835,))</f>
        <v>#REF!</v>
      </c>
      <c r="O799">
        <f>I799+N799+M799</f>
        <v>0</v>
      </c>
      <c r="P799">
        <f>O799*B$3</f>
        <v>0</v>
      </c>
      <c r="Q799">
        <f>ROUND(SUM(P799), -2)</f>
        <v>0</v>
      </c>
      <c r="R799" t="str">
        <f>ROUNDUP(HLOOKUP(IF(CEILING(L799,0.5)&lt;1,0.5,CEILING(L799,0.5)),'배송비 조회'!A$44:AO$56,7,0)*B$3,-2)</f>
        <v>#REF!</v>
      </c>
      <c r="S799">
        <v>0</v>
      </c>
      <c r="T799" t="str">
        <f>ROUND((Q799+R799)*0.3,-2)</f>
        <v>#REF!</v>
      </c>
      <c r="U799" t="str">
        <f>ROUND((Q799+R799)*0.4,-2)</f>
        <v>#REF!</v>
      </c>
      <c r="V799" t="str">
        <f>SUM(Q799:R799)+T799</f>
        <v>#REF!</v>
      </c>
      <c r="W799" t="str">
        <f>SUM(Q799:S799)+U799</f>
        <v>#REF!</v>
      </c>
      <c r="X799">
        <v>0</v>
      </c>
      <c r="Y799" t="str">
        <f>V799*0.038</f>
        <v>#REF!</v>
      </c>
      <c r="Z799" t="str">
        <f>V799*0.02</f>
        <v>#REF!</v>
      </c>
      <c r="AA799" t="str">
        <f>W799*0.1</f>
        <v>#REF!</v>
      </c>
      <c r="AB799" t="str">
        <f>V799-Y799-Z799</f>
        <v>#REF!</v>
      </c>
      <c r="AC799" t="str">
        <f>W799-AA799</f>
        <v>#REF!</v>
      </c>
      <c r="AD799" t="str">
        <f>AB799*0.01</f>
        <v>#REF!</v>
      </c>
      <c r="AE799" t="str">
        <f>AB799-Q799-AD799-R799</f>
        <v>#REF!</v>
      </c>
      <c r="AF799" t="str">
        <f>AC799-Q799-AD799-R799</f>
        <v>#REF!</v>
      </c>
      <c r="AG799" t="str">
        <f>AE799/V799</f>
        <v>#REF!</v>
      </c>
      <c r="AH799" t="str">
        <f>AF799/W799</f>
        <v>#REF!</v>
      </c>
    </row>
    <row r="800">
      <c r="G800" t="str">
        <v>A</v>
      </c>
      <c r="J800" t="str">
        <f>IF(K800&gt;0,K800*0.0625,IF(L800&gt;0,L800*2.204623,))</f>
        <v>#REF!</v>
      </c>
      <c r="K800" t="str">
        <f>IF(L800&gt;0,L800*35.273962,IF(J800&gt;0,J800*16,))</f>
        <v>#REF!</v>
      </c>
      <c r="L800" t="str">
        <f>IF(J800&gt;0,J800*0.453592,IF(K800&gt;0,K800*0.02835,))</f>
        <v>#REF!</v>
      </c>
      <c r="O800">
        <f>I800+N800+M800</f>
        <v>0</v>
      </c>
      <c r="P800">
        <f>O800*B$3</f>
        <v>0</v>
      </c>
      <c r="Q800">
        <f>ROUND(SUM(P800), -2)</f>
        <v>0</v>
      </c>
      <c r="R800" t="str">
        <f>ROUNDUP(HLOOKUP(IF(CEILING(L800,0.5)&lt;1,0.5,CEILING(L800,0.5)),'배송비 조회'!A$44:AO$56,7,0)*B$3,-2)</f>
        <v>#REF!</v>
      </c>
      <c r="S800">
        <v>0</v>
      </c>
      <c r="T800" t="str">
        <f>ROUND((Q800+R800)*0.3,-2)</f>
        <v>#REF!</v>
      </c>
      <c r="U800" t="str">
        <f>ROUND((Q800+R800)*0.4,-2)</f>
        <v>#REF!</v>
      </c>
      <c r="V800" t="str">
        <f>SUM(Q800:R800)+T800</f>
        <v>#REF!</v>
      </c>
      <c r="W800" t="str">
        <f>SUM(Q800:S800)+U800</f>
        <v>#REF!</v>
      </c>
      <c r="X800">
        <v>0</v>
      </c>
      <c r="Y800" t="str">
        <f>V800*0.038</f>
        <v>#REF!</v>
      </c>
      <c r="Z800" t="str">
        <f>V800*0.02</f>
        <v>#REF!</v>
      </c>
      <c r="AA800" t="str">
        <f>W800*0.1</f>
        <v>#REF!</v>
      </c>
      <c r="AB800" t="str">
        <f>V800-Y800-Z800</f>
        <v>#REF!</v>
      </c>
      <c r="AC800" t="str">
        <f>W800-AA800</f>
        <v>#REF!</v>
      </c>
      <c r="AD800" t="str">
        <f>AB800*0.01</f>
        <v>#REF!</v>
      </c>
      <c r="AE800" t="str">
        <f>AB800-Q800-AD800-R800</f>
        <v>#REF!</v>
      </c>
      <c r="AF800" t="str">
        <f>AC800-Q800-AD800-R800</f>
        <v>#REF!</v>
      </c>
      <c r="AG800" t="str">
        <f>AE800/V800</f>
        <v>#REF!</v>
      </c>
      <c r="AH800" t="str">
        <f>AF800/W800</f>
        <v>#REF!</v>
      </c>
    </row>
    <row r="801">
      <c r="G801" t="str">
        <v>A</v>
      </c>
      <c r="J801" t="str">
        <f>IF(K801&gt;0,K801*0.0625,IF(L801&gt;0,L801*2.204623,))</f>
        <v>#REF!</v>
      </c>
      <c r="K801" t="str">
        <f>IF(L801&gt;0,L801*35.273962,IF(J801&gt;0,J801*16,))</f>
        <v>#REF!</v>
      </c>
      <c r="L801" t="str">
        <f>IF(J801&gt;0,J801*0.453592,IF(K801&gt;0,K801*0.02835,))</f>
        <v>#REF!</v>
      </c>
      <c r="O801">
        <f>I801+N801+M801</f>
        <v>0</v>
      </c>
      <c r="P801">
        <f>O801*B$3</f>
        <v>0</v>
      </c>
      <c r="Q801">
        <f>ROUND(SUM(P801), -2)</f>
        <v>0</v>
      </c>
      <c r="R801" t="str">
        <f>ROUNDUP(HLOOKUP(IF(CEILING(L801,0.5)&lt;1,0.5,CEILING(L801,0.5)),'배송비 조회'!A$44:AO$56,7,0)*B$3,-2)</f>
        <v>#REF!</v>
      </c>
      <c r="S801">
        <v>0</v>
      </c>
      <c r="T801" t="str">
        <f>ROUND((Q801+R801)*0.3,-2)</f>
        <v>#REF!</v>
      </c>
      <c r="U801" t="str">
        <f>ROUND((Q801+R801)*0.4,-2)</f>
        <v>#REF!</v>
      </c>
      <c r="V801" t="str">
        <f>SUM(Q801:R801)+T801</f>
        <v>#REF!</v>
      </c>
      <c r="W801" t="str">
        <f>SUM(Q801:S801)+U801</f>
        <v>#REF!</v>
      </c>
      <c r="X801">
        <v>0</v>
      </c>
      <c r="Y801" t="str">
        <f>V801*0.038</f>
        <v>#REF!</v>
      </c>
      <c r="Z801" t="str">
        <f>V801*0.02</f>
        <v>#REF!</v>
      </c>
      <c r="AA801" t="str">
        <f>W801*0.1</f>
        <v>#REF!</v>
      </c>
      <c r="AB801" t="str">
        <f>V801-Y801-Z801</f>
        <v>#REF!</v>
      </c>
      <c r="AC801" t="str">
        <f>W801-AA801</f>
        <v>#REF!</v>
      </c>
      <c r="AD801" t="str">
        <f>AB801*0.01</f>
        <v>#REF!</v>
      </c>
      <c r="AE801" t="str">
        <f>AB801-Q801-AD801-R801</f>
        <v>#REF!</v>
      </c>
      <c r="AF801" t="str">
        <f>AC801-Q801-AD801-R801</f>
        <v>#REF!</v>
      </c>
      <c r="AG801" t="str">
        <f>AE801/V801</f>
        <v>#REF!</v>
      </c>
      <c r="AH801" t="str">
        <f>AF801/W801</f>
        <v>#REF!</v>
      </c>
    </row>
    <row r="802">
      <c r="G802" t="str">
        <v>A</v>
      </c>
      <c r="J802" t="str">
        <f>IF(K802&gt;0,K802*0.0625,IF(L802&gt;0,L802*2.204623,))</f>
        <v>#REF!</v>
      </c>
      <c r="K802" t="str">
        <f>IF(L802&gt;0,L802*35.273962,IF(J802&gt;0,J802*16,))</f>
        <v>#REF!</v>
      </c>
      <c r="L802" t="str">
        <f>IF(J802&gt;0,J802*0.453592,IF(K802&gt;0,K802*0.02835,))</f>
        <v>#REF!</v>
      </c>
      <c r="O802">
        <f>I802+N802+M802</f>
        <v>0</v>
      </c>
      <c r="P802">
        <f>O802*B$3</f>
        <v>0</v>
      </c>
      <c r="Q802">
        <f>ROUND(SUM(P802), -2)</f>
        <v>0</v>
      </c>
      <c r="R802" t="str">
        <f>ROUNDUP(HLOOKUP(IF(CEILING(L802,0.5)&lt;1,0.5,CEILING(L802,0.5)),'배송비 조회'!A$44:AO$56,7,0)*B$3,-2)</f>
        <v>#REF!</v>
      </c>
      <c r="S802">
        <v>0</v>
      </c>
      <c r="T802" t="str">
        <f>ROUND((Q802+R802)*0.3,-2)</f>
        <v>#REF!</v>
      </c>
      <c r="U802" t="str">
        <f>ROUND((Q802+R802)*0.4,-2)</f>
        <v>#REF!</v>
      </c>
      <c r="V802" t="str">
        <f>SUM(Q802:R802)+T802</f>
        <v>#REF!</v>
      </c>
      <c r="W802" t="str">
        <f>SUM(Q802:S802)+U802</f>
        <v>#REF!</v>
      </c>
      <c r="X802">
        <v>0</v>
      </c>
      <c r="Y802" t="str">
        <f>V802*0.038</f>
        <v>#REF!</v>
      </c>
      <c r="Z802" t="str">
        <f>V802*0.02</f>
        <v>#REF!</v>
      </c>
      <c r="AA802" t="str">
        <f>W802*0.1</f>
        <v>#REF!</v>
      </c>
      <c r="AB802" t="str">
        <f>V802-Y802-Z802</f>
        <v>#REF!</v>
      </c>
      <c r="AC802" t="str">
        <f>W802-AA802</f>
        <v>#REF!</v>
      </c>
      <c r="AD802" t="str">
        <f>AB802*0.01</f>
        <v>#REF!</v>
      </c>
      <c r="AE802" t="str">
        <f>AB802-Q802-AD802-R802</f>
        <v>#REF!</v>
      </c>
      <c r="AF802" t="str">
        <f>AC802-Q802-AD802-R802</f>
        <v>#REF!</v>
      </c>
      <c r="AG802" t="str">
        <f>AE802/V802</f>
        <v>#REF!</v>
      </c>
      <c r="AH802" t="str">
        <f>AF802/W802</f>
        <v>#REF!</v>
      </c>
    </row>
    <row r="803">
      <c r="G803" t="str">
        <v>A</v>
      </c>
      <c r="J803" t="str">
        <f>IF(K803&gt;0,K803*0.0625,IF(L803&gt;0,L803*2.204623,))</f>
        <v>#REF!</v>
      </c>
      <c r="K803" t="str">
        <f>IF(L803&gt;0,L803*35.273962,IF(J803&gt;0,J803*16,))</f>
        <v>#REF!</v>
      </c>
      <c r="L803" t="str">
        <f>IF(J803&gt;0,J803*0.453592,IF(K803&gt;0,K803*0.02835,))</f>
        <v>#REF!</v>
      </c>
      <c r="O803">
        <f>I803+N803+M803</f>
        <v>0</v>
      </c>
      <c r="P803">
        <f>O803*B$3</f>
        <v>0</v>
      </c>
      <c r="Q803">
        <f>ROUND(SUM(P803), -2)</f>
        <v>0</v>
      </c>
      <c r="R803" t="str">
        <f>ROUNDUP(HLOOKUP(IF(CEILING(L803,0.5)&lt;1,0.5,CEILING(L803,0.5)),'배송비 조회'!A$44:AO$56,7,0)*B$3,-2)</f>
        <v>#REF!</v>
      </c>
      <c r="S803">
        <v>0</v>
      </c>
      <c r="T803" t="str">
        <f>ROUND((Q803+R803)*0.3,-2)</f>
        <v>#REF!</v>
      </c>
      <c r="U803" t="str">
        <f>ROUND((Q803+R803)*0.4,-2)</f>
        <v>#REF!</v>
      </c>
      <c r="V803" t="str">
        <f>SUM(Q803:R803)+T803</f>
        <v>#REF!</v>
      </c>
      <c r="W803" t="str">
        <f>SUM(Q803:S803)+U803</f>
        <v>#REF!</v>
      </c>
      <c r="X803">
        <v>0</v>
      </c>
      <c r="Y803" t="str">
        <f>V803*0.038</f>
        <v>#REF!</v>
      </c>
      <c r="Z803" t="str">
        <f>V803*0.02</f>
        <v>#REF!</v>
      </c>
      <c r="AA803" t="str">
        <f>W803*0.1</f>
        <v>#REF!</v>
      </c>
      <c r="AB803" t="str">
        <f>V803-Y803-Z803</f>
        <v>#REF!</v>
      </c>
      <c r="AC803" t="str">
        <f>W803-AA803</f>
        <v>#REF!</v>
      </c>
      <c r="AD803" t="str">
        <f>AB803*0.01</f>
        <v>#REF!</v>
      </c>
      <c r="AE803" t="str">
        <f>AB803-Q803-AD803-R803</f>
        <v>#REF!</v>
      </c>
      <c r="AF803" t="str">
        <f>AC803-Q803-AD803-R803</f>
        <v>#REF!</v>
      </c>
      <c r="AG803" t="str">
        <f>AE803/V803</f>
        <v>#REF!</v>
      </c>
      <c r="AH803" t="str">
        <f>AF803/W803</f>
        <v>#REF!</v>
      </c>
    </row>
    <row r="804">
      <c r="G804" t="str">
        <v>A</v>
      </c>
      <c r="J804" t="str">
        <f>IF(K804&gt;0,K804*0.0625,IF(L804&gt;0,L804*2.204623,))</f>
        <v>#REF!</v>
      </c>
      <c r="K804" t="str">
        <f>IF(L804&gt;0,L804*35.273962,IF(J804&gt;0,J804*16,))</f>
        <v>#REF!</v>
      </c>
      <c r="L804" t="str">
        <f>IF(J804&gt;0,J804*0.453592,IF(K804&gt;0,K804*0.02835,))</f>
        <v>#REF!</v>
      </c>
      <c r="O804">
        <f>I804+N804+M804</f>
        <v>0</v>
      </c>
      <c r="P804">
        <f>O804*B$3</f>
        <v>0</v>
      </c>
      <c r="Q804">
        <f>ROUND(SUM(P804), -2)</f>
        <v>0</v>
      </c>
      <c r="R804" t="str">
        <f>ROUNDUP(HLOOKUP(IF(CEILING(L804,0.5)&lt;1,0.5,CEILING(L804,0.5)),'배송비 조회'!A$44:AO$56,7,0)*B$3,-2)</f>
        <v>#REF!</v>
      </c>
      <c r="S804">
        <v>0</v>
      </c>
      <c r="T804" t="str">
        <f>ROUND((Q804+R804)*0.3,-2)</f>
        <v>#REF!</v>
      </c>
      <c r="U804" t="str">
        <f>ROUND((Q804+R804)*0.4,-2)</f>
        <v>#REF!</v>
      </c>
      <c r="V804" t="str">
        <f>SUM(Q804:R804)+T804</f>
        <v>#REF!</v>
      </c>
      <c r="W804" t="str">
        <f>SUM(Q804:S804)+U804</f>
        <v>#REF!</v>
      </c>
      <c r="X804">
        <v>0</v>
      </c>
      <c r="Y804" t="str">
        <f>V804*0.038</f>
        <v>#REF!</v>
      </c>
      <c r="Z804" t="str">
        <f>V804*0.02</f>
        <v>#REF!</v>
      </c>
      <c r="AA804" t="str">
        <f>W804*0.1</f>
        <v>#REF!</v>
      </c>
      <c r="AB804" t="str">
        <f>V804-Y804-Z804</f>
        <v>#REF!</v>
      </c>
      <c r="AC804" t="str">
        <f>W804-AA804</f>
        <v>#REF!</v>
      </c>
      <c r="AD804" t="str">
        <f>AB804*0.01</f>
        <v>#REF!</v>
      </c>
      <c r="AE804" t="str">
        <f>AB804-Q804-AD804-R804</f>
        <v>#REF!</v>
      </c>
      <c r="AF804" t="str">
        <f>AC804-Q804-AD804-R804</f>
        <v>#REF!</v>
      </c>
      <c r="AG804" t="str">
        <f>AE804/V804</f>
        <v>#REF!</v>
      </c>
      <c r="AH804" t="str">
        <f>AF804/W804</f>
        <v>#REF!</v>
      </c>
    </row>
    <row r="805">
      <c r="G805" t="str">
        <v>A</v>
      </c>
      <c r="J805" t="str">
        <f>IF(K805&gt;0,K805*0.0625,IF(L805&gt;0,L805*2.204623,))</f>
        <v>#REF!</v>
      </c>
      <c r="K805" t="str">
        <f>IF(L805&gt;0,L805*35.273962,IF(J805&gt;0,J805*16,))</f>
        <v>#REF!</v>
      </c>
      <c r="L805" t="str">
        <f>IF(J805&gt;0,J805*0.453592,IF(K805&gt;0,K805*0.02835,))</f>
        <v>#REF!</v>
      </c>
      <c r="O805">
        <f>I805+N805+M805</f>
        <v>0</v>
      </c>
      <c r="P805">
        <f>O805*B$3</f>
        <v>0</v>
      </c>
      <c r="Q805">
        <f>ROUND(SUM(P805), -2)</f>
        <v>0</v>
      </c>
      <c r="R805" t="str">
        <f>ROUNDUP(HLOOKUP(IF(CEILING(L805,0.5)&lt;1,0.5,CEILING(L805,0.5)),'배송비 조회'!A$44:AO$56,7,0)*B$3,-2)</f>
        <v>#REF!</v>
      </c>
      <c r="S805">
        <v>0</v>
      </c>
      <c r="T805" t="str">
        <f>ROUND((Q805+R805)*0.3,-2)</f>
        <v>#REF!</v>
      </c>
      <c r="U805" t="str">
        <f>ROUND((Q805+R805)*0.4,-2)</f>
        <v>#REF!</v>
      </c>
      <c r="V805" t="str">
        <f>SUM(Q805:R805)+T805</f>
        <v>#REF!</v>
      </c>
      <c r="W805" t="str">
        <f>SUM(Q805:S805)+U805</f>
        <v>#REF!</v>
      </c>
      <c r="X805">
        <v>0</v>
      </c>
      <c r="Y805" t="str">
        <f>V805*0.038</f>
        <v>#REF!</v>
      </c>
      <c r="Z805" t="str">
        <f>V805*0.02</f>
        <v>#REF!</v>
      </c>
      <c r="AA805" t="str">
        <f>W805*0.1</f>
        <v>#REF!</v>
      </c>
      <c r="AB805" t="str">
        <f>V805-Y805-Z805</f>
        <v>#REF!</v>
      </c>
      <c r="AC805" t="str">
        <f>W805-AA805</f>
        <v>#REF!</v>
      </c>
      <c r="AD805" t="str">
        <f>AB805*0.01</f>
        <v>#REF!</v>
      </c>
      <c r="AE805" t="str">
        <f>AB805-Q805-AD805-R805</f>
        <v>#REF!</v>
      </c>
      <c r="AF805" t="str">
        <f>AC805-Q805-AD805-R805</f>
        <v>#REF!</v>
      </c>
      <c r="AG805" t="str">
        <f>AE805/V805</f>
        <v>#REF!</v>
      </c>
      <c r="AH805" t="str">
        <f>AF805/W805</f>
        <v>#REF!</v>
      </c>
    </row>
    <row r="806">
      <c r="G806" t="str">
        <v>A</v>
      </c>
      <c r="J806" t="str">
        <f>IF(K806&gt;0,K806*0.0625,IF(L806&gt;0,L806*2.204623,))</f>
        <v>#REF!</v>
      </c>
      <c r="K806" t="str">
        <f>IF(L806&gt;0,L806*35.273962,IF(J806&gt;0,J806*16,))</f>
        <v>#REF!</v>
      </c>
      <c r="L806" t="str">
        <f>IF(J806&gt;0,J806*0.453592,IF(K806&gt;0,K806*0.02835,))</f>
        <v>#REF!</v>
      </c>
      <c r="O806">
        <f>I806+N806+M806</f>
        <v>0</v>
      </c>
      <c r="P806">
        <f>O806*B$3</f>
        <v>0</v>
      </c>
      <c r="Q806">
        <f>ROUND(SUM(P806), -2)</f>
        <v>0</v>
      </c>
      <c r="R806" t="str">
        <f>ROUNDUP(HLOOKUP(IF(CEILING(L806,0.5)&lt;1,0.5,CEILING(L806,0.5)),'배송비 조회'!A$44:AO$56,7,0)*B$3,-2)</f>
        <v>#REF!</v>
      </c>
      <c r="S806">
        <v>0</v>
      </c>
      <c r="T806" t="str">
        <f>ROUND((Q806+R806)*0.3,-2)</f>
        <v>#REF!</v>
      </c>
      <c r="U806" t="str">
        <f>ROUND((Q806+R806)*0.4,-2)</f>
        <v>#REF!</v>
      </c>
      <c r="V806" t="str">
        <f>SUM(Q806:R806)+T806</f>
        <v>#REF!</v>
      </c>
      <c r="W806" t="str">
        <f>SUM(Q806:S806)+U806</f>
        <v>#REF!</v>
      </c>
      <c r="X806">
        <v>0</v>
      </c>
      <c r="Y806" t="str">
        <f>V806*0.038</f>
        <v>#REF!</v>
      </c>
      <c r="Z806" t="str">
        <f>V806*0.02</f>
        <v>#REF!</v>
      </c>
      <c r="AA806" t="str">
        <f>W806*0.1</f>
        <v>#REF!</v>
      </c>
      <c r="AB806" t="str">
        <f>V806-Y806-Z806</f>
        <v>#REF!</v>
      </c>
      <c r="AC806" t="str">
        <f>W806-AA806</f>
        <v>#REF!</v>
      </c>
      <c r="AD806" t="str">
        <f>AB806*0.01</f>
        <v>#REF!</v>
      </c>
      <c r="AE806" t="str">
        <f>AB806-Q806-AD806-R806</f>
        <v>#REF!</v>
      </c>
      <c r="AF806" t="str">
        <f>AC806-Q806-AD806-R806</f>
        <v>#REF!</v>
      </c>
      <c r="AG806" t="str">
        <f>AE806/V806</f>
        <v>#REF!</v>
      </c>
      <c r="AH806" t="str">
        <f>AF806/W806</f>
        <v>#REF!</v>
      </c>
    </row>
    <row r="807">
      <c r="G807" t="str">
        <v>A</v>
      </c>
      <c r="J807" t="str">
        <f>IF(K807&gt;0,K807*0.0625,IF(L807&gt;0,L807*2.204623,))</f>
        <v>#REF!</v>
      </c>
      <c r="K807" t="str">
        <f>IF(L807&gt;0,L807*35.273962,IF(J807&gt;0,J807*16,))</f>
        <v>#REF!</v>
      </c>
      <c r="L807" t="str">
        <f>IF(J807&gt;0,J807*0.453592,IF(K807&gt;0,K807*0.02835,))</f>
        <v>#REF!</v>
      </c>
      <c r="O807">
        <f>I807+N807+M807</f>
        <v>0</v>
      </c>
      <c r="P807">
        <f>O807*B$3</f>
        <v>0</v>
      </c>
      <c r="Q807">
        <f>ROUND(SUM(P807), -2)</f>
        <v>0</v>
      </c>
      <c r="R807" t="str">
        <f>ROUNDUP(HLOOKUP(IF(CEILING(L807,0.5)&lt;1,0.5,CEILING(L807,0.5)),'배송비 조회'!A$44:AO$56,7,0)*B$3,-2)</f>
        <v>#REF!</v>
      </c>
      <c r="S807">
        <v>0</v>
      </c>
      <c r="T807" t="str">
        <f>ROUND((Q807+R807)*0.3,-2)</f>
        <v>#REF!</v>
      </c>
      <c r="U807" t="str">
        <f>ROUND((Q807+R807)*0.4,-2)</f>
        <v>#REF!</v>
      </c>
      <c r="V807" t="str">
        <f>SUM(Q807:R807)+T807</f>
        <v>#REF!</v>
      </c>
      <c r="W807" t="str">
        <f>SUM(Q807:S807)+U807</f>
        <v>#REF!</v>
      </c>
      <c r="X807">
        <v>0</v>
      </c>
      <c r="Y807" t="str">
        <f>V807*0.038</f>
        <v>#REF!</v>
      </c>
      <c r="Z807" t="str">
        <f>V807*0.02</f>
        <v>#REF!</v>
      </c>
      <c r="AA807" t="str">
        <f>W807*0.1</f>
        <v>#REF!</v>
      </c>
      <c r="AB807" t="str">
        <f>V807-Y807-Z807</f>
        <v>#REF!</v>
      </c>
      <c r="AC807" t="str">
        <f>W807-AA807</f>
        <v>#REF!</v>
      </c>
      <c r="AD807" t="str">
        <f>AB807*0.01</f>
        <v>#REF!</v>
      </c>
      <c r="AE807" t="str">
        <f>AB807-Q807-AD807-R807</f>
        <v>#REF!</v>
      </c>
      <c r="AF807" t="str">
        <f>AC807-Q807-AD807-R807</f>
        <v>#REF!</v>
      </c>
      <c r="AG807" t="str">
        <f>AE807/V807</f>
        <v>#REF!</v>
      </c>
      <c r="AH807" t="str">
        <f>AF807/W807</f>
        <v>#REF!</v>
      </c>
    </row>
    <row r="808">
      <c r="G808" t="str">
        <v>A</v>
      </c>
      <c r="J808" t="str">
        <f>IF(K808&gt;0,K808*0.0625,IF(L808&gt;0,L808*2.204623,))</f>
        <v>#REF!</v>
      </c>
      <c r="K808" t="str">
        <f>IF(L808&gt;0,L808*35.273962,IF(J808&gt;0,J808*16,))</f>
        <v>#REF!</v>
      </c>
      <c r="L808" t="str">
        <f>IF(J808&gt;0,J808*0.453592,IF(K808&gt;0,K808*0.02835,))</f>
        <v>#REF!</v>
      </c>
      <c r="O808">
        <f>I808+N808+M808</f>
        <v>0</v>
      </c>
      <c r="P808">
        <f>O808*B$3</f>
        <v>0</v>
      </c>
      <c r="Q808">
        <f>ROUND(SUM(P808), -2)</f>
        <v>0</v>
      </c>
      <c r="R808" t="str">
        <f>ROUNDUP(HLOOKUP(IF(CEILING(L808,0.5)&lt;1,0.5,CEILING(L808,0.5)),'배송비 조회'!A$44:AO$56,7,0)*B$3,-2)</f>
        <v>#REF!</v>
      </c>
      <c r="S808">
        <v>0</v>
      </c>
      <c r="T808" t="str">
        <f>ROUND((Q808+R808)*0.3,-2)</f>
        <v>#REF!</v>
      </c>
      <c r="U808" t="str">
        <f>ROUND((Q808+R808)*0.4,-2)</f>
        <v>#REF!</v>
      </c>
      <c r="V808" t="str">
        <f>SUM(Q808:R808)+T808</f>
        <v>#REF!</v>
      </c>
      <c r="W808" t="str">
        <f>SUM(Q808:S808)+U808</f>
        <v>#REF!</v>
      </c>
      <c r="X808">
        <v>0</v>
      </c>
      <c r="Y808" t="str">
        <f>V808*0.038</f>
        <v>#REF!</v>
      </c>
      <c r="Z808" t="str">
        <f>V808*0.02</f>
        <v>#REF!</v>
      </c>
      <c r="AA808" t="str">
        <f>W808*0.1</f>
        <v>#REF!</v>
      </c>
      <c r="AB808" t="str">
        <f>V808-Y808-Z808</f>
        <v>#REF!</v>
      </c>
      <c r="AC808" t="str">
        <f>W808-AA808</f>
        <v>#REF!</v>
      </c>
      <c r="AD808" t="str">
        <f>AB808*0.01</f>
        <v>#REF!</v>
      </c>
      <c r="AE808" t="str">
        <f>AB808-Q808-AD808-R808</f>
        <v>#REF!</v>
      </c>
      <c r="AF808" t="str">
        <f>AC808-Q808-AD808-R808</f>
        <v>#REF!</v>
      </c>
      <c r="AG808" t="str">
        <f>AE808/V808</f>
        <v>#REF!</v>
      </c>
      <c r="AH808" t="str">
        <f>AF808/W808</f>
        <v>#REF!</v>
      </c>
    </row>
    <row r="809">
      <c r="G809" t="str">
        <v>A</v>
      </c>
      <c r="J809" t="str">
        <f>IF(K809&gt;0,K809*0.0625,IF(L809&gt;0,L809*2.204623,))</f>
        <v>#REF!</v>
      </c>
      <c r="K809" t="str">
        <f>IF(L809&gt;0,L809*35.273962,IF(J809&gt;0,J809*16,))</f>
        <v>#REF!</v>
      </c>
      <c r="L809" t="str">
        <f>IF(J809&gt;0,J809*0.453592,IF(K809&gt;0,K809*0.02835,))</f>
        <v>#REF!</v>
      </c>
      <c r="O809">
        <f>I809+N809+M809</f>
        <v>0</v>
      </c>
      <c r="P809">
        <f>O809*B$3</f>
        <v>0</v>
      </c>
      <c r="Q809">
        <f>ROUND(SUM(P809), -2)</f>
        <v>0</v>
      </c>
      <c r="R809" t="str">
        <f>ROUNDUP(HLOOKUP(IF(CEILING(L809,0.5)&lt;1,0.5,CEILING(L809,0.5)),'배송비 조회'!A$44:AO$56,7,0)*B$3,-2)</f>
        <v>#REF!</v>
      </c>
      <c r="S809">
        <v>0</v>
      </c>
      <c r="T809" t="str">
        <f>ROUND((Q809+R809)*0.3,-2)</f>
        <v>#REF!</v>
      </c>
      <c r="U809" t="str">
        <f>ROUND((Q809+R809)*0.4,-2)</f>
        <v>#REF!</v>
      </c>
      <c r="V809" t="str">
        <f>SUM(Q809:R809)+T809</f>
        <v>#REF!</v>
      </c>
      <c r="W809" t="str">
        <f>SUM(Q809:S809)+U809</f>
        <v>#REF!</v>
      </c>
      <c r="X809">
        <v>0</v>
      </c>
      <c r="Y809" t="str">
        <f>V809*0.038</f>
        <v>#REF!</v>
      </c>
      <c r="Z809" t="str">
        <f>V809*0.02</f>
        <v>#REF!</v>
      </c>
      <c r="AA809" t="str">
        <f>W809*0.1</f>
        <v>#REF!</v>
      </c>
      <c r="AB809" t="str">
        <f>V809-Y809-Z809</f>
        <v>#REF!</v>
      </c>
      <c r="AC809" t="str">
        <f>W809-AA809</f>
        <v>#REF!</v>
      </c>
      <c r="AD809" t="str">
        <f>AB809*0.01</f>
        <v>#REF!</v>
      </c>
      <c r="AE809" t="str">
        <f>AB809-Q809-AD809-R809</f>
        <v>#REF!</v>
      </c>
      <c r="AF809" t="str">
        <f>AC809-Q809-AD809-R809</f>
        <v>#REF!</v>
      </c>
      <c r="AG809" t="str">
        <f>AE809/V809</f>
        <v>#REF!</v>
      </c>
      <c r="AH809" t="str">
        <f>AF809/W809</f>
        <v>#REF!</v>
      </c>
    </row>
    <row r="810">
      <c r="G810" t="str">
        <v>A</v>
      </c>
      <c r="J810" t="str">
        <f>IF(K810&gt;0,K810*0.0625,IF(L810&gt;0,L810*2.204623,))</f>
        <v>#REF!</v>
      </c>
      <c r="K810" t="str">
        <f>IF(L810&gt;0,L810*35.273962,IF(J810&gt;0,J810*16,))</f>
        <v>#REF!</v>
      </c>
      <c r="L810" t="str">
        <f>IF(J810&gt;0,J810*0.453592,IF(K810&gt;0,K810*0.02835,))</f>
        <v>#REF!</v>
      </c>
      <c r="O810">
        <f>I810+N810+M810</f>
        <v>0</v>
      </c>
      <c r="P810">
        <f>O810*B$3</f>
        <v>0</v>
      </c>
      <c r="Q810">
        <f>ROUND(SUM(P810), -2)</f>
        <v>0</v>
      </c>
      <c r="R810" t="str">
        <f>ROUNDUP(HLOOKUP(IF(CEILING(L810,0.5)&lt;1,0.5,CEILING(L810,0.5)),'배송비 조회'!A$44:AO$56,7,0)*B$3,-2)</f>
        <v>#REF!</v>
      </c>
      <c r="S810">
        <v>0</v>
      </c>
      <c r="T810" t="str">
        <f>ROUND((Q810+R810)*0.3,-2)</f>
        <v>#REF!</v>
      </c>
      <c r="U810" t="str">
        <f>ROUND((Q810+R810)*0.4,-2)</f>
        <v>#REF!</v>
      </c>
      <c r="V810" t="str">
        <f>SUM(Q810:R810)+T810</f>
        <v>#REF!</v>
      </c>
      <c r="W810" t="str">
        <f>SUM(Q810:S810)+U810</f>
        <v>#REF!</v>
      </c>
      <c r="X810">
        <v>0</v>
      </c>
      <c r="Y810" t="str">
        <f>V810*0.038</f>
        <v>#REF!</v>
      </c>
      <c r="Z810" t="str">
        <f>V810*0.02</f>
        <v>#REF!</v>
      </c>
      <c r="AA810" t="str">
        <f>W810*0.1</f>
        <v>#REF!</v>
      </c>
      <c r="AB810" t="str">
        <f>V810-Y810-Z810</f>
        <v>#REF!</v>
      </c>
      <c r="AC810" t="str">
        <f>W810-AA810</f>
        <v>#REF!</v>
      </c>
      <c r="AD810" t="str">
        <f>AB810*0.01</f>
        <v>#REF!</v>
      </c>
      <c r="AE810" t="str">
        <f>AB810-Q810-AD810-R810</f>
        <v>#REF!</v>
      </c>
      <c r="AF810" t="str">
        <f>AC810-Q810-AD810-R810</f>
        <v>#REF!</v>
      </c>
      <c r="AG810" t="str">
        <f>AE810/V810</f>
        <v>#REF!</v>
      </c>
      <c r="AH810" t="str">
        <f>AF810/W810</f>
        <v>#REF!</v>
      </c>
    </row>
    <row r="811">
      <c r="G811" t="str">
        <v>A</v>
      </c>
      <c r="J811" t="str">
        <f>IF(K811&gt;0,K811*0.0625,IF(L811&gt;0,L811*2.204623,))</f>
        <v>#REF!</v>
      </c>
      <c r="K811" t="str">
        <f>IF(L811&gt;0,L811*35.273962,IF(J811&gt;0,J811*16,))</f>
        <v>#REF!</v>
      </c>
      <c r="L811" t="str">
        <f>IF(J811&gt;0,J811*0.453592,IF(K811&gt;0,K811*0.02835,))</f>
        <v>#REF!</v>
      </c>
      <c r="O811">
        <f>I811+N811+M811</f>
        <v>0</v>
      </c>
      <c r="P811">
        <f>O811*B$3</f>
        <v>0</v>
      </c>
      <c r="Q811">
        <f>ROUND(SUM(P811), -2)</f>
        <v>0</v>
      </c>
      <c r="R811" t="str">
        <f>ROUNDUP(HLOOKUP(IF(CEILING(L811,0.5)&lt;1,0.5,CEILING(L811,0.5)),'배송비 조회'!A$44:AO$56,7,0)*B$3,-2)</f>
        <v>#REF!</v>
      </c>
      <c r="S811">
        <v>0</v>
      </c>
      <c r="T811" t="str">
        <f>ROUND((Q811+R811)*0.3,-2)</f>
        <v>#REF!</v>
      </c>
      <c r="U811" t="str">
        <f>ROUND((Q811+R811)*0.4,-2)</f>
        <v>#REF!</v>
      </c>
      <c r="V811" t="str">
        <f>SUM(Q811:R811)+T811</f>
        <v>#REF!</v>
      </c>
      <c r="W811" t="str">
        <f>SUM(Q811:S811)+U811</f>
        <v>#REF!</v>
      </c>
      <c r="X811">
        <v>0</v>
      </c>
      <c r="Y811" t="str">
        <f>V811*0.038</f>
        <v>#REF!</v>
      </c>
      <c r="Z811" t="str">
        <f>V811*0.02</f>
        <v>#REF!</v>
      </c>
      <c r="AA811" t="str">
        <f>W811*0.1</f>
        <v>#REF!</v>
      </c>
      <c r="AB811" t="str">
        <f>V811-Y811-Z811</f>
        <v>#REF!</v>
      </c>
      <c r="AC811" t="str">
        <f>W811-AA811</f>
        <v>#REF!</v>
      </c>
      <c r="AD811" t="str">
        <f>AB811*0.01</f>
        <v>#REF!</v>
      </c>
      <c r="AE811" t="str">
        <f>AB811-Q811-AD811-R811</f>
        <v>#REF!</v>
      </c>
      <c r="AF811" t="str">
        <f>AC811-Q811-AD811-R811</f>
        <v>#REF!</v>
      </c>
      <c r="AG811" t="str">
        <f>AE811/V811</f>
        <v>#REF!</v>
      </c>
      <c r="AH811" t="str">
        <f>AF811/W811</f>
        <v>#REF!</v>
      </c>
    </row>
    <row r="812">
      <c r="G812" t="str">
        <v>A</v>
      </c>
      <c r="J812" t="str">
        <f>IF(K812&gt;0,K812*0.0625,IF(L812&gt;0,L812*2.204623,))</f>
        <v>#REF!</v>
      </c>
      <c r="K812" t="str">
        <f>IF(L812&gt;0,L812*35.273962,IF(J812&gt;0,J812*16,))</f>
        <v>#REF!</v>
      </c>
      <c r="L812" t="str">
        <f>IF(J812&gt;0,J812*0.453592,IF(K812&gt;0,K812*0.02835,))</f>
        <v>#REF!</v>
      </c>
      <c r="O812">
        <f>I812+N812+M812</f>
        <v>0</v>
      </c>
      <c r="P812">
        <f>O812*B$3</f>
        <v>0</v>
      </c>
      <c r="Q812">
        <f>ROUND(SUM(P812), -2)</f>
        <v>0</v>
      </c>
      <c r="R812" t="str">
        <f>ROUNDUP(HLOOKUP(IF(CEILING(L812,0.5)&lt;1,0.5,CEILING(L812,0.5)),'배송비 조회'!A$44:AO$56,7,0)*B$3,-2)</f>
        <v>#REF!</v>
      </c>
      <c r="S812">
        <v>0</v>
      </c>
      <c r="T812" t="str">
        <f>ROUND((Q812+R812)*0.3,-2)</f>
        <v>#REF!</v>
      </c>
      <c r="U812" t="str">
        <f>ROUND((Q812+R812)*0.4,-2)</f>
        <v>#REF!</v>
      </c>
      <c r="V812" t="str">
        <f>SUM(Q812:R812)+T812</f>
        <v>#REF!</v>
      </c>
      <c r="W812" t="str">
        <f>SUM(Q812:S812)+U812</f>
        <v>#REF!</v>
      </c>
      <c r="X812">
        <v>0</v>
      </c>
      <c r="Y812" t="str">
        <f>V812*0.038</f>
        <v>#REF!</v>
      </c>
      <c r="Z812" t="str">
        <f>V812*0.02</f>
        <v>#REF!</v>
      </c>
      <c r="AA812" t="str">
        <f>W812*0.1</f>
        <v>#REF!</v>
      </c>
      <c r="AB812" t="str">
        <f>V812-Y812-Z812</f>
        <v>#REF!</v>
      </c>
      <c r="AC812" t="str">
        <f>W812-AA812</f>
        <v>#REF!</v>
      </c>
      <c r="AD812" t="str">
        <f>AB812*0.01</f>
        <v>#REF!</v>
      </c>
      <c r="AE812" t="str">
        <f>AB812-Q812-AD812-R812</f>
        <v>#REF!</v>
      </c>
      <c r="AF812" t="str">
        <f>AC812-Q812-AD812-R812</f>
        <v>#REF!</v>
      </c>
      <c r="AG812" t="str">
        <f>AE812/V812</f>
        <v>#REF!</v>
      </c>
      <c r="AH812" t="str">
        <f>AF812/W812</f>
        <v>#REF!</v>
      </c>
    </row>
    <row r="813">
      <c r="G813" t="str">
        <v>A</v>
      </c>
      <c r="J813" t="str">
        <f>IF(K813&gt;0,K813*0.0625,IF(L813&gt;0,L813*2.204623,))</f>
        <v>#REF!</v>
      </c>
      <c r="K813" t="str">
        <f>IF(L813&gt;0,L813*35.273962,IF(J813&gt;0,J813*16,))</f>
        <v>#REF!</v>
      </c>
      <c r="L813" t="str">
        <f>IF(J813&gt;0,J813*0.453592,IF(K813&gt;0,K813*0.02835,))</f>
        <v>#REF!</v>
      </c>
      <c r="O813">
        <f>I813+N813+M813</f>
        <v>0</v>
      </c>
      <c r="P813">
        <f>O813*B$3</f>
        <v>0</v>
      </c>
      <c r="Q813">
        <f>ROUND(SUM(P813), -2)</f>
        <v>0</v>
      </c>
      <c r="R813" t="str">
        <f>ROUNDUP(HLOOKUP(IF(CEILING(L813,0.5)&lt;1,0.5,CEILING(L813,0.5)),'배송비 조회'!A$44:AO$56,7,0)*B$3,-2)</f>
        <v>#REF!</v>
      </c>
      <c r="S813">
        <v>0</v>
      </c>
      <c r="T813" t="str">
        <f>ROUND((Q813+R813)*0.3,-2)</f>
        <v>#REF!</v>
      </c>
      <c r="U813" t="str">
        <f>ROUND((Q813+R813)*0.4,-2)</f>
        <v>#REF!</v>
      </c>
      <c r="V813" t="str">
        <f>SUM(Q813:R813)+T813</f>
        <v>#REF!</v>
      </c>
      <c r="W813" t="str">
        <f>SUM(Q813:S813)+U813</f>
        <v>#REF!</v>
      </c>
      <c r="X813">
        <v>0</v>
      </c>
      <c r="Y813" t="str">
        <f>V813*0.038</f>
        <v>#REF!</v>
      </c>
      <c r="Z813" t="str">
        <f>V813*0.02</f>
        <v>#REF!</v>
      </c>
      <c r="AA813" t="str">
        <f>W813*0.1</f>
        <v>#REF!</v>
      </c>
      <c r="AB813" t="str">
        <f>V813-Y813-Z813</f>
        <v>#REF!</v>
      </c>
      <c r="AC813" t="str">
        <f>W813-AA813</f>
        <v>#REF!</v>
      </c>
      <c r="AD813" t="str">
        <f>AB813*0.01</f>
        <v>#REF!</v>
      </c>
      <c r="AE813" t="str">
        <f>AB813-Q813-AD813-R813</f>
        <v>#REF!</v>
      </c>
      <c r="AF813" t="str">
        <f>AC813-Q813-AD813-R813</f>
        <v>#REF!</v>
      </c>
      <c r="AG813" t="str">
        <f>AE813/V813</f>
        <v>#REF!</v>
      </c>
      <c r="AH813" t="str">
        <f>AF813/W813</f>
        <v>#REF!</v>
      </c>
    </row>
    <row r="814">
      <c r="G814" t="str">
        <v>A</v>
      </c>
      <c r="J814" t="str">
        <f>IF(K814&gt;0,K814*0.0625,IF(L814&gt;0,L814*2.204623,))</f>
        <v>#REF!</v>
      </c>
      <c r="K814" t="str">
        <f>IF(L814&gt;0,L814*35.273962,IF(J814&gt;0,J814*16,))</f>
        <v>#REF!</v>
      </c>
      <c r="L814" t="str">
        <f>IF(J814&gt;0,J814*0.453592,IF(K814&gt;0,K814*0.02835,))</f>
        <v>#REF!</v>
      </c>
      <c r="O814">
        <f>I814+N814+M814</f>
        <v>0</v>
      </c>
      <c r="P814">
        <f>O814*B$3</f>
        <v>0</v>
      </c>
      <c r="Q814">
        <f>ROUND(SUM(P814), -2)</f>
        <v>0</v>
      </c>
      <c r="R814" t="str">
        <f>ROUNDUP(HLOOKUP(IF(CEILING(L814,0.5)&lt;1,0.5,CEILING(L814,0.5)),'배송비 조회'!A$44:AO$56,7,0)*B$3,-2)</f>
        <v>#REF!</v>
      </c>
      <c r="S814">
        <v>0</v>
      </c>
      <c r="T814" t="str">
        <f>ROUND((Q814+R814)*0.3,-2)</f>
        <v>#REF!</v>
      </c>
      <c r="U814" t="str">
        <f>ROUND((Q814+R814)*0.4,-2)</f>
        <v>#REF!</v>
      </c>
      <c r="V814" t="str">
        <f>SUM(Q814:R814)+T814</f>
        <v>#REF!</v>
      </c>
      <c r="W814" t="str">
        <f>SUM(Q814:S814)+U814</f>
        <v>#REF!</v>
      </c>
      <c r="X814">
        <v>0</v>
      </c>
      <c r="Y814" t="str">
        <f>V814*0.038</f>
        <v>#REF!</v>
      </c>
      <c r="Z814" t="str">
        <f>V814*0.02</f>
        <v>#REF!</v>
      </c>
      <c r="AA814" t="str">
        <f>W814*0.1</f>
        <v>#REF!</v>
      </c>
      <c r="AB814" t="str">
        <f>V814-Y814-Z814</f>
        <v>#REF!</v>
      </c>
      <c r="AC814" t="str">
        <f>W814-AA814</f>
        <v>#REF!</v>
      </c>
      <c r="AD814" t="str">
        <f>AB814*0.01</f>
        <v>#REF!</v>
      </c>
      <c r="AE814" t="str">
        <f>AB814-Q814-AD814-R814</f>
        <v>#REF!</v>
      </c>
      <c r="AF814" t="str">
        <f>AC814-Q814-AD814-R814</f>
        <v>#REF!</v>
      </c>
      <c r="AG814" t="str">
        <f>AE814/V814</f>
        <v>#REF!</v>
      </c>
      <c r="AH814" t="str">
        <f>AF814/W814</f>
        <v>#REF!</v>
      </c>
    </row>
    <row r="815">
      <c r="G815" t="str">
        <v>A</v>
      </c>
      <c r="J815" t="str">
        <f>IF(K815&gt;0,K815*0.0625,IF(L815&gt;0,L815*2.204623,))</f>
        <v>#REF!</v>
      </c>
      <c r="K815" t="str">
        <f>IF(L815&gt;0,L815*35.273962,IF(J815&gt;0,J815*16,))</f>
        <v>#REF!</v>
      </c>
      <c r="L815" t="str">
        <f>IF(J815&gt;0,J815*0.453592,IF(K815&gt;0,K815*0.02835,))</f>
        <v>#REF!</v>
      </c>
      <c r="O815">
        <f>I815+N815+M815</f>
        <v>0</v>
      </c>
      <c r="P815">
        <f>O815*B$3</f>
        <v>0</v>
      </c>
      <c r="Q815">
        <f>ROUND(SUM(P815), -2)</f>
        <v>0</v>
      </c>
      <c r="R815" t="str">
        <f>ROUNDUP(HLOOKUP(IF(CEILING(L815,0.5)&lt;1,0.5,CEILING(L815,0.5)),'배송비 조회'!A$44:AO$56,7,0)*B$3,-2)</f>
        <v>#REF!</v>
      </c>
      <c r="S815">
        <v>0</v>
      </c>
      <c r="T815" t="str">
        <f>ROUND((Q815+R815)*0.3,-2)</f>
        <v>#REF!</v>
      </c>
      <c r="U815" t="str">
        <f>ROUND((Q815+R815)*0.4,-2)</f>
        <v>#REF!</v>
      </c>
      <c r="V815" t="str">
        <f>SUM(Q815:R815)+T815</f>
        <v>#REF!</v>
      </c>
      <c r="W815" t="str">
        <f>SUM(Q815:S815)+U815</f>
        <v>#REF!</v>
      </c>
      <c r="X815">
        <v>0</v>
      </c>
      <c r="Y815" t="str">
        <f>V815*0.038</f>
        <v>#REF!</v>
      </c>
      <c r="Z815" t="str">
        <f>V815*0.02</f>
        <v>#REF!</v>
      </c>
      <c r="AA815" t="str">
        <f>W815*0.1</f>
        <v>#REF!</v>
      </c>
      <c r="AB815" t="str">
        <f>V815-Y815-Z815</f>
        <v>#REF!</v>
      </c>
      <c r="AC815" t="str">
        <f>W815-AA815</f>
        <v>#REF!</v>
      </c>
      <c r="AD815" t="str">
        <f>AB815*0.01</f>
        <v>#REF!</v>
      </c>
      <c r="AE815" t="str">
        <f>AB815-Q815-AD815-R815</f>
        <v>#REF!</v>
      </c>
      <c r="AF815" t="str">
        <f>AC815-Q815-AD815-R815</f>
        <v>#REF!</v>
      </c>
      <c r="AG815" t="str">
        <f>AE815/V815</f>
        <v>#REF!</v>
      </c>
      <c r="AH815" t="str">
        <f>AF815/W815</f>
        <v>#REF!</v>
      </c>
    </row>
    <row r="816">
      <c r="G816" t="str">
        <v>A</v>
      </c>
      <c r="J816" t="str">
        <f>IF(K816&gt;0,K816*0.0625,IF(L816&gt;0,L816*2.204623,))</f>
        <v>#REF!</v>
      </c>
      <c r="K816" t="str">
        <f>IF(L816&gt;0,L816*35.273962,IF(J816&gt;0,J816*16,))</f>
        <v>#REF!</v>
      </c>
      <c r="L816" t="str">
        <f>IF(J816&gt;0,J816*0.453592,IF(K816&gt;0,K816*0.02835,))</f>
        <v>#REF!</v>
      </c>
      <c r="O816">
        <f>I816+N816+M816</f>
        <v>0</v>
      </c>
      <c r="P816">
        <f>O816*B$3</f>
        <v>0</v>
      </c>
      <c r="Q816">
        <f>ROUND(SUM(P816), -2)</f>
        <v>0</v>
      </c>
      <c r="R816" t="str">
        <f>ROUNDUP(HLOOKUP(IF(CEILING(L816,0.5)&lt;1,0.5,CEILING(L816,0.5)),'배송비 조회'!A$44:AO$56,7,0)*B$3,-2)</f>
        <v>#REF!</v>
      </c>
      <c r="S816">
        <v>0</v>
      </c>
      <c r="T816" t="str">
        <f>ROUND((Q816+R816)*0.3,-2)</f>
        <v>#REF!</v>
      </c>
      <c r="U816" t="str">
        <f>ROUND((Q816+R816)*0.4,-2)</f>
        <v>#REF!</v>
      </c>
      <c r="V816" t="str">
        <f>SUM(Q816:R816)+T816</f>
        <v>#REF!</v>
      </c>
      <c r="W816" t="str">
        <f>SUM(Q816:S816)+U816</f>
        <v>#REF!</v>
      </c>
      <c r="X816">
        <v>0</v>
      </c>
      <c r="Y816" t="str">
        <f>V816*0.038</f>
        <v>#REF!</v>
      </c>
      <c r="Z816" t="str">
        <f>V816*0.02</f>
        <v>#REF!</v>
      </c>
      <c r="AA816" t="str">
        <f>W816*0.1</f>
        <v>#REF!</v>
      </c>
      <c r="AB816" t="str">
        <f>V816-Y816-Z816</f>
        <v>#REF!</v>
      </c>
      <c r="AC816" t="str">
        <f>W816-AA816</f>
        <v>#REF!</v>
      </c>
      <c r="AD816" t="str">
        <f>AB816*0.01</f>
        <v>#REF!</v>
      </c>
      <c r="AE816" t="str">
        <f>AB816-Q816-AD816-R816</f>
        <v>#REF!</v>
      </c>
      <c r="AF816" t="str">
        <f>AC816-Q816-AD816-R816</f>
        <v>#REF!</v>
      </c>
      <c r="AG816" t="str">
        <f>AE816/V816</f>
        <v>#REF!</v>
      </c>
      <c r="AH816" t="str">
        <f>AF816/W816</f>
        <v>#REF!</v>
      </c>
    </row>
    <row r="817">
      <c r="G817" t="str">
        <v>A</v>
      </c>
      <c r="J817" t="str">
        <f>IF(K817&gt;0,K817*0.0625,IF(L817&gt;0,L817*2.204623,))</f>
        <v>#REF!</v>
      </c>
      <c r="K817" t="str">
        <f>IF(L817&gt;0,L817*35.273962,IF(J817&gt;0,J817*16,))</f>
        <v>#REF!</v>
      </c>
      <c r="L817" t="str">
        <f>IF(J817&gt;0,J817*0.453592,IF(K817&gt;0,K817*0.02835,))</f>
        <v>#REF!</v>
      </c>
      <c r="O817">
        <f>I817+N817+M817</f>
        <v>0</v>
      </c>
      <c r="P817">
        <f>O817*B$3</f>
        <v>0</v>
      </c>
      <c r="Q817">
        <f>ROUND(SUM(P817), -2)</f>
        <v>0</v>
      </c>
      <c r="R817" t="str">
        <f>ROUNDUP(HLOOKUP(IF(CEILING(L817,0.5)&lt;1,0.5,CEILING(L817,0.5)),'배송비 조회'!A$44:AO$56,7,0)*B$3,-2)</f>
        <v>#REF!</v>
      </c>
      <c r="S817">
        <v>0</v>
      </c>
      <c r="T817" t="str">
        <f>ROUND((Q817+R817)*0.3,-2)</f>
        <v>#REF!</v>
      </c>
      <c r="U817" t="str">
        <f>ROUND((Q817+R817)*0.4,-2)</f>
        <v>#REF!</v>
      </c>
      <c r="V817" t="str">
        <f>SUM(Q817:R817)+T817</f>
        <v>#REF!</v>
      </c>
      <c r="W817" t="str">
        <f>SUM(Q817:S817)+U817</f>
        <v>#REF!</v>
      </c>
      <c r="X817">
        <v>0</v>
      </c>
      <c r="Y817" t="str">
        <f>V817*0.038</f>
        <v>#REF!</v>
      </c>
      <c r="Z817" t="str">
        <f>V817*0.02</f>
        <v>#REF!</v>
      </c>
      <c r="AA817" t="str">
        <f>W817*0.1</f>
        <v>#REF!</v>
      </c>
      <c r="AB817" t="str">
        <f>V817-Y817-Z817</f>
        <v>#REF!</v>
      </c>
      <c r="AC817" t="str">
        <f>W817-AA817</f>
        <v>#REF!</v>
      </c>
      <c r="AD817" t="str">
        <f>AB817*0.01</f>
        <v>#REF!</v>
      </c>
      <c r="AE817" t="str">
        <f>AB817-Q817-AD817-R817</f>
        <v>#REF!</v>
      </c>
      <c r="AF817" t="str">
        <f>AC817-Q817-AD817-R817</f>
        <v>#REF!</v>
      </c>
      <c r="AG817" t="str">
        <f>AE817/V817</f>
        <v>#REF!</v>
      </c>
      <c r="AH817" t="str">
        <f>AF817/W817</f>
        <v>#REF!</v>
      </c>
    </row>
    <row r="818">
      <c r="G818" t="str">
        <v>A</v>
      </c>
      <c r="J818" t="str">
        <f>IF(K818&gt;0,K818*0.0625,IF(L818&gt;0,L818*2.204623,))</f>
        <v>#REF!</v>
      </c>
      <c r="K818" t="str">
        <f>IF(L818&gt;0,L818*35.273962,IF(J818&gt;0,J818*16,))</f>
        <v>#REF!</v>
      </c>
      <c r="L818" t="str">
        <f>IF(J818&gt;0,J818*0.453592,IF(K818&gt;0,K818*0.02835,))</f>
        <v>#REF!</v>
      </c>
      <c r="O818">
        <f>I818+N818+M818</f>
        <v>0</v>
      </c>
      <c r="P818">
        <f>O818*B$3</f>
        <v>0</v>
      </c>
      <c r="Q818">
        <f>ROUND(SUM(P818), -2)</f>
        <v>0</v>
      </c>
      <c r="R818" t="str">
        <f>ROUNDUP(HLOOKUP(IF(CEILING(L818,0.5)&lt;1,0.5,CEILING(L818,0.5)),'배송비 조회'!A$44:AO$56,7,0)*B$3,-2)</f>
        <v>#REF!</v>
      </c>
      <c r="S818">
        <v>0</v>
      </c>
      <c r="T818" t="str">
        <f>ROUND((Q818+R818)*0.3,-2)</f>
        <v>#REF!</v>
      </c>
      <c r="U818" t="str">
        <f>ROUND((Q818+R818)*0.4,-2)</f>
        <v>#REF!</v>
      </c>
      <c r="V818" t="str">
        <f>SUM(Q818:R818)+T818</f>
        <v>#REF!</v>
      </c>
      <c r="W818" t="str">
        <f>SUM(Q818:S818)+U818</f>
        <v>#REF!</v>
      </c>
      <c r="X818">
        <v>0</v>
      </c>
      <c r="Y818" t="str">
        <f>V818*0.038</f>
        <v>#REF!</v>
      </c>
      <c r="Z818" t="str">
        <f>V818*0.02</f>
        <v>#REF!</v>
      </c>
      <c r="AA818" t="str">
        <f>W818*0.1</f>
        <v>#REF!</v>
      </c>
      <c r="AB818" t="str">
        <f>V818-Y818-Z818</f>
        <v>#REF!</v>
      </c>
      <c r="AC818" t="str">
        <f>W818-AA818</f>
        <v>#REF!</v>
      </c>
      <c r="AD818" t="str">
        <f>AB818*0.01</f>
        <v>#REF!</v>
      </c>
      <c r="AE818" t="str">
        <f>AB818-Q818-AD818-R818</f>
        <v>#REF!</v>
      </c>
      <c r="AF818" t="str">
        <f>AC818-Q818-AD818-R818</f>
        <v>#REF!</v>
      </c>
      <c r="AG818" t="str">
        <f>AE818/V818</f>
        <v>#REF!</v>
      </c>
      <c r="AH818" t="str">
        <f>AF818/W818</f>
        <v>#REF!</v>
      </c>
    </row>
    <row r="819">
      <c r="G819" t="str">
        <v>A</v>
      </c>
      <c r="J819" t="str">
        <f>IF(K819&gt;0,K819*0.0625,IF(L819&gt;0,L819*2.204623,))</f>
        <v>#REF!</v>
      </c>
      <c r="K819" t="str">
        <f>IF(L819&gt;0,L819*35.273962,IF(J819&gt;0,J819*16,))</f>
        <v>#REF!</v>
      </c>
      <c r="L819" t="str">
        <f>IF(J819&gt;0,J819*0.453592,IF(K819&gt;0,K819*0.02835,))</f>
        <v>#REF!</v>
      </c>
      <c r="O819">
        <f>I819+N819+M819</f>
        <v>0</v>
      </c>
      <c r="P819">
        <f>O819*B$3</f>
        <v>0</v>
      </c>
      <c r="Q819">
        <f>ROUND(SUM(P819), -2)</f>
        <v>0</v>
      </c>
      <c r="R819" t="str">
        <f>ROUNDUP(HLOOKUP(IF(CEILING(L819,0.5)&lt;1,0.5,CEILING(L819,0.5)),'배송비 조회'!A$44:AO$56,7,0)*B$3,-2)</f>
        <v>#REF!</v>
      </c>
      <c r="S819">
        <v>0</v>
      </c>
      <c r="T819" t="str">
        <f>ROUND((Q819+R819)*0.3,-2)</f>
        <v>#REF!</v>
      </c>
      <c r="U819" t="str">
        <f>ROUND((Q819+R819)*0.4,-2)</f>
        <v>#REF!</v>
      </c>
      <c r="V819" t="str">
        <f>SUM(Q819:R819)+T819</f>
        <v>#REF!</v>
      </c>
      <c r="W819" t="str">
        <f>SUM(Q819:S819)+U819</f>
        <v>#REF!</v>
      </c>
      <c r="X819">
        <v>0</v>
      </c>
      <c r="Y819" t="str">
        <f>V819*0.038</f>
        <v>#REF!</v>
      </c>
      <c r="Z819" t="str">
        <f>V819*0.02</f>
        <v>#REF!</v>
      </c>
      <c r="AA819" t="str">
        <f>W819*0.1</f>
        <v>#REF!</v>
      </c>
      <c r="AB819" t="str">
        <f>V819-Y819-Z819</f>
        <v>#REF!</v>
      </c>
      <c r="AC819" t="str">
        <f>W819-AA819</f>
        <v>#REF!</v>
      </c>
      <c r="AD819" t="str">
        <f>AB819*0.01</f>
        <v>#REF!</v>
      </c>
      <c r="AE819" t="str">
        <f>AB819-Q819-AD819-R819</f>
        <v>#REF!</v>
      </c>
      <c r="AF819" t="str">
        <f>AC819-Q819-AD819-R819</f>
        <v>#REF!</v>
      </c>
      <c r="AG819" t="str">
        <f>AE819/V819</f>
        <v>#REF!</v>
      </c>
      <c r="AH819" t="str">
        <f>AF819/W819</f>
        <v>#REF!</v>
      </c>
    </row>
    <row r="820">
      <c r="G820" t="str">
        <v>A</v>
      </c>
      <c r="J820" t="str">
        <f>IF(K820&gt;0,K820*0.0625,IF(L820&gt;0,L820*2.204623,))</f>
        <v>#REF!</v>
      </c>
      <c r="K820" t="str">
        <f>IF(L820&gt;0,L820*35.273962,IF(J820&gt;0,J820*16,))</f>
        <v>#REF!</v>
      </c>
      <c r="L820" t="str">
        <f>IF(J820&gt;0,J820*0.453592,IF(K820&gt;0,K820*0.02835,))</f>
        <v>#REF!</v>
      </c>
      <c r="O820">
        <f>I820+N820+M820</f>
        <v>0</v>
      </c>
      <c r="P820">
        <f>O820*B$3</f>
        <v>0</v>
      </c>
      <c r="Q820">
        <f>ROUND(SUM(P820), -2)</f>
        <v>0</v>
      </c>
      <c r="R820" t="str">
        <f>ROUNDUP(HLOOKUP(IF(CEILING(L820,0.5)&lt;1,0.5,CEILING(L820,0.5)),'배송비 조회'!A$44:AO$56,7,0)*B$3,-2)</f>
        <v>#REF!</v>
      </c>
      <c r="S820">
        <v>0</v>
      </c>
      <c r="T820" t="str">
        <f>ROUND((Q820+R820)*0.3,-2)</f>
        <v>#REF!</v>
      </c>
      <c r="U820" t="str">
        <f>ROUND((Q820+R820)*0.4,-2)</f>
        <v>#REF!</v>
      </c>
      <c r="V820" t="str">
        <f>SUM(Q820:R820)+T820</f>
        <v>#REF!</v>
      </c>
      <c r="W820" t="str">
        <f>SUM(Q820:S820)+U820</f>
        <v>#REF!</v>
      </c>
      <c r="X820">
        <v>0</v>
      </c>
      <c r="Y820" t="str">
        <f>V820*0.038</f>
        <v>#REF!</v>
      </c>
      <c r="Z820" t="str">
        <f>V820*0.02</f>
        <v>#REF!</v>
      </c>
      <c r="AA820" t="str">
        <f>W820*0.1</f>
        <v>#REF!</v>
      </c>
      <c r="AB820" t="str">
        <f>V820-Y820-Z820</f>
        <v>#REF!</v>
      </c>
      <c r="AC820" t="str">
        <f>W820-AA820</f>
        <v>#REF!</v>
      </c>
      <c r="AD820" t="str">
        <f>AB820*0.01</f>
        <v>#REF!</v>
      </c>
      <c r="AE820" t="str">
        <f>AB820-Q820-AD820-R820</f>
        <v>#REF!</v>
      </c>
      <c r="AF820" t="str">
        <f>AC820-Q820-AD820-R820</f>
        <v>#REF!</v>
      </c>
      <c r="AG820" t="str">
        <f>AE820/V820</f>
        <v>#REF!</v>
      </c>
      <c r="AH820" t="str">
        <f>AF820/W820</f>
        <v>#REF!</v>
      </c>
    </row>
    <row r="821">
      <c r="G821" t="str">
        <v>A</v>
      </c>
      <c r="J821" t="str">
        <f>IF(K821&gt;0,K821*0.0625,IF(L821&gt;0,L821*2.204623,))</f>
        <v>#REF!</v>
      </c>
      <c r="K821" t="str">
        <f>IF(L821&gt;0,L821*35.273962,IF(J821&gt;0,J821*16,))</f>
        <v>#REF!</v>
      </c>
      <c r="L821" t="str">
        <f>IF(J821&gt;0,J821*0.453592,IF(K821&gt;0,K821*0.02835,))</f>
        <v>#REF!</v>
      </c>
      <c r="O821">
        <f>I821+N821+M821</f>
        <v>0</v>
      </c>
      <c r="P821">
        <f>O821*B$3</f>
        <v>0</v>
      </c>
      <c r="Q821">
        <f>ROUND(SUM(P821), -2)</f>
        <v>0</v>
      </c>
      <c r="R821" t="str">
        <f>ROUNDUP(HLOOKUP(IF(CEILING(L821,0.5)&lt;1,0.5,CEILING(L821,0.5)),'배송비 조회'!A$44:AO$56,7,0)*B$3,-2)</f>
        <v>#REF!</v>
      </c>
      <c r="S821">
        <v>0</v>
      </c>
      <c r="T821" t="str">
        <f>ROUND((Q821+R821)*0.3,-2)</f>
        <v>#REF!</v>
      </c>
      <c r="U821" t="str">
        <f>ROUND((Q821+R821)*0.4,-2)</f>
        <v>#REF!</v>
      </c>
      <c r="V821" t="str">
        <f>SUM(Q821:R821)+T821</f>
        <v>#REF!</v>
      </c>
      <c r="W821" t="str">
        <f>SUM(Q821:S821)+U821</f>
        <v>#REF!</v>
      </c>
      <c r="X821">
        <v>0</v>
      </c>
      <c r="Y821" t="str">
        <f>V821*0.038</f>
        <v>#REF!</v>
      </c>
      <c r="Z821" t="str">
        <f>V821*0.02</f>
        <v>#REF!</v>
      </c>
      <c r="AA821" t="str">
        <f>W821*0.1</f>
        <v>#REF!</v>
      </c>
      <c r="AB821" t="str">
        <f>V821-Y821-Z821</f>
        <v>#REF!</v>
      </c>
      <c r="AC821" t="str">
        <f>W821-AA821</f>
        <v>#REF!</v>
      </c>
      <c r="AD821" t="str">
        <f>AB821*0.01</f>
        <v>#REF!</v>
      </c>
      <c r="AE821" t="str">
        <f>AB821-Q821-AD821-R821</f>
        <v>#REF!</v>
      </c>
      <c r="AF821" t="str">
        <f>AC821-Q821-AD821-R821</f>
        <v>#REF!</v>
      </c>
      <c r="AG821" t="str">
        <f>AE821/V821</f>
        <v>#REF!</v>
      </c>
      <c r="AH821" t="str">
        <f>AF821/W821</f>
        <v>#REF!</v>
      </c>
    </row>
    <row r="822">
      <c r="G822" t="str">
        <v>A</v>
      </c>
      <c r="J822" t="str">
        <f>IF(K822&gt;0,K822*0.0625,IF(L822&gt;0,L822*2.204623,))</f>
        <v>#REF!</v>
      </c>
      <c r="K822" t="str">
        <f>IF(L822&gt;0,L822*35.273962,IF(J822&gt;0,J822*16,))</f>
        <v>#REF!</v>
      </c>
      <c r="L822" t="str">
        <f>IF(J822&gt;0,J822*0.453592,IF(K822&gt;0,K822*0.02835,))</f>
        <v>#REF!</v>
      </c>
      <c r="O822">
        <f>I822+N822+M822</f>
        <v>0</v>
      </c>
      <c r="P822">
        <f>O822*B$3</f>
        <v>0</v>
      </c>
      <c r="Q822">
        <f>ROUND(SUM(P822), -2)</f>
        <v>0</v>
      </c>
      <c r="R822" t="str">
        <f>ROUNDUP(HLOOKUP(IF(CEILING(L822,0.5)&lt;1,0.5,CEILING(L822,0.5)),'배송비 조회'!A$44:AO$56,7,0)*B$3,-2)</f>
        <v>#REF!</v>
      </c>
      <c r="S822">
        <v>0</v>
      </c>
      <c r="T822" t="str">
        <f>ROUND((Q822+R822)*0.3,-2)</f>
        <v>#REF!</v>
      </c>
      <c r="U822" t="str">
        <f>ROUND((Q822+R822)*0.4,-2)</f>
        <v>#REF!</v>
      </c>
      <c r="V822" t="str">
        <f>SUM(Q822:R822)+T822</f>
        <v>#REF!</v>
      </c>
      <c r="W822" t="str">
        <f>SUM(Q822:S822)+U822</f>
        <v>#REF!</v>
      </c>
      <c r="X822">
        <v>0</v>
      </c>
      <c r="Y822" t="str">
        <f>V822*0.038</f>
        <v>#REF!</v>
      </c>
      <c r="Z822" t="str">
        <f>V822*0.02</f>
        <v>#REF!</v>
      </c>
      <c r="AA822" t="str">
        <f>W822*0.1</f>
        <v>#REF!</v>
      </c>
      <c r="AB822" t="str">
        <f>V822-Y822-Z822</f>
        <v>#REF!</v>
      </c>
      <c r="AC822" t="str">
        <f>W822-AA822</f>
        <v>#REF!</v>
      </c>
      <c r="AD822" t="str">
        <f>AB822*0.01</f>
        <v>#REF!</v>
      </c>
      <c r="AE822" t="str">
        <f>AB822-Q822-AD822-R822</f>
        <v>#REF!</v>
      </c>
      <c r="AF822" t="str">
        <f>AC822-Q822-AD822-R822</f>
        <v>#REF!</v>
      </c>
      <c r="AG822" t="str">
        <f>AE822/V822</f>
        <v>#REF!</v>
      </c>
      <c r="AH822" t="str">
        <f>AF822/W822</f>
        <v>#REF!</v>
      </c>
    </row>
    <row r="823">
      <c r="G823" t="str">
        <v>A</v>
      </c>
      <c r="J823" t="str">
        <f>IF(K823&gt;0,K823*0.0625,IF(L823&gt;0,L823*2.204623,))</f>
        <v>#REF!</v>
      </c>
      <c r="K823" t="str">
        <f>IF(L823&gt;0,L823*35.273962,IF(J823&gt;0,J823*16,))</f>
        <v>#REF!</v>
      </c>
      <c r="L823" t="str">
        <f>IF(J823&gt;0,J823*0.453592,IF(K823&gt;0,K823*0.02835,))</f>
        <v>#REF!</v>
      </c>
      <c r="O823">
        <f>I823+N823+M823</f>
        <v>0</v>
      </c>
      <c r="P823">
        <f>O823*B$3</f>
        <v>0</v>
      </c>
      <c r="Q823">
        <f>ROUND(SUM(P823), -2)</f>
        <v>0</v>
      </c>
      <c r="R823" t="str">
        <f>ROUNDUP(HLOOKUP(IF(CEILING(L823,0.5)&lt;1,0.5,CEILING(L823,0.5)),'배송비 조회'!A$44:AO$56,7,0)*B$3,-2)</f>
        <v>#REF!</v>
      </c>
      <c r="S823">
        <v>0</v>
      </c>
      <c r="T823" t="str">
        <f>ROUND((Q823+R823)*0.3,-2)</f>
        <v>#REF!</v>
      </c>
      <c r="U823" t="str">
        <f>ROUND((Q823+R823)*0.4,-2)</f>
        <v>#REF!</v>
      </c>
      <c r="V823" t="str">
        <f>SUM(Q823:R823)+T823</f>
        <v>#REF!</v>
      </c>
      <c r="W823" t="str">
        <f>SUM(Q823:S823)+U823</f>
        <v>#REF!</v>
      </c>
      <c r="X823">
        <v>0</v>
      </c>
      <c r="Y823" t="str">
        <f>V823*0.038</f>
        <v>#REF!</v>
      </c>
      <c r="Z823" t="str">
        <f>V823*0.02</f>
        <v>#REF!</v>
      </c>
      <c r="AA823" t="str">
        <f>W823*0.1</f>
        <v>#REF!</v>
      </c>
      <c r="AB823" t="str">
        <f>V823-Y823-Z823</f>
        <v>#REF!</v>
      </c>
      <c r="AC823" t="str">
        <f>W823-AA823</f>
        <v>#REF!</v>
      </c>
      <c r="AD823" t="str">
        <f>AB823*0.01</f>
        <v>#REF!</v>
      </c>
      <c r="AE823" t="str">
        <f>AB823-Q823-AD823-R823</f>
        <v>#REF!</v>
      </c>
      <c r="AF823" t="str">
        <f>AC823-Q823-AD823-R823</f>
        <v>#REF!</v>
      </c>
      <c r="AG823" t="str">
        <f>AE823/V823</f>
        <v>#REF!</v>
      </c>
      <c r="AH823" t="str">
        <f>AF823/W823</f>
        <v>#REF!</v>
      </c>
    </row>
    <row r="824">
      <c r="G824" t="str">
        <v>A</v>
      </c>
      <c r="J824" t="str">
        <f>IF(K824&gt;0,K824*0.0625,IF(L824&gt;0,L824*2.204623,))</f>
        <v>#REF!</v>
      </c>
      <c r="K824" t="str">
        <f>IF(L824&gt;0,L824*35.273962,IF(J824&gt;0,J824*16,))</f>
        <v>#REF!</v>
      </c>
      <c r="L824" t="str">
        <f>IF(J824&gt;0,J824*0.453592,IF(K824&gt;0,K824*0.02835,))</f>
        <v>#REF!</v>
      </c>
      <c r="O824">
        <f>I824+N824+M824</f>
        <v>0</v>
      </c>
      <c r="P824">
        <f>O824*B$3</f>
        <v>0</v>
      </c>
      <c r="Q824">
        <f>ROUND(SUM(P824), -2)</f>
        <v>0</v>
      </c>
      <c r="R824" t="str">
        <f>ROUNDUP(HLOOKUP(IF(CEILING(L824,0.5)&lt;1,0.5,CEILING(L824,0.5)),'배송비 조회'!A$44:AO$56,7,0)*B$3,-2)</f>
        <v>#REF!</v>
      </c>
      <c r="S824">
        <v>0</v>
      </c>
      <c r="T824" t="str">
        <f>ROUND((Q824+R824)*0.3,-2)</f>
        <v>#REF!</v>
      </c>
      <c r="U824" t="str">
        <f>ROUND((Q824+R824)*0.4,-2)</f>
        <v>#REF!</v>
      </c>
      <c r="V824" t="str">
        <f>SUM(Q824:R824)+T824</f>
        <v>#REF!</v>
      </c>
      <c r="W824" t="str">
        <f>SUM(Q824:S824)+U824</f>
        <v>#REF!</v>
      </c>
      <c r="X824">
        <v>0</v>
      </c>
      <c r="Y824" t="str">
        <f>V824*0.038</f>
        <v>#REF!</v>
      </c>
      <c r="Z824" t="str">
        <f>V824*0.02</f>
        <v>#REF!</v>
      </c>
      <c r="AA824" t="str">
        <f>W824*0.1</f>
        <v>#REF!</v>
      </c>
      <c r="AB824" t="str">
        <f>V824-Y824-Z824</f>
        <v>#REF!</v>
      </c>
      <c r="AC824" t="str">
        <f>W824-AA824</f>
        <v>#REF!</v>
      </c>
      <c r="AD824" t="str">
        <f>AB824*0.01</f>
        <v>#REF!</v>
      </c>
      <c r="AE824" t="str">
        <f>AB824-Q824-AD824-R824</f>
        <v>#REF!</v>
      </c>
      <c r="AF824" t="str">
        <f>AC824-Q824-AD824-R824</f>
        <v>#REF!</v>
      </c>
      <c r="AG824" t="str">
        <f>AE824/V824</f>
        <v>#REF!</v>
      </c>
      <c r="AH824" t="str">
        <f>AF824/W824</f>
        <v>#REF!</v>
      </c>
    </row>
    <row r="825">
      <c r="G825" t="str">
        <v>A</v>
      </c>
      <c r="J825" t="str">
        <f>IF(K825&gt;0,K825*0.0625,IF(L825&gt;0,L825*2.204623,))</f>
        <v>#REF!</v>
      </c>
      <c r="K825" t="str">
        <f>IF(L825&gt;0,L825*35.273962,IF(J825&gt;0,J825*16,))</f>
        <v>#REF!</v>
      </c>
      <c r="L825" t="str">
        <f>IF(J825&gt;0,J825*0.453592,IF(K825&gt;0,K825*0.02835,))</f>
        <v>#REF!</v>
      </c>
      <c r="O825">
        <f>I825+N825+M825</f>
        <v>0</v>
      </c>
      <c r="P825">
        <f>O825*B$3</f>
        <v>0</v>
      </c>
      <c r="Q825">
        <f>ROUND(SUM(P825), -2)</f>
        <v>0</v>
      </c>
      <c r="R825" t="str">
        <f>ROUNDUP(HLOOKUP(IF(CEILING(L825,0.5)&lt;1,0.5,CEILING(L825,0.5)),'배송비 조회'!A$44:AO$56,7,0)*B$3,-2)</f>
        <v>#REF!</v>
      </c>
      <c r="S825">
        <v>0</v>
      </c>
      <c r="T825" t="str">
        <f>ROUND((Q825+R825)*0.3,-2)</f>
        <v>#REF!</v>
      </c>
      <c r="U825" t="str">
        <f>ROUND((Q825+R825)*0.4,-2)</f>
        <v>#REF!</v>
      </c>
      <c r="V825" t="str">
        <f>SUM(Q825:R825)+T825</f>
        <v>#REF!</v>
      </c>
      <c r="W825" t="str">
        <f>SUM(Q825:S825)+U825</f>
        <v>#REF!</v>
      </c>
      <c r="X825">
        <v>0</v>
      </c>
      <c r="Y825" t="str">
        <f>V825*0.038</f>
        <v>#REF!</v>
      </c>
      <c r="Z825" t="str">
        <f>V825*0.02</f>
        <v>#REF!</v>
      </c>
      <c r="AA825" t="str">
        <f>W825*0.1</f>
        <v>#REF!</v>
      </c>
      <c r="AB825" t="str">
        <f>V825-Y825-Z825</f>
        <v>#REF!</v>
      </c>
      <c r="AC825" t="str">
        <f>W825-AA825</f>
        <v>#REF!</v>
      </c>
      <c r="AD825" t="str">
        <f>AB825*0.01</f>
        <v>#REF!</v>
      </c>
      <c r="AE825" t="str">
        <f>AB825-Q825-AD825-R825</f>
        <v>#REF!</v>
      </c>
      <c r="AF825" t="str">
        <f>AC825-Q825-AD825-R825</f>
        <v>#REF!</v>
      </c>
      <c r="AG825" t="str">
        <f>AE825/V825</f>
        <v>#REF!</v>
      </c>
      <c r="AH825" t="str">
        <f>AF825/W825</f>
        <v>#REF!</v>
      </c>
    </row>
    <row r="826">
      <c r="G826" t="str">
        <v>A</v>
      </c>
      <c r="J826" t="str">
        <f>IF(K826&gt;0,K826*0.0625,IF(L826&gt;0,L826*2.204623,))</f>
        <v>#REF!</v>
      </c>
      <c r="K826" t="str">
        <f>IF(L826&gt;0,L826*35.273962,IF(J826&gt;0,J826*16,))</f>
        <v>#REF!</v>
      </c>
      <c r="L826" t="str">
        <f>IF(J826&gt;0,J826*0.453592,IF(K826&gt;0,K826*0.02835,))</f>
        <v>#REF!</v>
      </c>
      <c r="O826">
        <f>I826+N826+M826</f>
        <v>0</v>
      </c>
      <c r="P826">
        <f>O826*B$3</f>
        <v>0</v>
      </c>
      <c r="Q826">
        <f>ROUND(SUM(P826), -2)</f>
        <v>0</v>
      </c>
      <c r="R826" t="str">
        <f>ROUNDUP(HLOOKUP(IF(CEILING(L826,0.5)&lt;1,0.5,CEILING(L826,0.5)),'배송비 조회'!A$44:AO$56,7,0)*B$3,-2)</f>
        <v>#REF!</v>
      </c>
      <c r="S826">
        <v>0</v>
      </c>
      <c r="T826" t="str">
        <f>ROUND((Q826+R826)*0.3,-2)</f>
        <v>#REF!</v>
      </c>
      <c r="U826" t="str">
        <f>ROUND((Q826+R826)*0.4,-2)</f>
        <v>#REF!</v>
      </c>
      <c r="V826" t="str">
        <f>SUM(Q826:R826)+T826</f>
        <v>#REF!</v>
      </c>
      <c r="W826" t="str">
        <f>SUM(Q826:S826)+U826</f>
        <v>#REF!</v>
      </c>
      <c r="X826">
        <v>0</v>
      </c>
      <c r="Y826" t="str">
        <f>V826*0.038</f>
        <v>#REF!</v>
      </c>
      <c r="Z826" t="str">
        <f>V826*0.02</f>
        <v>#REF!</v>
      </c>
      <c r="AA826" t="str">
        <f>W826*0.1</f>
        <v>#REF!</v>
      </c>
      <c r="AB826" t="str">
        <f>V826-Y826-Z826</f>
        <v>#REF!</v>
      </c>
      <c r="AC826" t="str">
        <f>W826-AA826</f>
        <v>#REF!</v>
      </c>
      <c r="AD826" t="str">
        <f>AB826*0.01</f>
        <v>#REF!</v>
      </c>
      <c r="AE826" t="str">
        <f>AB826-Q826-AD826-R826</f>
        <v>#REF!</v>
      </c>
      <c r="AF826" t="str">
        <f>AC826-Q826-AD826-R826</f>
        <v>#REF!</v>
      </c>
      <c r="AG826" t="str">
        <f>AE826/V826</f>
        <v>#REF!</v>
      </c>
      <c r="AH826" t="str">
        <f>AF826/W826</f>
        <v>#REF!</v>
      </c>
    </row>
    <row r="827">
      <c r="G827" t="str">
        <v>A</v>
      </c>
      <c r="J827" t="str">
        <f>IF(K827&gt;0,K827*0.0625,IF(L827&gt;0,L827*2.204623,))</f>
        <v>#REF!</v>
      </c>
      <c r="K827" t="str">
        <f>IF(L827&gt;0,L827*35.273962,IF(J827&gt;0,J827*16,))</f>
        <v>#REF!</v>
      </c>
      <c r="L827" t="str">
        <f>IF(J827&gt;0,J827*0.453592,IF(K827&gt;0,K827*0.02835,))</f>
        <v>#REF!</v>
      </c>
      <c r="O827">
        <f>I827+N827+M827</f>
        <v>0</v>
      </c>
      <c r="P827">
        <f>O827*B$3</f>
        <v>0</v>
      </c>
      <c r="Q827">
        <f>ROUND(SUM(P827), -2)</f>
        <v>0</v>
      </c>
      <c r="R827" t="str">
        <f>ROUNDUP(HLOOKUP(IF(CEILING(L827,0.5)&lt;1,0.5,CEILING(L827,0.5)),'배송비 조회'!A$44:AO$56,7,0)*B$3,-2)</f>
        <v>#REF!</v>
      </c>
      <c r="S827">
        <v>0</v>
      </c>
      <c r="T827" t="str">
        <f>ROUND((Q827+R827)*0.3,-2)</f>
        <v>#REF!</v>
      </c>
      <c r="U827" t="str">
        <f>ROUND((Q827+R827)*0.4,-2)</f>
        <v>#REF!</v>
      </c>
      <c r="V827" t="str">
        <f>SUM(Q827:R827)+T827</f>
        <v>#REF!</v>
      </c>
      <c r="W827" t="str">
        <f>SUM(Q827:S827)+U827</f>
        <v>#REF!</v>
      </c>
      <c r="X827">
        <v>0</v>
      </c>
      <c r="Y827" t="str">
        <f>V827*0.038</f>
        <v>#REF!</v>
      </c>
      <c r="Z827" t="str">
        <f>V827*0.02</f>
        <v>#REF!</v>
      </c>
      <c r="AA827" t="str">
        <f>W827*0.1</f>
        <v>#REF!</v>
      </c>
      <c r="AB827" t="str">
        <f>V827-Y827-Z827</f>
        <v>#REF!</v>
      </c>
      <c r="AC827" t="str">
        <f>W827-AA827</f>
        <v>#REF!</v>
      </c>
      <c r="AD827" t="str">
        <f>AB827*0.01</f>
        <v>#REF!</v>
      </c>
      <c r="AE827" t="str">
        <f>AB827-Q827-AD827-R827</f>
        <v>#REF!</v>
      </c>
      <c r="AF827" t="str">
        <f>AC827-Q827-AD827-R827</f>
        <v>#REF!</v>
      </c>
      <c r="AG827" t="str">
        <f>AE827/V827</f>
        <v>#REF!</v>
      </c>
      <c r="AH827" t="str">
        <f>AF827/W827</f>
        <v>#REF!</v>
      </c>
    </row>
    <row r="828">
      <c r="G828" t="str">
        <v>A</v>
      </c>
      <c r="J828" t="str">
        <f>IF(K828&gt;0,K828*0.0625,IF(L828&gt;0,L828*2.204623,))</f>
        <v>#REF!</v>
      </c>
      <c r="K828" t="str">
        <f>IF(L828&gt;0,L828*35.273962,IF(J828&gt;0,J828*16,))</f>
        <v>#REF!</v>
      </c>
      <c r="L828" t="str">
        <f>IF(J828&gt;0,J828*0.453592,IF(K828&gt;0,K828*0.02835,))</f>
        <v>#REF!</v>
      </c>
      <c r="O828">
        <f>I828+N828+M828</f>
        <v>0</v>
      </c>
      <c r="P828">
        <f>O828*B$3</f>
        <v>0</v>
      </c>
      <c r="Q828">
        <f>ROUND(SUM(P828), -2)</f>
        <v>0</v>
      </c>
      <c r="R828" t="str">
        <f>ROUNDUP(HLOOKUP(IF(CEILING(L828,0.5)&lt;1,0.5,CEILING(L828,0.5)),'배송비 조회'!A$44:AO$56,7,0)*B$3,-2)</f>
        <v>#REF!</v>
      </c>
      <c r="S828">
        <v>0</v>
      </c>
      <c r="T828" t="str">
        <f>ROUND((Q828+R828)*0.3,-2)</f>
        <v>#REF!</v>
      </c>
      <c r="U828" t="str">
        <f>ROUND((Q828+R828)*0.4,-2)</f>
        <v>#REF!</v>
      </c>
      <c r="V828" t="str">
        <f>SUM(Q828:R828)+T828</f>
        <v>#REF!</v>
      </c>
      <c r="W828" t="str">
        <f>SUM(Q828:S828)+U828</f>
        <v>#REF!</v>
      </c>
      <c r="X828">
        <v>0</v>
      </c>
      <c r="Y828" t="str">
        <f>V828*0.038</f>
        <v>#REF!</v>
      </c>
      <c r="Z828" t="str">
        <f>V828*0.02</f>
        <v>#REF!</v>
      </c>
      <c r="AA828" t="str">
        <f>W828*0.1</f>
        <v>#REF!</v>
      </c>
      <c r="AB828" t="str">
        <f>V828-Y828-Z828</f>
        <v>#REF!</v>
      </c>
      <c r="AC828" t="str">
        <f>W828-AA828</f>
        <v>#REF!</v>
      </c>
      <c r="AD828" t="str">
        <f>AB828*0.01</f>
        <v>#REF!</v>
      </c>
      <c r="AE828" t="str">
        <f>AB828-Q828-AD828-R828</f>
        <v>#REF!</v>
      </c>
      <c r="AF828" t="str">
        <f>AC828-Q828-AD828-R828</f>
        <v>#REF!</v>
      </c>
      <c r="AG828" t="str">
        <f>AE828/V828</f>
        <v>#REF!</v>
      </c>
      <c r="AH828" t="str">
        <f>AF828/W828</f>
        <v>#REF!</v>
      </c>
    </row>
    <row r="829">
      <c r="G829" t="str">
        <v>A</v>
      </c>
      <c r="J829" t="str">
        <f>IF(K829&gt;0,K829*0.0625,IF(L829&gt;0,L829*2.204623,))</f>
        <v>#REF!</v>
      </c>
      <c r="K829" t="str">
        <f>IF(L829&gt;0,L829*35.273962,IF(J829&gt;0,J829*16,))</f>
        <v>#REF!</v>
      </c>
      <c r="L829" t="str">
        <f>IF(J829&gt;0,J829*0.453592,IF(K829&gt;0,K829*0.02835,))</f>
        <v>#REF!</v>
      </c>
      <c r="O829">
        <f>I829+N829+M829</f>
        <v>0</v>
      </c>
      <c r="P829">
        <f>O829*B$3</f>
        <v>0</v>
      </c>
      <c r="Q829">
        <f>ROUND(SUM(P829), -2)</f>
        <v>0</v>
      </c>
      <c r="R829" t="str">
        <f>ROUNDUP(HLOOKUP(IF(CEILING(L829,0.5)&lt;1,0.5,CEILING(L829,0.5)),'배송비 조회'!A$44:AO$56,7,0)*B$3,-2)</f>
        <v>#REF!</v>
      </c>
      <c r="S829">
        <v>0</v>
      </c>
      <c r="T829" t="str">
        <f>ROUND((Q829+R829)*0.3,-2)</f>
        <v>#REF!</v>
      </c>
      <c r="U829" t="str">
        <f>ROUND((Q829+R829)*0.4,-2)</f>
        <v>#REF!</v>
      </c>
      <c r="V829" t="str">
        <f>SUM(Q829:R829)+T829</f>
        <v>#REF!</v>
      </c>
      <c r="W829" t="str">
        <f>SUM(Q829:S829)+U829</f>
        <v>#REF!</v>
      </c>
      <c r="X829">
        <v>0</v>
      </c>
      <c r="Y829" t="str">
        <f>V829*0.038</f>
        <v>#REF!</v>
      </c>
      <c r="Z829" t="str">
        <f>V829*0.02</f>
        <v>#REF!</v>
      </c>
      <c r="AA829" t="str">
        <f>W829*0.1</f>
        <v>#REF!</v>
      </c>
      <c r="AB829" t="str">
        <f>V829-Y829-Z829</f>
        <v>#REF!</v>
      </c>
      <c r="AC829" t="str">
        <f>W829-AA829</f>
        <v>#REF!</v>
      </c>
      <c r="AD829" t="str">
        <f>AB829*0.01</f>
        <v>#REF!</v>
      </c>
      <c r="AE829" t="str">
        <f>AB829-Q829-AD829-R829</f>
        <v>#REF!</v>
      </c>
      <c r="AF829" t="str">
        <f>AC829-Q829-AD829-R829</f>
        <v>#REF!</v>
      </c>
      <c r="AG829" t="str">
        <f>AE829/V829</f>
        <v>#REF!</v>
      </c>
      <c r="AH829" t="str">
        <f>AF829/W829</f>
        <v>#REF!</v>
      </c>
    </row>
    <row r="830">
      <c r="G830" t="str">
        <v>A</v>
      </c>
      <c r="J830" t="str">
        <f>IF(K830&gt;0,K830*0.0625,IF(L830&gt;0,L830*2.204623,))</f>
        <v>#REF!</v>
      </c>
      <c r="K830" t="str">
        <f>IF(L830&gt;0,L830*35.273962,IF(J830&gt;0,J830*16,))</f>
        <v>#REF!</v>
      </c>
      <c r="L830" t="str">
        <f>IF(J830&gt;0,J830*0.453592,IF(K830&gt;0,K830*0.02835,))</f>
        <v>#REF!</v>
      </c>
      <c r="O830">
        <f>I830+N830+M830</f>
        <v>0</v>
      </c>
      <c r="P830">
        <f>O830*B$3</f>
        <v>0</v>
      </c>
      <c r="Q830">
        <f>ROUND(SUM(P830), -2)</f>
        <v>0</v>
      </c>
      <c r="R830" t="str">
        <f>ROUNDUP(HLOOKUP(IF(CEILING(L830,0.5)&lt;1,0.5,CEILING(L830,0.5)),'배송비 조회'!A$44:AO$56,7,0)*B$3,-2)</f>
        <v>#REF!</v>
      </c>
      <c r="S830">
        <v>0</v>
      </c>
      <c r="T830" t="str">
        <f>ROUND((Q830+R830)*0.3,-2)</f>
        <v>#REF!</v>
      </c>
      <c r="U830" t="str">
        <f>ROUND((Q830+R830)*0.4,-2)</f>
        <v>#REF!</v>
      </c>
      <c r="V830" t="str">
        <f>SUM(Q830:R830)+T830</f>
        <v>#REF!</v>
      </c>
      <c r="W830" t="str">
        <f>SUM(Q830:S830)+U830</f>
        <v>#REF!</v>
      </c>
      <c r="X830">
        <v>0</v>
      </c>
      <c r="Y830" t="str">
        <f>V830*0.038</f>
        <v>#REF!</v>
      </c>
      <c r="Z830" t="str">
        <f>V830*0.02</f>
        <v>#REF!</v>
      </c>
      <c r="AA830" t="str">
        <f>W830*0.1</f>
        <v>#REF!</v>
      </c>
      <c r="AB830" t="str">
        <f>V830-Y830-Z830</f>
        <v>#REF!</v>
      </c>
      <c r="AC830" t="str">
        <f>W830-AA830</f>
        <v>#REF!</v>
      </c>
      <c r="AD830" t="str">
        <f>AB830*0.01</f>
        <v>#REF!</v>
      </c>
      <c r="AE830" t="str">
        <f>AB830-Q830-AD830-R830</f>
        <v>#REF!</v>
      </c>
      <c r="AF830" t="str">
        <f>AC830-Q830-AD830-R830</f>
        <v>#REF!</v>
      </c>
      <c r="AG830" t="str">
        <f>AE830/V830</f>
        <v>#REF!</v>
      </c>
      <c r="AH830" t="str">
        <f>AF830/W830</f>
        <v>#REF!</v>
      </c>
    </row>
    <row r="831">
      <c r="G831" t="str">
        <v>A</v>
      </c>
      <c r="J831" t="str">
        <f>IF(K831&gt;0,K831*0.0625,IF(L831&gt;0,L831*2.204623,))</f>
        <v>#REF!</v>
      </c>
      <c r="K831" t="str">
        <f>IF(L831&gt;0,L831*35.273962,IF(J831&gt;0,J831*16,))</f>
        <v>#REF!</v>
      </c>
      <c r="L831" t="str">
        <f>IF(J831&gt;0,J831*0.453592,IF(K831&gt;0,K831*0.02835,))</f>
        <v>#REF!</v>
      </c>
      <c r="O831">
        <f>I831+N831+M831</f>
        <v>0</v>
      </c>
      <c r="P831">
        <f>O831*B$3</f>
        <v>0</v>
      </c>
      <c r="Q831">
        <f>ROUND(SUM(P831), -2)</f>
        <v>0</v>
      </c>
      <c r="R831" t="str">
        <f>ROUNDUP(HLOOKUP(IF(CEILING(L831,0.5)&lt;1,0.5,CEILING(L831,0.5)),'배송비 조회'!A$44:AO$56,7,0)*B$3,-2)</f>
        <v>#REF!</v>
      </c>
      <c r="S831">
        <v>0</v>
      </c>
      <c r="T831" t="str">
        <f>ROUND((Q831+R831)*0.3,-2)</f>
        <v>#REF!</v>
      </c>
      <c r="U831" t="str">
        <f>ROUND((Q831+R831)*0.4,-2)</f>
        <v>#REF!</v>
      </c>
      <c r="V831" t="str">
        <f>SUM(Q831:R831)+T831</f>
        <v>#REF!</v>
      </c>
      <c r="W831" t="str">
        <f>SUM(Q831:S831)+U831</f>
        <v>#REF!</v>
      </c>
      <c r="X831">
        <v>0</v>
      </c>
      <c r="Y831" t="str">
        <f>V831*0.038</f>
        <v>#REF!</v>
      </c>
      <c r="Z831" t="str">
        <f>V831*0.02</f>
        <v>#REF!</v>
      </c>
      <c r="AA831" t="str">
        <f>W831*0.1</f>
        <v>#REF!</v>
      </c>
      <c r="AB831" t="str">
        <f>V831-Y831-Z831</f>
        <v>#REF!</v>
      </c>
      <c r="AC831" t="str">
        <f>W831-AA831</f>
        <v>#REF!</v>
      </c>
      <c r="AD831" t="str">
        <f>AB831*0.01</f>
        <v>#REF!</v>
      </c>
      <c r="AE831" t="str">
        <f>AB831-Q831-AD831-R831</f>
        <v>#REF!</v>
      </c>
      <c r="AF831" t="str">
        <f>AC831-Q831-AD831-R831</f>
        <v>#REF!</v>
      </c>
      <c r="AG831" t="str">
        <f>AE831/V831</f>
        <v>#REF!</v>
      </c>
      <c r="AH831" t="str">
        <f>AF831/W831</f>
        <v>#REF!</v>
      </c>
    </row>
    <row r="832">
      <c r="G832" t="str">
        <v>A</v>
      </c>
      <c r="J832" t="str">
        <f>IF(K832&gt;0,K832*0.0625,IF(L832&gt;0,L832*2.204623,))</f>
        <v>#REF!</v>
      </c>
      <c r="K832" t="str">
        <f>IF(L832&gt;0,L832*35.273962,IF(J832&gt;0,J832*16,))</f>
        <v>#REF!</v>
      </c>
      <c r="L832" t="str">
        <f>IF(J832&gt;0,J832*0.453592,IF(K832&gt;0,K832*0.02835,))</f>
        <v>#REF!</v>
      </c>
      <c r="O832">
        <f>I832+N832+M832</f>
        <v>0</v>
      </c>
      <c r="P832">
        <f>O832*B$3</f>
        <v>0</v>
      </c>
      <c r="Q832">
        <f>ROUND(SUM(P832), -2)</f>
        <v>0</v>
      </c>
      <c r="R832" t="str">
        <f>ROUNDUP(HLOOKUP(IF(CEILING(L832,0.5)&lt;1,0.5,CEILING(L832,0.5)),'배송비 조회'!A$44:AO$56,7,0)*B$3,-2)</f>
        <v>#REF!</v>
      </c>
      <c r="S832">
        <v>0</v>
      </c>
      <c r="T832" t="str">
        <f>ROUND((Q832+R832)*0.3,-2)</f>
        <v>#REF!</v>
      </c>
      <c r="U832" t="str">
        <f>ROUND((Q832+R832)*0.4,-2)</f>
        <v>#REF!</v>
      </c>
      <c r="V832" t="str">
        <f>SUM(Q832:R832)+T832</f>
        <v>#REF!</v>
      </c>
      <c r="W832" t="str">
        <f>SUM(Q832:S832)+U832</f>
        <v>#REF!</v>
      </c>
      <c r="X832">
        <v>0</v>
      </c>
      <c r="Y832" t="str">
        <f>V832*0.038</f>
        <v>#REF!</v>
      </c>
      <c r="Z832" t="str">
        <f>V832*0.02</f>
        <v>#REF!</v>
      </c>
      <c r="AA832" t="str">
        <f>W832*0.1</f>
        <v>#REF!</v>
      </c>
      <c r="AB832" t="str">
        <f>V832-Y832-Z832</f>
        <v>#REF!</v>
      </c>
      <c r="AC832" t="str">
        <f>W832-AA832</f>
        <v>#REF!</v>
      </c>
      <c r="AD832" t="str">
        <f>AB832*0.01</f>
        <v>#REF!</v>
      </c>
      <c r="AE832" t="str">
        <f>AB832-Q832-AD832-R832</f>
        <v>#REF!</v>
      </c>
      <c r="AF832" t="str">
        <f>AC832-Q832-AD832-R832</f>
        <v>#REF!</v>
      </c>
      <c r="AG832" t="str">
        <f>AE832/V832</f>
        <v>#REF!</v>
      </c>
      <c r="AH832" t="str">
        <f>AF832/W832</f>
        <v>#REF!</v>
      </c>
    </row>
    <row r="833">
      <c r="G833" t="str">
        <v>A</v>
      </c>
      <c r="J833" t="str">
        <f>IF(K833&gt;0,K833*0.0625,IF(L833&gt;0,L833*2.204623,))</f>
        <v>#REF!</v>
      </c>
      <c r="K833" t="str">
        <f>IF(L833&gt;0,L833*35.273962,IF(J833&gt;0,J833*16,))</f>
        <v>#REF!</v>
      </c>
      <c r="L833" t="str">
        <f>IF(J833&gt;0,J833*0.453592,IF(K833&gt;0,K833*0.02835,))</f>
        <v>#REF!</v>
      </c>
      <c r="O833">
        <f>I833+N833+M833</f>
        <v>0</v>
      </c>
      <c r="P833">
        <f>O833*B$3</f>
        <v>0</v>
      </c>
      <c r="Q833">
        <f>ROUND(SUM(P833), -2)</f>
        <v>0</v>
      </c>
      <c r="R833" t="str">
        <f>ROUNDUP(HLOOKUP(IF(CEILING(L833,0.5)&lt;1,0.5,CEILING(L833,0.5)),'배송비 조회'!A$44:AO$56,7,0)*B$3,-2)</f>
        <v>#REF!</v>
      </c>
      <c r="S833">
        <v>0</v>
      </c>
      <c r="T833" t="str">
        <f>ROUND((Q833+R833)*0.3,-2)</f>
        <v>#REF!</v>
      </c>
      <c r="U833" t="str">
        <f>ROUND((Q833+R833)*0.4,-2)</f>
        <v>#REF!</v>
      </c>
      <c r="V833" t="str">
        <f>SUM(Q833:R833)+T833</f>
        <v>#REF!</v>
      </c>
      <c r="W833" t="str">
        <f>SUM(Q833:S833)+U833</f>
        <v>#REF!</v>
      </c>
      <c r="X833">
        <v>0</v>
      </c>
      <c r="Y833" t="str">
        <f>V833*0.038</f>
        <v>#REF!</v>
      </c>
      <c r="Z833" t="str">
        <f>V833*0.02</f>
        <v>#REF!</v>
      </c>
      <c r="AA833" t="str">
        <f>W833*0.1</f>
        <v>#REF!</v>
      </c>
      <c r="AB833" t="str">
        <f>V833-Y833-Z833</f>
        <v>#REF!</v>
      </c>
      <c r="AC833" t="str">
        <f>W833-AA833</f>
        <v>#REF!</v>
      </c>
      <c r="AD833" t="str">
        <f>AB833*0.01</f>
        <v>#REF!</v>
      </c>
      <c r="AE833" t="str">
        <f>AB833-Q833-AD833-R833</f>
        <v>#REF!</v>
      </c>
      <c r="AF833" t="str">
        <f>AC833-Q833-AD833-R833</f>
        <v>#REF!</v>
      </c>
      <c r="AG833" t="str">
        <f>AE833/V833</f>
        <v>#REF!</v>
      </c>
      <c r="AH833" t="str">
        <f>AF833/W833</f>
        <v>#REF!</v>
      </c>
    </row>
    <row r="834">
      <c r="G834" t="str">
        <v>A</v>
      </c>
      <c r="J834" t="str">
        <f>IF(K834&gt;0,K834*0.0625,IF(L834&gt;0,L834*2.204623,))</f>
        <v>#REF!</v>
      </c>
      <c r="K834" t="str">
        <f>IF(L834&gt;0,L834*35.273962,IF(J834&gt;0,J834*16,))</f>
        <v>#REF!</v>
      </c>
      <c r="L834" t="str">
        <f>IF(J834&gt;0,J834*0.453592,IF(K834&gt;0,K834*0.02835,))</f>
        <v>#REF!</v>
      </c>
      <c r="O834">
        <f>I834+N834+M834</f>
        <v>0</v>
      </c>
      <c r="P834">
        <f>O834*B$3</f>
        <v>0</v>
      </c>
      <c r="Q834">
        <f>ROUND(SUM(P834), -2)</f>
        <v>0</v>
      </c>
      <c r="R834" t="str">
        <f>ROUNDUP(HLOOKUP(IF(CEILING(L834,0.5)&lt;1,0.5,CEILING(L834,0.5)),'배송비 조회'!A$44:AO$56,7,0)*B$3,-2)</f>
        <v>#REF!</v>
      </c>
      <c r="S834">
        <v>0</v>
      </c>
      <c r="T834" t="str">
        <f>ROUND((Q834+R834)*0.3,-2)</f>
        <v>#REF!</v>
      </c>
      <c r="U834" t="str">
        <f>ROUND((Q834+R834)*0.4,-2)</f>
        <v>#REF!</v>
      </c>
      <c r="V834" t="str">
        <f>SUM(Q834:R834)+T834</f>
        <v>#REF!</v>
      </c>
      <c r="W834" t="str">
        <f>SUM(Q834:S834)+U834</f>
        <v>#REF!</v>
      </c>
      <c r="X834">
        <v>0</v>
      </c>
      <c r="Y834" t="str">
        <f>V834*0.038</f>
        <v>#REF!</v>
      </c>
      <c r="Z834" t="str">
        <f>V834*0.02</f>
        <v>#REF!</v>
      </c>
      <c r="AA834" t="str">
        <f>W834*0.1</f>
        <v>#REF!</v>
      </c>
      <c r="AB834" t="str">
        <f>V834-Y834-Z834</f>
        <v>#REF!</v>
      </c>
      <c r="AC834" t="str">
        <f>W834-AA834</f>
        <v>#REF!</v>
      </c>
      <c r="AD834" t="str">
        <f>AB834*0.01</f>
        <v>#REF!</v>
      </c>
      <c r="AE834" t="str">
        <f>AB834-Q834-AD834-R834</f>
        <v>#REF!</v>
      </c>
      <c r="AF834" t="str">
        <f>AC834-Q834-AD834-R834</f>
        <v>#REF!</v>
      </c>
      <c r="AG834" t="str">
        <f>AE834/V834</f>
        <v>#REF!</v>
      </c>
      <c r="AH834" t="str">
        <f>AF834/W834</f>
        <v>#REF!</v>
      </c>
    </row>
    <row r="835">
      <c r="G835" t="str">
        <v>A</v>
      </c>
      <c r="J835" t="str">
        <f>IF(K835&gt;0,K835*0.0625,IF(L835&gt;0,L835*2.204623,))</f>
        <v>#REF!</v>
      </c>
      <c r="K835" t="str">
        <f>IF(L835&gt;0,L835*35.273962,IF(J835&gt;0,J835*16,))</f>
        <v>#REF!</v>
      </c>
      <c r="L835" t="str">
        <f>IF(J835&gt;0,J835*0.453592,IF(K835&gt;0,K835*0.02835,))</f>
        <v>#REF!</v>
      </c>
      <c r="O835">
        <f>I835+N835+M835</f>
        <v>0</v>
      </c>
      <c r="P835">
        <f>O835*B$3</f>
        <v>0</v>
      </c>
      <c r="Q835">
        <f>ROUND(SUM(P835), -2)</f>
        <v>0</v>
      </c>
      <c r="R835" t="str">
        <f>ROUNDUP(HLOOKUP(IF(CEILING(L835,0.5)&lt;1,0.5,CEILING(L835,0.5)),'배송비 조회'!A$44:AO$56,7,0)*B$3,-2)</f>
        <v>#REF!</v>
      </c>
      <c r="S835">
        <v>0</v>
      </c>
      <c r="T835" t="str">
        <f>ROUND((Q835+R835)*0.3,-2)</f>
        <v>#REF!</v>
      </c>
      <c r="U835" t="str">
        <f>ROUND((Q835+R835)*0.4,-2)</f>
        <v>#REF!</v>
      </c>
      <c r="V835" t="str">
        <f>SUM(Q835:R835)+T835</f>
        <v>#REF!</v>
      </c>
      <c r="W835" t="str">
        <f>SUM(Q835:S835)+U835</f>
        <v>#REF!</v>
      </c>
      <c r="X835">
        <v>0</v>
      </c>
      <c r="Y835" t="str">
        <f>V835*0.038</f>
        <v>#REF!</v>
      </c>
      <c r="Z835" t="str">
        <f>V835*0.02</f>
        <v>#REF!</v>
      </c>
      <c r="AA835" t="str">
        <f>W835*0.1</f>
        <v>#REF!</v>
      </c>
      <c r="AB835" t="str">
        <f>V835-Y835-Z835</f>
        <v>#REF!</v>
      </c>
      <c r="AC835" t="str">
        <f>W835-AA835</f>
        <v>#REF!</v>
      </c>
      <c r="AD835" t="str">
        <f>AB835*0.01</f>
        <v>#REF!</v>
      </c>
      <c r="AE835" t="str">
        <f>AB835-Q835-AD835-R835</f>
        <v>#REF!</v>
      </c>
      <c r="AF835" t="str">
        <f>AC835-Q835-AD835-R835</f>
        <v>#REF!</v>
      </c>
      <c r="AG835" t="str">
        <f>AE835/V835</f>
        <v>#REF!</v>
      </c>
      <c r="AH835" t="str">
        <f>AF835/W835</f>
        <v>#REF!</v>
      </c>
    </row>
    <row r="836">
      <c r="G836" t="str">
        <v>A</v>
      </c>
      <c r="J836" t="str">
        <f>IF(K836&gt;0,K836*0.0625,IF(L836&gt;0,L836*2.204623,))</f>
        <v>#REF!</v>
      </c>
      <c r="K836" t="str">
        <f>IF(L836&gt;0,L836*35.273962,IF(J836&gt;0,J836*16,))</f>
        <v>#REF!</v>
      </c>
      <c r="L836" t="str">
        <f>IF(J836&gt;0,J836*0.453592,IF(K836&gt;0,K836*0.02835,))</f>
        <v>#REF!</v>
      </c>
      <c r="O836">
        <f>I836+N836+M836</f>
        <v>0</v>
      </c>
      <c r="P836">
        <f>O836*B$3</f>
        <v>0</v>
      </c>
      <c r="Q836">
        <f>ROUND(SUM(P836), -2)</f>
        <v>0</v>
      </c>
      <c r="R836" t="str">
        <f>ROUNDUP(HLOOKUP(IF(CEILING(L836,0.5)&lt;1,0.5,CEILING(L836,0.5)),'배송비 조회'!A$44:AO$56,7,0)*B$3,-2)</f>
        <v>#REF!</v>
      </c>
      <c r="S836">
        <v>0</v>
      </c>
      <c r="T836" t="str">
        <f>ROUND((Q836+R836)*0.3,-2)</f>
        <v>#REF!</v>
      </c>
      <c r="U836" t="str">
        <f>ROUND((Q836+R836)*0.4,-2)</f>
        <v>#REF!</v>
      </c>
      <c r="V836" t="str">
        <f>SUM(Q836:R836)+T836</f>
        <v>#REF!</v>
      </c>
      <c r="W836" t="str">
        <f>SUM(Q836:S836)+U836</f>
        <v>#REF!</v>
      </c>
      <c r="X836">
        <v>0</v>
      </c>
      <c r="Y836" t="str">
        <f>V836*0.038</f>
        <v>#REF!</v>
      </c>
      <c r="Z836" t="str">
        <f>V836*0.02</f>
        <v>#REF!</v>
      </c>
      <c r="AA836" t="str">
        <f>W836*0.1</f>
        <v>#REF!</v>
      </c>
      <c r="AB836" t="str">
        <f>V836-Y836-Z836</f>
        <v>#REF!</v>
      </c>
      <c r="AC836" t="str">
        <f>W836-AA836</f>
        <v>#REF!</v>
      </c>
      <c r="AD836" t="str">
        <f>AB836*0.01</f>
        <v>#REF!</v>
      </c>
      <c r="AE836" t="str">
        <f>AB836-Q836-AD836-R836</f>
        <v>#REF!</v>
      </c>
      <c r="AF836" t="str">
        <f>AC836-Q836-AD836-R836</f>
        <v>#REF!</v>
      </c>
      <c r="AG836" t="str">
        <f>AE836/V836</f>
        <v>#REF!</v>
      </c>
      <c r="AH836" t="str">
        <f>AF836/W836</f>
        <v>#REF!</v>
      </c>
    </row>
    <row r="837">
      <c r="G837" t="str">
        <v>A</v>
      </c>
      <c r="J837" t="str">
        <f>IF(K837&gt;0,K837*0.0625,IF(L837&gt;0,L837*2.204623,))</f>
        <v>#REF!</v>
      </c>
      <c r="K837" t="str">
        <f>IF(L837&gt;0,L837*35.273962,IF(J837&gt;0,J837*16,))</f>
        <v>#REF!</v>
      </c>
      <c r="L837" t="str">
        <f>IF(J837&gt;0,J837*0.453592,IF(K837&gt;0,K837*0.02835,))</f>
        <v>#REF!</v>
      </c>
      <c r="O837">
        <f>I837+N837+M837</f>
        <v>0</v>
      </c>
      <c r="P837">
        <f>O837*B$3</f>
        <v>0</v>
      </c>
      <c r="Q837">
        <f>ROUND(SUM(P837), -2)</f>
        <v>0</v>
      </c>
      <c r="R837" t="str">
        <f>ROUNDUP(HLOOKUP(IF(CEILING(L837,0.5)&lt;1,0.5,CEILING(L837,0.5)),'배송비 조회'!A$44:AO$56,7,0)*B$3,-2)</f>
        <v>#REF!</v>
      </c>
      <c r="S837">
        <v>0</v>
      </c>
      <c r="T837" t="str">
        <f>ROUND((Q837+R837)*0.3,-2)</f>
        <v>#REF!</v>
      </c>
      <c r="U837" t="str">
        <f>ROUND((Q837+R837)*0.4,-2)</f>
        <v>#REF!</v>
      </c>
      <c r="V837" t="str">
        <f>SUM(Q837:R837)+T837</f>
        <v>#REF!</v>
      </c>
      <c r="W837" t="str">
        <f>SUM(Q837:S837)+U837</f>
        <v>#REF!</v>
      </c>
      <c r="X837">
        <v>0</v>
      </c>
      <c r="Y837" t="str">
        <f>V837*0.038</f>
        <v>#REF!</v>
      </c>
      <c r="Z837" t="str">
        <f>V837*0.02</f>
        <v>#REF!</v>
      </c>
      <c r="AA837" t="str">
        <f>W837*0.1</f>
        <v>#REF!</v>
      </c>
      <c r="AB837" t="str">
        <f>V837-Y837-Z837</f>
        <v>#REF!</v>
      </c>
      <c r="AC837" t="str">
        <f>W837-AA837</f>
        <v>#REF!</v>
      </c>
      <c r="AD837" t="str">
        <f>AB837*0.01</f>
        <v>#REF!</v>
      </c>
      <c r="AE837" t="str">
        <f>AB837-Q837-AD837-R837</f>
        <v>#REF!</v>
      </c>
      <c r="AF837" t="str">
        <f>AC837-Q837-AD837-R837</f>
        <v>#REF!</v>
      </c>
      <c r="AG837" t="str">
        <f>AE837/V837</f>
        <v>#REF!</v>
      </c>
      <c r="AH837" t="str">
        <f>AF837/W837</f>
        <v>#REF!</v>
      </c>
    </row>
    <row r="838">
      <c r="G838" t="str">
        <v>A</v>
      </c>
      <c r="J838" t="str">
        <f>IF(K838&gt;0,K838*0.0625,IF(L838&gt;0,L838*2.204623,))</f>
        <v>#REF!</v>
      </c>
      <c r="K838" t="str">
        <f>IF(L838&gt;0,L838*35.273962,IF(J838&gt;0,J838*16,))</f>
        <v>#REF!</v>
      </c>
      <c r="L838" t="str">
        <f>IF(J838&gt;0,J838*0.453592,IF(K838&gt;0,K838*0.02835,))</f>
        <v>#REF!</v>
      </c>
      <c r="O838">
        <f>I838+N838+M838</f>
        <v>0</v>
      </c>
      <c r="P838">
        <f>O838*B$3</f>
        <v>0</v>
      </c>
      <c r="Q838">
        <f>ROUND(SUM(P838), -2)</f>
        <v>0</v>
      </c>
      <c r="R838" t="str">
        <f>ROUNDUP(HLOOKUP(IF(CEILING(L838,0.5)&lt;1,0.5,CEILING(L838,0.5)),'배송비 조회'!A$44:AO$56,7,0)*B$3,-2)</f>
        <v>#REF!</v>
      </c>
      <c r="S838">
        <v>0</v>
      </c>
      <c r="T838" t="str">
        <f>ROUND((Q838+R838)*0.3,-2)</f>
        <v>#REF!</v>
      </c>
      <c r="U838" t="str">
        <f>ROUND((Q838+R838)*0.4,-2)</f>
        <v>#REF!</v>
      </c>
      <c r="V838" t="str">
        <f>SUM(Q838:R838)+T838</f>
        <v>#REF!</v>
      </c>
      <c r="W838" t="str">
        <f>SUM(Q838:S838)+U838</f>
        <v>#REF!</v>
      </c>
      <c r="X838">
        <v>0</v>
      </c>
      <c r="Y838" t="str">
        <f>V838*0.038</f>
        <v>#REF!</v>
      </c>
      <c r="Z838" t="str">
        <f>V838*0.02</f>
        <v>#REF!</v>
      </c>
      <c r="AA838" t="str">
        <f>W838*0.1</f>
        <v>#REF!</v>
      </c>
      <c r="AB838" t="str">
        <f>V838-Y838-Z838</f>
        <v>#REF!</v>
      </c>
      <c r="AC838" t="str">
        <f>W838-AA838</f>
        <v>#REF!</v>
      </c>
      <c r="AD838" t="str">
        <f>AB838*0.01</f>
        <v>#REF!</v>
      </c>
      <c r="AE838" t="str">
        <f>AB838-Q838-AD838-R838</f>
        <v>#REF!</v>
      </c>
      <c r="AF838" t="str">
        <f>AC838-Q838-AD838-R838</f>
        <v>#REF!</v>
      </c>
      <c r="AG838" t="str">
        <f>AE838/V838</f>
        <v>#REF!</v>
      </c>
      <c r="AH838" t="str">
        <f>AF838/W838</f>
        <v>#REF!</v>
      </c>
    </row>
    <row r="839">
      <c r="G839" t="str">
        <v>A</v>
      </c>
      <c r="J839" t="str">
        <f>IF(K839&gt;0,K839*0.0625,IF(L839&gt;0,L839*2.204623,))</f>
        <v>#REF!</v>
      </c>
      <c r="K839" t="str">
        <f>IF(L839&gt;0,L839*35.273962,IF(J839&gt;0,J839*16,))</f>
        <v>#REF!</v>
      </c>
      <c r="L839" t="str">
        <f>IF(J839&gt;0,J839*0.453592,IF(K839&gt;0,K839*0.02835,))</f>
        <v>#REF!</v>
      </c>
      <c r="O839">
        <f>I839+N839+M839</f>
        <v>0</v>
      </c>
      <c r="P839">
        <f>O839*B$3</f>
        <v>0</v>
      </c>
      <c r="Q839">
        <f>ROUND(SUM(P839), -2)</f>
        <v>0</v>
      </c>
      <c r="R839" t="str">
        <f>ROUNDUP(HLOOKUP(IF(CEILING(L839,0.5)&lt;1,0.5,CEILING(L839,0.5)),'배송비 조회'!A$44:AO$56,7,0)*B$3,-2)</f>
        <v>#REF!</v>
      </c>
      <c r="S839">
        <v>0</v>
      </c>
      <c r="T839" t="str">
        <f>ROUND((Q839+R839)*0.3,-2)</f>
        <v>#REF!</v>
      </c>
      <c r="U839" t="str">
        <f>ROUND((Q839+R839)*0.4,-2)</f>
        <v>#REF!</v>
      </c>
      <c r="V839" t="str">
        <f>SUM(Q839:R839)+T839</f>
        <v>#REF!</v>
      </c>
      <c r="W839" t="str">
        <f>SUM(Q839:S839)+U839</f>
        <v>#REF!</v>
      </c>
      <c r="X839">
        <v>0</v>
      </c>
      <c r="Y839" t="str">
        <f>V839*0.038</f>
        <v>#REF!</v>
      </c>
      <c r="Z839" t="str">
        <f>V839*0.02</f>
        <v>#REF!</v>
      </c>
      <c r="AA839" t="str">
        <f>W839*0.1</f>
        <v>#REF!</v>
      </c>
      <c r="AB839" t="str">
        <f>V839-Y839-Z839</f>
        <v>#REF!</v>
      </c>
      <c r="AC839" t="str">
        <f>W839-AA839</f>
        <v>#REF!</v>
      </c>
      <c r="AD839" t="str">
        <f>AB839*0.01</f>
        <v>#REF!</v>
      </c>
      <c r="AE839" t="str">
        <f>AB839-Q839-AD839-R839</f>
        <v>#REF!</v>
      </c>
      <c r="AF839" t="str">
        <f>AC839-Q839-AD839-R839</f>
        <v>#REF!</v>
      </c>
      <c r="AG839" t="str">
        <f>AE839/V839</f>
        <v>#REF!</v>
      </c>
      <c r="AH839" t="str">
        <f>AF839/W839</f>
        <v>#REF!</v>
      </c>
    </row>
    <row r="840">
      <c r="G840" t="str">
        <v>A</v>
      </c>
      <c r="J840" t="str">
        <f>IF(K840&gt;0,K840*0.0625,IF(L840&gt;0,L840*2.204623,))</f>
        <v>#REF!</v>
      </c>
      <c r="K840" t="str">
        <f>IF(L840&gt;0,L840*35.273962,IF(J840&gt;0,J840*16,))</f>
        <v>#REF!</v>
      </c>
      <c r="L840" t="str">
        <f>IF(J840&gt;0,J840*0.453592,IF(K840&gt;0,K840*0.02835,))</f>
        <v>#REF!</v>
      </c>
      <c r="O840">
        <f>I840+N840+M840</f>
        <v>0</v>
      </c>
      <c r="P840">
        <f>O840*B$3</f>
        <v>0</v>
      </c>
      <c r="Q840">
        <f>ROUND(SUM(P840), -2)</f>
        <v>0</v>
      </c>
      <c r="R840" t="str">
        <f>ROUNDUP(HLOOKUP(IF(CEILING(L840,0.5)&lt;1,0.5,CEILING(L840,0.5)),'배송비 조회'!A$44:AO$56,7,0)*B$3,-2)</f>
        <v>#REF!</v>
      </c>
      <c r="S840">
        <v>0</v>
      </c>
      <c r="T840" t="str">
        <f>ROUND((Q840+R840)*0.3,-2)</f>
        <v>#REF!</v>
      </c>
      <c r="U840" t="str">
        <f>ROUND((Q840+R840)*0.4,-2)</f>
        <v>#REF!</v>
      </c>
      <c r="V840" t="str">
        <f>SUM(Q840:R840)+T840</f>
        <v>#REF!</v>
      </c>
      <c r="W840" t="str">
        <f>SUM(Q840:S840)+U840</f>
        <v>#REF!</v>
      </c>
      <c r="X840">
        <v>0</v>
      </c>
      <c r="Y840" t="str">
        <f>V840*0.038</f>
        <v>#REF!</v>
      </c>
      <c r="Z840" t="str">
        <f>V840*0.02</f>
        <v>#REF!</v>
      </c>
      <c r="AA840" t="str">
        <f>W840*0.1</f>
        <v>#REF!</v>
      </c>
      <c r="AB840" t="str">
        <f>V840-Y840-Z840</f>
        <v>#REF!</v>
      </c>
      <c r="AC840" t="str">
        <f>W840-AA840</f>
        <v>#REF!</v>
      </c>
      <c r="AD840" t="str">
        <f>AB840*0.01</f>
        <v>#REF!</v>
      </c>
      <c r="AE840" t="str">
        <f>AB840-Q840-AD840-R840</f>
        <v>#REF!</v>
      </c>
      <c r="AF840" t="str">
        <f>AC840-Q840-AD840-R840</f>
        <v>#REF!</v>
      </c>
      <c r="AG840" t="str">
        <f>AE840/V840</f>
        <v>#REF!</v>
      </c>
      <c r="AH840" t="str">
        <f>AF840/W840</f>
        <v>#REF!</v>
      </c>
    </row>
    <row r="841">
      <c r="G841" t="str">
        <v>A</v>
      </c>
      <c r="J841" t="str">
        <f>IF(K841&gt;0,K841*0.0625,IF(L841&gt;0,L841*2.204623,))</f>
        <v>#REF!</v>
      </c>
      <c r="K841" t="str">
        <f>IF(L841&gt;0,L841*35.273962,IF(J841&gt;0,J841*16,))</f>
        <v>#REF!</v>
      </c>
      <c r="L841" t="str">
        <f>IF(J841&gt;0,J841*0.453592,IF(K841&gt;0,K841*0.02835,))</f>
        <v>#REF!</v>
      </c>
      <c r="O841">
        <f>I841+N841+M841</f>
        <v>0</v>
      </c>
      <c r="P841">
        <f>O841*B$3</f>
        <v>0</v>
      </c>
      <c r="Q841">
        <f>ROUND(SUM(P841), -2)</f>
        <v>0</v>
      </c>
      <c r="R841" t="str">
        <f>ROUNDUP(HLOOKUP(IF(CEILING(L841,0.5)&lt;1,0.5,CEILING(L841,0.5)),'배송비 조회'!A$44:AO$56,7,0)*B$3,-2)</f>
        <v>#REF!</v>
      </c>
      <c r="S841">
        <v>0</v>
      </c>
      <c r="T841" t="str">
        <f>ROUND((Q841+R841)*0.3,-2)</f>
        <v>#REF!</v>
      </c>
      <c r="U841" t="str">
        <f>ROUND((Q841+R841)*0.4,-2)</f>
        <v>#REF!</v>
      </c>
      <c r="V841" t="str">
        <f>SUM(Q841:R841)+T841</f>
        <v>#REF!</v>
      </c>
      <c r="W841" t="str">
        <f>SUM(Q841:S841)+U841</f>
        <v>#REF!</v>
      </c>
      <c r="X841">
        <v>0</v>
      </c>
      <c r="Y841" t="str">
        <f>V841*0.038</f>
        <v>#REF!</v>
      </c>
      <c r="Z841" t="str">
        <f>V841*0.02</f>
        <v>#REF!</v>
      </c>
      <c r="AA841" t="str">
        <f>W841*0.1</f>
        <v>#REF!</v>
      </c>
      <c r="AB841" t="str">
        <f>V841-Y841-Z841</f>
        <v>#REF!</v>
      </c>
      <c r="AC841" t="str">
        <f>W841-AA841</f>
        <v>#REF!</v>
      </c>
      <c r="AD841" t="str">
        <f>AB841*0.01</f>
        <v>#REF!</v>
      </c>
      <c r="AE841" t="str">
        <f>AB841-Q841-AD841-R841</f>
        <v>#REF!</v>
      </c>
      <c r="AF841" t="str">
        <f>AC841-Q841-AD841-R841</f>
        <v>#REF!</v>
      </c>
      <c r="AG841" t="str">
        <f>AE841/V841</f>
        <v>#REF!</v>
      </c>
      <c r="AH841" t="str">
        <f>AF841/W841</f>
        <v>#REF!</v>
      </c>
    </row>
    <row r="842">
      <c r="G842" t="str">
        <v>A</v>
      </c>
      <c r="J842" t="str">
        <f>IF(K842&gt;0,K842*0.0625,IF(L842&gt;0,L842*2.204623,))</f>
        <v>#REF!</v>
      </c>
      <c r="K842" t="str">
        <f>IF(L842&gt;0,L842*35.273962,IF(J842&gt;0,J842*16,))</f>
        <v>#REF!</v>
      </c>
      <c r="L842" t="str">
        <f>IF(J842&gt;0,J842*0.453592,IF(K842&gt;0,K842*0.02835,))</f>
        <v>#REF!</v>
      </c>
      <c r="O842">
        <f>I842+N842+M842</f>
        <v>0</v>
      </c>
      <c r="P842">
        <f>O842*B$3</f>
        <v>0</v>
      </c>
      <c r="Q842">
        <f>ROUND(SUM(P842), -2)</f>
        <v>0</v>
      </c>
      <c r="R842" t="str">
        <f>ROUNDUP(HLOOKUP(IF(CEILING(L842,0.5)&lt;1,0.5,CEILING(L842,0.5)),'배송비 조회'!A$44:AO$56,7,0)*B$3,-2)</f>
        <v>#REF!</v>
      </c>
      <c r="S842">
        <v>0</v>
      </c>
      <c r="T842" t="str">
        <f>ROUND((Q842+R842)*0.3,-2)</f>
        <v>#REF!</v>
      </c>
      <c r="U842" t="str">
        <f>ROUND((Q842+R842)*0.4,-2)</f>
        <v>#REF!</v>
      </c>
      <c r="V842" t="str">
        <f>SUM(Q842:R842)+T842</f>
        <v>#REF!</v>
      </c>
      <c r="W842" t="str">
        <f>SUM(Q842:S842)+U842</f>
        <v>#REF!</v>
      </c>
      <c r="X842">
        <v>0</v>
      </c>
      <c r="Y842" t="str">
        <f>V842*0.038</f>
        <v>#REF!</v>
      </c>
      <c r="Z842" t="str">
        <f>V842*0.02</f>
        <v>#REF!</v>
      </c>
      <c r="AA842" t="str">
        <f>W842*0.1</f>
        <v>#REF!</v>
      </c>
      <c r="AB842" t="str">
        <f>V842-Y842-Z842</f>
        <v>#REF!</v>
      </c>
      <c r="AC842" t="str">
        <f>W842-AA842</f>
        <v>#REF!</v>
      </c>
      <c r="AD842" t="str">
        <f>AB842*0.01</f>
        <v>#REF!</v>
      </c>
      <c r="AE842" t="str">
        <f>AB842-Q842-AD842-R842</f>
        <v>#REF!</v>
      </c>
      <c r="AF842" t="str">
        <f>AC842-Q842-AD842-R842</f>
        <v>#REF!</v>
      </c>
      <c r="AG842" t="str">
        <f>AE842/V842</f>
        <v>#REF!</v>
      </c>
      <c r="AH842" t="str">
        <f>AF842/W842</f>
        <v>#REF!</v>
      </c>
    </row>
    <row r="843">
      <c r="G843" t="str">
        <v>A</v>
      </c>
      <c r="J843" t="str">
        <f>IF(K843&gt;0,K843*0.0625,IF(L843&gt;0,L843*2.204623,))</f>
        <v>#REF!</v>
      </c>
      <c r="K843" t="str">
        <f>IF(L843&gt;0,L843*35.273962,IF(J843&gt;0,J843*16,))</f>
        <v>#REF!</v>
      </c>
      <c r="L843" t="str">
        <f>IF(J843&gt;0,J843*0.453592,IF(K843&gt;0,K843*0.02835,))</f>
        <v>#REF!</v>
      </c>
      <c r="O843">
        <f>I843+N843+M843</f>
        <v>0</v>
      </c>
      <c r="P843">
        <f>O843*B$3</f>
        <v>0</v>
      </c>
      <c r="Q843">
        <f>ROUND(SUM(P843), -2)</f>
        <v>0</v>
      </c>
      <c r="R843" t="str">
        <f>ROUNDUP(HLOOKUP(IF(CEILING(L843,0.5)&lt;1,0.5,CEILING(L843,0.5)),'배송비 조회'!A$44:AO$56,7,0)*B$3,-2)</f>
        <v>#REF!</v>
      </c>
      <c r="S843">
        <v>0</v>
      </c>
      <c r="T843" t="str">
        <f>ROUND((Q843+R843)*0.3,-2)</f>
        <v>#REF!</v>
      </c>
      <c r="U843" t="str">
        <f>ROUND((Q843+R843)*0.4,-2)</f>
        <v>#REF!</v>
      </c>
      <c r="V843" t="str">
        <f>SUM(Q843:R843)+T843</f>
        <v>#REF!</v>
      </c>
      <c r="W843" t="str">
        <f>SUM(Q843:S843)+U843</f>
        <v>#REF!</v>
      </c>
      <c r="X843">
        <v>0</v>
      </c>
      <c r="Y843" t="str">
        <f>V843*0.038</f>
        <v>#REF!</v>
      </c>
      <c r="Z843" t="str">
        <f>V843*0.02</f>
        <v>#REF!</v>
      </c>
      <c r="AA843" t="str">
        <f>W843*0.1</f>
        <v>#REF!</v>
      </c>
      <c r="AB843" t="str">
        <f>V843-Y843-Z843</f>
        <v>#REF!</v>
      </c>
      <c r="AC843" t="str">
        <f>W843-AA843</f>
        <v>#REF!</v>
      </c>
      <c r="AD843" t="str">
        <f>AB843*0.01</f>
        <v>#REF!</v>
      </c>
      <c r="AE843" t="str">
        <f>AB843-Q843-AD843-R843</f>
        <v>#REF!</v>
      </c>
      <c r="AF843" t="str">
        <f>AC843-Q843-AD843-R843</f>
        <v>#REF!</v>
      </c>
      <c r="AG843" t="str">
        <f>AE843/V843</f>
        <v>#REF!</v>
      </c>
      <c r="AH843" t="str">
        <f>AF843/W843</f>
        <v>#REF!</v>
      </c>
    </row>
    <row r="844">
      <c r="G844" t="str">
        <v>A</v>
      </c>
      <c r="J844" t="str">
        <f>IF(K844&gt;0,K844*0.0625,IF(L844&gt;0,L844*2.204623,))</f>
        <v>#REF!</v>
      </c>
      <c r="K844" t="str">
        <f>IF(L844&gt;0,L844*35.273962,IF(J844&gt;0,J844*16,))</f>
        <v>#REF!</v>
      </c>
      <c r="L844" t="str">
        <f>IF(J844&gt;0,J844*0.453592,IF(K844&gt;0,K844*0.02835,))</f>
        <v>#REF!</v>
      </c>
      <c r="O844">
        <f>I844+N844+M844</f>
        <v>0</v>
      </c>
      <c r="P844">
        <f>O844*B$3</f>
        <v>0</v>
      </c>
      <c r="Q844">
        <f>ROUND(SUM(P844), -2)</f>
        <v>0</v>
      </c>
      <c r="R844" t="str">
        <f>ROUNDUP(HLOOKUP(IF(CEILING(L844,0.5)&lt;1,0.5,CEILING(L844,0.5)),'배송비 조회'!A$44:AO$56,7,0)*B$3,-2)</f>
        <v>#REF!</v>
      </c>
      <c r="S844">
        <v>0</v>
      </c>
      <c r="T844" t="str">
        <f>ROUND((Q844+R844)*0.3,-2)</f>
        <v>#REF!</v>
      </c>
      <c r="U844" t="str">
        <f>ROUND((Q844+R844)*0.4,-2)</f>
        <v>#REF!</v>
      </c>
      <c r="V844" t="str">
        <f>SUM(Q844:R844)+T844</f>
        <v>#REF!</v>
      </c>
      <c r="W844" t="str">
        <f>SUM(Q844:S844)+U844</f>
        <v>#REF!</v>
      </c>
      <c r="X844">
        <v>0</v>
      </c>
      <c r="Y844" t="str">
        <f>V844*0.038</f>
        <v>#REF!</v>
      </c>
      <c r="Z844" t="str">
        <f>V844*0.02</f>
        <v>#REF!</v>
      </c>
      <c r="AA844" t="str">
        <f>W844*0.1</f>
        <v>#REF!</v>
      </c>
      <c r="AB844" t="str">
        <f>V844-Y844-Z844</f>
        <v>#REF!</v>
      </c>
      <c r="AC844" t="str">
        <f>W844-AA844</f>
        <v>#REF!</v>
      </c>
      <c r="AD844" t="str">
        <f>AB844*0.01</f>
        <v>#REF!</v>
      </c>
      <c r="AE844" t="str">
        <f>AB844-Q844-AD844-R844</f>
        <v>#REF!</v>
      </c>
      <c r="AF844" t="str">
        <f>AC844-Q844-AD844-R844</f>
        <v>#REF!</v>
      </c>
      <c r="AG844" t="str">
        <f>AE844/V844</f>
        <v>#REF!</v>
      </c>
      <c r="AH844" t="str">
        <f>AF844/W844</f>
        <v>#REF!</v>
      </c>
    </row>
    <row r="845">
      <c r="G845" t="str">
        <v>A</v>
      </c>
      <c r="J845" t="str">
        <f>IF(K845&gt;0,K845*0.0625,IF(L845&gt;0,L845*2.204623,))</f>
        <v>#REF!</v>
      </c>
      <c r="K845" t="str">
        <f>IF(L845&gt;0,L845*35.273962,IF(J845&gt;0,J845*16,))</f>
        <v>#REF!</v>
      </c>
      <c r="L845" t="str">
        <f>IF(J845&gt;0,J845*0.453592,IF(K845&gt;0,K845*0.02835,))</f>
        <v>#REF!</v>
      </c>
      <c r="O845">
        <f>I845+N845+M845</f>
        <v>0</v>
      </c>
      <c r="P845">
        <f>O845*B$3</f>
        <v>0</v>
      </c>
      <c r="Q845">
        <f>ROUND(SUM(P845), -2)</f>
        <v>0</v>
      </c>
      <c r="R845" t="str">
        <f>ROUNDUP(HLOOKUP(IF(CEILING(L845,0.5)&lt;1,0.5,CEILING(L845,0.5)),'배송비 조회'!A$44:AO$56,7,0)*B$3,-2)</f>
        <v>#REF!</v>
      </c>
      <c r="S845">
        <v>0</v>
      </c>
      <c r="T845" t="str">
        <f>ROUND((Q845+R845)*0.3,-2)</f>
        <v>#REF!</v>
      </c>
      <c r="U845" t="str">
        <f>ROUND((Q845+R845)*0.4,-2)</f>
        <v>#REF!</v>
      </c>
      <c r="V845" t="str">
        <f>SUM(Q845:R845)+T845</f>
        <v>#REF!</v>
      </c>
      <c r="W845" t="str">
        <f>SUM(Q845:S845)+U845</f>
        <v>#REF!</v>
      </c>
      <c r="X845">
        <v>0</v>
      </c>
      <c r="Y845" t="str">
        <f>V845*0.038</f>
        <v>#REF!</v>
      </c>
      <c r="Z845" t="str">
        <f>V845*0.02</f>
        <v>#REF!</v>
      </c>
      <c r="AA845" t="str">
        <f>W845*0.1</f>
        <v>#REF!</v>
      </c>
      <c r="AB845" t="str">
        <f>V845-Y845-Z845</f>
        <v>#REF!</v>
      </c>
      <c r="AC845" t="str">
        <f>W845-AA845</f>
        <v>#REF!</v>
      </c>
      <c r="AD845" t="str">
        <f>AB845*0.01</f>
        <v>#REF!</v>
      </c>
      <c r="AE845" t="str">
        <f>AB845-Q845-AD845-R845</f>
        <v>#REF!</v>
      </c>
      <c r="AF845" t="str">
        <f>AC845-Q845-AD845-R845</f>
        <v>#REF!</v>
      </c>
      <c r="AG845" t="str">
        <f>AE845/V845</f>
        <v>#REF!</v>
      </c>
      <c r="AH845" t="str">
        <f>AF845/W845</f>
        <v>#REF!</v>
      </c>
    </row>
    <row r="846">
      <c r="G846" t="str">
        <v>A</v>
      </c>
      <c r="J846" t="str">
        <f>IF(K846&gt;0,K846*0.0625,IF(L846&gt;0,L846*2.204623,))</f>
        <v>#REF!</v>
      </c>
      <c r="K846" t="str">
        <f>IF(L846&gt;0,L846*35.273962,IF(J846&gt;0,J846*16,))</f>
        <v>#REF!</v>
      </c>
      <c r="L846" t="str">
        <f>IF(J846&gt;0,J846*0.453592,IF(K846&gt;0,K846*0.02835,))</f>
        <v>#REF!</v>
      </c>
      <c r="O846">
        <f>I846+N846+M846</f>
        <v>0</v>
      </c>
      <c r="P846">
        <f>O846*B$3</f>
        <v>0</v>
      </c>
      <c r="Q846">
        <f>ROUND(SUM(P846), -2)</f>
        <v>0</v>
      </c>
      <c r="R846" t="str">
        <f>ROUNDUP(HLOOKUP(IF(CEILING(L846,0.5)&lt;1,0.5,CEILING(L846,0.5)),'배송비 조회'!A$44:AO$56,7,0)*B$3,-2)</f>
        <v>#REF!</v>
      </c>
      <c r="S846">
        <v>0</v>
      </c>
      <c r="T846" t="str">
        <f>ROUND((Q846+R846)*0.3,-2)</f>
        <v>#REF!</v>
      </c>
      <c r="U846" t="str">
        <f>ROUND((Q846+R846)*0.4,-2)</f>
        <v>#REF!</v>
      </c>
      <c r="V846" t="str">
        <f>SUM(Q846:R846)+T846</f>
        <v>#REF!</v>
      </c>
      <c r="W846" t="str">
        <f>SUM(Q846:S846)+U846</f>
        <v>#REF!</v>
      </c>
      <c r="X846">
        <v>0</v>
      </c>
      <c r="Y846" t="str">
        <f>V846*0.038</f>
        <v>#REF!</v>
      </c>
      <c r="Z846" t="str">
        <f>V846*0.02</f>
        <v>#REF!</v>
      </c>
      <c r="AA846" t="str">
        <f>W846*0.1</f>
        <v>#REF!</v>
      </c>
      <c r="AB846" t="str">
        <f>V846-Y846-Z846</f>
        <v>#REF!</v>
      </c>
      <c r="AC846" t="str">
        <f>W846-AA846</f>
        <v>#REF!</v>
      </c>
      <c r="AD846" t="str">
        <f>AB846*0.01</f>
        <v>#REF!</v>
      </c>
      <c r="AE846" t="str">
        <f>AB846-Q846-AD846-R846</f>
        <v>#REF!</v>
      </c>
      <c r="AF846" t="str">
        <f>AC846-Q846-AD846-R846</f>
        <v>#REF!</v>
      </c>
      <c r="AG846" t="str">
        <f>AE846/V846</f>
        <v>#REF!</v>
      </c>
      <c r="AH846" t="str">
        <f>AF846/W846</f>
        <v>#REF!</v>
      </c>
    </row>
    <row r="847">
      <c r="G847" t="str">
        <v>A</v>
      </c>
      <c r="J847" t="str">
        <f>IF(K847&gt;0,K847*0.0625,IF(L847&gt;0,L847*2.204623,))</f>
        <v>#REF!</v>
      </c>
      <c r="K847" t="str">
        <f>IF(L847&gt;0,L847*35.273962,IF(J847&gt;0,J847*16,))</f>
        <v>#REF!</v>
      </c>
      <c r="L847" t="str">
        <f>IF(J847&gt;0,J847*0.453592,IF(K847&gt;0,K847*0.02835,))</f>
        <v>#REF!</v>
      </c>
      <c r="O847">
        <f>I847+N847+M847</f>
        <v>0</v>
      </c>
      <c r="P847">
        <f>O847*B$3</f>
        <v>0</v>
      </c>
      <c r="Q847">
        <f>ROUND(SUM(P847), -2)</f>
        <v>0</v>
      </c>
      <c r="R847" t="str">
        <f>ROUNDUP(HLOOKUP(IF(CEILING(L847,0.5)&lt;1,0.5,CEILING(L847,0.5)),'배송비 조회'!A$44:AO$56,7,0)*B$3,-2)</f>
        <v>#REF!</v>
      </c>
      <c r="S847">
        <v>0</v>
      </c>
      <c r="T847" t="str">
        <f>ROUND((Q847+R847)*0.3,-2)</f>
        <v>#REF!</v>
      </c>
      <c r="U847" t="str">
        <f>ROUND((Q847+R847)*0.4,-2)</f>
        <v>#REF!</v>
      </c>
      <c r="V847" t="str">
        <f>SUM(Q847:R847)+T847</f>
        <v>#REF!</v>
      </c>
      <c r="W847" t="str">
        <f>SUM(Q847:S847)+U847</f>
        <v>#REF!</v>
      </c>
      <c r="X847">
        <v>0</v>
      </c>
      <c r="Y847" t="str">
        <f>V847*0.038</f>
        <v>#REF!</v>
      </c>
      <c r="Z847" t="str">
        <f>V847*0.02</f>
        <v>#REF!</v>
      </c>
      <c r="AA847" t="str">
        <f>W847*0.1</f>
        <v>#REF!</v>
      </c>
      <c r="AB847" t="str">
        <f>V847-Y847-Z847</f>
        <v>#REF!</v>
      </c>
      <c r="AC847" t="str">
        <f>W847-AA847</f>
        <v>#REF!</v>
      </c>
      <c r="AD847" t="str">
        <f>AB847*0.01</f>
        <v>#REF!</v>
      </c>
      <c r="AE847" t="str">
        <f>AB847-Q847-AD847-R847</f>
        <v>#REF!</v>
      </c>
      <c r="AF847" t="str">
        <f>AC847-Q847-AD847-R847</f>
        <v>#REF!</v>
      </c>
      <c r="AG847" t="str">
        <f>AE847/V847</f>
        <v>#REF!</v>
      </c>
      <c r="AH847" t="str">
        <f>AF847/W847</f>
        <v>#REF!</v>
      </c>
    </row>
    <row r="848">
      <c r="G848" t="str">
        <v>A</v>
      </c>
      <c r="J848" t="str">
        <f>IF(K848&gt;0,K848*0.0625,IF(L848&gt;0,L848*2.204623,))</f>
        <v>#REF!</v>
      </c>
      <c r="K848" t="str">
        <f>IF(L848&gt;0,L848*35.273962,IF(J848&gt;0,J848*16,))</f>
        <v>#REF!</v>
      </c>
      <c r="L848" t="str">
        <f>IF(J848&gt;0,J848*0.453592,IF(K848&gt;0,K848*0.02835,))</f>
        <v>#REF!</v>
      </c>
      <c r="O848">
        <f>I848+N848+M848</f>
        <v>0</v>
      </c>
      <c r="P848">
        <f>O848*B$3</f>
        <v>0</v>
      </c>
      <c r="Q848">
        <f>ROUND(SUM(P848), -2)</f>
        <v>0</v>
      </c>
      <c r="R848" t="str">
        <f>ROUNDUP(HLOOKUP(IF(CEILING(L848,0.5)&lt;1,0.5,CEILING(L848,0.5)),'배송비 조회'!A$44:AO$56,7,0)*B$3,-2)</f>
        <v>#REF!</v>
      </c>
      <c r="S848">
        <v>0</v>
      </c>
      <c r="T848" t="str">
        <f>ROUND((Q848+R848)*0.3,-2)</f>
        <v>#REF!</v>
      </c>
      <c r="U848" t="str">
        <f>ROUND((Q848+R848)*0.4,-2)</f>
        <v>#REF!</v>
      </c>
      <c r="V848" t="str">
        <f>SUM(Q848:R848)+T848</f>
        <v>#REF!</v>
      </c>
      <c r="W848" t="str">
        <f>SUM(Q848:S848)+U848</f>
        <v>#REF!</v>
      </c>
      <c r="X848">
        <v>0</v>
      </c>
      <c r="Y848" t="str">
        <f>V848*0.038</f>
        <v>#REF!</v>
      </c>
      <c r="Z848" t="str">
        <f>V848*0.02</f>
        <v>#REF!</v>
      </c>
      <c r="AA848" t="str">
        <f>W848*0.1</f>
        <v>#REF!</v>
      </c>
      <c r="AB848" t="str">
        <f>V848-Y848-Z848</f>
        <v>#REF!</v>
      </c>
      <c r="AC848" t="str">
        <f>W848-AA848</f>
        <v>#REF!</v>
      </c>
      <c r="AD848" t="str">
        <f>AB848*0.01</f>
        <v>#REF!</v>
      </c>
      <c r="AE848" t="str">
        <f>AB848-Q848-AD848-R848</f>
        <v>#REF!</v>
      </c>
      <c r="AF848" t="str">
        <f>AC848-Q848-AD848-R848</f>
        <v>#REF!</v>
      </c>
      <c r="AG848" t="str">
        <f>AE848/V848</f>
        <v>#REF!</v>
      </c>
      <c r="AH848" t="str">
        <f>AF848/W848</f>
        <v>#REF!</v>
      </c>
    </row>
    <row r="849">
      <c r="G849" t="str">
        <v>A</v>
      </c>
      <c r="J849" t="str">
        <f>IF(K849&gt;0,K849*0.0625,IF(L849&gt;0,L849*2.204623,))</f>
        <v>#REF!</v>
      </c>
      <c r="K849" t="str">
        <f>IF(L849&gt;0,L849*35.273962,IF(J849&gt;0,J849*16,))</f>
        <v>#REF!</v>
      </c>
      <c r="L849" t="str">
        <f>IF(J849&gt;0,J849*0.453592,IF(K849&gt;0,K849*0.02835,))</f>
        <v>#REF!</v>
      </c>
      <c r="O849">
        <f>I849+N849+M849</f>
        <v>0</v>
      </c>
      <c r="P849">
        <f>O849*B$3</f>
        <v>0</v>
      </c>
      <c r="Q849">
        <f>ROUND(SUM(P849), -2)</f>
        <v>0</v>
      </c>
      <c r="R849" t="str">
        <f>ROUNDUP(HLOOKUP(IF(CEILING(L849,0.5)&lt;1,0.5,CEILING(L849,0.5)),'배송비 조회'!A$44:AO$56,7,0)*B$3,-2)</f>
        <v>#REF!</v>
      </c>
      <c r="S849">
        <v>0</v>
      </c>
      <c r="T849" t="str">
        <f>ROUND((Q849+R849)*0.3,-2)</f>
        <v>#REF!</v>
      </c>
      <c r="U849" t="str">
        <f>ROUND((Q849+R849)*0.4,-2)</f>
        <v>#REF!</v>
      </c>
      <c r="V849" t="str">
        <f>SUM(Q849:R849)+T849</f>
        <v>#REF!</v>
      </c>
      <c r="W849" t="str">
        <f>SUM(Q849:S849)+U849</f>
        <v>#REF!</v>
      </c>
      <c r="X849">
        <v>0</v>
      </c>
      <c r="Y849" t="str">
        <f>V849*0.038</f>
        <v>#REF!</v>
      </c>
      <c r="Z849" t="str">
        <f>V849*0.02</f>
        <v>#REF!</v>
      </c>
      <c r="AA849" t="str">
        <f>W849*0.1</f>
        <v>#REF!</v>
      </c>
      <c r="AB849" t="str">
        <f>V849-Y849-Z849</f>
        <v>#REF!</v>
      </c>
      <c r="AC849" t="str">
        <f>W849-AA849</f>
        <v>#REF!</v>
      </c>
      <c r="AD849" t="str">
        <f>AB849*0.01</f>
        <v>#REF!</v>
      </c>
      <c r="AE849" t="str">
        <f>AB849-Q849-AD849-R849</f>
        <v>#REF!</v>
      </c>
      <c r="AF849" t="str">
        <f>AC849-Q849-AD849-R849</f>
        <v>#REF!</v>
      </c>
      <c r="AG849" t="str">
        <f>AE849/V849</f>
        <v>#REF!</v>
      </c>
      <c r="AH849" t="str">
        <f>AF849/W849</f>
        <v>#REF!</v>
      </c>
    </row>
    <row r="850">
      <c r="G850" t="str">
        <v>A</v>
      </c>
      <c r="J850" t="str">
        <f>IF(K850&gt;0,K850*0.0625,IF(L850&gt;0,L850*2.204623,))</f>
        <v>#REF!</v>
      </c>
      <c r="K850" t="str">
        <f>IF(L850&gt;0,L850*35.273962,IF(J850&gt;0,J850*16,))</f>
        <v>#REF!</v>
      </c>
      <c r="L850" t="str">
        <f>IF(J850&gt;0,J850*0.453592,IF(K850&gt;0,K850*0.02835,))</f>
        <v>#REF!</v>
      </c>
      <c r="O850">
        <f>I850+N850+M850</f>
        <v>0</v>
      </c>
      <c r="P850">
        <f>O850*B$3</f>
        <v>0</v>
      </c>
      <c r="Q850">
        <f>ROUND(SUM(P850), -2)</f>
        <v>0</v>
      </c>
      <c r="R850" t="str">
        <f>ROUNDUP(HLOOKUP(IF(CEILING(L850,0.5)&lt;1,0.5,CEILING(L850,0.5)),'배송비 조회'!A$44:AO$56,7,0)*B$3,-2)</f>
        <v>#REF!</v>
      </c>
      <c r="S850">
        <v>0</v>
      </c>
      <c r="T850" t="str">
        <f>ROUND((Q850+R850)*0.3,-2)</f>
        <v>#REF!</v>
      </c>
      <c r="U850" t="str">
        <f>ROUND((Q850+R850)*0.4,-2)</f>
        <v>#REF!</v>
      </c>
      <c r="V850" t="str">
        <f>SUM(Q850:R850)+T850</f>
        <v>#REF!</v>
      </c>
      <c r="W850" t="str">
        <f>SUM(Q850:S850)+U850</f>
        <v>#REF!</v>
      </c>
      <c r="X850">
        <v>0</v>
      </c>
      <c r="Y850" t="str">
        <f>V850*0.038</f>
        <v>#REF!</v>
      </c>
      <c r="Z850" t="str">
        <f>V850*0.02</f>
        <v>#REF!</v>
      </c>
      <c r="AA850" t="str">
        <f>W850*0.1</f>
        <v>#REF!</v>
      </c>
      <c r="AB850" t="str">
        <f>V850-Y850-Z850</f>
        <v>#REF!</v>
      </c>
      <c r="AC850" t="str">
        <f>W850-AA850</f>
        <v>#REF!</v>
      </c>
      <c r="AD850" t="str">
        <f>AB850*0.01</f>
        <v>#REF!</v>
      </c>
      <c r="AE850" t="str">
        <f>AB850-Q850-AD850-R850</f>
        <v>#REF!</v>
      </c>
      <c r="AF850" t="str">
        <f>AC850-Q850-AD850-R850</f>
        <v>#REF!</v>
      </c>
      <c r="AG850" t="str">
        <f>AE850/V850</f>
        <v>#REF!</v>
      </c>
      <c r="AH850" t="str">
        <f>AF850/W850</f>
        <v>#REF!</v>
      </c>
    </row>
    <row r="851">
      <c r="G851" t="str">
        <v>A</v>
      </c>
      <c r="J851" t="str">
        <f>IF(K851&gt;0,K851*0.0625,IF(L851&gt;0,L851*2.204623,))</f>
        <v>#REF!</v>
      </c>
      <c r="K851" t="str">
        <f>IF(L851&gt;0,L851*35.273962,IF(J851&gt;0,J851*16,))</f>
        <v>#REF!</v>
      </c>
      <c r="L851" t="str">
        <f>IF(J851&gt;0,J851*0.453592,IF(K851&gt;0,K851*0.02835,))</f>
        <v>#REF!</v>
      </c>
      <c r="O851">
        <f>I851+N851+M851</f>
        <v>0</v>
      </c>
      <c r="P851">
        <f>O851*B$3</f>
        <v>0</v>
      </c>
      <c r="Q851">
        <f>ROUND(SUM(P851), -2)</f>
        <v>0</v>
      </c>
      <c r="R851" t="str">
        <f>ROUNDUP(HLOOKUP(IF(CEILING(L851,0.5)&lt;1,0.5,CEILING(L851,0.5)),'배송비 조회'!A$44:AO$56,7,0)*B$3,-2)</f>
        <v>#REF!</v>
      </c>
      <c r="S851">
        <v>0</v>
      </c>
      <c r="T851" t="str">
        <f>ROUND((Q851+R851)*0.3,-2)</f>
        <v>#REF!</v>
      </c>
      <c r="U851" t="str">
        <f>ROUND((Q851+R851)*0.4,-2)</f>
        <v>#REF!</v>
      </c>
      <c r="V851" t="str">
        <f>SUM(Q851:R851)+T851</f>
        <v>#REF!</v>
      </c>
      <c r="W851" t="str">
        <f>SUM(Q851:S851)+U851</f>
        <v>#REF!</v>
      </c>
      <c r="X851">
        <v>0</v>
      </c>
      <c r="Y851" t="str">
        <f>V851*0.038</f>
        <v>#REF!</v>
      </c>
      <c r="Z851" t="str">
        <f>V851*0.02</f>
        <v>#REF!</v>
      </c>
      <c r="AA851" t="str">
        <f>W851*0.1</f>
        <v>#REF!</v>
      </c>
      <c r="AB851" t="str">
        <f>V851-Y851-Z851</f>
        <v>#REF!</v>
      </c>
      <c r="AC851" t="str">
        <f>W851-AA851</f>
        <v>#REF!</v>
      </c>
      <c r="AD851" t="str">
        <f>AB851*0.01</f>
        <v>#REF!</v>
      </c>
      <c r="AE851" t="str">
        <f>AB851-Q851-AD851-R851</f>
        <v>#REF!</v>
      </c>
      <c r="AF851" t="str">
        <f>AC851-Q851-AD851-R851</f>
        <v>#REF!</v>
      </c>
      <c r="AG851" t="str">
        <f>AE851/V851</f>
        <v>#REF!</v>
      </c>
      <c r="AH851" t="str">
        <f>AF851/W851</f>
        <v>#REF!</v>
      </c>
    </row>
    <row r="852">
      <c r="G852" t="str">
        <v>A</v>
      </c>
      <c r="J852" t="str">
        <f>IF(K852&gt;0,K852*0.0625,IF(L852&gt;0,L852*2.204623,))</f>
        <v>#REF!</v>
      </c>
      <c r="K852" t="str">
        <f>IF(L852&gt;0,L852*35.273962,IF(J852&gt;0,J852*16,))</f>
        <v>#REF!</v>
      </c>
      <c r="L852" t="str">
        <f>IF(J852&gt;0,J852*0.453592,IF(K852&gt;0,K852*0.02835,))</f>
        <v>#REF!</v>
      </c>
      <c r="O852">
        <f>I852+N852+M852</f>
        <v>0</v>
      </c>
      <c r="P852">
        <f>O852*B$3</f>
        <v>0</v>
      </c>
      <c r="Q852">
        <f>ROUND(SUM(P852), -2)</f>
        <v>0</v>
      </c>
      <c r="R852" t="str">
        <f>ROUNDUP(HLOOKUP(IF(CEILING(L852,0.5)&lt;1,0.5,CEILING(L852,0.5)),'배송비 조회'!A$44:AO$56,7,0)*B$3,-2)</f>
        <v>#REF!</v>
      </c>
      <c r="S852">
        <v>0</v>
      </c>
      <c r="T852" t="str">
        <f>ROUND((Q852+R852)*0.3,-2)</f>
        <v>#REF!</v>
      </c>
      <c r="U852" t="str">
        <f>ROUND((Q852+R852)*0.4,-2)</f>
        <v>#REF!</v>
      </c>
      <c r="V852" t="str">
        <f>SUM(Q852:R852)+T852</f>
        <v>#REF!</v>
      </c>
      <c r="W852" t="str">
        <f>SUM(Q852:S852)+U852</f>
        <v>#REF!</v>
      </c>
      <c r="X852">
        <v>0</v>
      </c>
      <c r="Y852" t="str">
        <f>V852*0.038</f>
        <v>#REF!</v>
      </c>
      <c r="Z852" t="str">
        <f>V852*0.02</f>
        <v>#REF!</v>
      </c>
      <c r="AA852" t="str">
        <f>W852*0.1</f>
        <v>#REF!</v>
      </c>
      <c r="AB852" t="str">
        <f>V852-Y852-Z852</f>
        <v>#REF!</v>
      </c>
      <c r="AC852" t="str">
        <f>W852-AA852</f>
        <v>#REF!</v>
      </c>
      <c r="AD852" t="str">
        <f>AB852*0.01</f>
        <v>#REF!</v>
      </c>
      <c r="AE852" t="str">
        <f>AB852-Q852-AD852-R852</f>
        <v>#REF!</v>
      </c>
      <c r="AF852" t="str">
        <f>AC852-Q852-AD852-R852</f>
        <v>#REF!</v>
      </c>
      <c r="AG852" t="str">
        <f>AE852/V852</f>
        <v>#REF!</v>
      </c>
      <c r="AH852" t="str">
        <f>AF852/W852</f>
        <v>#REF!</v>
      </c>
    </row>
    <row r="853">
      <c r="G853" t="str">
        <v>A</v>
      </c>
      <c r="J853" t="str">
        <f>IF(K853&gt;0,K853*0.0625,IF(L853&gt;0,L853*2.204623,))</f>
        <v>#REF!</v>
      </c>
      <c r="K853" t="str">
        <f>IF(L853&gt;0,L853*35.273962,IF(J853&gt;0,J853*16,))</f>
        <v>#REF!</v>
      </c>
      <c r="L853" t="str">
        <f>IF(J853&gt;0,J853*0.453592,IF(K853&gt;0,K853*0.02835,))</f>
        <v>#REF!</v>
      </c>
      <c r="O853">
        <f>I853+N853+M853</f>
        <v>0</v>
      </c>
      <c r="P853">
        <f>O853*B$3</f>
        <v>0</v>
      </c>
      <c r="Q853">
        <f>ROUND(SUM(P853), -2)</f>
        <v>0</v>
      </c>
      <c r="R853" t="str">
        <f>ROUNDUP(HLOOKUP(IF(CEILING(L853,0.5)&lt;1,0.5,CEILING(L853,0.5)),'배송비 조회'!A$44:AO$56,7,0)*B$3,-2)</f>
        <v>#REF!</v>
      </c>
      <c r="S853">
        <v>0</v>
      </c>
      <c r="T853" t="str">
        <f>ROUND((Q853+R853)*0.3,-2)</f>
        <v>#REF!</v>
      </c>
      <c r="U853" t="str">
        <f>ROUND((Q853+R853)*0.4,-2)</f>
        <v>#REF!</v>
      </c>
      <c r="V853" t="str">
        <f>SUM(Q853:R853)+T853</f>
        <v>#REF!</v>
      </c>
      <c r="W853" t="str">
        <f>SUM(Q853:S853)+U853</f>
        <v>#REF!</v>
      </c>
      <c r="X853">
        <v>0</v>
      </c>
      <c r="Y853" t="str">
        <f>V853*0.038</f>
        <v>#REF!</v>
      </c>
      <c r="Z853" t="str">
        <f>V853*0.02</f>
        <v>#REF!</v>
      </c>
      <c r="AA853" t="str">
        <f>W853*0.1</f>
        <v>#REF!</v>
      </c>
      <c r="AB853" t="str">
        <f>V853-Y853-Z853</f>
        <v>#REF!</v>
      </c>
      <c r="AC853" t="str">
        <f>W853-AA853</f>
        <v>#REF!</v>
      </c>
      <c r="AD853" t="str">
        <f>AB853*0.01</f>
        <v>#REF!</v>
      </c>
      <c r="AE853" t="str">
        <f>AB853-Q853-AD853-R853</f>
        <v>#REF!</v>
      </c>
      <c r="AF853" t="str">
        <f>AC853-Q853-AD853-R853</f>
        <v>#REF!</v>
      </c>
      <c r="AG853" t="str">
        <f>AE853/V853</f>
        <v>#REF!</v>
      </c>
      <c r="AH853" t="str">
        <f>AF853/W853</f>
        <v>#REF!</v>
      </c>
    </row>
    <row r="854">
      <c r="G854" t="str">
        <v>A</v>
      </c>
      <c r="J854" t="str">
        <f>IF(K854&gt;0,K854*0.0625,IF(L854&gt;0,L854*2.204623,))</f>
        <v>#REF!</v>
      </c>
      <c r="K854" t="str">
        <f>IF(L854&gt;0,L854*35.273962,IF(J854&gt;0,J854*16,))</f>
        <v>#REF!</v>
      </c>
      <c r="L854" t="str">
        <f>IF(J854&gt;0,J854*0.453592,IF(K854&gt;0,K854*0.02835,))</f>
        <v>#REF!</v>
      </c>
      <c r="O854">
        <f>I854+N854+M854</f>
        <v>0</v>
      </c>
      <c r="P854">
        <f>O854*B$3</f>
        <v>0</v>
      </c>
      <c r="Q854">
        <f>ROUND(SUM(P854), -2)</f>
        <v>0</v>
      </c>
      <c r="R854" t="str">
        <f>ROUNDUP(HLOOKUP(IF(CEILING(L854,0.5)&lt;1,0.5,CEILING(L854,0.5)),'배송비 조회'!A$44:AO$56,7,0)*B$3,-2)</f>
        <v>#REF!</v>
      </c>
      <c r="S854">
        <v>0</v>
      </c>
      <c r="T854" t="str">
        <f>ROUND((Q854+R854)*0.3,-2)</f>
        <v>#REF!</v>
      </c>
      <c r="U854" t="str">
        <f>ROUND((Q854+R854)*0.4,-2)</f>
        <v>#REF!</v>
      </c>
      <c r="V854" t="str">
        <f>SUM(Q854:R854)+T854</f>
        <v>#REF!</v>
      </c>
      <c r="W854" t="str">
        <f>SUM(Q854:S854)+U854</f>
        <v>#REF!</v>
      </c>
      <c r="X854">
        <v>0</v>
      </c>
      <c r="Y854" t="str">
        <f>V854*0.038</f>
        <v>#REF!</v>
      </c>
      <c r="Z854" t="str">
        <f>V854*0.02</f>
        <v>#REF!</v>
      </c>
      <c r="AA854" t="str">
        <f>W854*0.1</f>
        <v>#REF!</v>
      </c>
      <c r="AB854" t="str">
        <f>V854-Y854-Z854</f>
        <v>#REF!</v>
      </c>
      <c r="AC854" t="str">
        <f>W854-AA854</f>
        <v>#REF!</v>
      </c>
      <c r="AD854" t="str">
        <f>AB854*0.01</f>
        <v>#REF!</v>
      </c>
      <c r="AE854" t="str">
        <f>AB854-Q854-AD854-R854</f>
        <v>#REF!</v>
      </c>
      <c r="AF854" t="str">
        <f>AC854-Q854-AD854-R854</f>
        <v>#REF!</v>
      </c>
      <c r="AG854" t="str">
        <f>AE854/V854</f>
        <v>#REF!</v>
      </c>
      <c r="AH854" t="str">
        <f>AF854/W854</f>
        <v>#REF!</v>
      </c>
    </row>
    <row r="855">
      <c r="G855" t="str">
        <v>A</v>
      </c>
      <c r="J855" t="str">
        <f>IF(K855&gt;0,K855*0.0625,IF(L855&gt;0,L855*2.204623,))</f>
        <v>#REF!</v>
      </c>
      <c r="K855" t="str">
        <f>IF(L855&gt;0,L855*35.273962,IF(J855&gt;0,J855*16,))</f>
        <v>#REF!</v>
      </c>
      <c r="L855" t="str">
        <f>IF(J855&gt;0,J855*0.453592,IF(K855&gt;0,K855*0.02835,))</f>
        <v>#REF!</v>
      </c>
      <c r="O855">
        <f>I855+N855+M855</f>
        <v>0</v>
      </c>
      <c r="P855">
        <f>O855*B$3</f>
        <v>0</v>
      </c>
      <c r="Q855">
        <f>ROUND(SUM(P855), -2)</f>
        <v>0</v>
      </c>
      <c r="R855" t="str">
        <f>ROUNDUP(HLOOKUP(IF(CEILING(L855,0.5)&lt;1,0.5,CEILING(L855,0.5)),'배송비 조회'!A$44:AO$56,7,0)*B$3,-2)</f>
        <v>#REF!</v>
      </c>
      <c r="S855">
        <v>0</v>
      </c>
      <c r="T855" t="str">
        <f>ROUND((Q855+R855)*0.3,-2)</f>
        <v>#REF!</v>
      </c>
      <c r="U855" t="str">
        <f>ROUND((Q855+R855)*0.4,-2)</f>
        <v>#REF!</v>
      </c>
      <c r="V855" t="str">
        <f>SUM(Q855:R855)+T855</f>
        <v>#REF!</v>
      </c>
      <c r="W855" t="str">
        <f>SUM(Q855:S855)+U855</f>
        <v>#REF!</v>
      </c>
      <c r="X855">
        <v>0</v>
      </c>
      <c r="Y855" t="str">
        <f>V855*0.038</f>
        <v>#REF!</v>
      </c>
      <c r="Z855" t="str">
        <f>V855*0.02</f>
        <v>#REF!</v>
      </c>
      <c r="AA855" t="str">
        <f>W855*0.1</f>
        <v>#REF!</v>
      </c>
      <c r="AB855" t="str">
        <f>V855-Y855-Z855</f>
        <v>#REF!</v>
      </c>
      <c r="AC855" t="str">
        <f>W855-AA855</f>
        <v>#REF!</v>
      </c>
      <c r="AD855" t="str">
        <f>AB855*0.01</f>
        <v>#REF!</v>
      </c>
      <c r="AE855" t="str">
        <f>AB855-Q855-AD855-R855</f>
        <v>#REF!</v>
      </c>
      <c r="AF855" t="str">
        <f>AC855-Q855-AD855-R855</f>
        <v>#REF!</v>
      </c>
      <c r="AG855" t="str">
        <f>AE855/V855</f>
        <v>#REF!</v>
      </c>
      <c r="AH855" t="str">
        <f>AF855/W855</f>
        <v>#REF!</v>
      </c>
    </row>
    <row r="856">
      <c r="G856" t="str">
        <v>A</v>
      </c>
      <c r="J856" t="str">
        <f>IF(K856&gt;0,K856*0.0625,IF(L856&gt;0,L856*2.204623,))</f>
        <v>#REF!</v>
      </c>
      <c r="K856" t="str">
        <f>IF(L856&gt;0,L856*35.273962,IF(J856&gt;0,J856*16,))</f>
        <v>#REF!</v>
      </c>
      <c r="L856" t="str">
        <f>IF(J856&gt;0,J856*0.453592,IF(K856&gt;0,K856*0.02835,))</f>
        <v>#REF!</v>
      </c>
      <c r="O856">
        <f>I856+N856+M856</f>
        <v>0</v>
      </c>
      <c r="P856">
        <f>O856*B$3</f>
        <v>0</v>
      </c>
      <c r="Q856">
        <f>ROUND(SUM(P856), -2)</f>
        <v>0</v>
      </c>
      <c r="R856" t="str">
        <f>ROUNDUP(HLOOKUP(IF(CEILING(L856,0.5)&lt;1,0.5,CEILING(L856,0.5)),'배송비 조회'!A$44:AO$56,7,0)*B$3,-2)</f>
        <v>#REF!</v>
      </c>
      <c r="S856">
        <v>0</v>
      </c>
      <c r="T856" t="str">
        <f>ROUND((Q856+R856)*0.3,-2)</f>
        <v>#REF!</v>
      </c>
      <c r="U856" t="str">
        <f>ROUND((Q856+R856)*0.4,-2)</f>
        <v>#REF!</v>
      </c>
      <c r="V856" t="str">
        <f>SUM(Q856:R856)+T856</f>
        <v>#REF!</v>
      </c>
      <c r="W856" t="str">
        <f>SUM(Q856:S856)+U856</f>
        <v>#REF!</v>
      </c>
      <c r="X856">
        <v>0</v>
      </c>
      <c r="Y856" t="str">
        <f>V856*0.038</f>
        <v>#REF!</v>
      </c>
      <c r="Z856" t="str">
        <f>V856*0.02</f>
        <v>#REF!</v>
      </c>
      <c r="AA856" t="str">
        <f>W856*0.1</f>
        <v>#REF!</v>
      </c>
      <c r="AB856" t="str">
        <f>V856-Y856-Z856</f>
        <v>#REF!</v>
      </c>
      <c r="AC856" t="str">
        <f>W856-AA856</f>
        <v>#REF!</v>
      </c>
      <c r="AD856" t="str">
        <f>AB856*0.01</f>
        <v>#REF!</v>
      </c>
      <c r="AE856" t="str">
        <f>AB856-Q856-AD856-R856</f>
        <v>#REF!</v>
      </c>
      <c r="AF856" t="str">
        <f>AC856-Q856-AD856-R856</f>
        <v>#REF!</v>
      </c>
      <c r="AG856" t="str">
        <f>AE856/V856</f>
        <v>#REF!</v>
      </c>
      <c r="AH856" t="str">
        <f>AF856/W856</f>
        <v>#REF!</v>
      </c>
    </row>
    <row r="857">
      <c r="G857" t="str">
        <v>A</v>
      </c>
      <c r="J857" t="str">
        <f>IF(K857&gt;0,K857*0.0625,IF(L857&gt;0,L857*2.204623,))</f>
        <v>#REF!</v>
      </c>
      <c r="K857" t="str">
        <f>IF(L857&gt;0,L857*35.273962,IF(J857&gt;0,J857*16,))</f>
        <v>#REF!</v>
      </c>
      <c r="L857" t="str">
        <f>IF(J857&gt;0,J857*0.453592,IF(K857&gt;0,K857*0.02835,))</f>
        <v>#REF!</v>
      </c>
      <c r="O857">
        <f>I857+N857+M857</f>
        <v>0</v>
      </c>
      <c r="P857">
        <f>O857*B$3</f>
        <v>0</v>
      </c>
      <c r="Q857">
        <f>ROUND(SUM(P857), -2)</f>
        <v>0</v>
      </c>
      <c r="R857" t="str">
        <f>ROUNDUP(HLOOKUP(IF(CEILING(L857,0.5)&lt;1,0.5,CEILING(L857,0.5)),'배송비 조회'!A$44:AO$56,7,0)*B$3,-2)</f>
        <v>#REF!</v>
      </c>
      <c r="S857">
        <v>0</v>
      </c>
      <c r="T857" t="str">
        <f>ROUND((Q857+R857)*0.3,-2)</f>
        <v>#REF!</v>
      </c>
      <c r="U857" t="str">
        <f>ROUND((Q857+R857)*0.4,-2)</f>
        <v>#REF!</v>
      </c>
      <c r="V857" t="str">
        <f>SUM(Q857:R857)+T857</f>
        <v>#REF!</v>
      </c>
      <c r="W857" t="str">
        <f>SUM(Q857:S857)+U857</f>
        <v>#REF!</v>
      </c>
      <c r="X857">
        <v>0</v>
      </c>
      <c r="Y857" t="str">
        <f>V857*0.038</f>
        <v>#REF!</v>
      </c>
      <c r="Z857" t="str">
        <f>V857*0.02</f>
        <v>#REF!</v>
      </c>
      <c r="AA857" t="str">
        <f>W857*0.1</f>
        <v>#REF!</v>
      </c>
      <c r="AB857" t="str">
        <f>V857-Y857-Z857</f>
        <v>#REF!</v>
      </c>
      <c r="AC857" t="str">
        <f>W857-AA857</f>
        <v>#REF!</v>
      </c>
      <c r="AD857" t="str">
        <f>AB857*0.01</f>
        <v>#REF!</v>
      </c>
      <c r="AE857" t="str">
        <f>AB857-Q857-AD857-R857</f>
        <v>#REF!</v>
      </c>
      <c r="AF857" t="str">
        <f>AC857-Q857-AD857-R857</f>
        <v>#REF!</v>
      </c>
      <c r="AG857" t="str">
        <f>AE857/V857</f>
        <v>#REF!</v>
      </c>
      <c r="AH857" t="str">
        <f>AF857/W857</f>
        <v>#REF!</v>
      </c>
    </row>
    <row r="858">
      <c r="G858" t="str">
        <v>A</v>
      </c>
      <c r="J858" t="str">
        <f>IF(K858&gt;0,K858*0.0625,IF(L858&gt;0,L858*2.204623,))</f>
        <v>#REF!</v>
      </c>
      <c r="K858" t="str">
        <f>IF(L858&gt;0,L858*35.273962,IF(J858&gt;0,J858*16,))</f>
        <v>#REF!</v>
      </c>
      <c r="L858" t="str">
        <f>IF(J858&gt;0,J858*0.453592,IF(K858&gt;0,K858*0.02835,))</f>
        <v>#REF!</v>
      </c>
      <c r="O858">
        <f>I858+N858+M858</f>
        <v>0</v>
      </c>
      <c r="P858">
        <f>O858*B$3</f>
        <v>0</v>
      </c>
      <c r="Q858">
        <f>ROUND(SUM(P858), -2)</f>
        <v>0</v>
      </c>
      <c r="R858" t="str">
        <f>ROUNDUP(HLOOKUP(IF(CEILING(L858,0.5)&lt;1,0.5,CEILING(L858,0.5)),'배송비 조회'!A$44:AO$56,7,0)*B$3,-2)</f>
        <v>#REF!</v>
      </c>
      <c r="S858">
        <v>0</v>
      </c>
      <c r="T858" t="str">
        <f>ROUND((Q858+R858)*0.3,-2)</f>
        <v>#REF!</v>
      </c>
      <c r="U858" t="str">
        <f>ROUND((Q858+R858)*0.4,-2)</f>
        <v>#REF!</v>
      </c>
      <c r="V858" t="str">
        <f>SUM(Q858:R858)+T858</f>
        <v>#REF!</v>
      </c>
      <c r="W858" t="str">
        <f>SUM(Q858:S858)+U858</f>
        <v>#REF!</v>
      </c>
      <c r="X858">
        <v>0</v>
      </c>
      <c r="Y858" t="str">
        <f>V858*0.038</f>
        <v>#REF!</v>
      </c>
      <c r="Z858" t="str">
        <f>V858*0.02</f>
        <v>#REF!</v>
      </c>
      <c r="AA858" t="str">
        <f>W858*0.1</f>
        <v>#REF!</v>
      </c>
      <c r="AB858" t="str">
        <f>V858-Y858-Z858</f>
        <v>#REF!</v>
      </c>
      <c r="AC858" t="str">
        <f>W858-AA858</f>
        <v>#REF!</v>
      </c>
      <c r="AD858" t="str">
        <f>AB858*0.01</f>
        <v>#REF!</v>
      </c>
      <c r="AE858" t="str">
        <f>AB858-Q858-AD858-R858</f>
        <v>#REF!</v>
      </c>
      <c r="AF858" t="str">
        <f>AC858-Q858-AD858-R858</f>
        <v>#REF!</v>
      </c>
      <c r="AG858" t="str">
        <f>AE858/V858</f>
        <v>#REF!</v>
      </c>
      <c r="AH858" t="str">
        <f>AF858/W858</f>
        <v>#REF!</v>
      </c>
    </row>
    <row r="859">
      <c r="G859" t="str">
        <v>A</v>
      </c>
      <c r="J859" t="str">
        <f>IF(K859&gt;0,K859*0.0625,IF(L859&gt;0,L859*2.204623,))</f>
        <v>#REF!</v>
      </c>
      <c r="K859" t="str">
        <f>IF(L859&gt;0,L859*35.273962,IF(J859&gt;0,J859*16,))</f>
        <v>#REF!</v>
      </c>
      <c r="L859" t="str">
        <f>IF(J859&gt;0,J859*0.453592,IF(K859&gt;0,K859*0.02835,))</f>
        <v>#REF!</v>
      </c>
      <c r="O859">
        <f>I859+N859+M859</f>
        <v>0</v>
      </c>
      <c r="P859">
        <f>O859*B$3</f>
        <v>0</v>
      </c>
      <c r="Q859">
        <f>ROUND(SUM(P859), -2)</f>
        <v>0</v>
      </c>
      <c r="R859" t="str">
        <f>ROUNDUP(HLOOKUP(IF(CEILING(L859,0.5)&lt;1,0.5,CEILING(L859,0.5)),'배송비 조회'!A$44:AO$56,7,0)*B$3,-2)</f>
        <v>#REF!</v>
      </c>
      <c r="S859">
        <v>0</v>
      </c>
      <c r="T859" t="str">
        <f>ROUND((Q859+R859)*0.3,-2)</f>
        <v>#REF!</v>
      </c>
      <c r="U859" t="str">
        <f>ROUND((Q859+R859)*0.4,-2)</f>
        <v>#REF!</v>
      </c>
      <c r="V859" t="str">
        <f>SUM(Q859:R859)+T859</f>
        <v>#REF!</v>
      </c>
      <c r="W859" t="str">
        <f>SUM(Q859:S859)+U859</f>
        <v>#REF!</v>
      </c>
      <c r="X859">
        <v>0</v>
      </c>
      <c r="Y859" t="str">
        <f>V859*0.038</f>
        <v>#REF!</v>
      </c>
      <c r="Z859" t="str">
        <f>V859*0.02</f>
        <v>#REF!</v>
      </c>
      <c r="AA859" t="str">
        <f>W859*0.1</f>
        <v>#REF!</v>
      </c>
      <c r="AB859" t="str">
        <f>V859-Y859-Z859</f>
        <v>#REF!</v>
      </c>
      <c r="AC859" t="str">
        <f>W859-AA859</f>
        <v>#REF!</v>
      </c>
      <c r="AD859" t="str">
        <f>AB859*0.01</f>
        <v>#REF!</v>
      </c>
      <c r="AE859" t="str">
        <f>AB859-Q859-AD859-R859</f>
        <v>#REF!</v>
      </c>
      <c r="AF859" t="str">
        <f>AC859-Q859-AD859-R859</f>
        <v>#REF!</v>
      </c>
      <c r="AG859" t="str">
        <f>AE859/V859</f>
        <v>#REF!</v>
      </c>
      <c r="AH859" t="str">
        <f>AF859/W859</f>
        <v>#REF!</v>
      </c>
    </row>
    <row r="860">
      <c r="G860" t="str">
        <v>A</v>
      </c>
      <c r="J860" t="str">
        <f>IF(K860&gt;0,K860*0.0625,IF(L860&gt;0,L860*2.204623,))</f>
        <v>#REF!</v>
      </c>
      <c r="K860" t="str">
        <f>IF(L860&gt;0,L860*35.273962,IF(J860&gt;0,J860*16,))</f>
        <v>#REF!</v>
      </c>
      <c r="L860" t="str">
        <f>IF(J860&gt;0,J860*0.453592,IF(K860&gt;0,K860*0.02835,))</f>
        <v>#REF!</v>
      </c>
      <c r="O860">
        <f>I860+N860+M860</f>
        <v>0</v>
      </c>
      <c r="P860">
        <f>O860*B$3</f>
        <v>0</v>
      </c>
      <c r="Q860">
        <f>ROUND(SUM(P860), -2)</f>
        <v>0</v>
      </c>
      <c r="R860" t="str">
        <f>ROUNDUP(HLOOKUP(IF(CEILING(L860,0.5)&lt;1,0.5,CEILING(L860,0.5)),'배송비 조회'!A$44:AO$56,7,0)*B$3,-2)</f>
        <v>#REF!</v>
      </c>
      <c r="S860">
        <v>0</v>
      </c>
      <c r="T860" t="str">
        <f>ROUND((Q860+R860)*0.3,-2)</f>
        <v>#REF!</v>
      </c>
      <c r="U860" t="str">
        <f>ROUND((Q860+R860)*0.4,-2)</f>
        <v>#REF!</v>
      </c>
      <c r="V860" t="str">
        <f>SUM(Q860:R860)+T860</f>
        <v>#REF!</v>
      </c>
      <c r="W860" t="str">
        <f>SUM(Q860:S860)+U860</f>
        <v>#REF!</v>
      </c>
      <c r="X860">
        <v>0</v>
      </c>
      <c r="Y860" t="str">
        <f>V860*0.038</f>
        <v>#REF!</v>
      </c>
      <c r="Z860" t="str">
        <f>V860*0.02</f>
        <v>#REF!</v>
      </c>
      <c r="AA860" t="str">
        <f>W860*0.1</f>
        <v>#REF!</v>
      </c>
      <c r="AB860" t="str">
        <f>V860-Y860-Z860</f>
        <v>#REF!</v>
      </c>
      <c r="AC860" t="str">
        <f>W860-AA860</f>
        <v>#REF!</v>
      </c>
      <c r="AD860" t="str">
        <f>AB860*0.01</f>
        <v>#REF!</v>
      </c>
      <c r="AE860" t="str">
        <f>AB860-Q860-AD860-R860</f>
        <v>#REF!</v>
      </c>
      <c r="AF860" t="str">
        <f>AC860-Q860-AD860-R860</f>
        <v>#REF!</v>
      </c>
      <c r="AG860" t="str">
        <f>AE860/V860</f>
        <v>#REF!</v>
      </c>
      <c r="AH860" t="str">
        <f>AF860/W860</f>
        <v>#REF!</v>
      </c>
    </row>
    <row r="861">
      <c r="G861" t="str">
        <v>A</v>
      </c>
      <c r="J861" t="str">
        <f>IF(K861&gt;0,K861*0.0625,IF(L861&gt;0,L861*2.204623,))</f>
        <v>#REF!</v>
      </c>
      <c r="K861" t="str">
        <f>IF(L861&gt;0,L861*35.273962,IF(J861&gt;0,J861*16,))</f>
        <v>#REF!</v>
      </c>
      <c r="L861" t="str">
        <f>IF(J861&gt;0,J861*0.453592,IF(K861&gt;0,K861*0.02835,))</f>
        <v>#REF!</v>
      </c>
      <c r="O861">
        <f>I861+N861+M861</f>
        <v>0</v>
      </c>
      <c r="P861">
        <f>O861*B$3</f>
        <v>0</v>
      </c>
      <c r="Q861">
        <f>ROUND(SUM(P861), -2)</f>
        <v>0</v>
      </c>
      <c r="R861" t="str">
        <f>ROUNDUP(HLOOKUP(IF(CEILING(L861,0.5)&lt;1,0.5,CEILING(L861,0.5)),'배송비 조회'!A$44:AO$56,7,0)*B$3,-2)</f>
        <v>#REF!</v>
      </c>
      <c r="S861">
        <v>0</v>
      </c>
      <c r="T861" t="str">
        <f>ROUND((Q861+R861)*0.3,-2)</f>
        <v>#REF!</v>
      </c>
      <c r="U861" t="str">
        <f>ROUND((Q861+R861)*0.4,-2)</f>
        <v>#REF!</v>
      </c>
      <c r="V861" t="str">
        <f>SUM(Q861:R861)+T861</f>
        <v>#REF!</v>
      </c>
      <c r="W861" t="str">
        <f>SUM(Q861:S861)+U861</f>
        <v>#REF!</v>
      </c>
      <c r="X861">
        <v>0</v>
      </c>
      <c r="Y861" t="str">
        <f>V861*0.038</f>
        <v>#REF!</v>
      </c>
      <c r="Z861" t="str">
        <f>V861*0.02</f>
        <v>#REF!</v>
      </c>
      <c r="AA861" t="str">
        <f>W861*0.1</f>
        <v>#REF!</v>
      </c>
      <c r="AB861" t="str">
        <f>V861-Y861-Z861</f>
        <v>#REF!</v>
      </c>
      <c r="AC861" t="str">
        <f>W861-AA861</f>
        <v>#REF!</v>
      </c>
      <c r="AD861" t="str">
        <f>AB861*0.01</f>
        <v>#REF!</v>
      </c>
      <c r="AE861" t="str">
        <f>AB861-Q861-AD861-R861</f>
        <v>#REF!</v>
      </c>
      <c r="AF861" t="str">
        <f>AC861-Q861-AD861-R861</f>
        <v>#REF!</v>
      </c>
      <c r="AG861" t="str">
        <f>AE861/V861</f>
        <v>#REF!</v>
      </c>
      <c r="AH861" t="str">
        <f>AF861/W861</f>
        <v>#REF!</v>
      </c>
    </row>
    <row r="862">
      <c r="G862" t="str">
        <v>A</v>
      </c>
      <c r="J862" t="str">
        <f>IF(K862&gt;0,K862*0.0625,IF(L862&gt;0,L862*2.204623,))</f>
        <v>#REF!</v>
      </c>
      <c r="K862" t="str">
        <f>IF(L862&gt;0,L862*35.273962,IF(J862&gt;0,J862*16,))</f>
        <v>#REF!</v>
      </c>
      <c r="L862" t="str">
        <f>IF(J862&gt;0,J862*0.453592,IF(K862&gt;0,K862*0.02835,))</f>
        <v>#REF!</v>
      </c>
      <c r="O862">
        <f>I862+N862+M862</f>
        <v>0</v>
      </c>
      <c r="P862">
        <f>O862*B$3</f>
        <v>0</v>
      </c>
      <c r="Q862">
        <f>ROUND(SUM(P862), -2)</f>
        <v>0</v>
      </c>
      <c r="R862" t="str">
        <f>ROUNDUP(HLOOKUP(IF(CEILING(L862,0.5)&lt;1,0.5,CEILING(L862,0.5)),'배송비 조회'!A$44:AO$56,7,0)*B$3,-2)</f>
        <v>#REF!</v>
      </c>
      <c r="S862">
        <v>0</v>
      </c>
      <c r="T862" t="str">
        <f>ROUND((Q862+R862)*0.3,-2)</f>
        <v>#REF!</v>
      </c>
      <c r="U862" t="str">
        <f>ROUND((Q862+R862)*0.4,-2)</f>
        <v>#REF!</v>
      </c>
      <c r="V862" t="str">
        <f>SUM(Q862:R862)+T862</f>
        <v>#REF!</v>
      </c>
      <c r="W862" t="str">
        <f>SUM(Q862:S862)+U862</f>
        <v>#REF!</v>
      </c>
      <c r="X862">
        <v>0</v>
      </c>
      <c r="Y862" t="str">
        <f>V862*0.038</f>
        <v>#REF!</v>
      </c>
      <c r="Z862" t="str">
        <f>V862*0.02</f>
        <v>#REF!</v>
      </c>
      <c r="AA862" t="str">
        <f>W862*0.1</f>
        <v>#REF!</v>
      </c>
      <c r="AB862" t="str">
        <f>V862-Y862-Z862</f>
        <v>#REF!</v>
      </c>
      <c r="AC862" t="str">
        <f>W862-AA862</f>
        <v>#REF!</v>
      </c>
      <c r="AD862" t="str">
        <f>AB862*0.01</f>
        <v>#REF!</v>
      </c>
      <c r="AE862" t="str">
        <f>AB862-Q862-AD862-R862</f>
        <v>#REF!</v>
      </c>
      <c r="AF862" t="str">
        <f>AC862-Q862-AD862-R862</f>
        <v>#REF!</v>
      </c>
      <c r="AG862" t="str">
        <f>AE862/V862</f>
        <v>#REF!</v>
      </c>
      <c r="AH862" t="str">
        <f>AF862/W862</f>
        <v>#REF!</v>
      </c>
    </row>
    <row r="863">
      <c r="G863" t="str">
        <v>A</v>
      </c>
      <c r="J863" t="str">
        <f>IF(K863&gt;0,K863*0.0625,IF(L863&gt;0,L863*2.204623,))</f>
        <v>#REF!</v>
      </c>
      <c r="K863" t="str">
        <f>IF(L863&gt;0,L863*35.273962,IF(J863&gt;0,J863*16,))</f>
        <v>#REF!</v>
      </c>
      <c r="L863" t="str">
        <f>IF(J863&gt;0,J863*0.453592,IF(K863&gt;0,K863*0.02835,))</f>
        <v>#REF!</v>
      </c>
      <c r="O863">
        <f>I863+N863+M863</f>
        <v>0</v>
      </c>
      <c r="P863">
        <f>O863*B$3</f>
        <v>0</v>
      </c>
      <c r="Q863">
        <f>ROUND(SUM(P863), -2)</f>
        <v>0</v>
      </c>
      <c r="R863" t="str">
        <f>ROUNDUP(HLOOKUP(IF(CEILING(L863,0.5)&lt;1,0.5,CEILING(L863,0.5)),'배송비 조회'!A$44:AO$56,7,0)*B$3,-2)</f>
        <v>#REF!</v>
      </c>
      <c r="S863">
        <v>0</v>
      </c>
      <c r="T863" t="str">
        <f>ROUND((Q863+R863)*0.3,-2)</f>
        <v>#REF!</v>
      </c>
      <c r="U863" t="str">
        <f>ROUND((Q863+R863)*0.4,-2)</f>
        <v>#REF!</v>
      </c>
      <c r="V863" t="str">
        <f>SUM(Q863:R863)+T863</f>
        <v>#REF!</v>
      </c>
      <c r="W863" t="str">
        <f>SUM(Q863:S863)+U863</f>
        <v>#REF!</v>
      </c>
      <c r="X863">
        <v>0</v>
      </c>
      <c r="Y863" t="str">
        <f>V863*0.038</f>
        <v>#REF!</v>
      </c>
      <c r="Z863" t="str">
        <f>V863*0.02</f>
        <v>#REF!</v>
      </c>
      <c r="AA863" t="str">
        <f>W863*0.1</f>
        <v>#REF!</v>
      </c>
      <c r="AB863" t="str">
        <f>V863-Y863-Z863</f>
        <v>#REF!</v>
      </c>
      <c r="AC863" t="str">
        <f>W863-AA863</f>
        <v>#REF!</v>
      </c>
      <c r="AD863" t="str">
        <f>AB863*0.01</f>
        <v>#REF!</v>
      </c>
      <c r="AE863" t="str">
        <f>AB863-Q863-AD863-R863</f>
        <v>#REF!</v>
      </c>
      <c r="AF863" t="str">
        <f>AC863-Q863-AD863-R863</f>
        <v>#REF!</v>
      </c>
      <c r="AG863" t="str">
        <f>AE863/V863</f>
        <v>#REF!</v>
      </c>
      <c r="AH863" t="str">
        <f>AF863/W863</f>
        <v>#REF!</v>
      </c>
    </row>
    <row r="864">
      <c r="G864" t="str">
        <v>A</v>
      </c>
      <c r="J864" t="str">
        <f>IF(K864&gt;0,K864*0.0625,IF(L864&gt;0,L864*2.204623,))</f>
        <v>#REF!</v>
      </c>
      <c r="K864" t="str">
        <f>IF(L864&gt;0,L864*35.273962,IF(J864&gt;0,J864*16,))</f>
        <v>#REF!</v>
      </c>
      <c r="L864" t="str">
        <f>IF(J864&gt;0,J864*0.453592,IF(K864&gt;0,K864*0.02835,))</f>
        <v>#REF!</v>
      </c>
      <c r="O864">
        <f>I864+N864+M864</f>
        <v>0</v>
      </c>
      <c r="P864">
        <f>O864*B$3</f>
        <v>0</v>
      </c>
      <c r="Q864">
        <f>ROUND(SUM(P864), -2)</f>
        <v>0</v>
      </c>
      <c r="R864" t="str">
        <f>ROUNDUP(HLOOKUP(IF(CEILING(L864,0.5)&lt;1,0.5,CEILING(L864,0.5)),'배송비 조회'!A$44:AO$56,7,0)*B$3,-2)</f>
        <v>#REF!</v>
      </c>
      <c r="S864">
        <v>0</v>
      </c>
      <c r="T864" t="str">
        <f>ROUND((Q864+R864)*0.3,-2)</f>
        <v>#REF!</v>
      </c>
      <c r="U864" t="str">
        <f>ROUND((Q864+R864)*0.4,-2)</f>
        <v>#REF!</v>
      </c>
      <c r="V864" t="str">
        <f>SUM(Q864:R864)+T864</f>
        <v>#REF!</v>
      </c>
      <c r="W864" t="str">
        <f>SUM(Q864:S864)+U864</f>
        <v>#REF!</v>
      </c>
      <c r="X864">
        <v>0</v>
      </c>
      <c r="Y864" t="str">
        <f>V864*0.038</f>
        <v>#REF!</v>
      </c>
      <c r="Z864" t="str">
        <f>V864*0.02</f>
        <v>#REF!</v>
      </c>
      <c r="AA864" t="str">
        <f>W864*0.1</f>
        <v>#REF!</v>
      </c>
      <c r="AB864" t="str">
        <f>V864-Y864-Z864</f>
        <v>#REF!</v>
      </c>
      <c r="AC864" t="str">
        <f>W864-AA864</f>
        <v>#REF!</v>
      </c>
      <c r="AD864" t="str">
        <f>AB864*0.01</f>
        <v>#REF!</v>
      </c>
      <c r="AE864" t="str">
        <f>AB864-Q864-AD864-R864</f>
        <v>#REF!</v>
      </c>
      <c r="AF864" t="str">
        <f>AC864-Q864-AD864-R864</f>
        <v>#REF!</v>
      </c>
      <c r="AG864" t="str">
        <f>AE864/V864</f>
        <v>#REF!</v>
      </c>
      <c r="AH864" t="str">
        <f>AF864/W864</f>
        <v>#REF!</v>
      </c>
    </row>
    <row r="865">
      <c r="G865" t="str">
        <v>A</v>
      </c>
      <c r="J865" t="str">
        <f>IF(K865&gt;0,K865*0.0625,IF(L865&gt;0,L865*2.204623,))</f>
        <v>#REF!</v>
      </c>
      <c r="K865" t="str">
        <f>IF(L865&gt;0,L865*35.273962,IF(J865&gt;0,J865*16,))</f>
        <v>#REF!</v>
      </c>
      <c r="L865" t="str">
        <f>IF(J865&gt;0,J865*0.453592,IF(K865&gt;0,K865*0.02835,))</f>
        <v>#REF!</v>
      </c>
      <c r="O865">
        <f>I865+N865+M865</f>
        <v>0</v>
      </c>
      <c r="P865">
        <f>O865*B$3</f>
        <v>0</v>
      </c>
      <c r="Q865">
        <f>ROUND(SUM(P865), -2)</f>
        <v>0</v>
      </c>
      <c r="R865" t="str">
        <f>ROUNDUP(HLOOKUP(IF(CEILING(L865,0.5)&lt;1,0.5,CEILING(L865,0.5)),'배송비 조회'!A$44:AO$56,7,0)*B$3,-2)</f>
        <v>#REF!</v>
      </c>
      <c r="S865">
        <v>0</v>
      </c>
      <c r="T865" t="str">
        <f>ROUND((Q865+R865)*0.3,-2)</f>
        <v>#REF!</v>
      </c>
      <c r="U865" t="str">
        <f>ROUND((Q865+R865)*0.4,-2)</f>
        <v>#REF!</v>
      </c>
      <c r="V865" t="str">
        <f>SUM(Q865:R865)+T865</f>
        <v>#REF!</v>
      </c>
      <c r="W865" t="str">
        <f>SUM(Q865:S865)+U865</f>
        <v>#REF!</v>
      </c>
      <c r="X865">
        <v>0</v>
      </c>
      <c r="Y865" t="str">
        <f>V865*0.038</f>
        <v>#REF!</v>
      </c>
      <c r="Z865" t="str">
        <f>V865*0.02</f>
        <v>#REF!</v>
      </c>
      <c r="AA865" t="str">
        <f>W865*0.1</f>
        <v>#REF!</v>
      </c>
      <c r="AB865" t="str">
        <f>V865-Y865-Z865</f>
        <v>#REF!</v>
      </c>
      <c r="AC865" t="str">
        <f>W865-AA865</f>
        <v>#REF!</v>
      </c>
      <c r="AD865" t="str">
        <f>AB865*0.01</f>
        <v>#REF!</v>
      </c>
      <c r="AE865" t="str">
        <f>AB865-Q865-AD865-R865</f>
        <v>#REF!</v>
      </c>
      <c r="AF865" t="str">
        <f>AC865-Q865-AD865-R865</f>
        <v>#REF!</v>
      </c>
      <c r="AG865" t="str">
        <f>AE865/V865</f>
        <v>#REF!</v>
      </c>
      <c r="AH865" t="str">
        <f>AF865/W865</f>
        <v>#REF!</v>
      </c>
    </row>
    <row r="866">
      <c r="G866" t="str">
        <v>A</v>
      </c>
      <c r="J866" t="str">
        <f>IF(K866&gt;0,K866*0.0625,IF(L866&gt;0,L866*2.204623,))</f>
        <v>#REF!</v>
      </c>
      <c r="K866" t="str">
        <f>IF(L866&gt;0,L866*35.273962,IF(J866&gt;0,J866*16,))</f>
        <v>#REF!</v>
      </c>
      <c r="L866" t="str">
        <f>IF(J866&gt;0,J866*0.453592,IF(K866&gt;0,K866*0.02835,))</f>
        <v>#REF!</v>
      </c>
      <c r="O866">
        <f>I866+N866+M866</f>
        <v>0</v>
      </c>
      <c r="P866">
        <f>O866*B$3</f>
        <v>0</v>
      </c>
      <c r="Q866">
        <f>ROUND(SUM(P866), -2)</f>
        <v>0</v>
      </c>
      <c r="R866" t="str">
        <f>ROUNDUP(HLOOKUP(IF(CEILING(L866,0.5)&lt;1,0.5,CEILING(L866,0.5)),'배송비 조회'!A$44:AO$56,7,0)*B$3,-2)</f>
        <v>#REF!</v>
      </c>
      <c r="S866">
        <v>0</v>
      </c>
      <c r="T866" t="str">
        <f>ROUND((Q866+R866)*0.3,-2)</f>
        <v>#REF!</v>
      </c>
      <c r="U866" t="str">
        <f>ROUND((Q866+R866)*0.4,-2)</f>
        <v>#REF!</v>
      </c>
      <c r="V866" t="str">
        <f>SUM(Q866:R866)+T866</f>
        <v>#REF!</v>
      </c>
      <c r="W866" t="str">
        <f>SUM(Q866:S866)+U866</f>
        <v>#REF!</v>
      </c>
      <c r="X866">
        <v>0</v>
      </c>
      <c r="Y866" t="str">
        <f>V866*0.038</f>
        <v>#REF!</v>
      </c>
      <c r="Z866" t="str">
        <f>V866*0.02</f>
        <v>#REF!</v>
      </c>
      <c r="AA866" t="str">
        <f>W866*0.1</f>
        <v>#REF!</v>
      </c>
      <c r="AB866" t="str">
        <f>V866-Y866-Z866</f>
        <v>#REF!</v>
      </c>
      <c r="AC866" t="str">
        <f>W866-AA866</f>
        <v>#REF!</v>
      </c>
      <c r="AD866" t="str">
        <f>AB866*0.01</f>
        <v>#REF!</v>
      </c>
      <c r="AE866" t="str">
        <f>AB866-Q866-AD866-R866</f>
        <v>#REF!</v>
      </c>
      <c r="AF866" t="str">
        <f>AC866-Q866-AD866-R866</f>
        <v>#REF!</v>
      </c>
      <c r="AG866" t="str">
        <f>AE866/V866</f>
        <v>#REF!</v>
      </c>
      <c r="AH866" t="str">
        <f>AF866/W866</f>
        <v>#REF!</v>
      </c>
    </row>
    <row r="867">
      <c r="G867" t="str">
        <v>A</v>
      </c>
      <c r="J867" t="str">
        <f>IF(K867&gt;0,K867*0.0625,IF(L867&gt;0,L867*2.204623,))</f>
        <v>#REF!</v>
      </c>
      <c r="K867" t="str">
        <f>IF(L867&gt;0,L867*35.273962,IF(J867&gt;0,J867*16,))</f>
        <v>#REF!</v>
      </c>
      <c r="L867" t="str">
        <f>IF(J867&gt;0,J867*0.453592,IF(K867&gt;0,K867*0.02835,))</f>
        <v>#REF!</v>
      </c>
      <c r="O867">
        <f>I867+N867+M867</f>
        <v>0</v>
      </c>
      <c r="P867">
        <f>O867*B$3</f>
        <v>0</v>
      </c>
      <c r="Q867">
        <f>ROUND(SUM(P867), -2)</f>
        <v>0</v>
      </c>
      <c r="R867" t="str">
        <f>ROUNDUP(HLOOKUP(IF(CEILING(L867,0.5)&lt;1,0.5,CEILING(L867,0.5)),'배송비 조회'!A$44:AO$56,7,0)*B$3,-2)</f>
        <v>#REF!</v>
      </c>
      <c r="S867">
        <v>0</v>
      </c>
      <c r="T867" t="str">
        <f>ROUND((Q867+R867)*0.3,-2)</f>
        <v>#REF!</v>
      </c>
      <c r="U867" t="str">
        <f>ROUND((Q867+R867)*0.4,-2)</f>
        <v>#REF!</v>
      </c>
      <c r="V867" t="str">
        <f>SUM(Q867:R867)+T867</f>
        <v>#REF!</v>
      </c>
      <c r="W867" t="str">
        <f>SUM(Q867:S867)+U867</f>
        <v>#REF!</v>
      </c>
      <c r="X867">
        <v>0</v>
      </c>
      <c r="Y867" t="str">
        <f>V867*0.038</f>
        <v>#REF!</v>
      </c>
      <c r="Z867" t="str">
        <f>V867*0.02</f>
        <v>#REF!</v>
      </c>
      <c r="AA867" t="str">
        <f>W867*0.1</f>
        <v>#REF!</v>
      </c>
      <c r="AB867" t="str">
        <f>V867-Y867-Z867</f>
        <v>#REF!</v>
      </c>
      <c r="AC867" t="str">
        <f>W867-AA867</f>
        <v>#REF!</v>
      </c>
      <c r="AD867" t="str">
        <f>AB867*0.01</f>
        <v>#REF!</v>
      </c>
      <c r="AE867" t="str">
        <f>AB867-Q867-AD867-R867</f>
        <v>#REF!</v>
      </c>
      <c r="AF867" t="str">
        <f>AC867-Q867-AD867-R867</f>
        <v>#REF!</v>
      </c>
      <c r="AG867" t="str">
        <f>AE867/V867</f>
        <v>#REF!</v>
      </c>
      <c r="AH867" t="str">
        <f>AF867/W867</f>
        <v>#REF!</v>
      </c>
    </row>
    <row r="868">
      <c r="G868" t="str">
        <v>A</v>
      </c>
      <c r="J868" t="str">
        <f>IF(K868&gt;0,K868*0.0625,IF(L868&gt;0,L868*2.204623,))</f>
        <v>#REF!</v>
      </c>
      <c r="K868" t="str">
        <f>IF(L868&gt;0,L868*35.273962,IF(J868&gt;0,J868*16,))</f>
        <v>#REF!</v>
      </c>
      <c r="L868" t="str">
        <f>IF(J868&gt;0,J868*0.453592,IF(K868&gt;0,K868*0.02835,))</f>
        <v>#REF!</v>
      </c>
      <c r="O868">
        <f>I868+N868+M868</f>
        <v>0</v>
      </c>
      <c r="P868">
        <f>O868*B$3</f>
        <v>0</v>
      </c>
      <c r="Q868">
        <f>ROUND(SUM(P868), -2)</f>
        <v>0</v>
      </c>
      <c r="R868" t="str">
        <f>ROUNDUP(HLOOKUP(IF(CEILING(L868,0.5)&lt;1,0.5,CEILING(L868,0.5)),'배송비 조회'!A$44:AO$56,7,0)*B$3,-2)</f>
        <v>#REF!</v>
      </c>
      <c r="S868">
        <v>0</v>
      </c>
      <c r="T868" t="str">
        <f>ROUND((Q868+R868)*0.3,-2)</f>
        <v>#REF!</v>
      </c>
      <c r="U868" t="str">
        <f>ROUND((Q868+R868)*0.4,-2)</f>
        <v>#REF!</v>
      </c>
      <c r="V868" t="str">
        <f>SUM(Q868:R868)+T868</f>
        <v>#REF!</v>
      </c>
      <c r="W868" t="str">
        <f>SUM(Q868:S868)+U868</f>
        <v>#REF!</v>
      </c>
      <c r="X868">
        <v>0</v>
      </c>
      <c r="Y868" t="str">
        <f>V868*0.038</f>
        <v>#REF!</v>
      </c>
      <c r="Z868" t="str">
        <f>V868*0.02</f>
        <v>#REF!</v>
      </c>
      <c r="AA868" t="str">
        <f>W868*0.1</f>
        <v>#REF!</v>
      </c>
      <c r="AB868" t="str">
        <f>V868-Y868-Z868</f>
        <v>#REF!</v>
      </c>
      <c r="AC868" t="str">
        <f>W868-AA868</f>
        <v>#REF!</v>
      </c>
      <c r="AD868" t="str">
        <f>AB868*0.01</f>
        <v>#REF!</v>
      </c>
      <c r="AE868" t="str">
        <f>AB868-Q868-AD868-R868</f>
        <v>#REF!</v>
      </c>
      <c r="AF868" t="str">
        <f>AC868-Q868-AD868-R868</f>
        <v>#REF!</v>
      </c>
      <c r="AG868" t="str">
        <f>AE868/V868</f>
        <v>#REF!</v>
      </c>
      <c r="AH868" t="str">
        <f>AF868/W868</f>
        <v>#REF!</v>
      </c>
    </row>
    <row r="869">
      <c r="G869" t="str">
        <v>A</v>
      </c>
      <c r="J869" t="str">
        <f>IF(K869&gt;0,K869*0.0625,IF(L869&gt;0,L869*2.204623,))</f>
        <v>#REF!</v>
      </c>
      <c r="K869" t="str">
        <f>IF(L869&gt;0,L869*35.273962,IF(J869&gt;0,J869*16,))</f>
        <v>#REF!</v>
      </c>
      <c r="L869" t="str">
        <f>IF(J869&gt;0,J869*0.453592,IF(K869&gt;0,K869*0.02835,))</f>
        <v>#REF!</v>
      </c>
      <c r="O869">
        <f>I869+N869+M869</f>
        <v>0</v>
      </c>
      <c r="P869">
        <f>O869*B$3</f>
        <v>0</v>
      </c>
      <c r="Q869">
        <f>ROUND(SUM(P869), -2)</f>
        <v>0</v>
      </c>
      <c r="R869" t="str">
        <f>ROUNDUP(HLOOKUP(IF(CEILING(L869,0.5)&lt;1,0.5,CEILING(L869,0.5)),'배송비 조회'!A$44:AO$56,7,0)*B$3,-2)</f>
        <v>#REF!</v>
      </c>
      <c r="S869">
        <v>0</v>
      </c>
      <c r="T869" t="str">
        <f>ROUND((Q869+R869)*0.3,-2)</f>
        <v>#REF!</v>
      </c>
      <c r="U869" t="str">
        <f>ROUND((Q869+R869)*0.4,-2)</f>
        <v>#REF!</v>
      </c>
      <c r="V869" t="str">
        <f>SUM(Q869:R869)+T869</f>
        <v>#REF!</v>
      </c>
      <c r="W869" t="str">
        <f>SUM(Q869:S869)+U869</f>
        <v>#REF!</v>
      </c>
      <c r="X869">
        <v>0</v>
      </c>
      <c r="Y869" t="str">
        <f>V869*0.038</f>
        <v>#REF!</v>
      </c>
      <c r="Z869" t="str">
        <f>V869*0.02</f>
        <v>#REF!</v>
      </c>
      <c r="AA869" t="str">
        <f>W869*0.1</f>
        <v>#REF!</v>
      </c>
      <c r="AB869" t="str">
        <f>V869-Y869-Z869</f>
        <v>#REF!</v>
      </c>
      <c r="AC869" t="str">
        <f>W869-AA869</f>
        <v>#REF!</v>
      </c>
      <c r="AD869" t="str">
        <f>AB869*0.01</f>
        <v>#REF!</v>
      </c>
      <c r="AE869" t="str">
        <f>AB869-Q869-AD869-R869</f>
        <v>#REF!</v>
      </c>
      <c r="AF869" t="str">
        <f>AC869-Q869-AD869-R869</f>
        <v>#REF!</v>
      </c>
      <c r="AG869" t="str">
        <f>AE869/V869</f>
        <v>#REF!</v>
      </c>
      <c r="AH869" t="str">
        <f>AF869/W869</f>
        <v>#REF!</v>
      </c>
    </row>
    <row r="870">
      <c r="G870" t="str">
        <v>A</v>
      </c>
      <c r="J870" t="str">
        <f>IF(K870&gt;0,K870*0.0625,IF(L870&gt;0,L870*2.204623,))</f>
        <v>#REF!</v>
      </c>
      <c r="K870" t="str">
        <f>IF(L870&gt;0,L870*35.273962,IF(J870&gt;0,J870*16,))</f>
        <v>#REF!</v>
      </c>
      <c r="L870" t="str">
        <f>IF(J870&gt;0,J870*0.453592,IF(K870&gt;0,K870*0.02835,))</f>
        <v>#REF!</v>
      </c>
      <c r="O870">
        <f>I870+N870+M870</f>
        <v>0</v>
      </c>
      <c r="P870">
        <f>O870*B$3</f>
        <v>0</v>
      </c>
      <c r="Q870">
        <f>ROUND(SUM(P870), -2)</f>
        <v>0</v>
      </c>
      <c r="R870" t="str">
        <f>ROUNDUP(HLOOKUP(IF(CEILING(L870,0.5)&lt;1,0.5,CEILING(L870,0.5)),'배송비 조회'!A$44:AO$56,7,0)*B$3,-2)</f>
        <v>#REF!</v>
      </c>
      <c r="S870">
        <v>0</v>
      </c>
      <c r="T870" t="str">
        <f>ROUND((Q870+R870)*0.3,-2)</f>
        <v>#REF!</v>
      </c>
      <c r="U870" t="str">
        <f>ROUND((Q870+R870)*0.4,-2)</f>
        <v>#REF!</v>
      </c>
      <c r="V870" t="str">
        <f>SUM(Q870:R870)+T870</f>
        <v>#REF!</v>
      </c>
      <c r="W870" t="str">
        <f>SUM(Q870:S870)+U870</f>
        <v>#REF!</v>
      </c>
      <c r="X870">
        <v>0</v>
      </c>
      <c r="Y870" t="str">
        <f>V870*0.038</f>
        <v>#REF!</v>
      </c>
      <c r="Z870" t="str">
        <f>V870*0.02</f>
        <v>#REF!</v>
      </c>
      <c r="AA870" t="str">
        <f>W870*0.1</f>
        <v>#REF!</v>
      </c>
      <c r="AB870" t="str">
        <f>V870-Y870-Z870</f>
        <v>#REF!</v>
      </c>
      <c r="AC870" t="str">
        <f>W870-AA870</f>
        <v>#REF!</v>
      </c>
      <c r="AD870" t="str">
        <f>AB870*0.01</f>
        <v>#REF!</v>
      </c>
      <c r="AE870" t="str">
        <f>AB870-Q870-AD870-R870</f>
        <v>#REF!</v>
      </c>
      <c r="AF870" t="str">
        <f>AC870-Q870-AD870-R870</f>
        <v>#REF!</v>
      </c>
      <c r="AG870" t="str">
        <f>AE870/V870</f>
        <v>#REF!</v>
      </c>
      <c r="AH870" t="str">
        <f>AF870/W870</f>
        <v>#REF!</v>
      </c>
    </row>
    <row r="871">
      <c r="G871" t="str">
        <v>A</v>
      </c>
      <c r="J871" t="str">
        <f>IF(K871&gt;0,K871*0.0625,IF(L871&gt;0,L871*2.204623,))</f>
        <v>#REF!</v>
      </c>
      <c r="K871" t="str">
        <f>IF(L871&gt;0,L871*35.273962,IF(J871&gt;0,J871*16,))</f>
        <v>#REF!</v>
      </c>
      <c r="L871" t="str">
        <f>IF(J871&gt;0,J871*0.453592,IF(K871&gt;0,K871*0.02835,))</f>
        <v>#REF!</v>
      </c>
      <c r="O871">
        <f>I871+N871+M871</f>
        <v>0</v>
      </c>
      <c r="P871">
        <f>O871*B$3</f>
        <v>0</v>
      </c>
      <c r="Q871">
        <f>ROUND(SUM(P871), -2)</f>
        <v>0</v>
      </c>
      <c r="R871" t="str">
        <f>ROUNDUP(HLOOKUP(IF(CEILING(L871,0.5)&lt;1,0.5,CEILING(L871,0.5)),'배송비 조회'!A$44:AO$56,7,0)*B$3,-2)</f>
        <v>#REF!</v>
      </c>
      <c r="S871">
        <v>0</v>
      </c>
      <c r="T871" t="str">
        <f>ROUND((Q871+R871)*0.3,-2)</f>
        <v>#REF!</v>
      </c>
      <c r="U871" t="str">
        <f>ROUND((Q871+R871)*0.4,-2)</f>
        <v>#REF!</v>
      </c>
      <c r="V871" t="str">
        <f>SUM(Q871:R871)+T871</f>
        <v>#REF!</v>
      </c>
      <c r="W871" t="str">
        <f>SUM(Q871:S871)+U871</f>
        <v>#REF!</v>
      </c>
      <c r="X871">
        <v>0</v>
      </c>
      <c r="Y871" t="str">
        <f>V871*0.038</f>
        <v>#REF!</v>
      </c>
      <c r="Z871" t="str">
        <f>V871*0.02</f>
        <v>#REF!</v>
      </c>
      <c r="AA871" t="str">
        <f>W871*0.1</f>
        <v>#REF!</v>
      </c>
      <c r="AB871" t="str">
        <f>V871-Y871-Z871</f>
        <v>#REF!</v>
      </c>
      <c r="AC871" t="str">
        <f>W871-AA871</f>
        <v>#REF!</v>
      </c>
      <c r="AD871" t="str">
        <f>AB871*0.01</f>
        <v>#REF!</v>
      </c>
      <c r="AE871" t="str">
        <f>AB871-Q871-AD871-R871</f>
        <v>#REF!</v>
      </c>
      <c r="AF871" t="str">
        <f>AC871-Q871-AD871-R871</f>
        <v>#REF!</v>
      </c>
      <c r="AG871" t="str">
        <f>AE871/V871</f>
        <v>#REF!</v>
      </c>
      <c r="AH871" t="str">
        <f>AF871/W871</f>
        <v>#REF!</v>
      </c>
    </row>
    <row r="872">
      <c r="G872" t="str">
        <v>A</v>
      </c>
      <c r="J872" t="str">
        <f>IF(K872&gt;0,K872*0.0625,IF(L872&gt;0,L872*2.204623,))</f>
        <v>#REF!</v>
      </c>
      <c r="K872" t="str">
        <f>IF(L872&gt;0,L872*35.273962,IF(J872&gt;0,J872*16,))</f>
        <v>#REF!</v>
      </c>
      <c r="L872" t="str">
        <f>IF(J872&gt;0,J872*0.453592,IF(K872&gt;0,K872*0.02835,))</f>
        <v>#REF!</v>
      </c>
      <c r="O872">
        <f>I872+N872+M872</f>
        <v>0</v>
      </c>
      <c r="P872">
        <f>O872*B$3</f>
        <v>0</v>
      </c>
      <c r="Q872">
        <f>ROUND(SUM(P872), -2)</f>
        <v>0</v>
      </c>
      <c r="R872" t="str">
        <f>ROUNDUP(HLOOKUP(IF(CEILING(L872,0.5)&lt;1,0.5,CEILING(L872,0.5)),'배송비 조회'!A$44:AO$56,7,0)*B$3,-2)</f>
        <v>#REF!</v>
      </c>
      <c r="S872">
        <v>0</v>
      </c>
      <c r="T872" t="str">
        <f>ROUND((Q872+R872)*0.3,-2)</f>
        <v>#REF!</v>
      </c>
      <c r="U872" t="str">
        <f>ROUND((Q872+R872)*0.4,-2)</f>
        <v>#REF!</v>
      </c>
      <c r="V872" t="str">
        <f>SUM(Q872:R872)+T872</f>
        <v>#REF!</v>
      </c>
      <c r="W872" t="str">
        <f>SUM(Q872:S872)+U872</f>
        <v>#REF!</v>
      </c>
      <c r="X872">
        <v>0</v>
      </c>
      <c r="Y872" t="str">
        <f>V872*0.038</f>
        <v>#REF!</v>
      </c>
      <c r="Z872" t="str">
        <f>V872*0.02</f>
        <v>#REF!</v>
      </c>
      <c r="AA872" t="str">
        <f>W872*0.1</f>
        <v>#REF!</v>
      </c>
      <c r="AB872" t="str">
        <f>V872-Y872-Z872</f>
        <v>#REF!</v>
      </c>
      <c r="AC872" t="str">
        <f>W872-AA872</f>
        <v>#REF!</v>
      </c>
      <c r="AD872" t="str">
        <f>AB872*0.01</f>
        <v>#REF!</v>
      </c>
      <c r="AE872" t="str">
        <f>AB872-Q872-AD872-R872</f>
        <v>#REF!</v>
      </c>
      <c r="AF872" t="str">
        <f>AC872-Q872-AD872-R872</f>
        <v>#REF!</v>
      </c>
      <c r="AG872" t="str">
        <f>AE872/V872</f>
        <v>#REF!</v>
      </c>
      <c r="AH872" t="str">
        <f>AF872/W872</f>
        <v>#REF!</v>
      </c>
    </row>
    <row r="873">
      <c r="G873" t="str">
        <v>A</v>
      </c>
      <c r="J873" t="str">
        <f>IF(K873&gt;0,K873*0.0625,IF(L873&gt;0,L873*2.204623,))</f>
        <v>#REF!</v>
      </c>
      <c r="K873" t="str">
        <f>IF(L873&gt;0,L873*35.273962,IF(J873&gt;0,J873*16,))</f>
        <v>#REF!</v>
      </c>
      <c r="L873" t="str">
        <f>IF(J873&gt;0,J873*0.453592,IF(K873&gt;0,K873*0.02835,))</f>
        <v>#REF!</v>
      </c>
      <c r="O873">
        <f>I873+N873+M873</f>
        <v>0</v>
      </c>
      <c r="P873">
        <f>O873*B$3</f>
        <v>0</v>
      </c>
      <c r="Q873">
        <f>ROUND(SUM(P873), -2)</f>
        <v>0</v>
      </c>
      <c r="R873" t="str">
        <f>ROUNDUP(HLOOKUP(IF(CEILING(L873,0.5)&lt;1,0.5,CEILING(L873,0.5)),'배송비 조회'!A$44:AO$56,7,0)*B$3,-2)</f>
        <v>#REF!</v>
      </c>
      <c r="S873">
        <v>0</v>
      </c>
      <c r="T873" t="str">
        <f>ROUND((Q873+R873)*0.3,-2)</f>
        <v>#REF!</v>
      </c>
      <c r="U873" t="str">
        <f>ROUND((Q873+R873)*0.4,-2)</f>
        <v>#REF!</v>
      </c>
      <c r="V873" t="str">
        <f>SUM(Q873:R873)+T873</f>
        <v>#REF!</v>
      </c>
      <c r="W873" t="str">
        <f>SUM(Q873:S873)+U873</f>
        <v>#REF!</v>
      </c>
      <c r="X873">
        <v>0</v>
      </c>
      <c r="Y873" t="str">
        <f>V873*0.038</f>
        <v>#REF!</v>
      </c>
      <c r="Z873" t="str">
        <f>V873*0.02</f>
        <v>#REF!</v>
      </c>
      <c r="AA873" t="str">
        <f>W873*0.1</f>
        <v>#REF!</v>
      </c>
      <c r="AB873" t="str">
        <f>V873-Y873-Z873</f>
        <v>#REF!</v>
      </c>
      <c r="AC873" t="str">
        <f>W873-AA873</f>
        <v>#REF!</v>
      </c>
      <c r="AD873" t="str">
        <f>AB873*0.01</f>
        <v>#REF!</v>
      </c>
      <c r="AE873" t="str">
        <f>AB873-Q873-AD873-R873</f>
        <v>#REF!</v>
      </c>
      <c r="AF873" t="str">
        <f>AC873-Q873-AD873-R873</f>
        <v>#REF!</v>
      </c>
      <c r="AG873" t="str">
        <f>AE873/V873</f>
        <v>#REF!</v>
      </c>
      <c r="AH873" t="str">
        <f>AF873/W873</f>
        <v>#REF!</v>
      </c>
    </row>
    <row r="874">
      <c r="G874" t="str">
        <v>A</v>
      </c>
      <c r="J874" t="str">
        <f>IF(K874&gt;0,K874*0.0625,IF(L874&gt;0,L874*2.204623,))</f>
        <v>#REF!</v>
      </c>
      <c r="K874" t="str">
        <f>IF(L874&gt;0,L874*35.273962,IF(J874&gt;0,J874*16,))</f>
        <v>#REF!</v>
      </c>
      <c r="L874" t="str">
        <f>IF(J874&gt;0,J874*0.453592,IF(K874&gt;0,K874*0.02835,))</f>
        <v>#REF!</v>
      </c>
      <c r="O874">
        <f>I874+N874+M874</f>
        <v>0</v>
      </c>
      <c r="P874">
        <f>O874*B$3</f>
        <v>0</v>
      </c>
      <c r="Q874">
        <f>ROUND(SUM(P874), -2)</f>
        <v>0</v>
      </c>
      <c r="R874" t="str">
        <f>ROUNDUP(HLOOKUP(IF(CEILING(L874,0.5)&lt;1,0.5,CEILING(L874,0.5)),'배송비 조회'!A$44:AO$56,7,0)*B$3,-2)</f>
        <v>#REF!</v>
      </c>
      <c r="S874">
        <v>0</v>
      </c>
      <c r="T874" t="str">
        <f>ROUND((Q874+R874)*0.3,-2)</f>
        <v>#REF!</v>
      </c>
      <c r="U874" t="str">
        <f>ROUND((Q874+R874)*0.4,-2)</f>
        <v>#REF!</v>
      </c>
      <c r="V874" t="str">
        <f>SUM(Q874:R874)+T874</f>
        <v>#REF!</v>
      </c>
      <c r="W874" t="str">
        <f>SUM(Q874:S874)+U874</f>
        <v>#REF!</v>
      </c>
      <c r="X874">
        <v>0</v>
      </c>
      <c r="Y874" t="str">
        <f>V874*0.038</f>
        <v>#REF!</v>
      </c>
      <c r="Z874" t="str">
        <f>V874*0.02</f>
        <v>#REF!</v>
      </c>
      <c r="AA874" t="str">
        <f>W874*0.1</f>
        <v>#REF!</v>
      </c>
      <c r="AB874" t="str">
        <f>V874-Y874-Z874</f>
        <v>#REF!</v>
      </c>
      <c r="AC874" t="str">
        <f>W874-AA874</f>
        <v>#REF!</v>
      </c>
      <c r="AD874" t="str">
        <f>AB874*0.01</f>
        <v>#REF!</v>
      </c>
      <c r="AE874" t="str">
        <f>AB874-Q874-AD874-R874</f>
        <v>#REF!</v>
      </c>
      <c r="AF874" t="str">
        <f>AC874-Q874-AD874-R874</f>
        <v>#REF!</v>
      </c>
      <c r="AG874" t="str">
        <f>AE874/V874</f>
        <v>#REF!</v>
      </c>
      <c r="AH874" t="str">
        <f>AF874/W874</f>
        <v>#REF!</v>
      </c>
    </row>
    <row r="875">
      <c r="G875" t="str">
        <v>A</v>
      </c>
      <c r="J875" t="str">
        <f>IF(K875&gt;0,K875*0.0625,IF(L875&gt;0,L875*2.204623,))</f>
        <v>#REF!</v>
      </c>
      <c r="K875" t="str">
        <f>IF(L875&gt;0,L875*35.273962,IF(J875&gt;0,J875*16,))</f>
        <v>#REF!</v>
      </c>
      <c r="L875" t="str">
        <f>IF(J875&gt;0,J875*0.453592,IF(K875&gt;0,K875*0.02835,))</f>
        <v>#REF!</v>
      </c>
      <c r="O875">
        <f>I875+N875+M875</f>
        <v>0</v>
      </c>
      <c r="P875">
        <f>O875*B$3</f>
        <v>0</v>
      </c>
      <c r="Q875">
        <f>ROUND(SUM(P875), -2)</f>
        <v>0</v>
      </c>
      <c r="R875" t="str">
        <f>ROUNDUP(HLOOKUP(IF(CEILING(L875,0.5)&lt;1,0.5,CEILING(L875,0.5)),'배송비 조회'!A$44:AO$56,7,0)*B$3,-2)</f>
        <v>#REF!</v>
      </c>
      <c r="S875">
        <v>0</v>
      </c>
      <c r="T875" t="str">
        <f>ROUND((Q875+R875)*0.3,-2)</f>
        <v>#REF!</v>
      </c>
      <c r="U875" t="str">
        <f>ROUND((Q875+R875)*0.4,-2)</f>
        <v>#REF!</v>
      </c>
      <c r="V875" t="str">
        <f>SUM(Q875:R875)+T875</f>
        <v>#REF!</v>
      </c>
      <c r="W875" t="str">
        <f>SUM(Q875:S875)+U875</f>
        <v>#REF!</v>
      </c>
      <c r="X875">
        <v>0</v>
      </c>
      <c r="Y875" t="str">
        <f>V875*0.038</f>
        <v>#REF!</v>
      </c>
      <c r="Z875" t="str">
        <f>V875*0.02</f>
        <v>#REF!</v>
      </c>
      <c r="AA875" t="str">
        <f>W875*0.1</f>
        <v>#REF!</v>
      </c>
      <c r="AB875" t="str">
        <f>V875-Y875-Z875</f>
        <v>#REF!</v>
      </c>
      <c r="AC875" t="str">
        <f>W875-AA875</f>
        <v>#REF!</v>
      </c>
      <c r="AD875" t="str">
        <f>AB875*0.01</f>
        <v>#REF!</v>
      </c>
      <c r="AE875" t="str">
        <f>AB875-Q875-AD875-R875</f>
        <v>#REF!</v>
      </c>
      <c r="AF875" t="str">
        <f>AC875-Q875-AD875-R875</f>
        <v>#REF!</v>
      </c>
      <c r="AG875" t="str">
        <f>AE875/V875</f>
        <v>#REF!</v>
      </c>
      <c r="AH875" t="str">
        <f>AF875/W875</f>
        <v>#REF!</v>
      </c>
    </row>
    <row r="876">
      <c r="G876" t="str">
        <v>A</v>
      </c>
      <c r="J876" t="str">
        <f>IF(K876&gt;0,K876*0.0625,IF(L876&gt;0,L876*2.204623,))</f>
        <v>#REF!</v>
      </c>
      <c r="K876" t="str">
        <f>IF(L876&gt;0,L876*35.273962,IF(J876&gt;0,J876*16,))</f>
        <v>#REF!</v>
      </c>
      <c r="L876" t="str">
        <f>IF(J876&gt;0,J876*0.453592,IF(K876&gt;0,K876*0.02835,))</f>
        <v>#REF!</v>
      </c>
      <c r="O876">
        <f>I876+N876+M876</f>
        <v>0</v>
      </c>
      <c r="P876">
        <f>O876*B$3</f>
        <v>0</v>
      </c>
      <c r="Q876">
        <f>ROUND(SUM(P876), -2)</f>
        <v>0</v>
      </c>
      <c r="R876" t="str">
        <f>ROUNDUP(HLOOKUP(IF(CEILING(L876,0.5)&lt;1,0.5,CEILING(L876,0.5)),'배송비 조회'!A$44:AO$56,7,0)*B$3,-2)</f>
        <v>#REF!</v>
      </c>
      <c r="S876">
        <v>0</v>
      </c>
      <c r="T876" t="str">
        <f>ROUND((Q876+R876)*0.3,-2)</f>
        <v>#REF!</v>
      </c>
      <c r="U876" t="str">
        <f>ROUND((Q876+R876)*0.4,-2)</f>
        <v>#REF!</v>
      </c>
      <c r="V876" t="str">
        <f>SUM(Q876:R876)+T876</f>
        <v>#REF!</v>
      </c>
      <c r="W876" t="str">
        <f>SUM(Q876:S876)+U876</f>
        <v>#REF!</v>
      </c>
      <c r="X876">
        <v>0</v>
      </c>
      <c r="Y876" t="str">
        <f>V876*0.038</f>
        <v>#REF!</v>
      </c>
      <c r="Z876" t="str">
        <f>V876*0.02</f>
        <v>#REF!</v>
      </c>
      <c r="AA876" t="str">
        <f>W876*0.1</f>
        <v>#REF!</v>
      </c>
      <c r="AB876" t="str">
        <f>V876-Y876-Z876</f>
        <v>#REF!</v>
      </c>
      <c r="AC876" t="str">
        <f>W876-AA876</f>
        <v>#REF!</v>
      </c>
      <c r="AD876" t="str">
        <f>AB876*0.01</f>
        <v>#REF!</v>
      </c>
      <c r="AE876" t="str">
        <f>AB876-Q876-AD876-R876</f>
        <v>#REF!</v>
      </c>
      <c r="AF876" t="str">
        <f>AC876-Q876-AD876-R876</f>
        <v>#REF!</v>
      </c>
      <c r="AG876" t="str">
        <f>AE876/V876</f>
        <v>#REF!</v>
      </c>
      <c r="AH876" t="str">
        <f>AF876/W876</f>
        <v>#REF!</v>
      </c>
    </row>
    <row r="877">
      <c r="G877" t="str">
        <v>A</v>
      </c>
      <c r="J877" t="str">
        <f>IF(K877&gt;0,K877*0.0625,IF(L877&gt;0,L877*2.204623,))</f>
        <v>#REF!</v>
      </c>
      <c r="K877" t="str">
        <f>IF(L877&gt;0,L877*35.273962,IF(J877&gt;0,J877*16,))</f>
        <v>#REF!</v>
      </c>
      <c r="L877" t="str">
        <f>IF(J877&gt;0,J877*0.453592,IF(K877&gt;0,K877*0.02835,))</f>
        <v>#REF!</v>
      </c>
      <c r="O877">
        <f>I877+N877+M877</f>
        <v>0</v>
      </c>
      <c r="P877">
        <f>O877*B$3</f>
        <v>0</v>
      </c>
      <c r="Q877">
        <f>ROUND(SUM(P877), -2)</f>
        <v>0</v>
      </c>
      <c r="R877" t="str">
        <f>ROUNDUP(HLOOKUP(IF(CEILING(L877,0.5)&lt;1,0.5,CEILING(L877,0.5)),'배송비 조회'!A$44:AO$56,7,0)*B$3,-2)</f>
        <v>#REF!</v>
      </c>
      <c r="S877">
        <v>0</v>
      </c>
      <c r="T877" t="str">
        <f>ROUND((Q877+R877)*0.3,-2)</f>
        <v>#REF!</v>
      </c>
      <c r="U877" t="str">
        <f>ROUND((Q877+R877)*0.4,-2)</f>
        <v>#REF!</v>
      </c>
      <c r="V877" t="str">
        <f>SUM(Q877:R877)+T877</f>
        <v>#REF!</v>
      </c>
      <c r="W877" t="str">
        <f>SUM(Q877:S877)+U877</f>
        <v>#REF!</v>
      </c>
      <c r="X877">
        <v>0</v>
      </c>
      <c r="Y877" t="str">
        <f>V877*0.038</f>
        <v>#REF!</v>
      </c>
      <c r="Z877" t="str">
        <f>V877*0.02</f>
        <v>#REF!</v>
      </c>
      <c r="AA877" t="str">
        <f>W877*0.1</f>
        <v>#REF!</v>
      </c>
      <c r="AB877" t="str">
        <f>V877-Y877-Z877</f>
        <v>#REF!</v>
      </c>
      <c r="AC877" t="str">
        <f>W877-AA877</f>
        <v>#REF!</v>
      </c>
      <c r="AD877" t="str">
        <f>AB877*0.01</f>
        <v>#REF!</v>
      </c>
      <c r="AE877" t="str">
        <f>AB877-Q877-AD877-R877</f>
        <v>#REF!</v>
      </c>
      <c r="AF877" t="str">
        <f>AC877-Q877-AD877-R877</f>
        <v>#REF!</v>
      </c>
      <c r="AG877" t="str">
        <f>AE877/V877</f>
        <v>#REF!</v>
      </c>
      <c r="AH877" t="str">
        <f>AF877/W877</f>
        <v>#REF!</v>
      </c>
    </row>
    <row r="878">
      <c r="G878" t="str">
        <v>A</v>
      </c>
      <c r="J878" t="str">
        <f>IF(K878&gt;0,K878*0.0625,IF(L878&gt;0,L878*2.204623,))</f>
        <v>#REF!</v>
      </c>
      <c r="K878" t="str">
        <f>IF(L878&gt;0,L878*35.273962,IF(J878&gt;0,J878*16,))</f>
        <v>#REF!</v>
      </c>
      <c r="L878" t="str">
        <f>IF(J878&gt;0,J878*0.453592,IF(K878&gt;0,K878*0.02835,))</f>
        <v>#REF!</v>
      </c>
      <c r="O878">
        <f>I878+N878+M878</f>
        <v>0</v>
      </c>
      <c r="P878">
        <f>O878*B$3</f>
        <v>0</v>
      </c>
      <c r="Q878">
        <f>ROUND(SUM(P878), -2)</f>
        <v>0</v>
      </c>
      <c r="R878" t="str">
        <f>ROUNDUP(HLOOKUP(IF(CEILING(L878,0.5)&lt;1,0.5,CEILING(L878,0.5)),'배송비 조회'!A$44:AO$56,7,0)*B$3,-2)</f>
        <v>#REF!</v>
      </c>
      <c r="S878">
        <v>0</v>
      </c>
      <c r="T878" t="str">
        <f>ROUND((Q878+R878)*0.3,-2)</f>
        <v>#REF!</v>
      </c>
      <c r="U878" t="str">
        <f>ROUND((Q878+R878)*0.4,-2)</f>
        <v>#REF!</v>
      </c>
      <c r="V878" t="str">
        <f>SUM(Q878:R878)+T878</f>
        <v>#REF!</v>
      </c>
      <c r="W878" t="str">
        <f>SUM(Q878:S878)+U878</f>
        <v>#REF!</v>
      </c>
      <c r="X878">
        <v>0</v>
      </c>
      <c r="Y878" t="str">
        <f>V878*0.038</f>
        <v>#REF!</v>
      </c>
      <c r="Z878" t="str">
        <f>V878*0.02</f>
        <v>#REF!</v>
      </c>
      <c r="AA878" t="str">
        <f>W878*0.1</f>
        <v>#REF!</v>
      </c>
      <c r="AB878" t="str">
        <f>V878-Y878-Z878</f>
        <v>#REF!</v>
      </c>
      <c r="AC878" t="str">
        <f>W878-AA878</f>
        <v>#REF!</v>
      </c>
      <c r="AD878" t="str">
        <f>AB878*0.01</f>
        <v>#REF!</v>
      </c>
      <c r="AE878" t="str">
        <f>AB878-Q878-AD878-R878</f>
        <v>#REF!</v>
      </c>
      <c r="AF878" t="str">
        <f>AC878-Q878-AD878-R878</f>
        <v>#REF!</v>
      </c>
      <c r="AG878" t="str">
        <f>AE878/V878</f>
        <v>#REF!</v>
      </c>
      <c r="AH878" t="str">
        <f>AF878/W878</f>
        <v>#REF!</v>
      </c>
    </row>
    <row r="879">
      <c r="G879" t="str">
        <v>A</v>
      </c>
      <c r="J879" t="str">
        <f>IF(K879&gt;0,K879*0.0625,IF(L879&gt;0,L879*2.204623,))</f>
        <v>#REF!</v>
      </c>
      <c r="K879" t="str">
        <f>IF(L879&gt;0,L879*35.273962,IF(J879&gt;0,J879*16,))</f>
        <v>#REF!</v>
      </c>
      <c r="L879" t="str">
        <f>IF(J879&gt;0,J879*0.453592,IF(K879&gt;0,K879*0.02835,))</f>
        <v>#REF!</v>
      </c>
      <c r="O879">
        <f>I879+N879+M879</f>
        <v>0</v>
      </c>
      <c r="P879">
        <f>O879*B$3</f>
        <v>0</v>
      </c>
      <c r="Q879">
        <f>ROUND(SUM(P879), -2)</f>
        <v>0</v>
      </c>
      <c r="R879" t="str">
        <f>ROUNDUP(HLOOKUP(IF(CEILING(L879,0.5)&lt;1,0.5,CEILING(L879,0.5)),'배송비 조회'!A$44:AO$56,7,0)*B$3,-2)</f>
        <v>#REF!</v>
      </c>
      <c r="S879">
        <v>0</v>
      </c>
      <c r="T879" t="str">
        <f>ROUND((Q879+R879)*0.3,-2)</f>
        <v>#REF!</v>
      </c>
      <c r="U879" t="str">
        <f>ROUND((Q879+R879)*0.4,-2)</f>
        <v>#REF!</v>
      </c>
      <c r="V879" t="str">
        <f>SUM(Q879:R879)+T879</f>
        <v>#REF!</v>
      </c>
      <c r="W879" t="str">
        <f>SUM(Q879:S879)+U879</f>
        <v>#REF!</v>
      </c>
      <c r="X879">
        <v>0</v>
      </c>
      <c r="Y879" t="str">
        <f>V879*0.038</f>
        <v>#REF!</v>
      </c>
      <c r="Z879" t="str">
        <f>V879*0.02</f>
        <v>#REF!</v>
      </c>
      <c r="AA879" t="str">
        <f>W879*0.1</f>
        <v>#REF!</v>
      </c>
      <c r="AB879" t="str">
        <f>V879-Y879-Z879</f>
        <v>#REF!</v>
      </c>
      <c r="AC879" t="str">
        <f>W879-AA879</f>
        <v>#REF!</v>
      </c>
      <c r="AD879" t="str">
        <f>AB879*0.01</f>
        <v>#REF!</v>
      </c>
      <c r="AE879" t="str">
        <f>AB879-Q879-AD879-R879</f>
        <v>#REF!</v>
      </c>
      <c r="AF879" t="str">
        <f>AC879-Q879-AD879-R879</f>
        <v>#REF!</v>
      </c>
      <c r="AG879" t="str">
        <f>AE879/V879</f>
        <v>#REF!</v>
      </c>
      <c r="AH879" t="str">
        <f>AF879/W879</f>
        <v>#REF!</v>
      </c>
    </row>
    <row r="880">
      <c r="G880" t="str">
        <v>A</v>
      </c>
      <c r="J880" t="str">
        <f>IF(K880&gt;0,K880*0.0625,IF(L880&gt;0,L880*2.204623,))</f>
        <v>#REF!</v>
      </c>
      <c r="K880" t="str">
        <f>IF(L880&gt;0,L880*35.273962,IF(J880&gt;0,J880*16,))</f>
        <v>#REF!</v>
      </c>
      <c r="L880" t="str">
        <f>IF(J880&gt;0,J880*0.453592,IF(K880&gt;0,K880*0.02835,))</f>
        <v>#REF!</v>
      </c>
      <c r="O880">
        <f>I880+N880+M880</f>
        <v>0</v>
      </c>
      <c r="P880">
        <f>O880*B$3</f>
        <v>0</v>
      </c>
      <c r="Q880">
        <f>ROUND(SUM(P880), -2)</f>
        <v>0</v>
      </c>
      <c r="R880" t="str">
        <f>ROUNDUP(HLOOKUP(IF(CEILING(L880,0.5)&lt;1,0.5,CEILING(L880,0.5)),'배송비 조회'!A$44:AO$56,7,0)*B$3,-2)</f>
        <v>#REF!</v>
      </c>
      <c r="S880">
        <v>0</v>
      </c>
      <c r="T880" t="str">
        <f>ROUND((Q880+R880)*0.3,-2)</f>
        <v>#REF!</v>
      </c>
      <c r="U880" t="str">
        <f>ROUND((Q880+R880)*0.4,-2)</f>
        <v>#REF!</v>
      </c>
      <c r="V880" t="str">
        <f>SUM(Q880:R880)+T880</f>
        <v>#REF!</v>
      </c>
      <c r="W880" t="str">
        <f>SUM(Q880:S880)+U880</f>
        <v>#REF!</v>
      </c>
      <c r="X880">
        <v>0</v>
      </c>
      <c r="Y880" t="str">
        <f>V880*0.038</f>
        <v>#REF!</v>
      </c>
      <c r="Z880" t="str">
        <f>V880*0.02</f>
        <v>#REF!</v>
      </c>
      <c r="AA880" t="str">
        <f>W880*0.1</f>
        <v>#REF!</v>
      </c>
      <c r="AB880" t="str">
        <f>V880-Y880-Z880</f>
        <v>#REF!</v>
      </c>
      <c r="AC880" t="str">
        <f>W880-AA880</f>
        <v>#REF!</v>
      </c>
      <c r="AD880" t="str">
        <f>AB880*0.01</f>
        <v>#REF!</v>
      </c>
      <c r="AE880" t="str">
        <f>AB880-Q880-AD880-R880</f>
        <v>#REF!</v>
      </c>
      <c r="AF880" t="str">
        <f>AC880-Q880-AD880-R880</f>
        <v>#REF!</v>
      </c>
      <c r="AG880" t="str">
        <f>AE880/V880</f>
        <v>#REF!</v>
      </c>
      <c r="AH880" t="str">
        <f>AF880/W880</f>
        <v>#REF!</v>
      </c>
    </row>
    <row r="881">
      <c r="G881" t="str">
        <v>A</v>
      </c>
      <c r="J881" t="str">
        <f>IF(K881&gt;0,K881*0.0625,IF(L881&gt;0,L881*2.204623,))</f>
        <v>#REF!</v>
      </c>
      <c r="K881" t="str">
        <f>IF(L881&gt;0,L881*35.273962,IF(J881&gt;0,J881*16,))</f>
        <v>#REF!</v>
      </c>
      <c r="L881" t="str">
        <f>IF(J881&gt;0,J881*0.453592,IF(K881&gt;0,K881*0.02835,))</f>
        <v>#REF!</v>
      </c>
      <c r="O881">
        <f>I881+N881+M881</f>
        <v>0</v>
      </c>
      <c r="P881">
        <f>O881*B$3</f>
        <v>0</v>
      </c>
      <c r="Q881">
        <f>ROUND(SUM(P881), -2)</f>
        <v>0</v>
      </c>
      <c r="R881" t="str">
        <f>ROUNDUP(HLOOKUP(IF(CEILING(L881,0.5)&lt;1,0.5,CEILING(L881,0.5)),'배송비 조회'!A$44:AO$56,7,0)*B$3,-2)</f>
        <v>#REF!</v>
      </c>
      <c r="S881">
        <v>0</v>
      </c>
      <c r="T881" t="str">
        <f>ROUND((Q881+R881)*0.3,-2)</f>
        <v>#REF!</v>
      </c>
      <c r="U881" t="str">
        <f>ROUND((Q881+R881)*0.4,-2)</f>
        <v>#REF!</v>
      </c>
      <c r="V881" t="str">
        <f>SUM(Q881:R881)+T881</f>
        <v>#REF!</v>
      </c>
      <c r="W881" t="str">
        <f>SUM(Q881:S881)+U881</f>
        <v>#REF!</v>
      </c>
      <c r="X881">
        <v>0</v>
      </c>
      <c r="Y881" t="str">
        <f>V881*0.038</f>
        <v>#REF!</v>
      </c>
      <c r="Z881" t="str">
        <f>V881*0.02</f>
        <v>#REF!</v>
      </c>
      <c r="AA881" t="str">
        <f>W881*0.1</f>
        <v>#REF!</v>
      </c>
      <c r="AB881" t="str">
        <f>V881-Y881-Z881</f>
        <v>#REF!</v>
      </c>
      <c r="AC881" t="str">
        <f>W881-AA881</f>
        <v>#REF!</v>
      </c>
      <c r="AD881" t="str">
        <f>AB881*0.01</f>
        <v>#REF!</v>
      </c>
      <c r="AE881" t="str">
        <f>AB881-Q881-AD881-R881</f>
        <v>#REF!</v>
      </c>
      <c r="AF881" t="str">
        <f>AC881-Q881-AD881-R881</f>
        <v>#REF!</v>
      </c>
      <c r="AG881" t="str">
        <f>AE881/V881</f>
        <v>#REF!</v>
      </c>
      <c r="AH881" t="str">
        <f>AF881/W881</f>
        <v>#REF!</v>
      </c>
    </row>
    <row r="882">
      <c r="G882" t="str">
        <v>A</v>
      </c>
      <c r="J882" t="str">
        <f>IF(K882&gt;0,K882*0.0625,IF(L882&gt;0,L882*2.204623,))</f>
        <v>#REF!</v>
      </c>
      <c r="K882" t="str">
        <f>IF(L882&gt;0,L882*35.273962,IF(J882&gt;0,J882*16,))</f>
        <v>#REF!</v>
      </c>
      <c r="L882" t="str">
        <f>IF(J882&gt;0,J882*0.453592,IF(K882&gt;0,K882*0.02835,))</f>
        <v>#REF!</v>
      </c>
      <c r="O882">
        <f>I882+N882+M882</f>
        <v>0</v>
      </c>
      <c r="P882">
        <f>O882*B$3</f>
        <v>0</v>
      </c>
      <c r="Q882">
        <f>ROUND(SUM(P882), -2)</f>
        <v>0</v>
      </c>
      <c r="R882" t="str">
        <f>ROUNDUP(HLOOKUP(IF(CEILING(L882,0.5)&lt;1,0.5,CEILING(L882,0.5)),'배송비 조회'!A$44:AO$56,7,0)*B$3,-2)</f>
        <v>#REF!</v>
      </c>
      <c r="S882">
        <v>0</v>
      </c>
      <c r="T882" t="str">
        <f>ROUND((Q882+R882)*0.3,-2)</f>
        <v>#REF!</v>
      </c>
      <c r="U882" t="str">
        <f>ROUND((Q882+R882)*0.4,-2)</f>
        <v>#REF!</v>
      </c>
      <c r="V882" t="str">
        <f>SUM(Q882:R882)+T882</f>
        <v>#REF!</v>
      </c>
      <c r="W882" t="str">
        <f>SUM(Q882:S882)+U882</f>
        <v>#REF!</v>
      </c>
      <c r="X882">
        <v>0</v>
      </c>
      <c r="Y882" t="str">
        <f>V882*0.038</f>
        <v>#REF!</v>
      </c>
      <c r="Z882" t="str">
        <f>V882*0.02</f>
        <v>#REF!</v>
      </c>
      <c r="AA882" t="str">
        <f>W882*0.1</f>
        <v>#REF!</v>
      </c>
      <c r="AB882" t="str">
        <f>V882-Y882-Z882</f>
        <v>#REF!</v>
      </c>
      <c r="AC882" t="str">
        <f>W882-AA882</f>
        <v>#REF!</v>
      </c>
      <c r="AD882" t="str">
        <f>AB882*0.01</f>
        <v>#REF!</v>
      </c>
      <c r="AE882" t="str">
        <f>AB882-Q882-AD882-R882</f>
        <v>#REF!</v>
      </c>
      <c r="AF882" t="str">
        <f>AC882-Q882-AD882-R882</f>
        <v>#REF!</v>
      </c>
      <c r="AG882" t="str">
        <f>AE882/V882</f>
        <v>#REF!</v>
      </c>
      <c r="AH882" t="str">
        <f>AF882/W882</f>
        <v>#REF!</v>
      </c>
    </row>
    <row r="883">
      <c r="G883" t="str">
        <v>A</v>
      </c>
      <c r="J883" t="str">
        <f>IF(K883&gt;0,K883*0.0625,IF(L883&gt;0,L883*2.204623,))</f>
        <v>#REF!</v>
      </c>
      <c r="K883" t="str">
        <f>IF(L883&gt;0,L883*35.273962,IF(J883&gt;0,J883*16,))</f>
        <v>#REF!</v>
      </c>
      <c r="L883" t="str">
        <f>IF(J883&gt;0,J883*0.453592,IF(K883&gt;0,K883*0.02835,))</f>
        <v>#REF!</v>
      </c>
      <c r="O883">
        <f>I883+N883+M883</f>
        <v>0</v>
      </c>
      <c r="P883">
        <f>O883*B$3</f>
        <v>0</v>
      </c>
      <c r="Q883">
        <f>ROUND(SUM(P883), -2)</f>
        <v>0</v>
      </c>
      <c r="R883" t="str">
        <f>ROUNDUP(HLOOKUP(IF(CEILING(L883,0.5)&lt;1,0.5,CEILING(L883,0.5)),'배송비 조회'!A$44:AO$56,7,0)*B$3,-2)</f>
        <v>#REF!</v>
      </c>
      <c r="S883">
        <v>0</v>
      </c>
      <c r="T883" t="str">
        <f>ROUND((Q883+R883)*0.3,-2)</f>
        <v>#REF!</v>
      </c>
      <c r="U883" t="str">
        <f>ROUND((Q883+R883)*0.4,-2)</f>
        <v>#REF!</v>
      </c>
      <c r="V883" t="str">
        <f>SUM(Q883:R883)+T883</f>
        <v>#REF!</v>
      </c>
      <c r="W883" t="str">
        <f>SUM(Q883:S883)+U883</f>
        <v>#REF!</v>
      </c>
      <c r="X883">
        <v>0</v>
      </c>
      <c r="Y883" t="str">
        <f>V883*0.038</f>
        <v>#REF!</v>
      </c>
      <c r="Z883" t="str">
        <f>V883*0.02</f>
        <v>#REF!</v>
      </c>
      <c r="AA883" t="str">
        <f>W883*0.1</f>
        <v>#REF!</v>
      </c>
      <c r="AB883" t="str">
        <f>V883-Y883-Z883</f>
        <v>#REF!</v>
      </c>
      <c r="AC883" t="str">
        <f>W883-AA883</f>
        <v>#REF!</v>
      </c>
      <c r="AD883" t="str">
        <f>AB883*0.01</f>
        <v>#REF!</v>
      </c>
      <c r="AE883" t="str">
        <f>AB883-Q883-AD883-R883</f>
        <v>#REF!</v>
      </c>
      <c r="AF883" t="str">
        <f>AC883-Q883-AD883-R883</f>
        <v>#REF!</v>
      </c>
      <c r="AG883" t="str">
        <f>AE883/V883</f>
        <v>#REF!</v>
      </c>
      <c r="AH883" t="str">
        <f>AF883/W883</f>
        <v>#REF!</v>
      </c>
    </row>
    <row r="884">
      <c r="G884" t="str">
        <v>A</v>
      </c>
      <c r="J884" t="str">
        <f>IF(K884&gt;0,K884*0.0625,IF(L884&gt;0,L884*2.204623,))</f>
        <v>#REF!</v>
      </c>
      <c r="K884" t="str">
        <f>IF(L884&gt;0,L884*35.273962,IF(J884&gt;0,J884*16,))</f>
        <v>#REF!</v>
      </c>
      <c r="L884" t="str">
        <f>IF(J884&gt;0,J884*0.453592,IF(K884&gt;0,K884*0.02835,))</f>
        <v>#REF!</v>
      </c>
      <c r="O884">
        <f>I884+N884+M884</f>
        <v>0</v>
      </c>
      <c r="P884">
        <f>O884*B$3</f>
        <v>0</v>
      </c>
      <c r="Q884">
        <f>ROUND(SUM(P884), -2)</f>
        <v>0</v>
      </c>
      <c r="R884" t="str">
        <f>ROUNDUP(HLOOKUP(IF(CEILING(L884,0.5)&lt;1,0.5,CEILING(L884,0.5)),'배송비 조회'!A$44:AO$56,7,0)*B$3,-2)</f>
        <v>#REF!</v>
      </c>
      <c r="S884">
        <v>0</v>
      </c>
      <c r="T884" t="str">
        <f>ROUND((Q884+R884)*0.3,-2)</f>
        <v>#REF!</v>
      </c>
      <c r="U884" t="str">
        <f>ROUND((Q884+R884)*0.4,-2)</f>
        <v>#REF!</v>
      </c>
      <c r="V884" t="str">
        <f>SUM(Q884:R884)+T884</f>
        <v>#REF!</v>
      </c>
      <c r="W884" t="str">
        <f>SUM(Q884:S884)+U884</f>
        <v>#REF!</v>
      </c>
      <c r="X884">
        <v>0</v>
      </c>
      <c r="Y884" t="str">
        <f>V884*0.038</f>
        <v>#REF!</v>
      </c>
      <c r="Z884" t="str">
        <f>V884*0.02</f>
        <v>#REF!</v>
      </c>
      <c r="AA884" t="str">
        <f>W884*0.1</f>
        <v>#REF!</v>
      </c>
      <c r="AB884" t="str">
        <f>V884-Y884-Z884</f>
        <v>#REF!</v>
      </c>
      <c r="AC884" t="str">
        <f>W884-AA884</f>
        <v>#REF!</v>
      </c>
      <c r="AD884" t="str">
        <f>AB884*0.01</f>
        <v>#REF!</v>
      </c>
      <c r="AE884" t="str">
        <f>AB884-Q884-AD884-R884</f>
        <v>#REF!</v>
      </c>
      <c r="AF884" t="str">
        <f>AC884-Q884-AD884-R884</f>
        <v>#REF!</v>
      </c>
      <c r="AG884" t="str">
        <f>AE884/V884</f>
        <v>#REF!</v>
      </c>
      <c r="AH884" t="str">
        <f>AF884/W884</f>
        <v>#REF!</v>
      </c>
    </row>
    <row r="885">
      <c r="G885" t="str">
        <v>A</v>
      </c>
      <c r="J885" t="str">
        <f>IF(K885&gt;0,K885*0.0625,IF(L885&gt;0,L885*2.204623,))</f>
        <v>#REF!</v>
      </c>
      <c r="K885" t="str">
        <f>IF(L885&gt;0,L885*35.273962,IF(J885&gt;0,J885*16,))</f>
        <v>#REF!</v>
      </c>
      <c r="L885" t="str">
        <f>IF(J885&gt;0,J885*0.453592,IF(K885&gt;0,K885*0.02835,))</f>
        <v>#REF!</v>
      </c>
      <c r="O885">
        <f>I885+N885+M885</f>
        <v>0</v>
      </c>
      <c r="P885">
        <f>O885*B$3</f>
        <v>0</v>
      </c>
      <c r="Q885">
        <f>ROUND(SUM(P885), -2)</f>
        <v>0</v>
      </c>
      <c r="R885" t="str">
        <f>ROUNDUP(HLOOKUP(IF(CEILING(L885,0.5)&lt;1,0.5,CEILING(L885,0.5)),'배송비 조회'!A$44:AO$56,7,0)*B$3,-2)</f>
        <v>#REF!</v>
      </c>
      <c r="S885">
        <v>0</v>
      </c>
      <c r="T885" t="str">
        <f>ROUND((Q885+R885)*0.3,-2)</f>
        <v>#REF!</v>
      </c>
      <c r="U885" t="str">
        <f>ROUND((Q885+R885)*0.4,-2)</f>
        <v>#REF!</v>
      </c>
      <c r="V885" t="str">
        <f>SUM(Q885:R885)+T885</f>
        <v>#REF!</v>
      </c>
      <c r="W885" t="str">
        <f>SUM(Q885:S885)+U885</f>
        <v>#REF!</v>
      </c>
      <c r="X885">
        <v>0</v>
      </c>
      <c r="Y885" t="str">
        <f>V885*0.038</f>
        <v>#REF!</v>
      </c>
      <c r="Z885" t="str">
        <f>V885*0.02</f>
        <v>#REF!</v>
      </c>
      <c r="AA885" t="str">
        <f>W885*0.1</f>
        <v>#REF!</v>
      </c>
      <c r="AB885" t="str">
        <f>V885-Y885-Z885</f>
        <v>#REF!</v>
      </c>
      <c r="AC885" t="str">
        <f>W885-AA885</f>
        <v>#REF!</v>
      </c>
      <c r="AD885" t="str">
        <f>AB885*0.01</f>
        <v>#REF!</v>
      </c>
      <c r="AE885" t="str">
        <f>AB885-Q885-AD885-R885</f>
        <v>#REF!</v>
      </c>
      <c r="AF885" t="str">
        <f>AC885-Q885-AD885-R885</f>
        <v>#REF!</v>
      </c>
      <c r="AG885" t="str">
        <f>AE885/V885</f>
        <v>#REF!</v>
      </c>
      <c r="AH885" t="str">
        <f>AF885/W885</f>
        <v>#REF!</v>
      </c>
    </row>
    <row r="886">
      <c r="G886" t="str">
        <v>A</v>
      </c>
      <c r="J886" t="str">
        <f>IF(K886&gt;0,K886*0.0625,IF(L886&gt;0,L886*2.204623,))</f>
        <v>#REF!</v>
      </c>
      <c r="K886" t="str">
        <f>IF(L886&gt;0,L886*35.273962,IF(J886&gt;0,J886*16,))</f>
        <v>#REF!</v>
      </c>
      <c r="L886" t="str">
        <f>IF(J886&gt;0,J886*0.453592,IF(K886&gt;0,K886*0.02835,))</f>
        <v>#REF!</v>
      </c>
      <c r="O886">
        <f>I886+N886+M886</f>
        <v>0</v>
      </c>
      <c r="P886">
        <f>O886*B$3</f>
        <v>0</v>
      </c>
      <c r="Q886">
        <f>ROUND(SUM(P886), -2)</f>
        <v>0</v>
      </c>
      <c r="R886" t="str">
        <f>ROUNDUP(HLOOKUP(IF(CEILING(L886,0.5)&lt;1,0.5,CEILING(L886,0.5)),'배송비 조회'!A$44:AO$56,7,0)*B$3,-2)</f>
        <v>#REF!</v>
      </c>
      <c r="S886">
        <v>0</v>
      </c>
      <c r="T886" t="str">
        <f>ROUND((Q886+R886)*0.3,-2)</f>
        <v>#REF!</v>
      </c>
      <c r="U886" t="str">
        <f>ROUND((Q886+R886)*0.4,-2)</f>
        <v>#REF!</v>
      </c>
      <c r="V886" t="str">
        <f>SUM(Q886:R886)+T886</f>
        <v>#REF!</v>
      </c>
      <c r="W886" t="str">
        <f>SUM(Q886:S886)+U886</f>
        <v>#REF!</v>
      </c>
      <c r="X886">
        <v>0</v>
      </c>
      <c r="Y886" t="str">
        <f>V886*0.038</f>
        <v>#REF!</v>
      </c>
      <c r="Z886" t="str">
        <f>V886*0.02</f>
        <v>#REF!</v>
      </c>
      <c r="AA886" t="str">
        <f>W886*0.1</f>
        <v>#REF!</v>
      </c>
      <c r="AB886" t="str">
        <f>V886-Y886-Z886</f>
        <v>#REF!</v>
      </c>
      <c r="AC886" t="str">
        <f>W886-AA886</f>
        <v>#REF!</v>
      </c>
      <c r="AD886" t="str">
        <f>AB886*0.01</f>
        <v>#REF!</v>
      </c>
      <c r="AE886" t="str">
        <f>AB886-Q886-AD886-R886</f>
        <v>#REF!</v>
      </c>
      <c r="AF886" t="str">
        <f>AC886-Q886-AD886-R886</f>
        <v>#REF!</v>
      </c>
      <c r="AG886" t="str">
        <f>AE886/V886</f>
        <v>#REF!</v>
      </c>
      <c r="AH886" t="str">
        <f>AF886/W886</f>
        <v>#REF!</v>
      </c>
    </row>
    <row r="887">
      <c r="G887" t="str">
        <v>A</v>
      </c>
      <c r="J887" t="str">
        <f>IF(K887&gt;0,K887*0.0625,IF(L887&gt;0,L887*2.204623,))</f>
        <v>#REF!</v>
      </c>
      <c r="K887" t="str">
        <f>IF(L887&gt;0,L887*35.273962,IF(J887&gt;0,J887*16,))</f>
        <v>#REF!</v>
      </c>
      <c r="L887" t="str">
        <f>IF(J887&gt;0,J887*0.453592,IF(K887&gt;0,K887*0.02835,))</f>
        <v>#REF!</v>
      </c>
      <c r="O887">
        <f>I887+N887+M887</f>
        <v>0</v>
      </c>
      <c r="P887">
        <f>O887*B$3</f>
        <v>0</v>
      </c>
      <c r="Q887">
        <f>ROUND(SUM(P887), -2)</f>
        <v>0</v>
      </c>
      <c r="R887" t="str">
        <f>ROUNDUP(HLOOKUP(IF(CEILING(L887,0.5)&lt;1,0.5,CEILING(L887,0.5)),'배송비 조회'!A$44:AO$56,7,0)*B$3,-2)</f>
        <v>#REF!</v>
      </c>
      <c r="S887">
        <v>0</v>
      </c>
      <c r="T887" t="str">
        <f>ROUND((Q887+R887)*0.3,-2)</f>
        <v>#REF!</v>
      </c>
      <c r="U887" t="str">
        <f>ROUND((Q887+R887)*0.4,-2)</f>
        <v>#REF!</v>
      </c>
      <c r="V887" t="str">
        <f>SUM(Q887:R887)+T887</f>
        <v>#REF!</v>
      </c>
      <c r="W887" t="str">
        <f>SUM(Q887:S887)+U887</f>
        <v>#REF!</v>
      </c>
      <c r="X887">
        <v>0</v>
      </c>
      <c r="Y887" t="str">
        <f>V887*0.038</f>
        <v>#REF!</v>
      </c>
      <c r="Z887" t="str">
        <f>V887*0.02</f>
        <v>#REF!</v>
      </c>
      <c r="AA887" t="str">
        <f>W887*0.1</f>
        <v>#REF!</v>
      </c>
      <c r="AB887" t="str">
        <f>V887-Y887-Z887</f>
        <v>#REF!</v>
      </c>
      <c r="AC887" t="str">
        <f>W887-AA887</f>
        <v>#REF!</v>
      </c>
      <c r="AD887" t="str">
        <f>AB887*0.01</f>
        <v>#REF!</v>
      </c>
      <c r="AE887" t="str">
        <f>AB887-Q887-AD887-R887</f>
        <v>#REF!</v>
      </c>
      <c r="AF887" t="str">
        <f>AC887-Q887-AD887-R887</f>
        <v>#REF!</v>
      </c>
      <c r="AG887" t="str">
        <f>AE887/V887</f>
        <v>#REF!</v>
      </c>
      <c r="AH887" t="str">
        <f>AF887/W887</f>
        <v>#REF!</v>
      </c>
    </row>
    <row r="888">
      <c r="G888" t="str">
        <v>A</v>
      </c>
      <c r="J888" t="str">
        <f>IF(K888&gt;0,K888*0.0625,IF(L888&gt;0,L888*2.204623,))</f>
        <v>#REF!</v>
      </c>
      <c r="K888" t="str">
        <f>IF(L888&gt;0,L888*35.273962,IF(J888&gt;0,J888*16,))</f>
        <v>#REF!</v>
      </c>
      <c r="L888" t="str">
        <f>IF(J888&gt;0,J888*0.453592,IF(K888&gt;0,K888*0.02835,))</f>
        <v>#REF!</v>
      </c>
      <c r="O888">
        <f>I888+N888+M888</f>
        <v>0</v>
      </c>
      <c r="P888">
        <f>O888*B$3</f>
        <v>0</v>
      </c>
      <c r="Q888">
        <f>ROUND(SUM(P888), -2)</f>
        <v>0</v>
      </c>
      <c r="R888" t="str">
        <f>ROUNDUP(HLOOKUP(IF(CEILING(L888,0.5)&lt;1,0.5,CEILING(L888,0.5)),'배송비 조회'!A$44:AO$56,7,0)*B$3,-2)</f>
        <v>#REF!</v>
      </c>
      <c r="S888">
        <v>0</v>
      </c>
      <c r="T888" t="str">
        <f>ROUND((Q888+R888)*0.3,-2)</f>
        <v>#REF!</v>
      </c>
      <c r="U888" t="str">
        <f>ROUND((Q888+R888)*0.4,-2)</f>
        <v>#REF!</v>
      </c>
      <c r="V888" t="str">
        <f>SUM(Q888:R888)+T888</f>
        <v>#REF!</v>
      </c>
      <c r="W888" t="str">
        <f>SUM(Q888:S888)+U888</f>
        <v>#REF!</v>
      </c>
      <c r="X888">
        <v>0</v>
      </c>
      <c r="Y888" t="str">
        <f>V888*0.038</f>
        <v>#REF!</v>
      </c>
      <c r="Z888" t="str">
        <f>V888*0.02</f>
        <v>#REF!</v>
      </c>
      <c r="AA888" t="str">
        <f>W888*0.1</f>
        <v>#REF!</v>
      </c>
      <c r="AB888" t="str">
        <f>V888-Y888-Z888</f>
        <v>#REF!</v>
      </c>
      <c r="AC888" t="str">
        <f>W888-AA888</f>
        <v>#REF!</v>
      </c>
      <c r="AD888" t="str">
        <f>AB888*0.01</f>
        <v>#REF!</v>
      </c>
      <c r="AE888" t="str">
        <f>AB888-Q888-AD888-R888</f>
        <v>#REF!</v>
      </c>
      <c r="AF888" t="str">
        <f>AC888-Q888-AD888-R888</f>
        <v>#REF!</v>
      </c>
      <c r="AG888" t="str">
        <f>AE888/V888</f>
        <v>#REF!</v>
      </c>
      <c r="AH888" t="str">
        <f>AF888/W888</f>
        <v>#REF!</v>
      </c>
    </row>
    <row r="889">
      <c r="G889" t="str">
        <v>A</v>
      </c>
      <c r="J889" t="str">
        <f>IF(K889&gt;0,K889*0.0625,IF(L889&gt;0,L889*2.204623,))</f>
        <v>#REF!</v>
      </c>
      <c r="K889" t="str">
        <f>IF(L889&gt;0,L889*35.273962,IF(J889&gt;0,J889*16,))</f>
        <v>#REF!</v>
      </c>
      <c r="L889" t="str">
        <f>IF(J889&gt;0,J889*0.453592,IF(K889&gt;0,K889*0.02835,))</f>
        <v>#REF!</v>
      </c>
      <c r="O889">
        <f>I889+N889+M889</f>
        <v>0</v>
      </c>
      <c r="P889">
        <f>O889*B$3</f>
        <v>0</v>
      </c>
      <c r="Q889">
        <f>ROUND(SUM(P889), -2)</f>
        <v>0</v>
      </c>
      <c r="R889" t="str">
        <f>ROUNDUP(HLOOKUP(IF(CEILING(L889,0.5)&lt;1,0.5,CEILING(L889,0.5)),'배송비 조회'!A$44:AO$56,7,0)*B$3,-2)</f>
        <v>#REF!</v>
      </c>
      <c r="S889">
        <v>0</v>
      </c>
      <c r="T889" t="str">
        <f>ROUND((Q889+R889)*0.3,-2)</f>
        <v>#REF!</v>
      </c>
      <c r="U889" t="str">
        <f>ROUND((Q889+R889)*0.4,-2)</f>
        <v>#REF!</v>
      </c>
      <c r="V889" t="str">
        <f>SUM(Q889:R889)+T889</f>
        <v>#REF!</v>
      </c>
      <c r="W889" t="str">
        <f>SUM(Q889:S889)+U889</f>
        <v>#REF!</v>
      </c>
      <c r="X889">
        <v>0</v>
      </c>
      <c r="Y889" t="str">
        <f>V889*0.038</f>
        <v>#REF!</v>
      </c>
      <c r="Z889" t="str">
        <f>V889*0.02</f>
        <v>#REF!</v>
      </c>
      <c r="AA889" t="str">
        <f>W889*0.1</f>
        <v>#REF!</v>
      </c>
      <c r="AB889" t="str">
        <f>V889-Y889-Z889</f>
        <v>#REF!</v>
      </c>
      <c r="AC889" t="str">
        <f>W889-AA889</f>
        <v>#REF!</v>
      </c>
      <c r="AD889" t="str">
        <f>AB889*0.01</f>
        <v>#REF!</v>
      </c>
      <c r="AE889" t="str">
        <f>AB889-Q889-AD889-R889</f>
        <v>#REF!</v>
      </c>
      <c r="AF889" t="str">
        <f>AC889-Q889-AD889-R889</f>
        <v>#REF!</v>
      </c>
      <c r="AG889" t="str">
        <f>AE889/V889</f>
        <v>#REF!</v>
      </c>
      <c r="AH889" t="str">
        <f>AF889/W889</f>
        <v>#REF!</v>
      </c>
    </row>
    <row r="890">
      <c r="G890" t="str">
        <v>A</v>
      </c>
      <c r="J890" t="str">
        <f>IF(K890&gt;0,K890*0.0625,IF(L890&gt;0,L890*2.204623,))</f>
        <v>#REF!</v>
      </c>
      <c r="K890" t="str">
        <f>IF(L890&gt;0,L890*35.273962,IF(J890&gt;0,J890*16,))</f>
        <v>#REF!</v>
      </c>
      <c r="L890" t="str">
        <f>IF(J890&gt;0,J890*0.453592,IF(K890&gt;0,K890*0.02835,))</f>
        <v>#REF!</v>
      </c>
      <c r="O890">
        <f>I890+N890+M890</f>
        <v>0</v>
      </c>
      <c r="P890">
        <f>O890*B$3</f>
        <v>0</v>
      </c>
      <c r="Q890">
        <f>ROUND(SUM(P890), -2)</f>
        <v>0</v>
      </c>
      <c r="R890" t="str">
        <f>ROUNDUP(HLOOKUP(IF(CEILING(L890,0.5)&lt;1,0.5,CEILING(L890,0.5)),'배송비 조회'!A$44:AO$56,7,0)*B$3,-2)</f>
        <v>#REF!</v>
      </c>
      <c r="S890">
        <v>0</v>
      </c>
      <c r="T890" t="str">
        <f>ROUND((Q890+R890)*0.3,-2)</f>
        <v>#REF!</v>
      </c>
      <c r="U890" t="str">
        <f>ROUND((Q890+R890)*0.4,-2)</f>
        <v>#REF!</v>
      </c>
      <c r="V890" t="str">
        <f>SUM(Q890:R890)+T890</f>
        <v>#REF!</v>
      </c>
      <c r="W890" t="str">
        <f>SUM(Q890:S890)+U890</f>
        <v>#REF!</v>
      </c>
      <c r="X890">
        <v>0</v>
      </c>
      <c r="Y890" t="str">
        <f>V890*0.038</f>
        <v>#REF!</v>
      </c>
      <c r="Z890" t="str">
        <f>V890*0.02</f>
        <v>#REF!</v>
      </c>
      <c r="AA890" t="str">
        <f>W890*0.1</f>
        <v>#REF!</v>
      </c>
      <c r="AB890" t="str">
        <f>V890-Y890-Z890</f>
        <v>#REF!</v>
      </c>
      <c r="AC890" t="str">
        <f>W890-AA890</f>
        <v>#REF!</v>
      </c>
      <c r="AD890" t="str">
        <f>AB890*0.01</f>
        <v>#REF!</v>
      </c>
      <c r="AE890" t="str">
        <f>AB890-Q890-AD890-R890</f>
        <v>#REF!</v>
      </c>
      <c r="AF890" t="str">
        <f>AC890-Q890-AD890-R890</f>
        <v>#REF!</v>
      </c>
      <c r="AG890" t="str">
        <f>AE890/V890</f>
        <v>#REF!</v>
      </c>
      <c r="AH890" t="str">
        <f>AF890/W890</f>
        <v>#REF!</v>
      </c>
    </row>
    <row r="891">
      <c r="G891" t="str">
        <v>A</v>
      </c>
      <c r="J891" t="str">
        <f>IF(K891&gt;0,K891*0.0625,IF(L891&gt;0,L891*2.204623,))</f>
        <v>#REF!</v>
      </c>
      <c r="K891" t="str">
        <f>IF(L891&gt;0,L891*35.273962,IF(J891&gt;0,J891*16,))</f>
        <v>#REF!</v>
      </c>
      <c r="L891" t="str">
        <f>IF(J891&gt;0,J891*0.453592,IF(K891&gt;0,K891*0.02835,))</f>
        <v>#REF!</v>
      </c>
      <c r="O891">
        <f>I891+N891+M891</f>
        <v>0</v>
      </c>
      <c r="P891">
        <f>O891*B$3</f>
        <v>0</v>
      </c>
      <c r="Q891">
        <f>ROUND(SUM(P891), -2)</f>
        <v>0</v>
      </c>
      <c r="R891" t="str">
        <f>ROUNDUP(HLOOKUP(IF(CEILING(L891,0.5)&lt;1,0.5,CEILING(L891,0.5)),'배송비 조회'!A$44:AO$56,7,0)*B$3,-2)</f>
        <v>#REF!</v>
      </c>
      <c r="S891">
        <v>0</v>
      </c>
      <c r="T891" t="str">
        <f>ROUND((Q891+R891)*0.3,-2)</f>
        <v>#REF!</v>
      </c>
      <c r="U891" t="str">
        <f>ROUND((Q891+R891)*0.4,-2)</f>
        <v>#REF!</v>
      </c>
      <c r="V891" t="str">
        <f>SUM(Q891:R891)+T891</f>
        <v>#REF!</v>
      </c>
      <c r="W891" t="str">
        <f>SUM(Q891:S891)+U891</f>
        <v>#REF!</v>
      </c>
      <c r="X891">
        <v>0</v>
      </c>
      <c r="Y891" t="str">
        <f>V891*0.038</f>
        <v>#REF!</v>
      </c>
      <c r="Z891" t="str">
        <f>V891*0.02</f>
        <v>#REF!</v>
      </c>
      <c r="AA891" t="str">
        <f>W891*0.1</f>
        <v>#REF!</v>
      </c>
      <c r="AB891" t="str">
        <f>V891-Y891-Z891</f>
        <v>#REF!</v>
      </c>
      <c r="AC891" t="str">
        <f>W891-AA891</f>
        <v>#REF!</v>
      </c>
      <c r="AD891" t="str">
        <f>AB891*0.01</f>
        <v>#REF!</v>
      </c>
      <c r="AE891" t="str">
        <f>AB891-Q891-AD891-R891</f>
        <v>#REF!</v>
      </c>
      <c r="AF891" t="str">
        <f>AC891-Q891-AD891-R891</f>
        <v>#REF!</v>
      </c>
      <c r="AG891" t="str">
        <f>AE891/V891</f>
        <v>#REF!</v>
      </c>
      <c r="AH891" t="str">
        <f>AF891/W891</f>
        <v>#REF!</v>
      </c>
    </row>
    <row r="892">
      <c r="G892" t="str">
        <v>A</v>
      </c>
      <c r="J892" t="str">
        <f>IF(K892&gt;0,K892*0.0625,IF(L892&gt;0,L892*2.204623,))</f>
        <v>#REF!</v>
      </c>
      <c r="K892" t="str">
        <f>IF(L892&gt;0,L892*35.273962,IF(J892&gt;0,J892*16,))</f>
        <v>#REF!</v>
      </c>
      <c r="L892" t="str">
        <f>IF(J892&gt;0,J892*0.453592,IF(K892&gt;0,K892*0.02835,))</f>
        <v>#REF!</v>
      </c>
      <c r="O892">
        <f>I892+N892+M892</f>
        <v>0</v>
      </c>
      <c r="P892">
        <f>O892*B$3</f>
        <v>0</v>
      </c>
      <c r="Q892">
        <f>ROUND(SUM(P892), -2)</f>
        <v>0</v>
      </c>
      <c r="R892" t="str">
        <f>ROUNDUP(HLOOKUP(IF(CEILING(L892,0.5)&lt;1,0.5,CEILING(L892,0.5)),'배송비 조회'!A$44:AO$56,7,0)*B$3,-2)</f>
        <v>#REF!</v>
      </c>
      <c r="S892">
        <v>0</v>
      </c>
      <c r="T892" t="str">
        <f>ROUND((Q892+R892)*0.3,-2)</f>
        <v>#REF!</v>
      </c>
      <c r="U892" t="str">
        <f>ROUND((Q892+R892)*0.4,-2)</f>
        <v>#REF!</v>
      </c>
      <c r="V892" t="str">
        <f>SUM(Q892:R892)+T892</f>
        <v>#REF!</v>
      </c>
      <c r="W892" t="str">
        <f>SUM(Q892:S892)+U892</f>
        <v>#REF!</v>
      </c>
      <c r="X892">
        <v>0</v>
      </c>
      <c r="Y892" t="str">
        <f>V892*0.038</f>
        <v>#REF!</v>
      </c>
      <c r="Z892" t="str">
        <f>V892*0.02</f>
        <v>#REF!</v>
      </c>
      <c r="AA892" t="str">
        <f>W892*0.1</f>
        <v>#REF!</v>
      </c>
      <c r="AB892" t="str">
        <f>V892-Y892-Z892</f>
        <v>#REF!</v>
      </c>
      <c r="AC892" t="str">
        <f>W892-AA892</f>
        <v>#REF!</v>
      </c>
      <c r="AD892" t="str">
        <f>AB892*0.01</f>
        <v>#REF!</v>
      </c>
      <c r="AE892" t="str">
        <f>AB892-Q892-AD892-R892</f>
        <v>#REF!</v>
      </c>
      <c r="AF892" t="str">
        <f>AC892-Q892-AD892-R892</f>
        <v>#REF!</v>
      </c>
      <c r="AG892" t="str">
        <f>AE892/V892</f>
        <v>#REF!</v>
      </c>
      <c r="AH892" t="str">
        <f>AF892/W892</f>
        <v>#REF!</v>
      </c>
    </row>
    <row r="893">
      <c r="G893" t="str">
        <v>A</v>
      </c>
      <c r="J893" t="str">
        <f>IF(K893&gt;0,K893*0.0625,IF(L893&gt;0,L893*2.204623,))</f>
        <v>#REF!</v>
      </c>
      <c r="K893" t="str">
        <f>IF(L893&gt;0,L893*35.273962,IF(J893&gt;0,J893*16,))</f>
        <v>#REF!</v>
      </c>
      <c r="L893" t="str">
        <f>IF(J893&gt;0,J893*0.453592,IF(K893&gt;0,K893*0.02835,))</f>
        <v>#REF!</v>
      </c>
      <c r="O893">
        <f>I893+N893+M893</f>
        <v>0</v>
      </c>
      <c r="P893">
        <f>O893*B$3</f>
        <v>0</v>
      </c>
      <c r="Q893">
        <f>ROUND(SUM(P893), -2)</f>
        <v>0</v>
      </c>
      <c r="R893" t="str">
        <f>ROUNDUP(HLOOKUP(IF(CEILING(L893,0.5)&lt;1,0.5,CEILING(L893,0.5)),'배송비 조회'!A$44:AO$56,7,0)*B$3,-2)</f>
        <v>#REF!</v>
      </c>
      <c r="S893">
        <v>0</v>
      </c>
      <c r="T893" t="str">
        <f>ROUND((Q893+R893)*0.3,-2)</f>
        <v>#REF!</v>
      </c>
      <c r="U893" t="str">
        <f>ROUND((Q893+R893)*0.4,-2)</f>
        <v>#REF!</v>
      </c>
      <c r="V893" t="str">
        <f>SUM(Q893:R893)+T893</f>
        <v>#REF!</v>
      </c>
      <c r="W893" t="str">
        <f>SUM(Q893:S893)+U893</f>
        <v>#REF!</v>
      </c>
      <c r="X893">
        <v>0</v>
      </c>
      <c r="Y893" t="str">
        <f>V893*0.038</f>
        <v>#REF!</v>
      </c>
      <c r="Z893" t="str">
        <f>V893*0.02</f>
        <v>#REF!</v>
      </c>
      <c r="AA893" t="str">
        <f>W893*0.1</f>
        <v>#REF!</v>
      </c>
      <c r="AB893" t="str">
        <f>V893-Y893-Z893</f>
        <v>#REF!</v>
      </c>
      <c r="AC893" t="str">
        <f>W893-AA893</f>
        <v>#REF!</v>
      </c>
      <c r="AD893" t="str">
        <f>AB893*0.01</f>
        <v>#REF!</v>
      </c>
      <c r="AE893" t="str">
        <f>AB893-Q893-AD893-R893</f>
        <v>#REF!</v>
      </c>
      <c r="AF893" t="str">
        <f>AC893-Q893-AD893-R893</f>
        <v>#REF!</v>
      </c>
      <c r="AG893" t="str">
        <f>AE893/V893</f>
        <v>#REF!</v>
      </c>
      <c r="AH893" t="str">
        <f>AF893/W893</f>
        <v>#REF!</v>
      </c>
    </row>
    <row r="894">
      <c r="G894" t="str">
        <v>A</v>
      </c>
      <c r="J894" t="str">
        <f>IF(K894&gt;0,K894*0.0625,IF(L894&gt;0,L894*2.204623,))</f>
        <v>#REF!</v>
      </c>
      <c r="K894" t="str">
        <f>IF(L894&gt;0,L894*35.273962,IF(J894&gt;0,J894*16,))</f>
        <v>#REF!</v>
      </c>
      <c r="L894" t="str">
        <f>IF(J894&gt;0,J894*0.453592,IF(K894&gt;0,K894*0.02835,))</f>
        <v>#REF!</v>
      </c>
      <c r="O894">
        <f>I894+N894+M894</f>
        <v>0</v>
      </c>
      <c r="P894">
        <f>O894*B$3</f>
        <v>0</v>
      </c>
      <c r="Q894">
        <f>ROUND(SUM(P894), -2)</f>
        <v>0</v>
      </c>
      <c r="R894" t="str">
        <f>ROUNDUP(HLOOKUP(IF(CEILING(L894,0.5)&lt;1,0.5,CEILING(L894,0.5)),'배송비 조회'!A$44:AO$56,7,0)*B$3,-2)</f>
        <v>#REF!</v>
      </c>
      <c r="S894">
        <v>0</v>
      </c>
      <c r="T894" t="str">
        <f>ROUND((Q894+R894)*0.3,-2)</f>
        <v>#REF!</v>
      </c>
      <c r="U894" t="str">
        <f>ROUND((Q894+R894)*0.4,-2)</f>
        <v>#REF!</v>
      </c>
      <c r="V894" t="str">
        <f>SUM(Q894:R894)+T894</f>
        <v>#REF!</v>
      </c>
      <c r="W894" t="str">
        <f>SUM(Q894:S894)+U894</f>
        <v>#REF!</v>
      </c>
      <c r="X894">
        <v>0</v>
      </c>
      <c r="Y894" t="str">
        <f>V894*0.038</f>
        <v>#REF!</v>
      </c>
      <c r="Z894" t="str">
        <f>V894*0.02</f>
        <v>#REF!</v>
      </c>
      <c r="AA894" t="str">
        <f>W894*0.1</f>
        <v>#REF!</v>
      </c>
      <c r="AB894" t="str">
        <f>V894-Y894-Z894</f>
        <v>#REF!</v>
      </c>
      <c r="AC894" t="str">
        <f>W894-AA894</f>
        <v>#REF!</v>
      </c>
      <c r="AD894" t="str">
        <f>AB894*0.01</f>
        <v>#REF!</v>
      </c>
      <c r="AE894" t="str">
        <f>AB894-Q894-AD894-R894</f>
        <v>#REF!</v>
      </c>
      <c r="AF894" t="str">
        <f>AC894-Q894-AD894-R894</f>
        <v>#REF!</v>
      </c>
      <c r="AG894" t="str">
        <f>AE894/V894</f>
        <v>#REF!</v>
      </c>
      <c r="AH894" t="str">
        <f>AF894/W894</f>
        <v>#REF!</v>
      </c>
    </row>
    <row r="895">
      <c r="G895" t="str">
        <v>A</v>
      </c>
      <c r="J895" t="str">
        <f>IF(K895&gt;0,K895*0.0625,IF(L895&gt;0,L895*2.204623,))</f>
        <v>#REF!</v>
      </c>
      <c r="K895" t="str">
        <f>IF(L895&gt;0,L895*35.273962,IF(J895&gt;0,J895*16,))</f>
        <v>#REF!</v>
      </c>
      <c r="L895" t="str">
        <f>IF(J895&gt;0,J895*0.453592,IF(K895&gt;0,K895*0.02835,))</f>
        <v>#REF!</v>
      </c>
      <c r="O895">
        <f>I895+N895+M895</f>
        <v>0</v>
      </c>
      <c r="P895">
        <f>O895*B$3</f>
        <v>0</v>
      </c>
      <c r="Q895">
        <f>ROUND(SUM(P895), -2)</f>
        <v>0</v>
      </c>
      <c r="R895" t="str">
        <f>ROUNDUP(HLOOKUP(IF(CEILING(L895,0.5)&lt;1,0.5,CEILING(L895,0.5)),'배송비 조회'!A$44:AO$56,7,0)*B$3,-2)</f>
        <v>#REF!</v>
      </c>
      <c r="S895">
        <v>0</v>
      </c>
      <c r="T895" t="str">
        <f>ROUND((Q895+R895)*0.3,-2)</f>
        <v>#REF!</v>
      </c>
      <c r="U895" t="str">
        <f>ROUND((Q895+R895)*0.4,-2)</f>
        <v>#REF!</v>
      </c>
      <c r="V895" t="str">
        <f>SUM(Q895:R895)+T895</f>
        <v>#REF!</v>
      </c>
      <c r="W895" t="str">
        <f>SUM(Q895:S895)+U895</f>
        <v>#REF!</v>
      </c>
      <c r="X895">
        <v>0</v>
      </c>
      <c r="Y895" t="str">
        <f>V895*0.038</f>
        <v>#REF!</v>
      </c>
      <c r="Z895" t="str">
        <f>V895*0.02</f>
        <v>#REF!</v>
      </c>
      <c r="AA895" t="str">
        <f>W895*0.1</f>
        <v>#REF!</v>
      </c>
      <c r="AB895" t="str">
        <f>V895-Y895-Z895</f>
        <v>#REF!</v>
      </c>
      <c r="AC895" t="str">
        <f>W895-AA895</f>
        <v>#REF!</v>
      </c>
      <c r="AD895" t="str">
        <f>AB895*0.01</f>
        <v>#REF!</v>
      </c>
      <c r="AE895" t="str">
        <f>AB895-Q895-AD895-R895</f>
        <v>#REF!</v>
      </c>
      <c r="AF895" t="str">
        <f>AC895-Q895-AD895-R895</f>
        <v>#REF!</v>
      </c>
      <c r="AG895" t="str">
        <f>AE895/V895</f>
        <v>#REF!</v>
      </c>
      <c r="AH895" t="str">
        <f>AF895/W895</f>
        <v>#REF!</v>
      </c>
    </row>
    <row r="896">
      <c r="G896" t="str">
        <v>A</v>
      </c>
      <c r="J896" t="str">
        <f>IF(K896&gt;0,K896*0.0625,IF(L896&gt;0,L896*2.204623,))</f>
        <v>#REF!</v>
      </c>
      <c r="K896" t="str">
        <f>IF(L896&gt;0,L896*35.273962,IF(J896&gt;0,J896*16,))</f>
        <v>#REF!</v>
      </c>
      <c r="L896" t="str">
        <f>IF(J896&gt;0,J896*0.453592,IF(K896&gt;0,K896*0.02835,))</f>
        <v>#REF!</v>
      </c>
      <c r="O896">
        <f>I896+N896+M896</f>
        <v>0</v>
      </c>
      <c r="P896">
        <f>O896*B$3</f>
        <v>0</v>
      </c>
      <c r="Q896">
        <f>ROUND(SUM(P896), -2)</f>
        <v>0</v>
      </c>
      <c r="R896" t="str">
        <f>ROUNDUP(HLOOKUP(IF(CEILING(L896,0.5)&lt;1,0.5,CEILING(L896,0.5)),'배송비 조회'!A$44:AO$56,7,0)*B$3,-2)</f>
        <v>#REF!</v>
      </c>
      <c r="S896">
        <v>0</v>
      </c>
      <c r="T896" t="str">
        <f>ROUND((Q896+R896)*0.3,-2)</f>
        <v>#REF!</v>
      </c>
      <c r="U896" t="str">
        <f>ROUND((Q896+R896)*0.4,-2)</f>
        <v>#REF!</v>
      </c>
      <c r="V896" t="str">
        <f>SUM(Q896:R896)+T896</f>
        <v>#REF!</v>
      </c>
      <c r="W896" t="str">
        <f>SUM(Q896:S896)+U896</f>
        <v>#REF!</v>
      </c>
      <c r="X896">
        <v>0</v>
      </c>
      <c r="Y896" t="str">
        <f>V896*0.038</f>
        <v>#REF!</v>
      </c>
      <c r="Z896" t="str">
        <f>V896*0.02</f>
        <v>#REF!</v>
      </c>
      <c r="AA896" t="str">
        <f>W896*0.1</f>
        <v>#REF!</v>
      </c>
      <c r="AB896" t="str">
        <f>V896-Y896-Z896</f>
        <v>#REF!</v>
      </c>
      <c r="AC896" t="str">
        <f>W896-AA896</f>
        <v>#REF!</v>
      </c>
      <c r="AD896" t="str">
        <f>AB896*0.01</f>
        <v>#REF!</v>
      </c>
      <c r="AE896" t="str">
        <f>AB896-Q896-AD896-R896</f>
        <v>#REF!</v>
      </c>
      <c r="AF896" t="str">
        <f>AC896-Q896-AD896-R896</f>
        <v>#REF!</v>
      </c>
      <c r="AG896" t="str">
        <f>AE896/V896</f>
        <v>#REF!</v>
      </c>
      <c r="AH896" t="str">
        <f>AF896/W896</f>
        <v>#REF!</v>
      </c>
    </row>
    <row r="897">
      <c r="G897" t="str">
        <v>A</v>
      </c>
      <c r="J897" t="str">
        <f>IF(K897&gt;0,K897*0.0625,IF(L897&gt;0,L897*2.204623,))</f>
        <v>#REF!</v>
      </c>
      <c r="K897" t="str">
        <f>IF(L897&gt;0,L897*35.273962,IF(J897&gt;0,J897*16,))</f>
        <v>#REF!</v>
      </c>
      <c r="L897" t="str">
        <f>IF(J897&gt;0,J897*0.453592,IF(K897&gt;0,K897*0.02835,))</f>
        <v>#REF!</v>
      </c>
      <c r="O897">
        <f>I897+N897+M897</f>
        <v>0</v>
      </c>
      <c r="P897">
        <f>O897*B$3</f>
        <v>0</v>
      </c>
      <c r="Q897">
        <f>ROUND(SUM(P897), -2)</f>
        <v>0</v>
      </c>
      <c r="R897" t="str">
        <f>ROUNDUP(HLOOKUP(IF(CEILING(L897,0.5)&lt;1,0.5,CEILING(L897,0.5)),'배송비 조회'!A$44:AO$56,7,0)*B$3,-2)</f>
        <v>#REF!</v>
      </c>
      <c r="S897">
        <v>0</v>
      </c>
      <c r="T897" t="str">
        <f>ROUND((Q897+R897)*0.3,-2)</f>
        <v>#REF!</v>
      </c>
      <c r="U897" t="str">
        <f>ROUND((Q897+R897)*0.4,-2)</f>
        <v>#REF!</v>
      </c>
      <c r="V897" t="str">
        <f>SUM(Q897:R897)+T897</f>
        <v>#REF!</v>
      </c>
      <c r="W897" t="str">
        <f>SUM(Q897:S897)+U897</f>
        <v>#REF!</v>
      </c>
      <c r="X897">
        <v>0</v>
      </c>
      <c r="Y897" t="str">
        <f>V897*0.038</f>
        <v>#REF!</v>
      </c>
      <c r="Z897" t="str">
        <f>V897*0.02</f>
        <v>#REF!</v>
      </c>
      <c r="AA897" t="str">
        <f>W897*0.1</f>
        <v>#REF!</v>
      </c>
      <c r="AB897" t="str">
        <f>V897-Y897-Z897</f>
        <v>#REF!</v>
      </c>
      <c r="AC897" t="str">
        <f>W897-AA897</f>
        <v>#REF!</v>
      </c>
      <c r="AD897" t="str">
        <f>AB897*0.01</f>
        <v>#REF!</v>
      </c>
      <c r="AE897" t="str">
        <f>AB897-Q897-AD897-R897</f>
        <v>#REF!</v>
      </c>
      <c r="AF897" t="str">
        <f>AC897-Q897-AD897-R897</f>
        <v>#REF!</v>
      </c>
      <c r="AG897" t="str">
        <f>AE897/V897</f>
        <v>#REF!</v>
      </c>
      <c r="AH897" t="str">
        <f>AF897/W897</f>
        <v>#REF!</v>
      </c>
    </row>
    <row r="898">
      <c r="G898" t="str">
        <v>A</v>
      </c>
      <c r="J898" t="str">
        <f>IF(K898&gt;0,K898*0.0625,IF(L898&gt;0,L898*2.204623,))</f>
        <v>#REF!</v>
      </c>
      <c r="K898" t="str">
        <f>IF(L898&gt;0,L898*35.273962,IF(J898&gt;0,J898*16,))</f>
        <v>#REF!</v>
      </c>
      <c r="L898" t="str">
        <f>IF(J898&gt;0,J898*0.453592,IF(K898&gt;0,K898*0.02835,))</f>
        <v>#REF!</v>
      </c>
      <c r="O898">
        <f>I898+N898+M898</f>
        <v>0</v>
      </c>
      <c r="P898">
        <f>O898*B$3</f>
        <v>0</v>
      </c>
      <c r="Q898">
        <f>ROUND(SUM(P898), -2)</f>
        <v>0</v>
      </c>
      <c r="R898" t="str">
        <f>ROUNDUP(HLOOKUP(IF(CEILING(L898,0.5)&lt;1,0.5,CEILING(L898,0.5)),'배송비 조회'!A$44:AO$56,7,0)*B$3,-2)</f>
        <v>#REF!</v>
      </c>
      <c r="S898">
        <v>0</v>
      </c>
      <c r="T898" t="str">
        <f>ROUND((Q898+R898)*0.3,-2)</f>
        <v>#REF!</v>
      </c>
      <c r="U898" t="str">
        <f>ROUND((Q898+R898)*0.4,-2)</f>
        <v>#REF!</v>
      </c>
      <c r="V898" t="str">
        <f>SUM(Q898:R898)+T898</f>
        <v>#REF!</v>
      </c>
      <c r="W898" t="str">
        <f>SUM(Q898:S898)+U898</f>
        <v>#REF!</v>
      </c>
      <c r="X898">
        <v>0</v>
      </c>
      <c r="Y898" t="str">
        <f>V898*0.038</f>
        <v>#REF!</v>
      </c>
      <c r="Z898" t="str">
        <f>V898*0.02</f>
        <v>#REF!</v>
      </c>
      <c r="AA898" t="str">
        <f>W898*0.1</f>
        <v>#REF!</v>
      </c>
      <c r="AB898" t="str">
        <f>V898-Y898-Z898</f>
        <v>#REF!</v>
      </c>
      <c r="AC898" t="str">
        <f>W898-AA898</f>
        <v>#REF!</v>
      </c>
      <c r="AD898" t="str">
        <f>AB898*0.01</f>
        <v>#REF!</v>
      </c>
      <c r="AE898" t="str">
        <f>AB898-Q898-AD898-R898</f>
        <v>#REF!</v>
      </c>
      <c r="AF898" t="str">
        <f>AC898-Q898-AD898-R898</f>
        <v>#REF!</v>
      </c>
      <c r="AG898" t="str">
        <f>AE898/V898</f>
        <v>#REF!</v>
      </c>
      <c r="AH898" t="str">
        <f>AF898/W898</f>
        <v>#REF!</v>
      </c>
    </row>
    <row r="899">
      <c r="G899" t="str">
        <v>A</v>
      </c>
      <c r="J899" t="str">
        <f>IF(K899&gt;0,K899*0.0625,IF(L899&gt;0,L899*2.204623,))</f>
        <v>#REF!</v>
      </c>
      <c r="K899" t="str">
        <f>IF(L899&gt;0,L899*35.273962,IF(J899&gt;0,J899*16,))</f>
        <v>#REF!</v>
      </c>
      <c r="L899" t="str">
        <f>IF(J899&gt;0,J899*0.453592,IF(K899&gt;0,K899*0.02835,))</f>
        <v>#REF!</v>
      </c>
      <c r="O899">
        <f>I899+N899+M899</f>
        <v>0</v>
      </c>
      <c r="P899">
        <f>O899*B$3</f>
        <v>0</v>
      </c>
      <c r="Q899">
        <f>ROUND(SUM(P899), -2)</f>
        <v>0</v>
      </c>
      <c r="R899" t="str">
        <f>ROUNDUP(HLOOKUP(IF(CEILING(L899,0.5)&lt;1,0.5,CEILING(L899,0.5)),'배송비 조회'!A$44:AO$56,7,0)*B$3,-2)</f>
        <v>#REF!</v>
      </c>
      <c r="S899">
        <v>0</v>
      </c>
      <c r="T899" t="str">
        <f>ROUND((Q899+R899)*0.3,-2)</f>
        <v>#REF!</v>
      </c>
      <c r="U899" t="str">
        <f>ROUND((Q899+R899)*0.4,-2)</f>
        <v>#REF!</v>
      </c>
      <c r="V899" t="str">
        <f>SUM(Q899:R899)+T899</f>
        <v>#REF!</v>
      </c>
      <c r="W899" t="str">
        <f>SUM(Q899:S899)+U899</f>
        <v>#REF!</v>
      </c>
      <c r="X899">
        <v>0</v>
      </c>
      <c r="Y899" t="str">
        <f>V899*0.038</f>
        <v>#REF!</v>
      </c>
      <c r="Z899" t="str">
        <f>V899*0.02</f>
        <v>#REF!</v>
      </c>
      <c r="AA899" t="str">
        <f>W899*0.1</f>
        <v>#REF!</v>
      </c>
      <c r="AB899" t="str">
        <f>V899-Y899-Z899</f>
        <v>#REF!</v>
      </c>
      <c r="AC899" t="str">
        <f>W899-AA899</f>
        <v>#REF!</v>
      </c>
      <c r="AD899" t="str">
        <f>AB899*0.01</f>
        <v>#REF!</v>
      </c>
      <c r="AE899" t="str">
        <f>AB899-Q899-AD899-R899</f>
        <v>#REF!</v>
      </c>
      <c r="AF899" t="str">
        <f>AC899-Q899-AD899-R899</f>
        <v>#REF!</v>
      </c>
      <c r="AG899" t="str">
        <f>AE899/V899</f>
        <v>#REF!</v>
      </c>
      <c r="AH899" t="str">
        <f>AF899/W899</f>
        <v>#REF!</v>
      </c>
    </row>
    <row r="900">
      <c r="G900" t="str">
        <v>A</v>
      </c>
      <c r="J900" t="str">
        <f>IF(K900&gt;0,K900*0.0625,IF(L900&gt;0,L900*2.204623,))</f>
        <v>#REF!</v>
      </c>
      <c r="K900" t="str">
        <f>IF(L900&gt;0,L900*35.273962,IF(J900&gt;0,J900*16,))</f>
        <v>#REF!</v>
      </c>
      <c r="L900" t="str">
        <f>IF(J900&gt;0,J900*0.453592,IF(K900&gt;0,K900*0.02835,))</f>
        <v>#REF!</v>
      </c>
      <c r="O900">
        <f>I900+N900+M900</f>
        <v>0</v>
      </c>
      <c r="P900">
        <f>O900*B$3</f>
        <v>0</v>
      </c>
      <c r="Q900">
        <f>ROUND(SUM(P900), -2)</f>
        <v>0</v>
      </c>
      <c r="R900" t="str">
        <f>ROUNDUP(HLOOKUP(IF(CEILING(L900,0.5)&lt;1,0.5,CEILING(L900,0.5)),'배송비 조회'!A$44:AO$56,7,0)*B$3,-2)</f>
        <v>#REF!</v>
      </c>
      <c r="S900">
        <v>0</v>
      </c>
      <c r="T900" t="str">
        <f>ROUND((Q900+R900)*0.3,-2)</f>
        <v>#REF!</v>
      </c>
      <c r="U900" t="str">
        <f>ROUND((Q900+R900)*0.4,-2)</f>
        <v>#REF!</v>
      </c>
      <c r="V900" t="str">
        <f>SUM(Q900:R900)+T900</f>
        <v>#REF!</v>
      </c>
      <c r="W900" t="str">
        <f>SUM(Q900:S900)+U900</f>
        <v>#REF!</v>
      </c>
      <c r="X900">
        <v>0</v>
      </c>
      <c r="Y900" t="str">
        <f>V900*0.038</f>
        <v>#REF!</v>
      </c>
      <c r="Z900" t="str">
        <f>V900*0.02</f>
        <v>#REF!</v>
      </c>
      <c r="AA900" t="str">
        <f>W900*0.1</f>
        <v>#REF!</v>
      </c>
      <c r="AB900" t="str">
        <f>V900-Y900-Z900</f>
        <v>#REF!</v>
      </c>
      <c r="AC900" t="str">
        <f>W900-AA900</f>
        <v>#REF!</v>
      </c>
      <c r="AD900" t="str">
        <f>AB900*0.01</f>
        <v>#REF!</v>
      </c>
      <c r="AE900" t="str">
        <f>AB900-Q900-AD900-R900</f>
        <v>#REF!</v>
      </c>
      <c r="AF900" t="str">
        <f>AC900-Q900-AD900-R900</f>
        <v>#REF!</v>
      </c>
      <c r="AG900" t="str">
        <f>AE900/V900</f>
        <v>#REF!</v>
      </c>
      <c r="AH900" t="str">
        <f>AF900/W900</f>
        <v>#REF!</v>
      </c>
    </row>
    <row r="901">
      <c r="G901" t="str">
        <v>A</v>
      </c>
      <c r="J901" t="str">
        <f>IF(K901&gt;0,K901*0.0625,IF(L901&gt;0,L901*2.204623,))</f>
        <v>#REF!</v>
      </c>
      <c r="K901" t="str">
        <f>IF(L901&gt;0,L901*35.273962,IF(J901&gt;0,J901*16,))</f>
        <v>#REF!</v>
      </c>
      <c r="L901" t="str">
        <f>IF(J901&gt;0,J901*0.453592,IF(K901&gt;0,K901*0.02835,))</f>
        <v>#REF!</v>
      </c>
      <c r="O901">
        <f>I901+N901+M901</f>
        <v>0</v>
      </c>
      <c r="P901">
        <f>O901*B$3</f>
        <v>0</v>
      </c>
      <c r="Q901">
        <f>ROUND(SUM(P901), -2)</f>
        <v>0</v>
      </c>
      <c r="R901" t="str">
        <f>ROUNDUP(HLOOKUP(IF(CEILING(L901,0.5)&lt;1,0.5,CEILING(L901,0.5)),'배송비 조회'!A$44:AO$56,7,0)*B$3,-2)</f>
        <v>#REF!</v>
      </c>
      <c r="S901">
        <v>0</v>
      </c>
      <c r="T901" t="str">
        <f>ROUND((Q901+R901)*0.3,-2)</f>
        <v>#REF!</v>
      </c>
      <c r="U901" t="str">
        <f>ROUND((Q901+R901)*0.4,-2)</f>
        <v>#REF!</v>
      </c>
      <c r="V901" t="str">
        <f>SUM(Q901:R901)+T901</f>
        <v>#REF!</v>
      </c>
      <c r="W901" t="str">
        <f>SUM(Q901:S901)+U901</f>
        <v>#REF!</v>
      </c>
      <c r="X901">
        <v>0</v>
      </c>
      <c r="Y901" t="str">
        <f>V901*0.038</f>
        <v>#REF!</v>
      </c>
      <c r="Z901" t="str">
        <f>V901*0.02</f>
        <v>#REF!</v>
      </c>
      <c r="AA901" t="str">
        <f>W901*0.1</f>
        <v>#REF!</v>
      </c>
      <c r="AB901" t="str">
        <f>V901-Y901-Z901</f>
        <v>#REF!</v>
      </c>
      <c r="AC901" t="str">
        <f>W901-AA901</f>
        <v>#REF!</v>
      </c>
      <c r="AD901" t="str">
        <f>AB901*0.01</f>
        <v>#REF!</v>
      </c>
      <c r="AE901" t="str">
        <f>AB901-Q901-AD901-R901</f>
        <v>#REF!</v>
      </c>
      <c r="AF901" t="str">
        <f>AC901-Q901-AD901-R901</f>
        <v>#REF!</v>
      </c>
      <c r="AG901" t="str">
        <f>AE901/V901</f>
        <v>#REF!</v>
      </c>
      <c r="AH901" t="str">
        <f>AF901/W901</f>
        <v>#REF!</v>
      </c>
    </row>
    <row r="902">
      <c r="G902" t="str">
        <v>A</v>
      </c>
      <c r="J902" t="str">
        <f>IF(K902&gt;0,K902*0.0625,IF(L902&gt;0,L902*2.204623,))</f>
        <v>#REF!</v>
      </c>
      <c r="K902" t="str">
        <f>IF(L902&gt;0,L902*35.273962,IF(J902&gt;0,J902*16,))</f>
        <v>#REF!</v>
      </c>
      <c r="L902" t="str">
        <f>IF(J902&gt;0,J902*0.453592,IF(K902&gt;0,K902*0.02835,))</f>
        <v>#REF!</v>
      </c>
      <c r="O902">
        <f>I902+N902+M902</f>
        <v>0</v>
      </c>
      <c r="P902">
        <f>O902*B$3</f>
        <v>0</v>
      </c>
      <c r="Q902">
        <f>ROUND(SUM(P902), -2)</f>
        <v>0</v>
      </c>
      <c r="R902" t="str">
        <f>ROUNDUP(HLOOKUP(IF(CEILING(L902,0.5)&lt;1,0.5,CEILING(L902,0.5)),'배송비 조회'!A$44:AO$56,7,0)*B$3,-2)</f>
        <v>#REF!</v>
      </c>
      <c r="S902">
        <v>0</v>
      </c>
      <c r="T902" t="str">
        <f>ROUND((Q902+R902)*0.3,-2)</f>
        <v>#REF!</v>
      </c>
      <c r="U902" t="str">
        <f>ROUND((Q902+R902)*0.4,-2)</f>
        <v>#REF!</v>
      </c>
      <c r="V902" t="str">
        <f>SUM(Q902:R902)+T902</f>
        <v>#REF!</v>
      </c>
      <c r="W902" t="str">
        <f>SUM(Q902:S902)+U902</f>
        <v>#REF!</v>
      </c>
      <c r="X902">
        <v>0</v>
      </c>
      <c r="Y902" t="str">
        <f>V902*0.038</f>
        <v>#REF!</v>
      </c>
      <c r="Z902" t="str">
        <f>V902*0.02</f>
        <v>#REF!</v>
      </c>
      <c r="AA902" t="str">
        <f>W902*0.1</f>
        <v>#REF!</v>
      </c>
      <c r="AB902" t="str">
        <f>V902-Y902-Z902</f>
        <v>#REF!</v>
      </c>
      <c r="AC902" t="str">
        <f>W902-AA902</f>
        <v>#REF!</v>
      </c>
      <c r="AD902" t="str">
        <f>AB902*0.01</f>
        <v>#REF!</v>
      </c>
      <c r="AE902" t="str">
        <f>AB902-Q902-AD902-R902</f>
        <v>#REF!</v>
      </c>
      <c r="AF902" t="str">
        <f>AC902-Q902-AD902-R902</f>
        <v>#REF!</v>
      </c>
      <c r="AG902" t="str">
        <f>AE902/V902</f>
        <v>#REF!</v>
      </c>
      <c r="AH902" t="str">
        <f>AF902/W902</f>
        <v>#REF!</v>
      </c>
    </row>
    <row r="903">
      <c r="G903" t="str">
        <v>A</v>
      </c>
      <c r="J903" t="str">
        <f>IF(K903&gt;0,K903*0.0625,IF(L903&gt;0,L903*2.204623,))</f>
        <v>#REF!</v>
      </c>
      <c r="K903" t="str">
        <f>IF(L903&gt;0,L903*35.273962,IF(J903&gt;0,J903*16,))</f>
        <v>#REF!</v>
      </c>
      <c r="L903" t="str">
        <f>IF(J903&gt;0,J903*0.453592,IF(K903&gt;0,K903*0.02835,))</f>
        <v>#REF!</v>
      </c>
      <c r="O903">
        <f>I903+N903+M903</f>
        <v>0</v>
      </c>
      <c r="P903">
        <f>O903*B$3</f>
        <v>0</v>
      </c>
      <c r="Q903">
        <f>ROUND(SUM(P903), -2)</f>
        <v>0</v>
      </c>
      <c r="R903" t="str">
        <f>ROUNDUP(HLOOKUP(IF(CEILING(L903,0.5)&lt;1,0.5,CEILING(L903,0.5)),'배송비 조회'!A$44:AO$56,7,0)*B$3,-2)</f>
        <v>#REF!</v>
      </c>
      <c r="S903">
        <v>0</v>
      </c>
      <c r="T903" t="str">
        <f>ROUND((Q903+R903)*0.3,-2)</f>
        <v>#REF!</v>
      </c>
      <c r="U903" t="str">
        <f>ROUND((Q903+R903)*0.4,-2)</f>
        <v>#REF!</v>
      </c>
      <c r="V903" t="str">
        <f>SUM(Q903:R903)+T903</f>
        <v>#REF!</v>
      </c>
      <c r="W903" t="str">
        <f>SUM(Q903:S903)+U903</f>
        <v>#REF!</v>
      </c>
      <c r="X903">
        <v>0</v>
      </c>
      <c r="Y903" t="str">
        <f>V903*0.038</f>
        <v>#REF!</v>
      </c>
      <c r="Z903" t="str">
        <f>V903*0.02</f>
        <v>#REF!</v>
      </c>
      <c r="AA903" t="str">
        <f>W903*0.1</f>
        <v>#REF!</v>
      </c>
      <c r="AB903" t="str">
        <f>V903-Y903-Z903</f>
        <v>#REF!</v>
      </c>
      <c r="AC903" t="str">
        <f>W903-AA903</f>
        <v>#REF!</v>
      </c>
      <c r="AD903" t="str">
        <f>AB903*0.01</f>
        <v>#REF!</v>
      </c>
      <c r="AE903" t="str">
        <f>AB903-Q903-AD903-R903</f>
        <v>#REF!</v>
      </c>
      <c r="AF903" t="str">
        <f>AC903-Q903-AD903-R903</f>
        <v>#REF!</v>
      </c>
      <c r="AG903" t="str">
        <f>AE903/V903</f>
        <v>#REF!</v>
      </c>
      <c r="AH903" t="str">
        <f>AF903/W903</f>
        <v>#REF!</v>
      </c>
    </row>
    <row r="904">
      <c r="G904" t="str">
        <v>A</v>
      </c>
      <c r="J904" t="str">
        <f>IF(K904&gt;0,K904*0.0625,IF(L904&gt;0,L904*2.204623,))</f>
        <v>#REF!</v>
      </c>
      <c r="K904" t="str">
        <f>IF(L904&gt;0,L904*35.273962,IF(J904&gt;0,J904*16,))</f>
        <v>#REF!</v>
      </c>
      <c r="L904" t="str">
        <f>IF(J904&gt;0,J904*0.453592,IF(K904&gt;0,K904*0.02835,))</f>
        <v>#REF!</v>
      </c>
      <c r="O904">
        <f>I904+N904+M904</f>
        <v>0</v>
      </c>
      <c r="P904">
        <f>O904*B$3</f>
        <v>0</v>
      </c>
      <c r="Q904">
        <f>ROUND(SUM(P904), -2)</f>
        <v>0</v>
      </c>
      <c r="R904" t="str">
        <f>ROUNDUP(HLOOKUP(IF(CEILING(L904,0.5)&lt;1,0.5,CEILING(L904,0.5)),'배송비 조회'!A$44:AO$56,7,0)*B$3,-2)</f>
        <v>#REF!</v>
      </c>
      <c r="S904">
        <v>0</v>
      </c>
      <c r="T904" t="str">
        <f>ROUND((Q904+R904)*0.3,-2)</f>
        <v>#REF!</v>
      </c>
      <c r="U904" t="str">
        <f>ROUND((Q904+R904)*0.4,-2)</f>
        <v>#REF!</v>
      </c>
      <c r="V904" t="str">
        <f>SUM(Q904:R904)+T904</f>
        <v>#REF!</v>
      </c>
      <c r="W904" t="str">
        <f>SUM(Q904:S904)+U904</f>
        <v>#REF!</v>
      </c>
      <c r="X904">
        <v>0</v>
      </c>
      <c r="Y904" t="str">
        <f>V904*0.038</f>
        <v>#REF!</v>
      </c>
      <c r="Z904" t="str">
        <f>V904*0.02</f>
        <v>#REF!</v>
      </c>
      <c r="AA904" t="str">
        <f>W904*0.1</f>
        <v>#REF!</v>
      </c>
      <c r="AB904" t="str">
        <f>V904-Y904-Z904</f>
        <v>#REF!</v>
      </c>
      <c r="AC904" t="str">
        <f>W904-AA904</f>
        <v>#REF!</v>
      </c>
      <c r="AD904" t="str">
        <f>AB904*0.01</f>
        <v>#REF!</v>
      </c>
      <c r="AE904" t="str">
        <f>AB904-Q904-AD904-R904</f>
        <v>#REF!</v>
      </c>
      <c r="AF904" t="str">
        <f>AC904-Q904-AD904-R904</f>
        <v>#REF!</v>
      </c>
      <c r="AG904" t="str">
        <f>AE904/V904</f>
        <v>#REF!</v>
      </c>
      <c r="AH904" t="str">
        <f>AF904/W904</f>
        <v>#REF!</v>
      </c>
    </row>
    <row r="905">
      <c r="G905" t="str">
        <v>A</v>
      </c>
      <c r="J905" t="str">
        <f>IF(K905&gt;0,K905*0.0625,IF(L905&gt;0,L905*2.204623,))</f>
        <v>#REF!</v>
      </c>
      <c r="K905" t="str">
        <f>IF(L905&gt;0,L905*35.273962,IF(J905&gt;0,J905*16,))</f>
        <v>#REF!</v>
      </c>
      <c r="L905" t="str">
        <f>IF(J905&gt;0,J905*0.453592,IF(K905&gt;0,K905*0.02835,))</f>
        <v>#REF!</v>
      </c>
      <c r="O905">
        <f>I905+N905+M905</f>
        <v>0</v>
      </c>
      <c r="P905">
        <f>O905*B$3</f>
        <v>0</v>
      </c>
      <c r="Q905">
        <f>ROUND(SUM(P905), -2)</f>
        <v>0</v>
      </c>
      <c r="R905" t="str">
        <f>ROUNDUP(HLOOKUP(IF(CEILING(L905,0.5)&lt;1,0.5,CEILING(L905,0.5)),'배송비 조회'!A$44:AO$56,7,0)*B$3,-2)</f>
        <v>#REF!</v>
      </c>
      <c r="S905">
        <v>0</v>
      </c>
      <c r="T905" t="str">
        <f>ROUND((Q905+R905)*0.3,-2)</f>
        <v>#REF!</v>
      </c>
      <c r="U905" t="str">
        <f>ROUND((Q905+R905)*0.4,-2)</f>
        <v>#REF!</v>
      </c>
      <c r="V905" t="str">
        <f>SUM(Q905:R905)+T905</f>
        <v>#REF!</v>
      </c>
      <c r="W905" t="str">
        <f>SUM(Q905:S905)+U905</f>
        <v>#REF!</v>
      </c>
      <c r="X905">
        <v>0</v>
      </c>
      <c r="Y905" t="str">
        <f>V905*0.038</f>
        <v>#REF!</v>
      </c>
      <c r="Z905" t="str">
        <f>V905*0.02</f>
        <v>#REF!</v>
      </c>
      <c r="AA905" t="str">
        <f>W905*0.1</f>
        <v>#REF!</v>
      </c>
      <c r="AB905" t="str">
        <f>V905-Y905-Z905</f>
        <v>#REF!</v>
      </c>
      <c r="AC905" t="str">
        <f>W905-AA905</f>
        <v>#REF!</v>
      </c>
      <c r="AD905" t="str">
        <f>AB905*0.01</f>
        <v>#REF!</v>
      </c>
      <c r="AE905" t="str">
        <f>AB905-Q905-AD905-R905</f>
        <v>#REF!</v>
      </c>
      <c r="AF905" t="str">
        <f>AC905-Q905-AD905-R905</f>
        <v>#REF!</v>
      </c>
      <c r="AG905" t="str">
        <f>AE905/V905</f>
        <v>#REF!</v>
      </c>
      <c r="AH905" t="str">
        <f>AF905/W905</f>
        <v>#REF!</v>
      </c>
    </row>
    <row r="906">
      <c r="G906" t="str">
        <v>A</v>
      </c>
      <c r="J906" t="str">
        <f>IF(K906&gt;0,K906*0.0625,IF(L906&gt;0,L906*2.204623,))</f>
        <v>#REF!</v>
      </c>
      <c r="K906" t="str">
        <f>IF(L906&gt;0,L906*35.273962,IF(J906&gt;0,J906*16,))</f>
        <v>#REF!</v>
      </c>
      <c r="L906" t="str">
        <f>IF(J906&gt;0,J906*0.453592,IF(K906&gt;0,K906*0.02835,))</f>
        <v>#REF!</v>
      </c>
      <c r="O906">
        <f>I906+N906+M906</f>
        <v>0</v>
      </c>
      <c r="P906">
        <f>O906*B$3</f>
        <v>0</v>
      </c>
      <c r="Q906">
        <f>ROUND(SUM(P906), -2)</f>
        <v>0</v>
      </c>
      <c r="R906" t="str">
        <f>ROUNDUP(HLOOKUP(IF(CEILING(L906,0.5)&lt;1,0.5,CEILING(L906,0.5)),'배송비 조회'!A$44:AO$56,7,0)*B$3,-2)</f>
        <v>#REF!</v>
      </c>
      <c r="S906">
        <v>0</v>
      </c>
      <c r="T906" t="str">
        <f>ROUND((Q906+R906)*0.3,-2)</f>
        <v>#REF!</v>
      </c>
      <c r="U906" t="str">
        <f>ROUND((Q906+R906)*0.4,-2)</f>
        <v>#REF!</v>
      </c>
      <c r="V906" t="str">
        <f>SUM(Q906:R906)+T906</f>
        <v>#REF!</v>
      </c>
      <c r="W906" t="str">
        <f>SUM(Q906:S906)+U906</f>
        <v>#REF!</v>
      </c>
      <c r="X906">
        <v>0</v>
      </c>
      <c r="Y906" t="str">
        <f>V906*0.038</f>
        <v>#REF!</v>
      </c>
      <c r="Z906" t="str">
        <f>V906*0.02</f>
        <v>#REF!</v>
      </c>
      <c r="AA906" t="str">
        <f>W906*0.1</f>
        <v>#REF!</v>
      </c>
      <c r="AB906" t="str">
        <f>V906-Y906-Z906</f>
        <v>#REF!</v>
      </c>
      <c r="AC906" t="str">
        <f>W906-AA906</f>
        <v>#REF!</v>
      </c>
      <c r="AD906" t="str">
        <f>AB906*0.01</f>
        <v>#REF!</v>
      </c>
      <c r="AE906" t="str">
        <f>AB906-Q906-AD906-R906</f>
        <v>#REF!</v>
      </c>
      <c r="AF906" t="str">
        <f>AC906-Q906-AD906-R906</f>
        <v>#REF!</v>
      </c>
      <c r="AG906" t="str">
        <f>AE906/V906</f>
        <v>#REF!</v>
      </c>
      <c r="AH906" t="str">
        <f>AF906/W906</f>
        <v>#REF!</v>
      </c>
    </row>
    <row r="907">
      <c r="G907" t="str">
        <v>A</v>
      </c>
      <c r="J907" t="str">
        <f>IF(K907&gt;0,K907*0.0625,IF(L907&gt;0,L907*2.204623,))</f>
        <v>#REF!</v>
      </c>
      <c r="K907" t="str">
        <f>IF(L907&gt;0,L907*35.273962,IF(J907&gt;0,J907*16,))</f>
        <v>#REF!</v>
      </c>
      <c r="L907" t="str">
        <f>IF(J907&gt;0,J907*0.453592,IF(K907&gt;0,K907*0.02835,))</f>
        <v>#REF!</v>
      </c>
      <c r="O907">
        <f>I907+N907+M907</f>
        <v>0</v>
      </c>
      <c r="P907">
        <f>O907*B$3</f>
        <v>0</v>
      </c>
      <c r="Q907">
        <f>ROUND(SUM(P907), -2)</f>
        <v>0</v>
      </c>
      <c r="R907" t="str">
        <f>ROUNDUP(HLOOKUP(IF(CEILING(L907,0.5)&lt;1,0.5,CEILING(L907,0.5)),'배송비 조회'!A$44:AO$56,7,0)*B$3,-2)</f>
        <v>#REF!</v>
      </c>
      <c r="S907">
        <v>0</v>
      </c>
      <c r="T907" t="str">
        <f>ROUND((Q907+R907)*0.3,-2)</f>
        <v>#REF!</v>
      </c>
      <c r="U907" t="str">
        <f>ROUND((Q907+R907)*0.4,-2)</f>
        <v>#REF!</v>
      </c>
      <c r="V907" t="str">
        <f>SUM(Q907:R907)+T907</f>
        <v>#REF!</v>
      </c>
      <c r="W907" t="str">
        <f>SUM(Q907:S907)+U907</f>
        <v>#REF!</v>
      </c>
      <c r="X907">
        <v>0</v>
      </c>
      <c r="Y907" t="str">
        <f>V907*0.038</f>
        <v>#REF!</v>
      </c>
      <c r="Z907" t="str">
        <f>V907*0.02</f>
        <v>#REF!</v>
      </c>
      <c r="AA907" t="str">
        <f>W907*0.1</f>
        <v>#REF!</v>
      </c>
      <c r="AB907" t="str">
        <f>V907-Y907-Z907</f>
        <v>#REF!</v>
      </c>
      <c r="AC907" t="str">
        <f>W907-AA907</f>
        <v>#REF!</v>
      </c>
      <c r="AD907" t="str">
        <f>AB907*0.01</f>
        <v>#REF!</v>
      </c>
      <c r="AE907" t="str">
        <f>AB907-Q907-AD907-R907</f>
        <v>#REF!</v>
      </c>
      <c r="AF907" t="str">
        <f>AC907-Q907-AD907-R907</f>
        <v>#REF!</v>
      </c>
      <c r="AG907" t="str">
        <f>AE907/V907</f>
        <v>#REF!</v>
      </c>
      <c r="AH907" t="str">
        <f>AF907/W907</f>
        <v>#REF!</v>
      </c>
    </row>
    <row r="908">
      <c r="G908" t="str">
        <v>A</v>
      </c>
      <c r="J908" t="str">
        <f>IF(K908&gt;0,K908*0.0625,IF(L908&gt;0,L908*2.204623,))</f>
        <v>#REF!</v>
      </c>
      <c r="K908" t="str">
        <f>IF(L908&gt;0,L908*35.273962,IF(J908&gt;0,J908*16,))</f>
        <v>#REF!</v>
      </c>
      <c r="L908" t="str">
        <f>IF(J908&gt;0,J908*0.453592,IF(K908&gt;0,K908*0.02835,))</f>
        <v>#REF!</v>
      </c>
      <c r="O908">
        <f>I908+N908+M908</f>
        <v>0</v>
      </c>
      <c r="P908">
        <f>O908*B$3</f>
        <v>0</v>
      </c>
      <c r="Q908">
        <f>ROUND(SUM(P908), -2)</f>
        <v>0</v>
      </c>
      <c r="R908" t="str">
        <f>ROUNDUP(HLOOKUP(IF(CEILING(L908,0.5)&lt;1,0.5,CEILING(L908,0.5)),'배송비 조회'!A$44:AO$56,7,0)*B$3,-2)</f>
        <v>#REF!</v>
      </c>
      <c r="S908">
        <v>0</v>
      </c>
      <c r="T908" t="str">
        <f>ROUND((Q908+R908)*0.3,-2)</f>
        <v>#REF!</v>
      </c>
      <c r="U908" t="str">
        <f>ROUND((Q908+R908)*0.4,-2)</f>
        <v>#REF!</v>
      </c>
      <c r="V908" t="str">
        <f>SUM(Q908:R908)+T908</f>
        <v>#REF!</v>
      </c>
      <c r="W908" t="str">
        <f>SUM(Q908:S908)+U908</f>
        <v>#REF!</v>
      </c>
      <c r="X908">
        <v>0</v>
      </c>
      <c r="Y908" t="str">
        <f>V908*0.038</f>
        <v>#REF!</v>
      </c>
      <c r="Z908" t="str">
        <f>V908*0.02</f>
        <v>#REF!</v>
      </c>
      <c r="AA908" t="str">
        <f>W908*0.1</f>
        <v>#REF!</v>
      </c>
      <c r="AB908" t="str">
        <f>V908-Y908-Z908</f>
        <v>#REF!</v>
      </c>
      <c r="AC908" t="str">
        <f>W908-AA908</f>
        <v>#REF!</v>
      </c>
      <c r="AD908" t="str">
        <f>AB908*0.01</f>
        <v>#REF!</v>
      </c>
      <c r="AE908" t="str">
        <f>AB908-Q908-AD908-R908</f>
        <v>#REF!</v>
      </c>
      <c r="AF908" t="str">
        <f>AC908-Q908-AD908-R908</f>
        <v>#REF!</v>
      </c>
      <c r="AG908" t="str">
        <f>AE908/V908</f>
        <v>#REF!</v>
      </c>
      <c r="AH908" t="str">
        <f>AF908/W908</f>
        <v>#REF!</v>
      </c>
    </row>
    <row r="909">
      <c r="G909" t="str">
        <v>A</v>
      </c>
      <c r="J909" t="str">
        <f>IF(K909&gt;0,K909*0.0625,IF(L909&gt;0,L909*2.204623,))</f>
        <v>#REF!</v>
      </c>
      <c r="K909" t="str">
        <f>IF(L909&gt;0,L909*35.273962,IF(J909&gt;0,J909*16,))</f>
        <v>#REF!</v>
      </c>
      <c r="L909" t="str">
        <f>IF(J909&gt;0,J909*0.453592,IF(K909&gt;0,K909*0.02835,))</f>
        <v>#REF!</v>
      </c>
      <c r="O909">
        <f>I909+N909+M909</f>
        <v>0</v>
      </c>
      <c r="P909">
        <f>O909*B$3</f>
        <v>0</v>
      </c>
      <c r="Q909">
        <f>ROUND(SUM(P909), -2)</f>
        <v>0</v>
      </c>
      <c r="R909" t="str">
        <f>ROUNDUP(HLOOKUP(IF(CEILING(L909,0.5)&lt;1,0.5,CEILING(L909,0.5)),'배송비 조회'!A$44:AO$56,7,0)*B$3,-2)</f>
        <v>#REF!</v>
      </c>
      <c r="S909">
        <v>0</v>
      </c>
      <c r="T909" t="str">
        <f>ROUND((Q909+R909)*0.3,-2)</f>
        <v>#REF!</v>
      </c>
      <c r="U909" t="str">
        <f>ROUND((Q909+R909)*0.4,-2)</f>
        <v>#REF!</v>
      </c>
      <c r="V909" t="str">
        <f>SUM(Q909:R909)+T909</f>
        <v>#REF!</v>
      </c>
      <c r="W909" t="str">
        <f>SUM(Q909:S909)+U909</f>
        <v>#REF!</v>
      </c>
      <c r="X909">
        <v>0</v>
      </c>
      <c r="Y909" t="str">
        <f>V909*0.038</f>
        <v>#REF!</v>
      </c>
      <c r="Z909" t="str">
        <f>V909*0.02</f>
        <v>#REF!</v>
      </c>
      <c r="AA909" t="str">
        <f>W909*0.1</f>
        <v>#REF!</v>
      </c>
      <c r="AB909" t="str">
        <f>V909-Y909-Z909</f>
        <v>#REF!</v>
      </c>
      <c r="AC909" t="str">
        <f>W909-AA909</f>
        <v>#REF!</v>
      </c>
      <c r="AD909" t="str">
        <f>AB909*0.01</f>
        <v>#REF!</v>
      </c>
      <c r="AE909" t="str">
        <f>AB909-Q909-AD909-R909</f>
        <v>#REF!</v>
      </c>
      <c r="AF909" t="str">
        <f>AC909-Q909-AD909-R909</f>
        <v>#REF!</v>
      </c>
      <c r="AG909" t="str">
        <f>AE909/V909</f>
        <v>#REF!</v>
      </c>
      <c r="AH909" t="str">
        <f>AF909/W909</f>
        <v>#REF!</v>
      </c>
    </row>
    <row r="910">
      <c r="G910" t="str">
        <v>A</v>
      </c>
      <c r="J910" t="str">
        <f>IF(K910&gt;0,K910*0.0625,IF(L910&gt;0,L910*2.204623,))</f>
        <v>#REF!</v>
      </c>
      <c r="K910" t="str">
        <f>IF(L910&gt;0,L910*35.273962,IF(J910&gt;0,J910*16,))</f>
        <v>#REF!</v>
      </c>
      <c r="L910" t="str">
        <f>IF(J910&gt;0,J910*0.453592,IF(K910&gt;0,K910*0.02835,))</f>
        <v>#REF!</v>
      </c>
      <c r="O910">
        <f>I910+N910+M910</f>
        <v>0</v>
      </c>
      <c r="P910">
        <f>O910*B$3</f>
        <v>0</v>
      </c>
      <c r="Q910">
        <f>ROUND(SUM(P910), -2)</f>
        <v>0</v>
      </c>
      <c r="R910" t="str">
        <f>ROUNDUP(HLOOKUP(IF(CEILING(L910,0.5)&lt;1,0.5,CEILING(L910,0.5)),'배송비 조회'!A$44:AO$56,7,0)*B$3,-2)</f>
        <v>#REF!</v>
      </c>
      <c r="S910">
        <v>0</v>
      </c>
      <c r="T910" t="str">
        <f>ROUND((Q910+R910)*0.3,-2)</f>
        <v>#REF!</v>
      </c>
      <c r="U910" t="str">
        <f>ROUND((Q910+R910)*0.4,-2)</f>
        <v>#REF!</v>
      </c>
      <c r="V910" t="str">
        <f>SUM(Q910:R910)+T910</f>
        <v>#REF!</v>
      </c>
      <c r="W910" t="str">
        <f>SUM(Q910:S910)+U910</f>
        <v>#REF!</v>
      </c>
      <c r="X910">
        <v>0</v>
      </c>
      <c r="Y910" t="str">
        <f>V910*0.038</f>
        <v>#REF!</v>
      </c>
      <c r="Z910" t="str">
        <f>V910*0.02</f>
        <v>#REF!</v>
      </c>
      <c r="AA910" t="str">
        <f>W910*0.1</f>
        <v>#REF!</v>
      </c>
      <c r="AB910" t="str">
        <f>V910-Y910-Z910</f>
        <v>#REF!</v>
      </c>
      <c r="AC910" t="str">
        <f>W910-AA910</f>
        <v>#REF!</v>
      </c>
      <c r="AD910" t="str">
        <f>AB910*0.01</f>
        <v>#REF!</v>
      </c>
      <c r="AE910" t="str">
        <f>AB910-Q910-AD910-R910</f>
        <v>#REF!</v>
      </c>
      <c r="AF910" t="str">
        <f>AC910-Q910-AD910-R910</f>
        <v>#REF!</v>
      </c>
      <c r="AG910" t="str">
        <f>AE910/V910</f>
        <v>#REF!</v>
      </c>
      <c r="AH910" t="str">
        <f>AF910/W910</f>
        <v>#REF!</v>
      </c>
    </row>
    <row r="911">
      <c r="G911" t="str">
        <v>A</v>
      </c>
      <c r="J911" t="str">
        <f>IF(K911&gt;0,K911*0.0625,IF(L911&gt;0,L911*2.204623,))</f>
        <v>#REF!</v>
      </c>
      <c r="K911" t="str">
        <f>IF(L911&gt;0,L911*35.273962,IF(J911&gt;0,J911*16,))</f>
        <v>#REF!</v>
      </c>
      <c r="L911" t="str">
        <f>IF(J911&gt;0,J911*0.453592,IF(K911&gt;0,K911*0.02835,))</f>
        <v>#REF!</v>
      </c>
      <c r="O911">
        <f>I911+N911+M911</f>
        <v>0</v>
      </c>
      <c r="P911">
        <f>O911*B$3</f>
        <v>0</v>
      </c>
      <c r="Q911">
        <f>ROUND(SUM(P911), -2)</f>
        <v>0</v>
      </c>
      <c r="R911" t="str">
        <f>ROUNDUP(HLOOKUP(IF(CEILING(L911,0.5)&lt;1,0.5,CEILING(L911,0.5)),'배송비 조회'!A$44:AO$56,7,0)*B$3,-2)</f>
        <v>#REF!</v>
      </c>
      <c r="S911">
        <v>0</v>
      </c>
      <c r="T911" t="str">
        <f>ROUND((Q911+R911)*0.3,-2)</f>
        <v>#REF!</v>
      </c>
      <c r="U911" t="str">
        <f>ROUND((Q911+R911)*0.4,-2)</f>
        <v>#REF!</v>
      </c>
      <c r="V911" t="str">
        <f>SUM(Q911:R911)+T911</f>
        <v>#REF!</v>
      </c>
      <c r="W911" t="str">
        <f>SUM(Q911:S911)+U911</f>
        <v>#REF!</v>
      </c>
      <c r="X911">
        <v>0</v>
      </c>
      <c r="Y911" t="str">
        <f>V911*0.038</f>
        <v>#REF!</v>
      </c>
      <c r="Z911" t="str">
        <f>V911*0.02</f>
        <v>#REF!</v>
      </c>
      <c r="AA911" t="str">
        <f>W911*0.1</f>
        <v>#REF!</v>
      </c>
      <c r="AB911" t="str">
        <f>V911-Y911-Z911</f>
        <v>#REF!</v>
      </c>
      <c r="AC911" t="str">
        <f>W911-AA911</f>
        <v>#REF!</v>
      </c>
      <c r="AD911" t="str">
        <f>AB911*0.01</f>
        <v>#REF!</v>
      </c>
      <c r="AE911" t="str">
        <f>AB911-Q911-AD911-R911</f>
        <v>#REF!</v>
      </c>
      <c r="AF911" t="str">
        <f>AC911-Q911-AD911-R911</f>
        <v>#REF!</v>
      </c>
      <c r="AG911" t="str">
        <f>AE911/V911</f>
        <v>#REF!</v>
      </c>
      <c r="AH911" t="str">
        <f>AF911/W911</f>
        <v>#REF!</v>
      </c>
    </row>
    <row r="912">
      <c r="G912" t="str">
        <v>A</v>
      </c>
      <c r="J912" t="str">
        <f>IF(K912&gt;0,K912*0.0625,IF(L912&gt;0,L912*2.204623,))</f>
        <v>#REF!</v>
      </c>
      <c r="K912" t="str">
        <f>IF(L912&gt;0,L912*35.273962,IF(J912&gt;0,J912*16,))</f>
        <v>#REF!</v>
      </c>
      <c r="L912" t="str">
        <f>IF(J912&gt;0,J912*0.453592,IF(K912&gt;0,K912*0.02835,))</f>
        <v>#REF!</v>
      </c>
      <c r="O912">
        <f>I912+N912+M912</f>
        <v>0</v>
      </c>
      <c r="P912">
        <f>O912*B$3</f>
        <v>0</v>
      </c>
      <c r="Q912">
        <f>ROUND(SUM(P912), -2)</f>
        <v>0</v>
      </c>
      <c r="R912" t="str">
        <f>ROUNDUP(HLOOKUP(IF(CEILING(L912,0.5)&lt;1,0.5,CEILING(L912,0.5)),'배송비 조회'!A$44:AO$56,7,0)*B$3,-2)</f>
        <v>#REF!</v>
      </c>
      <c r="S912">
        <v>0</v>
      </c>
      <c r="T912" t="str">
        <f>ROUND((Q912+R912)*0.3,-2)</f>
        <v>#REF!</v>
      </c>
      <c r="U912" t="str">
        <f>ROUND((Q912+R912)*0.4,-2)</f>
        <v>#REF!</v>
      </c>
      <c r="V912" t="str">
        <f>SUM(Q912:R912)+T912</f>
        <v>#REF!</v>
      </c>
      <c r="W912" t="str">
        <f>SUM(Q912:S912)+U912</f>
        <v>#REF!</v>
      </c>
      <c r="X912">
        <v>0</v>
      </c>
      <c r="Y912" t="str">
        <f>V912*0.038</f>
        <v>#REF!</v>
      </c>
      <c r="Z912" t="str">
        <f>V912*0.02</f>
        <v>#REF!</v>
      </c>
      <c r="AA912" t="str">
        <f>W912*0.1</f>
        <v>#REF!</v>
      </c>
      <c r="AB912" t="str">
        <f>V912-Y912-Z912</f>
        <v>#REF!</v>
      </c>
      <c r="AC912" t="str">
        <f>W912-AA912</f>
        <v>#REF!</v>
      </c>
      <c r="AD912" t="str">
        <f>AB912*0.01</f>
        <v>#REF!</v>
      </c>
      <c r="AE912" t="str">
        <f>AB912-Q912-AD912-R912</f>
        <v>#REF!</v>
      </c>
      <c r="AF912" t="str">
        <f>AC912-Q912-AD912-R912</f>
        <v>#REF!</v>
      </c>
      <c r="AG912" t="str">
        <f>AE912/V912</f>
        <v>#REF!</v>
      </c>
      <c r="AH912" t="str">
        <f>AF912/W912</f>
        <v>#REF!</v>
      </c>
    </row>
    <row r="913">
      <c r="G913" t="str">
        <v>A</v>
      </c>
      <c r="J913" t="str">
        <f>IF(K913&gt;0,K913*0.0625,IF(L913&gt;0,L913*2.204623,))</f>
        <v>#REF!</v>
      </c>
      <c r="K913" t="str">
        <f>IF(L913&gt;0,L913*35.273962,IF(J913&gt;0,J913*16,))</f>
        <v>#REF!</v>
      </c>
      <c r="L913" t="str">
        <f>IF(J913&gt;0,J913*0.453592,IF(K913&gt;0,K913*0.02835,))</f>
        <v>#REF!</v>
      </c>
      <c r="O913">
        <f>I913+N913+M913</f>
        <v>0</v>
      </c>
      <c r="P913">
        <f>O913*B$3</f>
        <v>0</v>
      </c>
      <c r="Q913">
        <f>ROUND(SUM(P913), -2)</f>
        <v>0</v>
      </c>
      <c r="R913" t="str">
        <f>ROUNDUP(HLOOKUP(IF(CEILING(L913,0.5)&lt;1,0.5,CEILING(L913,0.5)),'배송비 조회'!A$44:AO$56,7,0)*B$3,-2)</f>
        <v>#REF!</v>
      </c>
      <c r="S913">
        <v>0</v>
      </c>
      <c r="T913" t="str">
        <f>ROUND((Q913+R913)*0.3,-2)</f>
        <v>#REF!</v>
      </c>
      <c r="U913" t="str">
        <f>ROUND((Q913+R913)*0.4,-2)</f>
        <v>#REF!</v>
      </c>
      <c r="V913" t="str">
        <f>SUM(Q913:R913)+T913</f>
        <v>#REF!</v>
      </c>
      <c r="W913" t="str">
        <f>SUM(Q913:S913)+U913</f>
        <v>#REF!</v>
      </c>
      <c r="X913">
        <v>0</v>
      </c>
      <c r="Y913" t="str">
        <f>V913*0.038</f>
        <v>#REF!</v>
      </c>
      <c r="Z913" t="str">
        <f>V913*0.02</f>
        <v>#REF!</v>
      </c>
      <c r="AA913" t="str">
        <f>W913*0.1</f>
        <v>#REF!</v>
      </c>
      <c r="AB913" t="str">
        <f>V913-Y913-Z913</f>
        <v>#REF!</v>
      </c>
      <c r="AC913" t="str">
        <f>W913-AA913</f>
        <v>#REF!</v>
      </c>
      <c r="AD913" t="str">
        <f>AB913*0.01</f>
        <v>#REF!</v>
      </c>
      <c r="AE913" t="str">
        <f>AB913-Q913-AD913-R913</f>
        <v>#REF!</v>
      </c>
      <c r="AF913" t="str">
        <f>AC913-Q913-AD913-R913</f>
        <v>#REF!</v>
      </c>
      <c r="AG913" t="str">
        <f>AE913/V913</f>
        <v>#REF!</v>
      </c>
      <c r="AH913" t="str">
        <f>AF913/W913</f>
        <v>#REF!</v>
      </c>
    </row>
    <row r="914">
      <c r="G914" t="str">
        <v>A</v>
      </c>
      <c r="J914" t="str">
        <f>IF(K914&gt;0,K914*0.0625,IF(L914&gt;0,L914*2.204623,))</f>
        <v>#REF!</v>
      </c>
      <c r="K914" t="str">
        <f>IF(L914&gt;0,L914*35.273962,IF(J914&gt;0,J914*16,))</f>
        <v>#REF!</v>
      </c>
      <c r="L914" t="str">
        <f>IF(J914&gt;0,J914*0.453592,IF(K914&gt;0,K914*0.02835,))</f>
        <v>#REF!</v>
      </c>
      <c r="O914">
        <f>I914+N914+M914</f>
        <v>0</v>
      </c>
      <c r="P914">
        <f>O914*B$3</f>
        <v>0</v>
      </c>
      <c r="Q914">
        <f>ROUND(SUM(P914), -2)</f>
        <v>0</v>
      </c>
      <c r="R914" t="str">
        <f>ROUNDUP(HLOOKUP(IF(CEILING(L914,0.5)&lt;1,0.5,CEILING(L914,0.5)),'배송비 조회'!A$44:AO$56,7,0)*B$3,-2)</f>
        <v>#REF!</v>
      </c>
      <c r="S914">
        <v>0</v>
      </c>
      <c r="T914" t="str">
        <f>ROUND((Q914+R914)*0.3,-2)</f>
        <v>#REF!</v>
      </c>
      <c r="U914" t="str">
        <f>ROUND((Q914+R914)*0.4,-2)</f>
        <v>#REF!</v>
      </c>
      <c r="V914" t="str">
        <f>SUM(Q914:R914)+T914</f>
        <v>#REF!</v>
      </c>
      <c r="W914" t="str">
        <f>SUM(Q914:S914)+U914</f>
        <v>#REF!</v>
      </c>
      <c r="X914">
        <v>0</v>
      </c>
      <c r="Y914" t="str">
        <f>V914*0.038</f>
        <v>#REF!</v>
      </c>
      <c r="Z914" t="str">
        <f>V914*0.02</f>
        <v>#REF!</v>
      </c>
      <c r="AA914" t="str">
        <f>W914*0.1</f>
        <v>#REF!</v>
      </c>
      <c r="AB914" t="str">
        <f>V914-Y914-Z914</f>
        <v>#REF!</v>
      </c>
      <c r="AC914" t="str">
        <f>W914-AA914</f>
        <v>#REF!</v>
      </c>
      <c r="AD914" t="str">
        <f>AB914*0.01</f>
        <v>#REF!</v>
      </c>
      <c r="AE914" t="str">
        <f>AB914-Q914-AD914-R914</f>
        <v>#REF!</v>
      </c>
      <c r="AF914" t="str">
        <f>AC914-Q914-AD914-R914</f>
        <v>#REF!</v>
      </c>
      <c r="AG914" t="str">
        <f>AE914/V914</f>
        <v>#REF!</v>
      </c>
      <c r="AH914" t="str">
        <f>AF914/W914</f>
        <v>#REF!</v>
      </c>
    </row>
    <row r="915">
      <c r="G915" t="str">
        <v>A</v>
      </c>
      <c r="J915" t="str">
        <f>IF(K915&gt;0,K915*0.0625,IF(L915&gt;0,L915*2.204623,))</f>
        <v>#REF!</v>
      </c>
      <c r="K915" t="str">
        <f>IF(L915&gt;0,L915*35.273962,IF(J915&gt;0,J915*16,))</f>
        <v>#REF!</v>
      </c>
      <c r="L915" t="str">
        <f>IF(J915&gt;0,J915*0.453592,IF(K915&gt;0,K915*0.02835,))</f>
        <v>#REF!</v>
      </c>
      <c r="O915">
        <f>I915+N915+M915</f>
        <v>0</v>
      </c>
      <c r="P915">
        <f>O915*B$3</f>
        <v>0</v>
      </c>
      <c r="Q915">
        <f>ROUND(SUM(P915), -2)</f>
        <v>0</v>
      </c>
      <c r="R915" t="str">
        <f>ROUNDUP(HLOOKUP(IF(CEILING(L915,0.5)&lt;1,0.5,CEILING(L915,0.5)),'배송비 조회'!A$44:AO$56,7,0)*B$3,-2)</f>
        <v>#REF!</v>
      </c>
      <c r="S915">
        <v>0</v>
      </c>
      <c r="T915" t="str">
        <f>ROUND((Q915+R915)*0.3,-2)</f>
        <v>#REF!</v>
      </c>
      <c r="U915" t="str">
        <f>ROUND((Q915+R915)*0.4,-2)</f>
        <v>#REF!</v>
      </c>
      <c r="V915" t="str">
        <f>SUM(Q915:R915)+T915</f>
        <v>#REF!</v>
      </c>
      <c r="W915" t="str">
        <f>SUM(Q915:S915)+U915</f>
        <v>#REF!</v>
      </c>
      <c r="X915">
        <v>0</v>
      </c>
      <c r="Y915" t="str">
        <f>V915*0.038</f>
        <v>#REF!</v>
      </c>
      <c r="Z915" t="str">
        <f>V915*0.02</f>
        <v>#REF!</v>
      </c>
      <c r="AA915" t="str">
        <f>W915*0.1</f>
        <v>#REF!</v>
      </c>
      <c r="AB915" t="str">
        <f>V915-Y915-Z915</f>
        <v>#REF!</v>
      </c>
      <c r="AC915" t="str">
        <f>W915-AA915</f>
        <v>#REF!</v>
      </c>
      <c r="AD915" t="str">
        <f>AB915*0.01</f>
        <v>#REF!</v>
      </c>
      <c r="AE915" t="str">
        <f>AB915-Q915-AD915-R915</f>
        <v>#REF!</v>
      </c>
      <c r="AF915" t="str">
        <f>AC915-Q915-AD915-R915</f>
        <v>#REF!</v>
      </c>
      <c r="AG915" t="str">
        <f>AE915/V915</f>
        <v>#REF!</v>
      </c>
      <c r="AH915" t="str">
        <f>AF915/W915</f>
        <v>#REF!</v>
      </c>
    </row>
    <row r="916">
      <c r="G916" t="str">
        <v>A</v>
      </c>
      <c r="J916" t="str">
        <f>IF(K916&gt;0,K916*0.0625,IF(L916&gt;0,L916*2.204623,))</f>
        <v>#REF!</v>
      </c>
      <c r="K916" t="str">
        <f>IF(L916&gt;0,L916*35.273962,IF(J916&gt;0,J916*16,))</f>
        <v>#REF!</v>
      </c>
      <c r="L916" t="str">
        <f>IF(J916&gt;0,J916*0.453592,IF(K916&gt;0,K916*0.02835,))</f>
        <v>#REF!</v>
      </c>
      <c r="O916">
        <f>I916+N916+M916</f>
        <v>0</v>
      </c>
      <c r="P916">
        <f>O916*B$3</f>
        <v>0</v>
      </c>
      <c r="Q916">
        <f>ROUND(SUM(P916), -2)</f>
        <v>0</v>
      </c>
      <c r="R916" t="str">
        <f>ROUNDUP(HLOOKUP(IF(CEILING(L916,0.5)&lt;1,0.5,CEILING(L916,0.5)),'배송비 조회'!A$44:AO$56,7,0)*B$3,-2)</f>
        <v>#REF!</v>
      </c>
      <c r="S916">
        <v>0</v>
      </c>
      <c r="T916" t="str">
        <f>ROUND((Q916+R916)*0.3,-2)</f>
        <v>#REF!</v>
      </c>
      <c r="U916" t="str">
        <f>ROUND((Q916+R916)*0.4,-2)</f>
        <v>#REF!</v>
      </c>
      <c r="V916" t="str">
        <f>SUM(Q916:R916)+T916</f>
        <v>#REF!</v>
      </c>
      <c r="W916" t="str">
        <f>SUM(Q916:S916)+U916</f>
        <v>#REF!</v>
      </c>
      <c r="X916">
        <v>0</v>
      </c>
      <c r="Y916" t="str">
        <f>V916*0.038</f>
        <v>#REF!</v>
      </c>
      <c r="Z916" t="str">
        <f>V916*0.02</f>
        <v>#REF!</v>
      </c>
      <c r="AA916" t="str">
        <f>W916*0.1</f>
        <v>#REF!</v>
      </c>
      <c r="AB916" t="str">
        <f>V916-Y916-Z916</f>
        <v>#REF!</v>
      </c>
      <c r="AC916" t="str">
        <f>W916-AA916</f>
        <v>#REF!</v>
      </c>
      <c r="AD916" t="str">
        <f>AB916*0.01</f>
        <v>#REF!</v>
      </c>
      <c r="AE916" t="str">
        <f>AB916-Q916-AD916-R916</f>
        <v>#REF!</v>
      </c>
      <c r="AF916" t="str">
        <f>AC916-Q916-AD916-R916</f>
        <v>#REF!</v>
      </c>
      <c r="AG916" t="str">
        <f>AE916/V916</f>
        <v>#REF!</v>
      </c>
      <c r="AH916" t="str">
        <f>AF916/W916</f>
        <v>#REF!</v>
      </c>
    </row>
    <row r="917">
      <c r="G917" t="str">
        <v>A</v>
      </c>
      <c r="J917" t="str">
        <f>IF(K917&gt;0,K917*0.0625,IF(L917&gt;0,L917*2.204623,))</f>
        <v>#REF!</v>
      </c>
      <c r="K917" t="str">
        <f>IF(L917&gt;0,L917*35.273962,IF(J917&gt;0,J917*16,))</f>
        <v>#REF!</v>
      </c>
      <c r="L917" t="str">
        <f>IF(J917&gt;0,J917*0.453592,IF(K917&gt;0,K917*0.02835,))</f>
        <v>#REF!</v>
      </c>
      <c r="O917">
        <f>I917+N917+M917</f>
        <v>0</v>
      </c>
      <c r="P917">
        <f>O917*B$3</f>
        <v>0</v>
      </c>
      <c r="Q917">
        <f>ROUND(SUM(P917), -2)</f>
        <v>0</v>
      </c>
      <c r="R917" t="str">
        <f>ROUNDUP(HLOOKUP(IF(CEILING(L917,0.5)&lt;1,0.5,CEILING(L917,0.5)),'배송비 조회'!A$44:AO$56,7,0)*B$3,-2)</f>
        <v>#REF!</v>
      </c>
      <c r="S917">
        <v>0</v>
      </c>
      <c r="T917" t="str">
        <f>ROUND((Q917+R917)*0.3,-2)</f>
        <v>#REF!</v>
      </c>
      <c r="U917" t="str">
        <f>ROUND((Q917+R917)*0.4,-2)</f>
        <v>#REF!</v>
      </c>
      <c r="V917" t="str">
        <f>SUM(Q917:R917)+T917</f>
        <v>#REF!</v>
      </c>
      <c r="W917" t="str">
        <f>SUM(Q917:S917)+U917</f>
        <v>#REF!</v>
      </c>
      <c r="X917">
        <v>0</v>
      </c>
      <c r="Y917" t="str">
        <f>V917*0.038</f>
        <v>#REF!</v>
      </c>
      <c r="Z917" t="str">
        <f>V917*0.02</f>
        <v>#REF!</v>
      </c>
      <c r="AA917" t="str">
        <f>W917*0.1</f>
        <v>#REF!</v>
      </c>
      <c r="AB917" t="str">
        <f>V917-Y917-Z917</f>
        <v>#REF!</v>
      </c>
      <c r="AC917" t="str">
        <f>W917-AA917</f>
        <v>#REF!</v>
      </c>
      <c r="AD917" t="str">
        <f>AB917*0.01</f>
        <v>#REF!</v>
      </c>
      <c r="AE917" t="str">
        <f>AB917-Q917-AD917-R917</f>
        <v>#REF!</v>
      </c>
      <c r="AF917" t="str">
        <f>AC917-Q917-AD917-R917</f>
        <v>#REF!</v>
      </c>
      <c r="AG917" t="str">
        <f>AE917/V917</f>
        <v>#REF!</v>
      </c>
      <c r="AH917" t="str">
        <f>AF917/W917</f>
        <v>#REF!</v>
      </c>
    </row>
    <row r="918">
      <c r="G918" t="str">
        <v>A</v>
      </c>
      <c r="J918" t="str">
        <f>IF(K918&gt;0,K918*0.0625,IF(L918&gt;0,L918*2.204623,))</f>
        <v>#REF!</v>
      </c>
      <c r="K918" t="str">
        <f>IF(L918&gt;0,L918*35.273962,IF(J918&gt;0,J918*16,))</f>
        <v>#REF!</v>
      </c>
      <c r="L918" t="str">
        <f>IF(J918&gt;0,J918*0.453592,IF(K918&gt;0,K918*0.02835,))</f>
        <v>#REF!</v>
      </c>
      <c r="O918">
        <f>I918+N918+M918</f>
        <v>0</v>
      </c>
      <c r="P918">
        <f>O918*B$3</f>
        <v>0</v>
      </c>
      <c r="Q918">
        <f>ROUND(SUM(P918), -2)</f>
        <v>0</v>
      </c>
      <c r="R918" t="str">
        <f>ROUNDUP(HLOOKUP(IF(CEILING(L918,0.5)&lt;1,0.5,CEILING(L918,0.5)),'배송비 조회'!A$44:AO$56,7,0)*B$3,-2)</f>
        <v>#REF!</v>
      </c>
      <c r="S918">
        <v>0</v>
      </c>
      <c r="T918" t="str">
        <f>ROUND((Q918+R918)*0.3,-2)</f>
        <v>#REF!</v>
      </c>
      <c r="U918" t="str">
        <f>ROUND((Q918+R918)*0.4,-2)</f>
        <v>#REF!</v>
      </c>
      <c r="V918" t="str">
        <f>SUM(Q918:R918)+T918</f>
        <v>#REF!</v>
      </c>
      <c r="W918" t="str">
        <f>SUM(Q918:S918)+U918</f>
        <v>#REF!</v>
      </c>
      <c r="X918">
        <v>0</v>
      </c>
      <c r="Y918" t="str">
        <f>V918*0.038</f>
        <v>#REF!</v>
      </c>
      <c r="Z918" t="str">
        <f>V918*0.02</f>
        <v>#REF!</v>
      </c>
      <c r="AA918" t="str">
        <f>W918*0.1</f>
        <v>#REF!</v>
      </c>
      <c r="AB918" t="str">
        <f>V918-Y918-Z918</f>
        <v>#REF!</v>
      </c>
      <c r="AC918" t="str">
        <f>W918-AA918</f>
        <v>#REF!</v>
      </c>
      <c r="AD918" t="str">
        <f>AB918*0.01</f>
        <v>#REF!</v>
      </c>
      <c r="AE918" t="str">
        <f>AB918-Q918-AD918-R918</f>
        <v>#REF!</v>
      </c>
      <c r="AF918" t="str">
        <f>AC918-Q918-AD918-R918</f>
        <v>#REF!</v>
      </c>
      <c r="AG918" t="str">
        <f>AE918/V918</f>
        <v>#REF!</v>
      </c>
      <c r="AH918" t="str">
        <f>AF918/W918</f>
        <v>#REF!</v>
      </c>
    </row>
    <row r="919">
      <c r="G919" t="str">
        <v>A</v>
      </c>
      <c r="J919" t="str">
        <f>IF(K919&gt;0,K919*0.0625,IF(L919&gt;0,L919*2.204623,))</f>
        <v>#REF!</v>
      </c>
      <c r="K919" t="str">
        <f>IF(L919&gt;0,L919*35.273962,IF(J919&gt;0,J919*16,))</f>
        <v>#REF!</v>
      </c>
      <c r="L919" t="str">
        <f>IF(J919&gt;0,J919*0.453592,IF(K919&gt;0,K919*0.02835,))</f>
        <v>#REF!</v>
      </c>
      <c r="O919">
        <f>I919+N919+M919</f>
        <v>0</v>
      </c>
      <c r="P919">
        <f>O919*B$3</f>
        <v>0</v>
      </c>
      <c r="Q919">
        <f>ROUND(SUM(P919), -2)</f>
        <v>0</v>
      </c>
      <c r="R919" t="str">
        <f>ROUNDUP(HLOOKUP(IF(CEILING(L919,0.5)&lt;1,0.5,CEILING(L919,0.5)),'배송비 조회'!A$44:AO$56,7,0)*B$3,-2)</f>
        <v>#REF!</v>
      </c>
      <c r="S919">
        <v>0</v>
      </c>
      <c r="T919" t="str">
        <f>ROUND((Q919+R919)*0.3,-2)</f>
        <v>#REF!</v>
      </c>
      <c r="U919" t="str">
        <f>ROUND((Q919+R919)*0.4,-2)</f>
        <v>#REF!</v>
      </c>
      <c r="V919" t="str">
        <f>SUM(Q919:R919)+T919</f>
        <v>#REF!</v>
      </c>
      <c r="W919" t="str">
        <f>SUM(Q919:S919)+U919</f>
        <v>#REF!</v>
      </c>
      <c r="X919">
        <v>0</v>
      </c>
      <c r="Y919" t="str">
        <f>V919*0.038</f>
        <v>#REF!</v>
      </c>
      <c r="Z919" t="str">
        <f>V919*0.02</f>
        <v>#REF!</v>
      </c>
      <c r="AA919" t="str">
        <f>W919*0.1</f>
        <v>#REF!</v>
      </c>
      <c r="AB919" t="str">
        <f>V919-Y919-Z919</f>
        <v>#REF!</v>
      </c>
      <c r="AC919" t="str">
        <f>W919-AA919</f>
        <v>#REF!</v>
      </c>
      <c r="AD919" t="str">
        <f>AB919*0.01</f>
        <v>#REF!</v>
      </c>
      <c r="AE919" t="str">
        <f>AB919-Q919-AD919-R919</f>
        <v>#REF!</v>
      </c>
      <c r="AF919" t="str">
        <f>AC919-Q919-AD919-R919</f>
        <v>#REF!</v>
      </c>
      <c r="AG919" t="str">
        <f>AE919/V919</f>
        <v>#REF!</v>
      </c>
      <c r="AH919" t="str">
        <f>AF919/W919</f>
        <v>#REF!</v>
      </c>
    </row>
    <row r="920">
      <c r="G920" t="str">
        <v>A</v>
      </c>
      <c r="J920" t="str">
        <f>IF(K920&gt;0,K920*0.0625,IF(L920&gt;0,L920*2.204623,))</f>
        <v>#REF!</v>
      </c>
      <c r="K920" t="str">
        <f>IF(L920&gt;0,L920*35.273962,IF(J920&gt;0,J920*16,))</f>
        <v>#REF!</v>
      </c>
      <c r="L920" t="str">
        <f>IF(J920&gt;0,J920*0.453592,IF(K920&gt;0,K920*0.02835,))</f>
        <v>#REF!</v>
      </c>
      <c r="O920">
        <f>I920+N920+M920</f>
        <v>0</v>
      </c>
      <c r="P920">
        <f>O920*B$3</f>
        <v>0</v>
      </c>
      <c r="Q920">
        <f>ROUND(SUM(P920), -2)</f>
        <v>0</v>
      </c>
      <c r="R920" t="str">
        <f>ROUNDUP(HLOOKUP(IF(CEILING(L920,0.5)&lt;1,0.5,CEILING(L920,0.5)),'배송비 조회'!A$44:AO$56,7,0)*B$3,-2)</f>
        <v>#REF!</v>
      </c>
      <c r="S920">
        <v>0</v>
      </c>
      <c r="T920" t="str">
        <f>ROUND((Q920+R920)*0.3,-2)</f>
        <v>#REF!</v>
      </c>
      <c r="U920" t="str">
        <f>ROUND((Q920+R920)*0.4,-2)</f>
        <v>#REF!</v>
      </c>
      <c r="V920" t="str">
        <f>SUM(Q920:R920)+T920</f>
        <v>#REF!</v>
      </c>
      <c r="W920" t="str">
        <f>SUM(Q920:S920)+U920</f>
        <v>#REF!</v>
      </c>
      <c r="X920">
        <v>0</v>
      </c>
      <c r="Y920" t="str">
        <f>V920*0.038</f>
        <v>#REF!</v>
      </c>
      <c r="Z920" t="str">
        <f>V920*0.02</f>
        <v>#REF!</v>
      </c>
      <c r="AA920" t="str">
        <f>W920*0.1</f>
        <v>#REF!</v>
      </c>
      <c r="AB920" t="str">
        <f>V920-Y920-Z920</f>
        <v>#REF!</v>
      </c>
      <c r="AC920" t="str">
        <f>W920-AA920</f>
        <v>#REF!</v>
      </c>
      <c r="AD920" t="str">
        <f>AB920*0.01</f>
        <v>#REF!</v>
      </c>
      <c r="AE920" t="str">
        <f>AB920-Q920-AD920-R920</f>
        <v>#REF!</v>
      </c>
      <c r="AF920" t="str">
        <f>AC920-Q920-AD920-R920</f>
        <v>#REF!</v>
      </c>
      <c r="AG920" t="str">
        <f>AE920/V920</f>
        <v>#REF!</v>
      </c>
      <c r="AH920" t="str">
        <f>AF920/W920</f>
        <v>#REF!</v>
      </c>
    </row>
    <row r="921">
      <c r="G921" t="str">
        <v>A</v>
      </c>
      <c r="J921" t="str">
        <f>IF(K921&gt;0,K921*0.0625,IF(L921&gt;0,L921*2.204623,))</f>
        <v>#REF!</v>
      </c>
      <c r="K921" t="str">
        <f>IF(L921&gt;0,L921*35.273962,IF(J921&gt;0,J921*16,))</f>
        <v>#REF!</v>
      </c>
      <c r="L921" t="str">
        <f>IF(J921&gt;0,J921*0.453592,IF(K921&gt;0,K921*0.02835,))</f>
        <v>#REF!</v>
      </c>
      <c r="O921">
        <f>I921+N921+M921</f>
        <v>0</v>
      </c>
      <c r="P921">
        <f>O921*B$3</f>
        <v>0</v>
      </c>
      <c r="Q921">
        <f>ROUND(SUM(P921), -2)</f>
        <v>0</v>
      </c>
      <c r="R921" t="str">
        <f>ROUNDUP(HLOOKUP(IF(CEILING(L921,0.5)&lt;1,0.5,CEILING(L921,0.5)),'배송비 조회'!A$44:AO$56,7,0)*B$3,-2)</f>
        <v>#REF!</v>
      </c>
      <c r="S921">
        <v>0</v>
      </c>
      <c r="T921" t="str">
        <f>ROUND((Q921+R921)*0.3,-2)</f>
        <v>#REF!</v>
      </c>
      <c r="U921" t="str">
        <f>ROUND((Q921+R921)*0.4,-2)</f>
        <v>#REF!</v>
      </c>
      <c r="V921" t="str">
        <f>SUM(Q921:R921)+T921</f>
        <v>#REF!</v>
      </c>
      <c r="W921" t="str">
        <f>SUM(Q921:S921)+U921</f>
        <v>#REF!</v>
      </c>
      <c r="X921">
        <v>0</v>
      </c>
      <c r="Y921" t="str">
        <f>V921*0.038</f>
        <v>#REF!</v>
      </c>
      <c r="Z921" t="str">
        <f>V921*0.02</f>
        <v>#REF!</v>
      </c>
      <c r="AA921" t="str">
        <f>W921*0.1</f>
        <v>#REF!</v>
      </c>
      <c r="AB921" t="str">
        <f>V921-Y921-Z921</f>
        <v>#REF!</v>
      </c>
      <c r="AC921" t="str">
        <f>W921-AA921</f>
        <v>#REF!</v>
      </c>
      <c r="AD921" t="str">
        <f>AB921*0.01</f>
        <v>#REF!</v>
      </c>
      <c r="AE921" t="str">
        <f>AB921-Q921-AD921-R921</f>
        <v>#REF!</v>
      </c>
      <c r="AF921" t="str">
        <f>AC921-Q921-AD921-R921</f>
        <v>#REF!</v>
      </c>
      <c r="AG921" t="str">
        <f>AE921/V921</f>
        <v>#REF!</v>
      </c>
      <c r="AH921" t="str">
        <f>AF921/W921</f>
        <v>#REF!</v>
      </c>
    </row>
    <row r="922">
      <c r="G922" t="str">
        <v>A</v>
      </c>
      <c r="J922" t="str">
        <f>IF(K922&gt;0,K922*0.0625,IF(L922&gt;0,L922*2.204623,))</f>
        <v>#REF!</v>
      </c>
      <c r="K922" t="str">
        <f>IF(L922&gt;0,L922*35.273962,IF(J922&gt;0,J922*16,))</f>
        <v>#REF!</v>
      </c>
      <c r="L922" t="str">
        <f>IF(J922&gt;0,J922*0.453592,IF(K922&gt;0,K922*0.02835,))</f>
        <v>#REF!</v>
      </c>
      <c r="O922">
        <f>I922+N922+M922</f>
        <v>0</v>
      </c>
      <c r="P922">
        <f>O922*B$3</f>
        <v>0</v>
      </c>
      <c r="Q922">
        <f>ROUND(SUM(P922), -2)</f>
        <v>0</v>
      </c>
      <c r="R922" t="str">
        <f>ROUNDUP(HLOOKUP(IF(CEILING(L922,0.5)&lt;1,0.5,CEILING(L922,0.5)),'배송비 조회'!A$44:AO$56,7,0)*B$3,-2)</f>
        <v>#REF!</v>
      </c>
      <c r="S922">
        <v>0</v>
      </c>
      <c r="T922" t="str">
        <f>ROUND((Q922+R922)*0.3,-2)</f>
        <v>#REF!</v>
      </c>
      <c r="U922" t="str">
        <f>ROUND((Q922+R922)*0.4,-2)</f>
        <v>#REF!</v>
      </c>
      <c r="V922" t="str">
        <f>SUM(Q922:R922)+T922</f>
        <v>#REF!</v>
      </c>
      <c r="W922" t="str">
        <f>SUM(Q922:S922)+U922</f>
        <v>#REF!</v>
      </c>
      <c r="X922">
        <v>0</v>
      </c>
      <c r="Y922" t="str">
        <f>V922*0.038</f>
        <v>#REF!</v>
      </c>
      <c r="Z922" t="str">
        <f>V922*0.02</f>
        <v>#REF!</v>
      </c>
      <c r="AA922" t="str">
        <f>W922*0.1</f>
        <v>#REF!</v>
      </c>
      <c r="AB922" t="str">
        <f>V922-Y922-Z922</f>
        <v>#REF!</v>
      </c>
      <c r="AC922" t="str">
        <f>W922-AA922</f>
        <v>#REF!</v>
      </c>
      <c r="AD922" t="str">
        <f>AB922*0.01</f>
        <v>#REF!</v>
      </c>
      <c r="AE922" t="str">
        <f>AB922-Q922-AD922-R922</f>
        <v>#REF!</v>
      </c>
      <c r="AF922" t="str">
        <f>AC922-Q922-AD922-R922</f>
        <v>#REF!</v>
      </c>
      <c r="AG922" t="str">
        <f>AE922/V922</f>
        <v>#REF!</v>
      </c>
      <c r="AH922" t="str">
        <f>AF922/W922</f>
        <v>#REF!</v>
      </c>
    </row>
    <row r="923">
      <c r="G923" t="str">
        <v>A</v>
      </c>
      <c r="J923" t="str">
        <f>IF(K923&gt;0,K923*0.0625,IF(L923&gt;0,L923*2.204623,))</f>
        <v>#REF!</v>
      </c>
      <c r="K923" t="str">
        <f>IF(L923&gt;0,L923*35.273962,IF(J923&gt;0,J923*16,))</f>
        <v>#REF!</v>
      </c>
      <c r="L923" t="str">
        <f>IF(J923&gt;0,J923*0.453592,IF(K923&gt;0,K923*0.02835,))</f>
        <v>#REF!</v>
      </c>
      <c r="O923">
        <f>I923+N923+M923</f>
        <v>0</v>
      </c>
      <c r="P923">
        <f>O923*B$3</f>
        <v>0</v>
      </c>
      <c r="Q923">
        <f>ROUND(SUM(P923), -2)</f>
        <v>0</v>
      </c>
      <c r="R923" t="str">
        <f>ROUNDUP(HLOOKUP(IF(CEILING(L923,0.5)&lt;1,0.5,CEILING(L923,0.5)),'배송비 조회'!A$44:AO$56,7,0)*B$3,-2)</f>
        <v>#REF!</v>
      </c>
      <c r="S923">
        <v>0</v>
      </c>
      <c r="T923" t="str">
        <f>ROUND((Q923+R923)*0.3,-2)</f>
        <v>#REF!</v>
      </c>
      <c r="U923" t="str">
        <f>ROUND((Q923+R923)*0.4,-2)</f>
        <v>#REF!</v>
      </c>
      <c r="V923" t="str">
        <f>SUM(Q923:R923)+T923</f>
        <v>#REF!</v>
      </c>
      <c r="W923" t="str">
        <f>SUM(Q923:S923)+U923</f>
        <v>#REF!</v>
      </c>
      <c r="X923">
        <v>0</v>
      </c>
      <c r="Y923" t="str">
        <f>V923*0.038</f>
        <v>#REF!</v>
      </c>
      <c r="Z923" t="str">
        <f>V923*0.02</f>
        <v>#REF!</v>
      </c>
      <c r="AA923" t="str">
        <f>W923*0.1</f>
        <v>#REF!</v>
      </c>
      <c r="AB923" t="str">
        <f>V923-Y923-Z923</f>
        <v>#REF!</v>
      </c>
      <c r="AC923" t="str">
        <f>W923-AA923</f>
        <v>#REF!</v>
      </c>
      <c r="AD923" t="str">
        <f>AB923*0.01</f>
        <v>#REF!</v>
      </c>
      <c r="AE923" t="str">
        <f>AB923-Q923-AD923-R923</f>
        <v>#REF!</v>
      </c>
      <c r="AF923" t="str">
        <f>AC923-Q923-AD923-R923</f>
        <v>#REF!</v>
      </c>
      <c r="AG923" t="str">
        <f>AE923/V923</f>
        <v>#REF!</v>
      </c>
      <c r="AH923" t="str">
        <f>AF923/W923</f>
        <v>#REF!</v>
      </c>
    </row>
    <row r="924">
      <c r="G924" t="str">
        <v>A</v>
      </c>
      <c r="J924" t="str">
        <f>IF(K924&gt;0,K924*0.0625,IF(L924&gt;0,L924*2.204623,))</f>
        <v>#REF!</v>
      </c>
      <c r="K924" t="str">
        <f>IF(L924&gt;0,L924*35.273962,IF(J924&gt;0,J924*16,))</f>
        <v>#REF!</v>
      </c>
      <c r="L924" t="str">
        <f>IF(J924&gt;0,J924*0.453592,IF(K924&gt;0,K924*0.02835,))</f>
        <v>#REF!</v>
      </c>
      <c r="O924">
        <f>I924+N924+M924</f>
        <v>0</v>
      </c>
      <c r="P924">
        <f>O924*B$3</f>
        <v>0</v>
      </c>
      <c r="Q924">
        <f>ROUND(SUM(P924), -2)</f>
        <v>0</v>
      </c>
      <c r="R924" t="str">
        <f>ROUNDUP(HLOOKUP(IF(CEILING(L924,0.5)&lt;1,0.5,CEILING(L924,0.5)),'배송비 조회'!A$44:AO$56,7,0)*B$3,-2)</f>
        <v>#REF!</v>
      </c>
      <c r="S924">
        <v>0</v>
      </c>
      <c r="T924" t="str">
        <f>ROUND((Q924+R924)*0.3,-2)</f>
        <v>#REF!</v>
      </c>
      <c r="U924" t="str">
        <f>ROUND((Q924+R924)*0.4,-2)</f>
        <v>#REF!</v>
      </c>
      <c r="V924" t="str">
        <f>SUM(Q924:R924)+T924</f>
        <v>#REF!</v>
      </c>
      <c r="W924" t="str">
        <f>SUM(Q924:S924)+U924</f>
        <v>#REF!</v>
      </c>
      <c r="X924">
        <v>0</v>
      </c>
      <c r="Y924" t="str">
        <f>V924*0.038</f>
        <v>#REF!</v>
      </c>
      <c r="Z924" t="str">
        <f>V924*0.02</f>
        <v>#REF!</v>
      </c>
      <c r="AA924" t="str">
        <f>W924*0.1</f>
        <v>#REF!</v>
      </c>
      <c r="AB924" t="str">
        <f>V924-Y924-Z924</f>
        <v>#REF!</v>
      </c>
      <c r="AC924" t="str">
        <f>W924-AA924</f>
        <v>#REF!</v>
      </c>
      <c r="AD924" t="str">
        <f>AB924*0.01</f>
        <v>#REF!</v>
      </c>
      <c r="AE924" t="str">
        <f>AB924-Q924-AD924-R924</f>
        <v>#REF!</v>
      </c>
      <c r="AF924" t="str">
        <f>AC924-Q924-AD924-R924</f>
        <v>#REF!</v>
      </c>
      <c r="AG924" t="str">
        <f>AE924/V924</f>
        <v>#REF!</v>
      </c>
      <c r="AH924" t="str">
        <f>AF924/W924</f>
        <v>#REF!</v>
      </c>
    </row>
    <row r="925">
      <c r="G925" t="str">
        <v>A</v>
      </c>
      <c r="J925" t="str">
        <f>IF(K925&gt;0,K925*0.0625,IF(L925&gt;0,L925*2.204623,))</f>
        <v>#REF!</v>
      </c>
      <c r="K925" t="str">
        <f>IF(L925&gt;0,L925*35.273962,IF(J925&gt;0,J925*16,))</f>
        <v>#REF!</v>
      </c>
      <c r="L925" t="str">
        <f>IF(J925&gt;0,J925*0.453592,IF(K925&gt;0,K925*0.02835,))</f>
        <v>#REF!</v>
      </c>
      <c r="O925">
        <f>I925+N925+M925</f>
        <v>0</v>
      </c>
      <c r="P925">
        <f>O925*B$3</f>
        <v>0</v>
      </c>
      <c r="Q925">
        <f>ROUND(SUM(P925), -2)</f>
        <v>0</v>
      </c>
      <c r="R925" t="str">
        <f>ROUNDUP(HLOOKUP(IF(CEILING(L925,0.5)&lt;1,0.5,CEILING(L925,0.5)),'배송비 조회'!A$44:AO$56,7,0)*B$3,-2)</f>
        <v>#REF!</v>
      </c>
      <c r="S925">
        <v>0</v>
      </c>
      <c r="T925" t="str">
        <f>ROUND((Q925+R925)*0.3,-2)</f>
        <v>#REF!</v>
      </c>
      <c r="U925" t="str">
        <f>ROUND((Q925+R925)*0.4,-2)</f>
        <v>#REF!</v>
      </c>
      <c r="V925" t="str">
        <f>SUM(Q925:R925)+T925</f>
        <v>#REF!</v>
      </c>
      <c r="W925" t="str">
        <f>SUM(Q925:S925)+U925</f>
        <v>#REF!</v>
      </c>
      <c r="X925">
        <v>0</v>
      </c>
      <c r="Y925" t="str">
        <f>V925*0.038</f>
        <v>#REF!</v>
      </c>
      <c r="Z925" t="str">
        <f>V925*0.02</f>
        <v>#REF!</v>
      </c>
      <c r="AA925" t="str">
        <f>W925*0.1</f>
        <v>#REF!</v>
      </c>
      <c r="AB925" t="str">
        <f>V925-Y925-Z925</f>
        <v>#REF!</v>
      </c>
      <c r="AC925" t="str">
        <f>W925-AA925</f>
        <v>#REF!</v>
      </c>
      <c r="AD925" t="str">
        <f>AB925*0.01</f>
        <v>#REF!</v>
      </c>
      <c r="AE925" t="str">
        <f>AB925-Q925-AD925-R925</f>
        <v>#REF!</v>
      </c>
      <c r="AF925" t="str">
        <f>AC925-Q925-AD925-R925</f>
        <v>#REF!</v>
      </c>
      <c r="AG925" t="str">
        <f>AE925/V925</f>
        <v>#REF!</v>
      </c>
      <c r="AH925" t="str">
        <f>AF925/W925</f>
        <v>#REF!</v>
      </c>
    </row>
    <row r="926">
      <c r="G926" t="str">
        <v>A</v>
      </c>
      <c r="J926" t="str">
        <f>IF(K926&gt;0,K926*0.0625,IF(L926&gt;0,L926*2.204623,))</f>
        <v>#REF!</v>
      </c>
      <c r="K926" t="str">
        <f>IF(L926&gt;0,L926*35.273962,IF(J926&gt;0,J926*16,))</f>
        <v>#REF!</v>
      </c>
      <c r="L926" t="str">
        <f>IF(J926&gt;0,J926*0.453592,IF(K926&gt;0,K926*0.02835,))</f>
        <v>#REF!</v>
      </c>
      <c r="O926">
        <f>I926+N926+M926</f>
        <v>0</v>
      </c>
      <c r="P926">
        <f>O926*B$3</f>
        <v>0</v>
      </c>
      <c r="Q926">
        <f>ROUND(SUM(P926), -2)</f>
        <v>0</v>
      </c>
      <c r="R926" t="str">
        <f>ROUNDUP(HLOOKUP(IF(CEILING(L926,0.5)&lt;1,0.5,CEILING(L926,0.5)),'배송비 조회'!A$44:AO$56,7,0)*B$3,-2)</f>
        <v>#REF!</v>
      </c>
      <c r="S926">
        <v>0</v>
      </c>
      <c r="T926" t="str">
        <f>ROUND((Q926+R926)*0.3,-2)</f>
        <v>#REF!</v>
      </c>
      <c r="U926" t="str">
        <f>ROUND((Q926+R926)*0.4,-2)</f>
        <v>#REF!</v>
      </c>
      <c r="V926" t="str">
        <f>SUM(Q926:R926)+T926</f>
        <v>#REF!</v>
      </c>
      <c r="W926" t="str">
        <f>SUM(Q926:S926)+U926</f>
        <v>#REF!</v>
      </c>
      <c r="X926">
        <v>0</v>
      </c>
      <c r="Y926" t="str">
        <f>V926*0.038</f>
        <v>#REF!</v>
      </c>
      <c r="Z926" t="str">
        <f>V926*0.02</f>
        <v>#REF!</v>
      </c>
      <c r="AA926" t="str">
        <f>W926*0.1</f>
        <v>#REF!</v>
      </c>
      <c r="AB926" t="str">
        <f>V926-Y926-Z926</f>
        <v>#REF!</v>
      </c>
      <c r="AC926" t="str">
        <f>W926-AA926</f>
        <v>#REF!</v>
      </c>
      <c r="AD926" t="str">
        <f>AB926*0.01</f>
        <v>#REF!</v>
      </c>
      <c r="AE926" t="str">
        <f>AB926-Q926-AD926-R926</f>
        <v>#REF!</v>
      </c>
      <c r="AF926" t="str">
        <f>AC926-Q926-AD926-R926</f>
        <v>#REF!</v>
      </c>
      <c r="AG926" t="str">
        <f>AE926/V926</f>
        <v>#REF!</v>
      </c>
      <c r="AH926" t="str">
        <f>AF926/W926</f>
        <v>#REF!</v>
      </c>
    </row>
    <row r="927">
      <c r="G927" t="str">
        <v>A</v>
      </c>
      <c r="J927" t="str">
        <f>IF(K927&gt;0,K927*0.0625,IF(L927&gt;0,L927*2.204623,))</f>
        <v>#REF!</v>
      </c>
      <c r="K927" t="str">
        <f>IF(L927&gt;0,L927*35.273962,IF(J927&gt;0,J927*16,))</f>
        <v>#REF!</v>
      </c>
      <c r="L927" t="str">
        <f>IF(J927&gt;0,J927*0.453592,IF(K927&gt;0,K927*0.02835,))</f>
        <v>#REF!</v>
      </c>
      <c r="O927">
        <f>I927+N927+M927</f>
        <v>0</v>
      </c>
      <c r="P927">
        <f>O927*B$3</f>
        <v>0</v>
      </c>
      <c r="Q927">
        <f>ROUND(SUM(P927), -2)</f>
        <v>0</v>
      </c>
      <c r="R927" t="str">
        <f>ROUNDUP(HLOOKUP(IF(CEILING(L927,0.5)&lt;1,0.5,CEILING(L927,0.5)),'배송비 조회'!A$44:AO$56,7,0)*B$3,-2)</f>
        <v>#REF!</v>
      </c>
      <c r="S927">
        <v>0</v>
      </c>
      <c r="T927" t="str">
        <f>ROUND((Q927+R927)*0.3,-2)</f>
        <v>#REF!</v>
      </c>
      <c r="U927" t="str">
        <f>ROUND((Q927+R927)*0.4,-2)</f>
        <v>#REF!</v>
      </c>
      <c r="V927" t="str">
        <f>SUM(Q927:R927)+T927</f>
        <v>#REF!</v>
      </c>
      <c r="W927" t="str">
        <f>SUM(Q927:S927)+U927</f>
        <v>#REF!</v>
      </c>
      <c r="X927">
        <v>0</v>
      </c>
      <c r="Y927" t="str">
        <f>V927*0.038</f>
        <v>#REF!</v>
      </c>
      <c r="Z927" t="str">
        <f>V927*0.02</f>
        <v>#REF!</v>
      </c>
      <c r="AA927" t="str">
        <f>W927*0.1</f>
        <v>#REF!</v>
      </c>
      <c r="AB927" t="str">
        <f>V927-Y927-Z927</f>
        <v>#REF!</v>
      </c>
      <c r="AC927" t="str">
        <f>W927-AA927</f>
        <v>#REF!</v>
      </c>
      <c r="AD927" t="str">
        <f>AB927*0.01</f>
        <v>#REF!</v>
      </c>
      <c r="AE927" t="str">
        <f>AB927-Q927-AD927-R927</f>
        <v>#REF!</v>
      </c>
      <c r="AF927" t="str">
        <f>AC927-Q927-AD927-R927</f>
        <v>#REF!</v>
      </c>
      <c r="AG927" t="str">
        <f>AE927/V927</f>
        <v>#REF!</v>
      </c>
      <c r="AH927" t="str">
        <f>AF927/W927</f>
        <v>#REF!</v>
      </c>
    </row>
    <row r="928">
      <c r="G928" t="str">
        <v>A</v>
      </c>
      <c r="J928" t="str">
        <f>IF(K928&gt;0,K928*0.0625,IF(L928&gt;0,L928*2.204623,))</f>
        <v>#REF!</v>
      </c>
      <c r="K928" t="str">
        <f>IF(L928&gt;0,L928*35.273962,IF(J928&gt;0,J928*16,))</f>
        <v>#REF!</v>
      </c>
      <c r="L928" t="str">
        <f>IF(J928&gt;0,J928*0.453592,IF(K928&gt;0,K928*0.02835,))</f>
        <v>#REF!</v>
      </c>
      <c r="O928">
        <f>I928+N928+M928</f>
        <v>0</v>
      </c>
      <c r="P928">
        <f>O928*B$3</f>
        <v>0</v>
      </c>
      <c r="Q928">
        <f>ROUND(SUM(P928), -2)</f>
        <v>0</v>
      </c>
      <c r="R928" t="str">
        <f>ROUNDUP(HLOOKUP(IF(CEILING(L928,0.5)&lt;1,0.5,CEILING(L928,0.5)),'배송비 조회'!A$44:AO$56,7,0)*B$3,-2)</f>
        <v>#REF!</v>
      </c>
      <c r="S928">
        <v>0</v>
      </c>
      <c r="T928" t="str">
        <f>ROUND((Q928+R928)*0.3,-2)</f>
        <v>#REF!</v>
      </c>
      <c r="U928" t="str">
        <f>ROUND((Q928+R928)*0.4,-2)</f>
        <v>#REF!</v>
      </c>
      <c r="V928" t="str">
        <f>SUM(Q928:R928)+T928</f>
        <v>#REF!</v>
      </c>
      <c r="W928" t="str">
        <f>SUM(Q928:S928)+U928</f>
        <v>#REF!</v>
      </c>
      <c r="X928">
        <v>0</v>
      </c>
      <c r="Y928" t="str">
        <f>V928*0.038</f>
        <v>#REF!</v>
      </c>
      <c r="Z928" t="str">
        <f>V928*0.02</f>
        <v>#REF!</v>
      </c>
      <c r="AA928" t="str">
        <f>W928*0.1</f>
        <v>#REF!</v>
      </c>
      <c r="AB928" t="str">
        <f>V928-Y928-Z928</f>
        <v>#REF!</v>
      </c>
      <c r="AC928" t="str">
        <f>W928-AA928</f>
        <v>#REF!</v>
      </c>
      <c r="AD928" t="str">
        <f>AB928*0.01</f>
        <v>#REF!</v>
      </c>
      <c r="AE928" t="str">
        <f>AB928-Q928-AD928-R928</f>
        <v>#REF!</v>
      </c>
      <c r="AF928" t="str">
        <f>AC928-Q928-AD928-R928</f>
        <v>#REF!</v>
      </c>
      <c r="AG928" t="str">
        <f>AE928/V928</f>
        <v>#REF!</v>
      </c>
      <c r="AH928" t="str">
        <f>AF928/W928</f>
        <v>#REF!</v>
      </c>
    </row>
    <row r="929">
      <c r="G929" t="str">
        <v>A</v>
      </c>
      <c r="J929" t="str">
        <f>IF(K929&gt;0,K929*0.0625,IF(L929&gt;0,L929*2.204623,))</f>
        <v>#REF!</v>
      </c>
      <c r="K929" t="str">
        <f>IF(L929&gt;0,L929*35.273962,IF(J929&gt;0,J929*16,))</f>
        <v>#REF!</v>
      </c>
      <c r="L929" t="str">
        <f>IF(J929&gt;0,J929*0.453592,IF(K929&gt;0,K929*0.02835,))</f>
        <v>#REF!</v>
      </c>
      <c r="O929">
        <f>I929+N929+M929</f>
        <v>0</v>
      </c>
      <c r="P929">
        <f>O929*B$3</f>
        <v>0</v>
      </c>
      <c r="Q929">
        <f>ROUND(SUM(P929), -2)</f>
        <v>0</v>
      </c>
      <c r="R929" t="str">
        <f>ROUNDUP(HLOOKUP(IF(CEILING(L929,0.5)&lt;1,0.5,CEILING(L929,0.5)),'배송비 조회'!A$44:AO$56,7,0)*B$3,-2)</f>
        <v>#REF!</v>
      </c>
      <c r="S929">
        <v>0</v>
      </c>
      <c r="T929" t="str">
        <f>ROUND((Q929+R929)*0.3,-2)</f>
        <v>#REF!</v>
      </c>
      <c r="U929" t="str">
        <f>ROUND((Q929+R929)*0.4,-2)</f>
        <v>#REF!</v>
      </c>
      <c r="V929" t="str">
        <f>SUM(Q929:R929)+T929</f>
        <v>#REF!</v>
      </c>
      <c r="W929" t="str">
        <f>SUM(Q929:S929)+U929</f>
        <v>#REF!</v>
      </c>
      <c r="X929">
        <v>0</v>
      </c>
      <c r="Y929" t="str">
        <f>V929*0.038</f>
        <v>#REF!</v>
      </c>
      <c r="Z929" t="str">
        <f>V929*0.02</f>
        <v>#REF!</v>
      </c>
      <c r="AA929" t="str">
        <f>W929*0.1</f>
        <v>#REF!</v>
      </c>
      <c r="AB929" t="str">
        <f>V929-Y929-Z929</f>
        <v>#REF!</v>
      </c>
      <c r="AC929" t="str">
        <f>W929-AA929</f>
        <v>#REF!</v>
      </c>
      <c r="AD929" t="str">
        <f>AB929*0.01</f>
        <v>#REF!</v>
      </c>
      <c r="AE929" t="str">
        <f>AB929-Q929-AD929-R929</f>
        <v>#REF!</v>
      </c>
      <c r="AF929" t="str">
        <f>AC929-Q929-AD929-R929</f>
        <v>#REF!</v>
      </c>
      <c r="AG929" t="str">
        <f>AE929/V929</f>
        <v>#REF!</v>
      </c>
      <c r="AH929" t="str">
        <f>AF929/W929</f>
        <v>#REF!</v>
      </c>
    </row>
    <row r="930">
      <c r="G930" t="str">
        <v>A</v>
      </c>
      <c r="J930" t="str">
        <f>IF(K930&gt;0,K930*0.0625,IF(L930&gt;0,L930*2.204623,))</f>
        <v>#REF!</v>
      </c>
      <c r="K930" t="str">
        <f>IF(L930&gt;0,L930*35.273962,IF(J930&gt;0,J930*16,))</f>
        <v>#REF!</v>
      </c>
      <c r="L930" t="str">
        <f>IF(J930&gt;0,J930*0.453592,IF(K930&gt;0,K930*0.02835,))</f>
        <v>#REF!</v>
      </c>
      <c r="O930">
        <f>I930+N930+M930</f>
        <v>0</v>
      </c>
      <c r="P930">
        <f>O930*B$3</f>
        <v>0</v>
      </c>
      <c r="Q930">
        <f>ROUND(SUM(P930), -2)</f>
        <v>0</v>
      </c>
      <c r="R930" t="str">
        <f>ROUNDUP(HLOOKUP(IF(CEILING(L930,0.5)&lt;1,0.5,CEILING(L930,0.5)),'배송비 조회'!A$44:AO$56,7,0)*B$3,-2)</f>
        <v>#REF!</v>
      </c>
      <c r="S930">
        <v>0</v>
      </c>
      <c r="T930" t="str">
        <f>ROUND((Q930+R930)*0.3,-2)</f>
        <v>#REF!</v>
      </c>
      <c r="U930" t="str">
        <f>ROUND((Q930+R930)*0.4,-2)</f>
        <v>#REF!</v>
      </c>
      <c r="V930" t="str">
        <f>SUM(Q930:R930)+T930</f>
        <v>#REF!</v>
      </c>
      <c r="W930" t="str">
        <f>SUM(Q930:S930)+U930</f>
        <v>#REF!</v>
      </c>
      <c r="X930">
        <v>0</v>
      </c>
      <c r="Y930" t="str">
        <f>V930*0.038</f>
        <v>#REF!</v>
      </c>
      <c r="Z930" t="str">
        <f>V930*0.02</f>
        <v>#REF!</v>
      </c>
      <c r="AA930" t="str">
        <f>W930*0.1</f>
        <v>#REF!</v>
      </c>
      <c r="AB930" t="str">
        <f>V930-Y930-Z930</f>
        <v>#REF!</v>
      </c>
      <c r="AC930" t="str">
        <f>W930-AA930</f>
        <v>#REF!</v>
      </c>
      <c r="AD930" t="str">
        <f>AB930*0.01</f>
        <v>#REF!</v>
      </c>
      <c r="AE930" t="str">
        <f>AB930-Q930-AD930-R930</f>
        <v>#REF!</v>
      </c>
      <c r="AF930" t="str">
        <f>AC930-Q930-AD930-R930</f>
        <v>#REF!</v>
      </c>
      <c r="AG930" t="str">
        <f>AE930/V930</f>
        <v>#REF!</v>
      </c>
      <c r="AH930" t="str">
        <f>AF930/W930</f>
        <v>#REF!</v>
      </c>
    </row>
    <row r="931">
      <c r="G931" t="str">
        <v>A</v>
      </c>
      <c r="J931" t="str">
        <f>IF(K931&gt;0,K931*0.0625,IF(L931&gt;0,L931*2.204623,))</f>
        <v>#REF!</v>
      </c>
      <c r="K931" t="str">
        <f>IF(L931&gt;0,L931*35.273962,IF(J931&gt;0,J931*16,))</f>
        <v>#REF!</v>
      </c>
      <c r="L931" t="str">
        <f>IF(J931&gt;0,J931*0.453592,IF(K931&gt;0,K931*0.02835,))</f>
        <v>#REF!</v>
      </c>
      <c r="O931">
        <f>I931+N931+M931</f>
        <v>0</v>
      </c>
      <c r="P931">
        <f>O931*B$3</f>
        <v>0</v>
      </c>
      <c r="Q931">
        <f>ROUND(SUM(P931), -2)</f>
        <v>0</v>
      </c>
      <c r="R931" t="str">
        <f>ROUNDUP(HLOOKUP(IF(CEILING(L931,0.5)&lt;1,0.5,CEILING(L931,0.5)),'배송비 조회'!A$44:AO$56,7,0)*B$3,-2)</f>
        <v>#REF!</v>
      </c>
      <c r="S931">
        <v>0</v>
      </c>
      <c r="T931" t="str">
        <f>ROUND((Q931+R931)*0.3,-2)</f>
        <v>#REF!</v>
      </c>
      <c r="U931" t="str">
        <f>ROUND((Q931+R931)*0.4,-2)</f>
        <v>#REF!</v>
      </c>
      <c r="V931" t="str">
        <f>SUM(Q931:R931)+T931</f>
        <v>#REF!</v>
      </c>
      <c r="W931" t="str">
        <f>SUM(Q931:S931)+U931</f>
        <v>#REF!</v>
      </c>
      <c r="X931">
        <v>0</v>
      </c>
      <c r="Y931" t="str">
        <f>V931*0.038</f>
        <v>#REF!</v>
      </c>
      <c r="Z931" t="str">
        <f>V931*0.02</f>
        <v>#REF!</v>
      </c>
      <c r="AA931" t="str">
        <f>W931*0.1</f>
        <v>#REF!</v>
      </c>
      <c r="AB931" t="str">
        <f>V931-Y931-Z931</f>
        <v>#REF!</v>
      </c>
      <c r="AC931" t="str">
        <f>W931-AA931</f>
        <v>#REF!</v>
      </c>
      <c r="AD931" t="str">
        <f>AB931*0.01</f>
        <v>#REF!</v>
      </c>
      <c r="AE931" t="str">
        <f>AB931-Q931-AD931-R931</f>
        <v>#REF!</v>
      </c>
      <c r="AF931" t="str">
        <f>AC931-Q931-AD931-R931</f>
        <v>#REF!</v>
      </c>
      <c r="AG931" t="str">
        <f>AE931/V931</f>
        <v>#REF!</v>
      </c>
      <c r="AH931" t="str">
        <f>AF931/W931</f>
        <v>#REF!</v>
      </c>
    </row>
    <row r="932">
      <c r="G932" t="str">
        <v>A</v>
      </c>
      <c r="J932" t="str">
        <f>IF(K932&gt;0,K932*0.0625,IF(L932&gt;0,L932*2.204623,))</f>
        <v>#REF!</v>
      </c>
      <c r="K932" t="str">
        <f>IF(L932&gt;0,L932*35.273962,IF(J932&gt;0,J932*16,))</f>
        <v>#REF!</v>
      </c>
      <c r="L932" t="str">
        <f>IF(J932&gt;0,J932*0.453592,IF(K932&gt;0,K932*0.02835,))</f>
        <v>#REF!</v>
      </c>
      <c r="O932">
        <f>I932+N932+M932</f>
        <v>0</v>
      </c>
      <c r="P932">
        <f>O932*B$3</f>
        <v>0</v>
      </c>
      <c r="Q932">
        <f>ROUND(SUM(P932), -2)</f>
        <v>0</v>
      </c>
      <c r="R932" t="str">
        <f>ROUNDUP(HLOOKUP(IF(CEILING(L932,0.5)&lt;1,0.5,CEILING(L932,0.5)),'배송비 조회'!A$44:AO$56,7,0)*B$3,-2)</f>
        <v>#REF!</v>
      </c>
      <c r="S932">
        <v>0</v>
      </c>
      <c r="T932" t="str">
        <f>ROUND((Q932+R932)*0.3,-2)</f>
        <v>#REF!</v>
      </c>
      <c r="U932" t="str">
        <f>ROUND((Q932+R932)*0.4,-2)</f>
        <v>#REF!</v>
      </c>
      <c r="V932" t="str">
        <f>SUM(Q932:R932)+T932</f>
        <v>#REF!</v>
      </c>
      <c r="W932" t="str">
        <f>SUM(Q932:S932)+U932</f>
        <v>#REF!</v>
      </c>
      <c r="X932">
        <v>0</v>
      </c>
      <c r="Y932" t="str">
        <f>V932*0.038</f>
        <v>#REF!</v>
      </c>
      <c r="Z932" t="str">
        <f>V932*0.02</f>
        <v>#REF!</v>
      </c>
      <c r="AA932" t="str">
        <f>W932*0.1</f>
        <v>#REF!</v>
      </c>
      <c r="AB932" t="str">
        <f>V932-Y932-Z932</f>
        <v>#REF!</v>
      </c>
      <c r="AC932" t="str">
        <f>W932-AA932</f>
        <v>#REF!</v>
      </c>
      <c r="AD932" t="str">
        <f>AB932*0.01</f>
        <v>#REF!</v>
      </c>
      <c r="AE932" t="str">
        <f>AB932-Q932-AD932-R932</f>
        <v>#REF!</v>
      </c>
      <c r="AF932" t="str">
        <f>AC932-Q932-AD932-R932</f>
        <v>#REF!</v>
      </c>
      <c r="AG932" t="str">
        <f>AE932/V932</f>
        <v>#REF!</v>
      </c>
      <c r="AH932" t="str">
        <f>AF932/W932</f>
        <v>#REF!</v>
      </c>
    </row>
    <row r="933">
      <c r="G933" t="str">
        <v>A</v>
      </c>
      <c r="J933" t="str">
        <f>IF(K933&gt;0,K933*0.0625,IF(L933&gt;0,L933*2.204623,))</f>
        <v>#REF!</v>
      </c>
      <c r="K933" t="str">
        <f>IF(L933&gt;0,L933*35.273962,IF(J933&gt;0,J933*16,))</f>
        <v>#REF!</v>
      </c>
      <c r="L933" t="str">
        <f>IF(J933&gt;0,J933*0.453592,IF(K933&gt;0,K933*0.02835,))</f>
        <v>#REF!</v>
      </c>
      <c r="O933">
        <f>I933+N933+M933</f>
        <v>0</v>
      </c>
      <c r="P933">
        <f>O933*B$3</f>
        <v>0</v>
      </c>
      <c r="Q933">
        <f>ROUND(SUM(P933), -2)</f>
        <v>0</v>
      </c>
      <c r="R933" t="str">
        <f>ROUNDUP(HLOOKUP(IF(CEILING(L933,0.5)&lt;1,0.5,CEILING(L933,0.5)),'배송비 조회'!A$44:AO$56,7,0)*B$3,-2)</f>
        <v>#REF!</v>
      </c>
      <c r="S933">
        <v>0</v>
      </c>
      <c r="T933" t="str">
        <f>ROUND((Q933+R933)*0.3,-2)</f>
        <v>#REF!</v>
      </c>
      <c r="U933" t="str">
        <f>ROUND((Q933+R933)*0.4,-2)</f>
        <v>#REF!</v>
      </c>
      <c r="V933" t="str">
        <f>SUM(Q933:R933)+T933</f>
        <v>#REF!</v>
      </c>
      <c r="W933" t="str">
        <f>SUM(Q933:S933)+U933</f>
        <v>#REF!</v>
      </c>
      <c r="X933">
        <v>0</v>
      </c>
      <c r="Y933" t="str">
        <f>V933*0.038</f>
        <v>#REF!</v>
      </c>
      <c r="Z933" t="str">
        <f>V933*0.02</f>
        <v>#REF!</v>
      </c>
      <c r="AA933" t="str">
        <f>W933*0.1</f>
        <v>#REF!</v>
      </c>
      <c r="AB933" t="str">
        <f>V933-Y933-Z933</f>
        <v>#REF!</v>
      </c>
      <c r="AC933" t="str">
        <f>W933-AA933</f>
        <v>#REF!</v>
      </c>
      <c r="AD933" t="str">
        <f>AB933*0.01</f>
        <v>#REF!</v>
      </c>
      <c r="AE933" t="str">
        <f>AB933-Q933-AD933-R933</f>
        <v>#REF!</v>
      </c>
      <c r="AF933" t="str">
        <f>AC933-Q933-AD933-R933</f>
        <v>#REF!</v>
      </c>
      <c r="AG933" t="str">
        <f>AE933/V933</f>
        <v>#REF!</v>
      </c>
      <c r="AH933" t="str">
        <f>AF933/W933</f>
        <v>#REF!</v>
      </c>
    </row>
    <row r="934">
      <c r="G934" t="str">
        <v>A</v>
      </c>
      <c r="J934" t="str">
        <f>IF(K934&gt;0,K934*0.0625,IF(L934&gt;0,L934*2.204623,))</f>
        <v>#REF!</v>
      </c>
      <c r="K934" t="str">
        <f>IF(L934&gt;0,L934*35.273962,IF(J934&gt;0,J934*16,))</f>
        <v>#REF!</v>
      </c>
      <c r="L934" t="str">
        <f>IF(J934&gt;0,J934*0.453592,IF(K934&gt;0,K934*0.02835,))</f>
        <v>#REF!</v>
      </c>
      <c r="O934">
        <f>I934+N934+M934</f>
        <v>0</v>
      </c>
      <c r="P934">
        <f>O934*B$3</f>
        <v>0</v>
      </c>
      <c r="Q934">
        <f>ROUND(SUM(P934), -2)</f>
        <v>0</v>
      </c>
      <c r="R934" t="str">
        <f>ROUNDUP(HLOOKUP(IF(CEILING(L934,0.5)&lt;1,0.5,CEILING(L934,0.5)),'배송비 조회'!A$44:AO$56,7,0)*B$3,-2)</f>
        <v>#REF!</v>
      </c>
      <c r="S934">
        <v>0</v>
      </c>
      <c r="T934" t="str">
        <f>ROUND((Q934+R934)*0.3,-2)</f>
        <v>#REF!</v>
      </c>
      <c r="U934" t="str">
        <f>ROUND((Q934+R934)*0.4,-2)</f>
        <v>#REF!</v>
      </c>
      <c r="V934" t="str">
        <f>SUM(Q934:R934)+T934</f>
        <v>#REF!</v>
      </c>
      <c r="W934" t="str">
        <f>SUM(Q934:S934)+U934</f>
        <v>#REF!</v>
      </c>
      <c r="X934">
        <v>0</v>
      </c>
      <c r="Y934" t="str">
        <f>V934*0.038</f>
        <v>#REF!</v>
      </c>
      <c r="Z934" t="str">
        <f>V934*0.02</f>
        <v>#REF!</v>
      </c>
      <c r="AA934" t="str">
        <f>W934*0.1</f>
        <v>#REF!</v>
      </c>
      <c r="AB934" t="str">
        <f>V934-Y934-Z934</f>
        <v>#REF!</v>
      </c>
      <c r="AC934" t="str">
        <f>W934-AA934</f>
        <v>#REF!</v>
      </c>
      <c r="AD934" t="str">
        <f>AB934*0.01</f>
        <v>#REF!</v>
      </c>
      <c r="AE934" t="str">
        <f>AB934-Q934-AD934-R934</f>
        <v>#REF!</v>
      </c>
      <c r="AF934" t="str">
        <f>AC934-Q934-AD934-R934</f>
        <v>#REF!</v>
      </c>
      <c r="AG934" t="str">
        <f>AE934/V934</f>
        <v>#REF!</v>
      </c>
      <c r="AH934" t="str">
        <f>AF934/W934</f>
        <v>#REF!</v>
      </c>
    </row>
    <row r="935">
      <c r="G935" t="str">
        <v>A</v>
      </c>
      <c r="J935" t="str">
        <f>IF(K935&gt;0,K935*0.0625,IF(L935&gt;0,L935*2.204623,))</f>
        <v>#REF!</v>
      </c>
      <c r="K935" t="str">
        <f>IF(L935&gt;0,L935*35.273962,IF(J935&gt;0,J935*16,))</f>
        <v>#REF!</v>
      </c>
      <c r="L935" t="str">
        <f>IF(J935&gt;0,J935*0.453592,IF(K935&gt;0,K935*0.02835,))</f>
        <v>#REF!</v>
      </c>
      <c r="O935">
        <f>I935+N935+M935</f>
        <v>0</v>
      </c>
      <c r="P935">
        <f>O935*B$3</f>
        <v>0</v>
      </c>
      <c r="Q935">
        <f>ROUND(SUM(P935), -2)</f>
        <v>0</v>
      </c>
      <c r="R935" t="str">
        <f>ROUNDUP(HLOOKUP(IF(CEILING(L935,0.5)&lt;1,0.5,CEILING(L935,0.5)),'배송비 조회'!A$44:AO$56,7,0)*B$3,-2)</f>
        <v>#REF!</v>
      </c>
      <c r="S935">
        <v>0</v>
      </c>
      <c r="T935" t="str">
        <f>ROUND((Q935+R935)*0.3,-2)</f>
        <v>#REF!</v>
      </c>
      <c r="U935" t="str">
        <f>ROUND((Q935+R935)*0.4,-2)</f>
        <v>#REF!</v>
      </c>
      <c r="V935" t="str">
        <f>SUM(Q935:R935)+T935</f>
        <v>#REF!</v>
      </c>
      <c r="W935" t="str">
        <f>SUM(Q935:S935)+U935</f>
        <v>#REF!</v>
      </c>
      <c r="X935">
        <v>0</v>
      </c>
      <c r="Y935" t="str">
        <f>V935*0.038</f>
        <v>#REF!</v>
      </c>
      <c r="Z935" t="str">
        <f>V935*0.02</f>
        <v>#REF!</v>
      </c>
      <c r="AA935" t="str">
        <f>W935*0.1</f>
        <v>#REF!</v>
      </c>
      <c r="AB935" t="str">
        <f>V935-Y935-Z935</f>
        <v>#REF!</v>
      </c>
      <c r="AC935" t="str">
        <f>W935-AA935</f>
        <v>#REF!</v>
      </c>
      <c r="AD935" t="str">
        <f>AB935*0.01</f>
        <v>#REF!</v>
      </c>
      <c r="AE935" t="str">
        <f>AB935-Q935-AD935-R935</f>
        <v>#REF!</v>
      </c>
      <c r="AF935" t="str">
        <f>AC935-Q935-AD935-R935</f>
        <v>#REF!</v>
      </c>
      <c r="AG935" t="str">
        <f>AE935/V935</f>
        <v>#REF!</v>
      </c>
      <c r="AH935" t="str">
        <f>AF935/W935</f>
        <v>#REF!</v>
      </c>
    </row>
    <row r="936">
      <c r="G936" t="str">
        <v>A</v>
      </c>
      <c r="J936" t="str">
        <f>IF(K936&gt;0,K936*0.0625,IF(L936&gt;0,L936*2.204623,))</f>
        <v>#REF!</v>
      </c>
      <c r="K936" t="str">
        <f>IF(L936&gt;0,L936*35.273962,IF(J936&gt;0,J936*16,))</f>
        <v>#REF!</v>
      </c>
      <c r="L936" t="str">
        <f>IF(J936&gt;0,J936*0.453592,IF(K936&gt;0,K936*0.02835,))</f>
        <v>#REF!</v>
      </c>
      <c r="O936">
        <f>I936+N936+M936</f>
        <v>0</v>
      </c>
      <c r="P936">
        <f>O936*B$3</f>
        <v>0</v>
      </c>
      <c r="Q936">
        <f>ROUND(SUM(P936), -2)</f>
        <v>0</v>
      </c>
      <c r="R936" t="str">
        <f>ROUNDUP(HLOOKUP(IF(CEILING(L936,0.5)&lt;1,0.5,CEILING(L936,0.5)),'배송비 조회'!A$44:AO$56,7,0)*B$3,-2)</f>
        <v>#REF!</v>
      </c>
      <c r="S936">
        <v>0</v>
      </c>
      <c r="T936" t="str">
        <f>ROUND((Q936+R936)*0.3,-2)</f>
        <v>#REF!</v>
      </c>
      <c r="U936" t="str">
        <f>ROUND((Q936+R936)*0.4,-2)</f>
        <v>#REF!</v>
      </c>
      <c r="V936" t="str">
        <f>SUM(Q936:R936)+T936</f>
        <v>#REF!</v>
      </c>
      <c r="W936" t="str">
        <f>SUM(Q936:S936)+U936</f>
        <v>#REF!</v>
      </c>
      <c r="X936">
        <v>0</v>
      </c>
      <c r="Y936" t="str">
        <f>V936*0.038</f>
        <v>#REF!</v>
      </c>
      <c r="Z936" t="str">
        <f>V936*0.02</f>
        <v>#REF!</v>
      </c>
      <c r="AA936" t="str">
        <f>W936*0.1</f>
        <v>#REF!</v>
      </c>
      <c r="AB936" t="str">
        <f>V936-Y936-Z936</f>
        <v>#REF!</v>
      </c>
      <c r="AC936" t="str">
        <f>W936-AA936</f>
        <v>#REF!</v>
      </c>
      <c r="AD936" t="str">
        <f>AB936*0.01</f>
        <v>#REF!</v>
      </c>
      <c r="AE936" t="str">
        <f>AB936-Q936-AD936-R936</f>
        <v>#REF!</v>
      </c>
      <c r="AF936" t="str">
        <f>AC936-Q936-AD936-R936</f>
        <v>#REF!</v>
      </c>
      <c r="AG936" t="str">
        <f>AE936/V936</f>
        <v>#REF!</v>
      </c>
      <c r="AH936" t="str">
        <f>AF936/W936</f>
        <v>#REF!</v>
      </c>
    </row>
    <row r="937">
      <c r="G937" t="str">
        <v>A</v>
      </c>
      <c r="J937" t="str">
        <f>IF(K937&gt;0,K937*0.0625,IF(L937&gt;0,L937*2.204623,))</f>
        <v>#REF!</v>
      </c>
      <c r="K937" t="str">
        <f>IF(L937&gt;0,L937*35.273962,IF(J937&gt;0,J937*16,))</f>
        <v>#REF!</v>
      </c>
      <c r="L937" t="str">
        <f>IF(J937&gt;0,J937*0.453592,IF(K937&gt;0,K937*0.02835,))</f>
        <v>#REF!</v>
      </c>
      <c r="O937">
        <f>I937+N937+M937</f>
        <v>0</v>
      </c>
      <c r="P937">
        <f>O937*B$3</f>
        <v>0</v>
      </c>
      <c r="Q937">
        <f>ROUND(SUM(P937), -2)</f>
        <v>0</v>
      </c>
      <c r="R937" t="str">
        <f>ROUNDUP(HLOOKUP(IF(CEILING(L937,0.5)&lt;1,0.5,CEILING(L937,0.5)),'배송비 조회'!A$44:AO$56,7,0)*B$3,-2)</f>
        <v>#REF!</v>
      </c>
      <c r="S937">
        <v>0</v>
      </c>
      <c r="T937" t="str">
        <f>ROUND((Q937+R937)*0.3,-2)</f>
        <v>#REF!</v>
      </c>
      <c r="U937" t="str">
        <f>ROUND((Q937+R937)*0.4,-2)</f>
        <v>#REF!</v>
      </c>
      <c r="V937" t="str">
        <f>SUM(Q937:R937)+T937</f>
        <v>#REF!</v>
      </c>
      <c r="W937" t="str">
        <f>SUM(Q937:S937)+U937</f>
        <v>#REF!</v>
      </c>
      <c r="X937">
        <v>0</v>
      </c>
      <c r="Y937" t="str">
        <f>V937*0.038</f>
        <v>#REF!</v>
      </c>
      <c r="Z937" t="str">
        <f>V937*0.02</f>
        <v>#REF!</v>
      </c>
      <c r="AA937" t="str">
        <f>W937*0.1</f>
        <v>#REF!</v>
      </c>
      <c r="AB937" t="str">
        <f>V937-Y937-Z937</f>
        <v>#REF!</v>
      </c>
      <c r="AC937" t="str">
        <f>W937-AA937</f>
        <v>#REF!</v>
      </c>
      <c r="AD937" t="str">
        <f>AB937*0.01</f>
        <v>#REF!</v>
      </c>
      <c r="AE937" t="str">
        <f>AB937-Q937-AD937-R937</f>
        <v>#REF!</v>
      </c>
      <c r="AF937" t="str">
        <f>AC937-Q937-AD937-R937</f>
        <v>#REF!</v>
      </c>
      <c r="AG937" t="str">
        <f>AE937/V937</f>
        <v>#REF!</v>
      </c>
      <c r="AH937" t="str">
        <f>AF937/W937</f>
        <v>#REF!</v>
      </c>
    </row>
    <row r="938">
      <c r="G938" t="str">
        <v>A</v>
      </c>
      <c r="J938" t="str">
        <f>IF(K938&gt;0,K938*0.0625,IF(L938&gt;0,L938*2.204623,))</f>
        <v>#REF!</v>
      </c>
      <c r="K938" t="str">
        <f>IF(L938&gt;0,L938*35.273962,IF(J938&gt;0,J938*16,))</f>
        <v>#REF!</v>
      </c>
      <c r="L938" t="str">
        <f>IF(J938&gt;0,J938*0.453592,IF(K938&gt;0,K938*0.02835,))</f>
        <v>#REF!</v>
      </c>
      <c r="O938">
        <f>I938+N938+M938</f>
        <v>0</v>
      </c>
      <c r="P938">
        <f>O938*B$3</f>
        <v>0</v>
      </c>
      <c r="Q938">
        <f>ROUND(SUM(P938), -2)</f>
        <v>0</v>
      </c>
      <c r="R938" t="str">
        <f>ROUNDUP(HLOOKUP(IF(CEILING(L938,0.5)&lt;1,0.5,CEILING(L938,0.5)),'배송비 조회'!A$44:AO$56,7,0)*B$3,-2)</f>
        <v>#REF!</v>
      </c>
      <c r="S938">
        <v>0</v>
      </c>
      <c r="T938" t="str">
        <f>ROUND((Q938+R938)*0.3,-2)</f>
        <v>#REF!</v>
      </c>
      <c r="U938" t="str">
        <f>ROUND((Q938+R938)*0.4,-2)</f>
        <v>#REF!</v>
      </c>
      <c r="V938" t="str">
        <f>SUM(Q938:R938)+T938</f>
        <v>#REF!</v>
      </c>
      <c r="W938" t="str">
        <f>SUM(Q938:S938)+U938</f>
        <v>#REF!</v>
      </c>
      <c r="X938">
        <v>0</v>
      </c>
      <c r="Y938" t="str">
        <f>V938*0.038</f>
        <v>#REF!</v>
      </c>
      <c r="Z938" t="str">
        <f>V938*0.02</f>
        <v>#REF!</v>
      </c>
      <c r="AA938" t="str">
        <f>W938*0.1</f>
        <v>#REF!</v>
      </c>
      <c r="AB938" t="str">
        <f>V938-Y938-Z938</f>
        <v>#REF!</v>
      </c>
      <c r="AC938" t="str">
        <f>W938-AA938</f>
        <v>#REF!</v>
      </c>
      <c r="AD938" t="str">
        <f>AB938*0.01</f>
        <v>#REF!</v>
      </c>
      <c r="AE938" t="str">
        <f>AB938-Q938-AD938-R938</f>
        <v>#REF!</v>
      </c>
      <c r="AF938" t="str">
        <f>AC938-Q938-AD938-R938</f>
        <v>#REF!</v>
      </c>
      <c r="AG938" t="str">
        <f>AE938/V938</f>
        <v>#REF!</v>
      </c>
      <c r="AH938" t="str">
        <f>AF938/W938</f>
        <v>#REF!</v>
      </c>
    </row>
    <row r="939">
      <c r="G939" t="str">
        <v>A</v>
      </c>
      <c r="J939" t="str">
        <f>IF(K939&gt;0,K939*0.0625,IF(L939&gt;0,L939*2.204623,))</f>
        <v>#REF!</v>
      </c>
      <c r="K939" t="str">
        <f>IF(L939&gt;0,L939*35.273962,IF(J939&gt;0,J939*16,))</f>
        <v>#REF!</v>
      </c>
      <c r="L939" t="str">
        <f>IF(J939&gt;0,J939*0.453592,IF(K939&gt;0,K939*0.02835,))</f>
        <v>#REF!</v>
      </c>
      <c r="O939">
        <f>I939+N939+M939</f>
        <v>0</v>
      </c>
      <c r="P939">
        <f>O939*B$3</f>
        <v>0</v>
      </c>
      <c r="Q939">
        <f>ROUND(SUM(P939), -2)</f>
        <v>0</v>
      </c>
      <c r="R939" t="str">
        <f>ROUNDUP(HLOOKUP(IF(CEILING(L939,0.5)&lt;1,0.5,CEILING(L939,0.5)),'배송비 조회'!A$44:AO$56,7,0)*B$3,-2)</f>
        <v>#REF!</v>
      </c>
      <c r="S939">
        <v>0</v>
      </c>
      <c r="T939" t="str">
        <f>ROUND((Q939+R939)*0.3,-2)</f>
        <v>#REF!</v>
      </c>
      <c r="U939" t="str">
        <f>ROUND((Q939+R939)*0.4,-2)</f>
        <v>#REF!</v>
      </c>
      <c r="V939" t="str">
        <f>SUM(Q939:R939)+T939</f>
        <v>#REF!</v>
      </c>
      <c r="W939" t="str">
        <f>SUM(Q939:S939)+U939</f>
        <v>#REF!</v>
      </c>
      <c r="X939">
        <v>0</v>
      </c>
      <c r="Y939" t="str">
        <f>V939*0.038</f>
        <v>#REF!</v>
      </c>
      <c r="Z939" t="str">
        <f>V939*0.02</f>
        <v>#REF!</v>
      </c>
      <c r="AA939" t="str">
        <f>W939*0.1</f>
        <v>#REF!</v>
      </c>
      <c r="AB939" t="str">
        <f>V939-Y939-Z939</f>
        <v>#REF!</v>
      </c>
      <c r="AC939" t="str">
        <f>W939-AA939</f>
        <v>#REF!</v>
      </c>
      <c r="AD939" t="str">
        <f>AB939*0.01</f>
        <v>#REF!</v>
      </c>
      <c r="AE939" t="str">
        <f>AB939-Q939-AD939-R939</f>
        <v>#REF!</v>
      </c>
      <c r="AF939" t="str">
        <f>AC939-Q939-AD939-R939</f>
        <v>#REF!</v>
      </c>
      <c r="AG939" t="str">
        <f>AE939/V939</f>
        <v>#REF!</v>
      </c>
      <c r="AH939" t="str">
        <f>AF939/W939</f>
        <v>#REF!</v>
      </c>
    </row>
    <row r="940">
      <c r="G940" t="str">
        <v>A</v>
      </c>
      <c r="J940" t="str">
        <f>IF(K940&gt;0,K940*0.0625,IF(L940&gt;0,L940*2.204623,))</f>
        <v>#REF!</v>
      </c>
      <c r="K940" t="str">
        <f>IF(L940&gt;0,L940*35.273962,IF(J940&gt;0,J940*16,))</f>
        <v>#REF!</v>
      </c>
      <c r="L940" t="str">
        <f>IF(J940&gt;0,J940*0.453592,IF(K940&gt;0,K940*0.02835,))</f>
        <v>#REF!</v>
      </c>
      <c r="O940">
        <f>I940+N940+M940</f>
        <v>0</v>
      </c>
      <c r="P940">
        <f>O940*B$3</f>
        <v>0</v>
      </c>
      <c r="Q940">
        <f>ROUND(SUM(P940), -2)</f>
        <v>0</v>
      </c>
      <c r="R940" t="str">
        <f>ROUNDUP(HLOOKUP(IF(CEILING(L940,0.5)&lt;1,0.5,CEILING(L940,0.5)),'배송비 조회'!A$44:AO$56,7,0)*B$3,-2)</f>
        <v>#REF!</v>
      </c>
      <c r="S940">
        <v>0</v>
      </c>
      <c r="T940" t="str">
        <f>ROUND((Q940+R940)*0.3,-2)</f>
        <v>#REF!</v>
      </c>
      <c r="U940" t="str">
        <f>ROUND((Q940+R940)*0.4,-2)</f>
        <v>#REF!</v>
      </c>
      <c r="V940" t="str">
        <f>SUM(Q940:R940)+T940</f>
        <v>#REF!</v>
      </c>
      <c r="W940" t="str">
        <f>SUM(Q940:S940)+U940</f>
        <v>#REF!</v>
      </c>
      <c r="X940">
        <v>0</v>
      </c>
      <c r="Y940" t="str">
        <f>V940*0.038</f>
        <v>#REF!</v>
      </c>
      <c r="Z940" t="str">
        <f>V940*0.02</f>
        <v>#REF!</v>
      </c>
      <c r="AA940" t="str">
        <f>W940*0.1</f>
        <v>#REF!</v>
      </c>
      <c r="AB940" t="str">
        <f>V940-Y940-Z940</f>
        <v>#REF!</v>
      </c>
      <c r="AC940" t="str">
        <f>W940-AA940</f>
        <v>#REF!</v>
      </c>
      <c r="AD940" t="str">
        <f>AB940*0.01</f>
        <v>#REF!</v>
      </c>
      <c r="AE940" t="str">
        <f>AB940-Q940-AD940-R940</f>
        <v>#REF!</v>
      </c>
      <c r="AF940" t="str">
        <f>AC940-Q940-AD940-R940</f>
        <v>#REF!</v>
      </c>
      <c r="AG940" t="str">
        <f>AE940/V940</f>
        <v>#REF!</v>
      </c>
      <c r="AH940" t="str">
        <f>AF940/W940</f>
        <v>#REF!</v>
      </c>
    </row>
    <row r="941">
      <c r="G941" t="str">
        <v>A</v>
      </c>
      <c r="J941" t="str">
        <f>IF(K941&gt;0,K941*0.0625,IF(L941&gt;0,L941*2.204623,))</f>
        <v>#REF!</v>
      </c>
      <c r="K941" t="str">
        <f>IF(L941&gt;0,L941*35.273962,IF(J941&gt;0,J941*16,))</f>
        <v>#REF!</v>
      </c>
      <c r="L941" t="str">
        <f>IF(J941&gt;0,J941*0.453592,IF(K941&gt;0,K941*0.02835,))</f>
        <v>#REF!</v>
      </c>
      <c r="O941">
        <f>I941+N941+M941</f>
        <v>0</v>
      </c>
      <c r="P941">
        <f>O941*B$3</f>
        <v>0</v>
      </c>
      <c r="Q941">
        <f>ROUND(SUM(P941), -2)</f>
        <v>0</v>
      </c>
      <c r="R941" t="str">
        <f>ROUNDUP(HLOOKUP(IF(CEILING(L941,0.5)&lt;1,0.5,CEILING(L941,0.5)),'배송비 조회'!A$44:AO$56,7,0)*B$3,-2)</f>
        <v>#REF!</v>
      </c>
      <c r="S941">
        <v>0</v>
      </c>
      <c r="T941" t="str">
        <f>ROUND((Q941+R941)*0.3,-2)</f>
        <v>#REF!</v>
      </c>
      <c r="U941" t="str">
        <f>ROUND((Q941+R941)*0.4,-2)</f>
        <v>#REF!</v>
      </c>
      <c r="V941" t="str">
        <f>SUM(Q941:R941)+T941</f>
        <v>#REF!</v>
      </c>
      <c r="W941" t="str">
        <f>SUM(Q941:S941)+U941</f>
        <v>#REF!</v>
      </c>
      <c r="X941">
        <v>0</v>
      </c>
      <c r="Y941" t="str">
        <f>V941*0.038</f>
        <v>#REF!</v>
      </c>
      <c r="Z941" t="str">
        <f>V941*0.02</f>
        <v>#REF!</v>
      </c>
      <c r="AA941" t="str">
        <f>W941*0.1</f>
        <v>#REF!</v>
      </c>
      <c r="AB941" t="str">
        <f>V941-Y941-Z941</f>
        <v>#REF!</v>
      </c>
      <c r="AC941" t="str">
        <f>W941-AA941</f>
        <v>#REF!</v>
      </c>
      <c r="AD941" t="str">
        <f>AB941*0.01</f>
        <v>#REF!</v>
      </c>
      <c r="AE941" t="str">
        <f>AB941-Q941-AD941-R941</f>
        <v>#REF!</v>
      </c>
      <c r="AF941" t="str">
        <f>AC941-Q941-AD941-R941</f>
        <v>#REF!</v>
      </c>
      <c r="AG941" t="str">
        <f>AE941/V941</f>
        <v>#REF!</v>
      </c>
      <c r="AH941" t="str">
        <f>AF941/W941</f>
        <v>#REF!</v>
      </c>
    </row>
    <row r="942">
      <c r="G942" t="str">
        <v>A</v>
      </c>
      <c r="J942" t="str">
        <f>IF(K942&gt;0,K942*0.0625,IF(L942&gt;0,L942*2.204623,))</f>
        <v>#REF!</v>
      </c>
      <c r="K942" t="str">
        <f>IF(L942&gt;0,L942*35.273962,IF(J942&gt;0,J942*16,))</f>
        <v>#REF!</v>
      </c>
      <c r="L942" t="str">
        <f>IF(J942&gt;0,J942*0.453592,IF(K942&gt;0,K942*0.02835,))</f>
        <v>#REF!</v>
      </c>
      <c r="O942">
        <f>I942+N942+M942</f>
        <v>0</v>
      </c>
      <c r="P942">
        <f>O942*B$3</f>
        <v>0</v>
      </c>
      <c r="Q942">
        <f>ROUND(SUM(P942), -2)</f>
        <v>0</v>
      </c>
      <c r="R942" t="str">
        <f>ROUNDUP(HLOOKUP(IF(CEILING(L942,0.5)&lt;1,0.5,CEILING(L942,0.5)),'배송비 조회'!A$44:AO$56,7,0)*B$3,-2)</f>
        <v>#REF!</v>
      </c>
      <c r="S942">
        <v>0</v>
      </c>
      <c r="T942" t="str">
        <f>ROUND((Q942+R942)*0.3,-2)</f>
        <v>#REF!</v>
      </c>
      <c r="U942" t="str">
        <f>ROUND((Q942+R942)*0.4,-2)</f>
        <v>#REF!</v>
      </c>
      <c r="V942" t="str">
        <f>SUM(Q942:R942)+T942</f>
        <v>#REF!</v>
      </c>
      <c r="W942" t="str">
        <f>SUM(Q942:S942)+U942</f>
        <v>#REF!</v>
      </c>
      <c r="X942">
        <v>0</v>
      </c>
      <c r="Y942" t="str">
        <f>V942*0.038</f>
        <v>#REF!</v>
      </c>
      <c r="Z942" t="str">
        <f>V942*0.02</f>
        <v>#REF!</v>
      </c>
      <c r="AA942" t="str">
        <f>W942*0.1</f>
        <v>#REF!</v>
      </c>
      <c r="AB942" t="str">
        <f>V942-Y942-Z942</f>
        <v>#REF!</v>
      </c>
      <c r="AC942" t="str">
        <f>W942-AA942</f>
        <v>#REF!</v>
      </c>
      <c r="AD942" t="str">
        <f>AB942*0.01</f>
        <v>#REF!</v>
      </c>
      <c r="AE942" t="str">
        <f>AB942-Q942-AD942-R942</f>
        <v>#REF!</v>
      </c>
      <c r="AF942" t="str">
        <f>AC942-Q942-AD942-R942</f>
        <v>#REF!</v>
      </c>
      <c r="AG942" t="str">
        <f>AE942/V942</f>
        <v>#REF!</v>
      </c>
      <c r="AH942" t="str">
        <f>AF942/W942</f>
        <v>#REF!</v>
      </c>
    </row>
    <row r="943">
      <c r="G943" t="str">
        <v>A</v>
      </c>
      <c r="J943" t="str">
        <f>IF(K943&gt;0,K943*0.0625,IF(L943&gt;0,L943*2.204623,))</f>
        <v>#REF!</v>
      </c>
      <c r="K943" t="str">
        <f>IF(L943&gt;0,L943*35.273962,IF(J943&gt;0,J943*16,))</f>
        <v>#REF!</v>
      </c>
      <c r="L943" t="str">
        <f>IF(J943&gt;0,J943*0.453592,IF(K943&gt;0,K943*0.02835,))</f>
        <v>#REF!</v>
      </c>
      <c r="O943">
        <f>I943+N943+M943</f>
        <v>0</v>
      </c>
      <c r="P943">
        <f>O943*B$3</f>
        <v>0</v>
      </c>
      <c r="Q943">
        <f>ROUND(SUM(P943), -2)</f>
        <v>0</v>
      </c>
      <c r="R943" t="str">
        <f>ROUNDUP(HLOOKUP(IF(CEILING(L943,0.5)&lt;1,0.5,CEILING(L943,0.5)),'배송비 조회'!A$44:AO$56,7,0)*B$3,-2)</f>
        <v>#REF!</v>
      </c>
      <c r="S943">
        <v>0</v>
      </c>
      <c r="T943" t="str">
        <f>ROUND((Q943+R943)*0.3,-2)</f>
        <v>#REF!</v>
      </c>
      <c r="U943" t="str">
        <f>ROUND((Q943+R943)*0.4,-2)</f>
        <v>#REF!</v>
      </c>
      <c r="V943" t="str">
        <f>SUM(Q943:R943)+T943</f>
        <v>#REF!</v>
      </c>
      <c r="W943" t="str">
        <f>SUM(Q943:S943)+U943</f>
        <v>#REF!</v>
      </c>
      <c r="X943">
        <v>0</v>
      </c>
      <c r="Y943" t="str">
        <f>V943*0.038</f>
        <v>#REF!</v>
      </c>
      <c r="Z943" t="str">
        <f>V943*0.02</f>
        <v>#REF!</v>
      </c>
      <c r="AA943" t="str">
        <f>W943*0.1</f>
        <v>#REF!</v>
      </c>
      <c r="AB943" t="str">
        <f>V943-Y943-Z943</f>
        <v>#REF!</v>
      </c>
      <c r="AC943" t="str">
        <f>W943-AA943</f>
        <v>#REF!</v>
      </c>
      <c r="AD943" t="str">
        <f>AB943*0.01</f>
        <v>#REF!</v>
      </c>
      <c r="AE943" t="str">
        <f>AB943-Q943-AD943-R943</f>
        <v>#REF!</v>
      </c>
      <c r="AF943" t="str">
        <f>AC943-Q943-AD943-R943</f>
        <v>#REF!</v>
      </c>
      <c r="AG943" t="str">
        <f>AE943/V943</f>
        <v>#REF!</v>
      </c>
      <c r="AH943" t="str">
        <f>AF943/W943</f>
        <v>#REF!</v>
      </c>
    </row>
    <row r="944">
      <c r="G944" t="str">
        <v>A</v>
      </c>
      <c r="J944" t="str">
        <f>IF(K944&gt;0,K944*0.0625,IF(L944&gt;0,L944*2.204623,))</f>
        <v>#REF!</v>
      </c>
      <c r="K944" t="str">
        <f>IF(L944&gt;0,L944*35.273962,IF(J944&gt;0,J944*16,))</f>
        <v>#REF!</v>
      </c>
      <c r="L944" t="str">
        <f>IF(J944&gt;0,J944*0.453592,IF(K944&gt;0,K944*0.02835,))</f>
        <v>#REF!</v>
      </c>
      <c r="O944">
        <f>I944+N944+M944</f>
        <v>0</v>
      </c>
      <c r="P944">
        <f>O944*B$3</f>
        <v>0</v>
      </c>
      <c r="Q944">
        <f>ROUND(SUM(P944), -2)</f>
        <v>0</v>
      </c>
      <c r="R944" t="str">
        <f>ROUNDUP(HLOOKUP(IF(CEILING(L944,0.5)&lt;1,0.5,CEILING(L944,0.5)),'배송비 조회'!A$44:AO$56,7,0)*B$3,-2)</f>
        <v>#REF!</v>
      </c>
      <c r="S944">
        <v>0</v>
      </c>
      <c r="T944" t="str">
        <f>ROUND((Q944+R944)*0.3,-2)</f>
        <v>#REF!</v>
      </c>
      <c r="U944" t="str">
        <f>ROUND((Q944+R944)*0.4,-2)</f>
        <v>#REF!</v>
      </c>
      <c r="V944" t="str">
        <f>SUM(Q944:R944)+T944</f>
        <v>#REF!</v>
      </c>
      <c r="W944" t="str">
        <f>SUM(Q944:S944)+U944</f>
        <v>#REF!</v>
      </c>
      <c r="X944">
        <v>0</v>
      </c>
      <c r="Y944" t="str">
        <f>V944*0.038</f>
        <v>#REF!</v>
      </c>
      <c r="Z944" t="str">
        <f>V944*0.02</f>
        <v>#REF!</v>
      </c>
      <c r="AA944" t="str">
        <f>W944*0.1</f>
        <v>#REF!</v>
      </c>
      <c r="AB944" t="str">
        <f>V944-Y944-Z944</f>
        <v>#REF!</v>
      </c>
      <c r="AC944" t="str">
        <f>W944-AA944</f>
        <v>#REF!</v>
      </c>
      <c r="AD944" t="str">
        <f>AB944*0.01</f>
        <v>#REF!</v>
      </c>
      <c r="AE944" t="str">
        <f>AB944-Q944-AD944-R944</f>
        <v>#REF!</v>
      </c>
      <c r="AF944" t="str">
        <f>AC944-Q944-AD944-R944</f>
        <v>#REF!</v>
      </c>
      <c r="AG944" t="str">
        <f>AE944/V944</f>
        <v>#REF!</v>
      </c>
      <c r="AH944" t="str">
        <f>AF944/W944</f>
        <v>#REF!</v>
      </c>
    </row>
    <row r="945">
      <c r="G945" t="str">
        <v>A</v>
      </c>
      <c r="J945" t="str">
        <f>IF(K945&gt;0,K945*0.0625,IF(L945&gt;0,L945*2.204623,))</f>
        <v>#REF!</v>
      </c>
      <c r="K945" t="str">
        <f>IF(L945&gt;0,L945*35.273962,IF(J945&gt;0,J945*16,))</f>
        <v>#REF!</v>
      </c>
      <c r="L945" t="str">
        <f>IF(J945&gt;0,J945*0.453592,IF(K945&gt;0,K945*0.02835,))</f>
        <v>#REF!</v>
      </c>
      <c r="O945">
        <f>I945+N945+M945</f>
        <v>0</v>
      </c>
      <c r="P945">
        <f>O945*B$3</f>
        <v>0</v>
      </c>
      <c r="Q945">
        <f>ROUND(SUM(P945), -2)</f>
        <v>0</v>
      </c>
      <c r="R945" t="str">
        <f>ROUNDUP(HLOOKUP(IF(CEILING(L945,0.5)&lt;1,0.5,CEILING(L945,0.5)),'배송비 조회'!A$44:AO$56,7,0)*B$3,-2)</f>
        <v>#REF!</v>
      </c>
      <c r="S945">
        <v>0</v>
      </c>
      <c r="T945" t="str">
        <f>ROUND((Q945+R945)*0.3,-2)</f>
        <v>#REF!</v>
      </c>
      <c r="U945" t="str">
        <f>ROUND((Q945+R945)*0.4,-2)</f>
        <v>#REF!</v>
      </c>
      <c r="V945" t="str">
        <f>SUM(Q945:R945)+T945</f>
        <v>#REF!</v>
      </c>
      <c r="W945" t="str">
        <f>SUM(Q945:S945)+U945</f>
        <v>#REF!</v>
      </c>
      <c r="X945">
        <v>0</v>
      </c>
      <c r="Y945" t="str">
        <f>V945*0.038</f>
        <v>#REF!</v>
      </c>
      <c r="Z945" t="str">
        <f>V945*0.02</f>
        <v>#REF!</v>
      </c>
      <c r="AA945" t="str">
        <f>W945*0.1</f>
        <v>#REF!</v>
      </c>
      <c r="AB945" t="str">
        <f>V945-Y945-Z945</f>
        <v>#REF!</v>
      </c>
      <c r="AC945" t="str">
        <f>W945-AA945</f>
        <v>#REF!</v>
      </c>
      <c r="AD945" t="str">
        <f>AB945*0.01</f>
        <v>#REF!</v>
      </c>
      <c r="AE945" t="str">
        <f>AB945-Q945-AD945-R945</f>
        <v>#REF!</v>
      </c>
      <c r="AF945" t="str">
        <f>AC945-Q945-AD945-R945</f>
        <v>#REF!</v>
      </c>
      <c r="AG945" t="str">
        <f>AE945/V945</f>
        <v>#REF!</v>
      </c>
      <c r="AH945" t="str">
        <f>AF945/W945</f>
        <v>#REF!</v>
      </c>
    </row>
    <row r="946">
      <c r="G946" t="str">
        <v>A</v>
      </c>
      <c r="J946" t="str">
        <f>IF(K946&gt;0,K946*0.0625,IF(L946&gt;0,L946*2.204623,))</f>
        <v>#REF!</v>
      </c>
      <c r="K946" t="str">
        <f>IF(L946&gt;0,L946*35.273962,IF(J946&gt;0,J946*16,))</f>
        <v>#REF!</v>
      </c>
      <c r="L946" t="str">
        <f>IF(J946&gt;0,J946*0.453592,IF(K946&gt;0,K946*0.02835,))</f>
        <v>#REF!</v>
      </c>
      <c r="O946">
        <f>I946+N946+M946</f>
        <v>0</v>
      </c>
      <c r="P946">
        <f>O946*B$3</f>
        <v>0</v>
      </c>
      <c r="Q946">
        <f>ROUND(SUM(P946), -2)</f>
        <v>0</v>
      </c>
      <c r="R946" t="str">
        <f>ROUNDUP(HLOOKUP(IF(CEILING(L946,0.5)&lt;1,0.5,CEILING(L946,0.5)),'배송비 조회'!A$44:AO$56,7,0)*B$3,-2)</f>
        <v>#REF!</v>
      </c>
      <c r="S946">
        <v>0</v>
      </c>
      <c r="T946" t="str">
        <f>ROUND((Q946+R946)*0.3,-2)</f>
        <v>#REF!</v>
      </c>
      <c r="U946" t="str">
        <f>ROUND((Q946+R946)*0.4,-2)</f>
        <v>#REF!</v>
      </c>
      <c r="V946" t="str">
        <f>SUM(Q946:R946)+T946</f>
        <v>#REF!</v>
      </c>
      <c r="W946" t="str">
        <f>SUM(Q946:S946)+U946</f>
        <v>#REF!</v>
      </c>
      <c r="X946">
        <v>0</v>
      </c>
      <c r="Y946" t="str">
        <f>V946*0.038</f>
        <v>#REF!</v>
      </c>
      <c r="Z946" t="str">
        <f>V946*0.02</f>
        <v>#REF!</v>
      </c>
      <c r="AA946" t="str">
        <f>W946*0.1</f>
        <v>#REF!</v>
      </c>
      <c r="AB946" t="str">
        <f>V946-Y946-Z946</f>
        <v>#REF!</v>
      </c>
      <c r="AC946" t="str">
        <f>W946-AA946</f>
        <v>#REF!</v>
      </c>
      <c r="AD946" t="str">
        <f>AB946*0.01</f>
        <v>#REF!</v>
      </c>
      <c r="AE946" t="str">
        <f>AB946-Q946-AD946-R946</f>
        <v>#REF!</v>
      </c>
      <c r="AF946" t="str">
        <f>AC946-Q946-AD946-R946</f>
        <v>#REF!</v>
      </c>
      <c r="AG946" t="str">
        <f>AE946/V946</f>
        <v>#REF!</v>
      </c>
      <c r="AH946" t="str">
        <f>AF946/W946</f>
        <v>#REF!</v>
      </c>
    </row>
    <row r="947">
      <c r="G947" t="str">
        <v>A</v>
      </c>
      <c r="J947" t="str">
        <f>IF(K947&gt;0,K947*0.0625,IF(L947&gt;0,L947*2.204623,))</f>
        <v>#REF!</v>
      </c>
      <c r="K947" t="str">
        <f>IF(L947&gt;0,L947*35.273962,IF(J947&gt;0,J947*16,))</f>
        <v>#REF!</v>
      </c>
      <c r="L947" t="str">
        <f>IF(J947&gt;0,J947*0.453592,IF(K947&gt;0,K947*0.02835,))</f>
        <v>#REF!</v>
      </c>
      <c r="O947">
        <f>I947+N947+M947</f>
        <v>0</v>
      </c>
      <c r="P947">
        <f>O947*B$3</f>
        <v>0</v>
      </c>
      <c r="Q947">
        <f>ROUND(SUM(P947), -2)</f>
        <v>0</v>
      </c>
      <c r="R947" t="str">
        <f>ROUNDUP(HLOOKUP(IF(CEILING(L947,0.5)&lt;1,0.5,CEILING(L947,0.5)),'배송비 조회'!A$44:AO$56,7,0)*B$3,-2)</f>
        <v>#REF!</v>
      </c>
      <c r="S947">
        <v>0</v>
      </c>
      <c r="T947" t="str">
        <f>ROUND((Q947+R947)*0.3,-2)</f>
        <v>#REF!</v>
      </c>
      <c r="U947" t="str">
        <f>ROUND((Q947+R947)*0.4,-2)</f>
        <v>#REF!</v>
      </c>
      <c r="V947" t="str">
        <f>SUM(Q947:R947)+T947</f>
        <v>#REF!</v>
      </c>
      <c r="W947" t="str">
        <f>SUM(Q947:S947)+U947</f>
        <v>#REF!</v>
      </c>
      <c r="X947">
        <v>0</v>
      </c>
      <c r="Y947" t="str">
        <f>V947*0.038</f>
        <v>#REF!</v>
      </c>
      <c r="Z947" t="str">
        <f>V947*0.02</f>
        <v>#REF!</v>
      </c>
      <c r="AA947" t="str">
        <f>W947*0.1</f>
        <v>#REF!</v>
      </c>
      <c r="AB947" t="str">
        <f>V947-Y947-Z947</f>
        <v>#REF!</v>
      </c>
      <c r="AC947" t="str">
        <f>W947-AA947</f>
        <v>#REF!</v>
      </c>
      <c r="AD947" t="str">
        <f>AB947*0.01</f>
        <v>#REF!</v>
      </c>
      <c r="AE947" t="str">
        <f>AB947-Q947-AD947-R947</f>
        <v>#REF!</v>
      </c>
      <c r="AF947" t="str">
        <f>AC947-Q947-AD947-R947</f>
        <v>#REF!</v>
      </c>
      <c r="AG947" t="str">
        <f>AE947/V947</f>
        <v>#REF!</v>
      </c>
      <c r="AH947" t="str">
        <f>AF947/W947</f>
        <v>#REF!</v>
      </c>
    </row>
    <row r="948">
      <c r="G948" t="str">
        <v>A</v>
      </c>
      <c r="J948" t="str">
        <f>IF(K948&gt;0,K948*0.0625,IF(L948&gt;0,L948*2.204623,))</f>
        <v>#REF!</v>
      </c>
      <c r="K948" t="str">
        <f>IF(L948&gt;0,L948*35.273962,IF(J948&gt;0,J948*16,))</f>
        <v>#REF!</v>
      </c>
      <c r="L948" t="str">
        <f>IF(J948&gt;0,J948*0.453592,IF(K948&gt;0,K948*0.02835,))</f>
        <v>#REF!</v>
      </c>
      <c r="O948">
        <f>I948+N948+M948</f>
        <v>0</v>
      </c>
      <c r="P948">
        <f>O948*B$3</f>
        <v>0</v>
      </c>
      <c r="Q948">
        <f>ROUND(SUM(P948), -2)</f>
        <v>0</v>
      </c>
      <c r="R948" t="str">
        <f>ROUNDUP(HLOOKUP(IF(CEILING(L948,0.5)&lt;1,0.5,CEILING(L948,0.5)),'배송비 조회'!A$44:AO$56,7,0)*B$3,-2)</f>
        <v>#REF!</v>
      </c>
      <c r="S948">
        <v>0</v>
      </c>
      <c r="T948" t="str">
        <f>ROUND((Q948+R948)*0.3,-2)</f>
        <v>#REF!</v>
      </c>
      <c r="U948" t="str">
        <f>ROUND((Q948+R948)*0.4,-2)</f>
        <v>#REF!</v>
      </c>
      <c r="V948" t="str">
        <f>SUM(Q948:R948)+T948</f>
        <v>#REF!</v>
      </c>
      <c r="W948" t="str">
        <f>SUM(Q948:S948)+U948</f>
        <v>#REF!</v>
      </c>
      <c r="X948">
        <v>0</v>
      </c>
      <c r="Y948" t="str">
        <f>V948*0.038</f>
        <v>#REF!</v>
      </c>
      <c r="Z948" t="str">
        <f>V948*0.02</f>
        <v>#REF!</v>
      </c>
      <c r="AA948" t="str">
        <f>W948*0.1</f>
        <v>#REF!</v>
      </c>
      <c r="AB948" t="str">
        <f>V948-Y948-Z948</f>
        <v>#REF!</v>
      </c>
      <c r="AC948" t="str">
        <f>W948-AA948</f>
        <v>#REF!</v>
      </c>
      <c r="AD948" t="str">
        <f>AB948*0.01</f>
        <v>#REF!</v>
      </c>
      <c r="AE948" t="str">
        <f>AB948-Q948-AD948-R948</f>
        <v>#REF!</v>
      </c>
      <c r="AF948" t="str">
        <f>AC948-Q948-AD948-R948</f>
        <v>#REF!</v>
      </c>
      <c r="AG948" t="str">
        <f>AE948/V948</f>
        <v>#REF!</v>
      </c>
      <c r="AH948" t="str">
        <f>AF948/W948</f>
        <v>#REF!</v>
      </c>
    </row>
    <row r="949">
      <c r="G949" t="str">
        <v>A</v>
      </c>
      <c r="J949" t="str">
        <f>IF(K949&gt;0,K949*0.0625,IF(L949&gt;0,L949*2.204623,))</f>
        <v>#REF!</v>
      </c>
      <c r="K949" t="str">
        <f>IF(L949&gt;0,L949*35.273962,IF(J949&gt;0,J949*16,))</f>
        <v>#REF!</v>
      </c>
      <c r="L949" t="str">
        <f>IF(J949&gt;0,J949*0.453592,IF(K949&gt;0,K949*0.02835,))</f>
        <v>#REF!</v>
      </c>
      <c r="O949">
        <f>I949+N949+M949</f>
        <v>0</v>
      </c>
      <c r="P949">
        <f>O949*B$3</f>
        <v>0</v>
      </c>
      <c r="Q949">
        <f>ROUND(SUM(P949), -2)</f>
        <v>0</v>
      </c>
      <c r="R949" t="str">
        <f>ROUNDUP(HLOOKUP(IF(CEILING(L949,0.5)&lt;1,0.5,CEILING(L949,0.5)),'배송비 조회'!A$44:AO$56,7,0)*B$3,-2)</f>
        <v>#REF!</v>
      </c>
      <c r="S949">
        <v>0</v>
      </c>
      <c r="T949" t="str">
        <f>ROUND((Q949+R949)*0.3,-2)</f>
        <v>#REF!</v>
      </c>
      <c r="U949" t="str">
        <f>ROUND((Q949+R949)*0.4,-2)</f>
        <v>#REF!</v>
      </c>
      <c r="V949" t="str">
        <f>SUM(Q949:R949)+T949</f>
        <v>#REF!</v>
      </c>
      <c r="W949" t="str">
        <f>SUM(Q949:S949)+U949</f>
        <v>#REF!</v>
      </c>
      <c r="X949">
        <v>0</v>
      </c>
      <c r="Y949" t="str">
        <f>V949*0.038</f>
        <v>#REF!</v>
      </c>
      <c r="Z949" t="str">
        <f>V949*0.02</f>
        <v>#REF!</v>
      </c>
      <c r="AA949" t="str">
        <f>W949*0.1</f>
        <v>#REF!</v>
      </c>
      <c r="AB949" t="str">
        <f>V949-Y949-Z949</f>
        <v>#REF!</v>
      </c>
      <c r="AC949" t="str">
        <f>W949-AA949</f>
        <v>#REF!</v>
      </c>
      <c r="AD949" t="str">
        <f>AB949*0.01</f>
        <v>#REF!</v>
      </c>
      <c r="AE949" t="str">
        <f>AB949-Q949-AD949-R949</f>
        <v>#REF!</v>
      </c>
      <c r="AF949" t="str">
        <f>AC949-Q949-AD949-R949</f>
        <v>#REF!</v>
      </c>
      <c r="AG949" t="str">
        <f>AE949/V949</f>
        <v>#REF!</v>
      </c>
      <c r="AH949" t="str">
        <f>AF949/W949</f>
        <v>#REF!</v>
      </c>
    </row>
    <row r="950">
      <c r="G950" t="str">
        <v>A</v>
      </c>
      <c r="J950" t="str">
        <f>IF(K950&gt;0,K950*0.0625,IF(L950&gt;0,L950*2.204623,))</f>
        <v>#REF!</v>
      </c>
      <c r="K950" t="str">
        <f>IF(L950&gt;0,L950*35.273962,IF(J950&gt;0,J950*16,))</f>
        <v>#REF!</v>
      </c>
      <c r="L950" t="str">
        <f>IF(J950&gt;0,J950*0.453592,IF(K950&gt;0,K950*0.02835,))</f>
        <v>#REF!</v>
      </c>
      <c r="O950">
        <f>I950+N950+M950</f>
        <v>0</v>
      </c>
      <c r="P950">
        <f>O950*B$3</f>
        <v>0</v>
      </c>
      <c r="Q950">
        <f>ROUND(SUM(P950), -2)</f>
        <v>0</v>
      </c>
      <c r="R950" t="str">
        <f>ROUNDUP(HLOOKUP(IF(CEILING(L950,0.5)&lt;1,0.5,CEILING(L950,0.5)),'배송비 조회'!A$44:AO$56,7,0)*B$3,-2)</f>
        <v>#REF!</v>
      </c>
      <c r="S950">
        <v>0</v>
      </c>
      <c r="T950" t="str">
        <f>ROUND((Q950+R950)*0.3,-2)</f>
        <v>#REF!</v>
      </c>
      <c r="U950" t="str">
        <f>ROUND((Q950+R950)*0.4,-2)</f>
        <v>#REF!</v>
      </c>
      <c r="V950" t="str">
        <f>SUM(Q950:R950)+T950</f>
        <v>#REF!</v>
      </c>
      <c r="W950" t="str">
        <f>SUM(Q950:S950)+U950</f>
        <v>#REF!</v>
      </c>
      <c r="X950">
        <v>0</v>
      </c>
      <c r="Y950" t="str">
        <f>V950*0.038</f>
        <v>#REF!</v>
      </c>
      <c r="Z950" t="str">
        <f>V950*0.02</f>
        <v>#REF!</v>
      </c>
      <c r="AA950" t="str">
        <f>W950*0.1</f>
        <v>#REF!</v>
      </c>
      <c r="AB950" t="str">
        <f>V950-Y950-Z950</f>
        <v>#REF!</v>
      </c>
      <c r="AC950" t="str">
        <f>W950-AA950</f>
        <v>#REF!</v>
      </c>
      <c r="AD950" t="str">
        <f>AB950*0.01</f>
        <v>#REF!</v>
      </c>
      <c r="AE950" t="str">
        <f>AB950-Q950-AD950-R950</f>
        <v>#REF!</v>
      </c>
      <c r="AF950" t="str">
        <f>AC950-Q950-AD950-R950</f>
        <v>#REF!</v>
      </c>
      <c r="AG950" t="str">
        <f>AE950/V950</f>
        <v>#REF!</v>
      </c>
      <c r="AH950" t="str">
        <f>AF950/W950</f>
        <v>#REF!</v>
      </c>
    </row>
    <row r="951">
      <c r="G951" t="str">
        <v>A</v>
      </c>
      <c r="J951" t="str">
        <f>IF(K951&gt;0,K951*0.0625,IF(L951&gt;0,L951*2.204623,))</f>
        <v>#REF!</v>
      </c>
      <c r="K951" t="str">
        <f>IF(L951&gt;0,L951*35.273962,IF(J951&gt;0,J951*16,))</f>
        <v>#REF!</v>
      </c>
      <c r="L951" t="str">
        <f>IF(J951&gt;0,J951*0.453592,IF(K951&gt;0,K951*0.02835,))</f>
        <v>#REF!</v>
      </c>
      <c r="O951">
        <f>I951+N951+M951</f>
        <v>0</v>
      </c>
      <c r="P951">
        <f>O951*B$3</f>
        <v>0</v>
      </c>
      <c r="Q951">
        <f>ROUND(SUM(P951), -2)</f>
        <v>0</v>
      </c>
      <c r="R951" t="str">
        <f>ROUNDUP(HLOOKUP(IF(CEILING(L951,0.5)&lt;1,0.5,CEILING(L951,0.5)),'배송비 조회'!A$44:AO$56,7,0)*B$3,-2)</f>
        <v>#REF!</v>
      </c>
      <c r="S951">
        <v>0</v>
      </c>
      <c r="T951" t="str">
        <f>ROUND((Q951+R951)*0.3,-2)</f>
        <v>#REF!</v>
      </c>
      <c r="U951" t="str">
        <f>ROUND((Q951+R951)*0.4,-2)</f>
        <v>#REF!</v>
      </c>
      <c r="V951" t="str">
        <f>SUM(Q951:R951)+T951</f>
        <v>#REF!</v>
      </c>
      <c r="W951" t="str">
        <f>SUM(Q951:S951)+U951</f>
        <v>#REF!</v>
      </c>
      <c r="X951">
        <v>0</v>
      </c>
      <c r="Y951" t="str">
        <f>V951*0.038</f>
        <v>#REF!</v>
      </c>
      <c r="Z951" t="str">
        <f>V951*0.02</f>
        <v>#REF!</v>
      </c>
      <c r="AA951" t="str">
        <f>W951*0.1</f>
        <v>#REF!</v>
      </c>
      <c r="AB951" t="str">
        <f>V951-Y951-Z951</f>
        <v>#REF!</v>
      </c>
      <c r="AC951" t="str">
        <f>W951-AA951</f>
        <v>#REF!</v>
      </c>
      <c r="AD951" t="str">
        <f>AB951*0.01</f>
        <v>#REF!</v>
      </c>
      <c r="AE951" t="str">
        <f>AB951-Q951-AD951-R951</f>
        <v>#REF!</v>
      </c>
      <c r="AF951" t="str">
        <f>AC951-Q951-AD951-R951</f>
        <v>#REF!</v>
      </c>
      <c r="AG951" t="str">
        <f>AE951/V951</f>
        <v>#REF!</v>
      </c>
      <c r="AH951" t="str">
        <f>AF951/W951</f>
        <v>#REF!</v>
      </c>
    </row>
    <row r="952">
      <c r="G952" t="str">
        <v>A</v>
      </c>
      <c r="J952" t="str">
        <f>IF(K952&gt;0,K952*0.0625,IF(L952&gt;0,L952*2.204623,))</f>
        <v>#REF!</v>
      </c>
      <c r="K952" t="str">
        <f>IF(L952&gt;0,L952*35.273962,IF(J952&gt;0,J952*16,))</f>
        <v>#REF!</v>
      </c>
      <c r="L952" t="str">
        <f>IF(J952&gt;0,J952*0.453592,IF(K952&gt;0,K952*0.02835,))</f>
        <v>#REF!</v>
      </c>
      <c r="O952">
        <f>I952+N952+M952</f>
        <v>0</v>
      </c>
      <c r="P952">
        <f>O952*B$3</f>
        <v>0</v>
      </c>
      <c r="Q952">
        <f>ROUND(SUM(P952), -2)</f>
        <v>0</v>
      </c>
      <c r="R952" t="str">
        <f>ROUNDUP(HLOOKUP(IF(CEILING(L952,0.5)&lt;1,0.5,CEILING(L952,0.5)),'배송비 조회'!A$44:AO$56,7,0)*B$3,-2)</f>
        <v>#REF!</v>
      </c>
      <c r="S952">
        <v>0</v>
      </c>
      <c r="T952" t="str">
        <f>ROUND((Q952+R952)*0.3,-2)</f>
        <v>#REF!</v>
      </c>
      <c r="U952" t="str">
        <f>ROUND((Q952+R952)*0.4,-2)</f>
        <v>#REF!</v>
      </c>
      <c r="V952" t="str">
        <f>SUM(Q952:R952)+T952</f>
        <v>#REF!</v>
      </c>
      <c r="W952" t="str">
        <f>SUM(Q952:S952)+U952</f>
        <v>#REF!</v>
      </c>
      <c r="X952">
        <v>0</v>
      </c>
      <c r="Y952" t="str">
        <f>V952*0.038</f>
        <v>#REF!</v>
      </c>
      <c r="Z952" t="str">
        <f>V952*0.02</f>
        <v>#REF!</v>
      </c>
      <c r="AA952" t="str">
        <f>W952*0.1</f>
        <v>#REF!</v>
      </c>
      <c r="AB952" t="str">
        <f>V952-Y952-Z952</f>
        <v>#REF!</v>
      </c>
      <c r="AC952" t="str">
        <f>W952-AA952</f>
        <v>#REF!</v>
      </c>
      <c r="AD952" t="str">
        <f>AB952*0.01</f>
        <v>#REF!</v>
      </c>
      <c r="AE952" t="str">
        <f>AB952-Q952-AD952-R952</f>
        <v>#REF!</v>
      </c>
      <c r="AF952" t="str">
        <f>AC952-Q952-AD952-R952</f>
        <v>#REF!</v>
      </c>
      <c r="AG952" t="str">
        <f>AE952/V952</f>
        <v>#REF!</v>
      </c>
      <c r="AH952" t="str">
        <f>AF952/W952</f>
        <v>#REF!</v>
      </c>
    </row>
    <row r="953">
      <c r="G953" t="str">
        <v>A</v>
      </c>
      <c r="J953" t="str">
        <f>IF(K953&gt;0,K953*0.0625,IF(L953&gt;0,L953*2.204623,))</f>
        <v>#REF!</v>
      </c>
      <c r="K953" t="str">
        <f>IF(L953&gt;0,L953*35.273962,IF(J953&gt;0,J953*16,))</f>
        <v>#REF!</v>
      </c>
      <c r="L953" t="str">
        <f>IF(J953&gt;0,J953*0.453592,IF(K953&gt;0,K953*0.02835,))</f>
        <v>#REF!</v>
      </c>
      <c r="O953">
        <f>I953+N953+M953</f>
        <v>0</v>
      </c>
      <c r="P953">
        <f>O953*B$3</f>
        <v>0</v>
      </c>
      <c r="Q953">
        <f>ROUND(SUM(P953), -2)</f>
        <v>0</v>
      </c>
      <c r="R953" t="str">
        <f>ROUNDUP(HLOOKUP(IF(CEILING(L953,0.5)&lt;1,0.5,CEILING(L953,0.5)),'배송비 조회'!A$44:AO$56,7,0)*B$3,-2)</f>
        <v>#REF!</v>
      </c>
      <c r="S953">
        <v>0</v>
      </c>
      <c r="T953" t="str">
        <f>ROUND((Q953+R953)*0.3,-2)</f>
        <v>#REF!</v>
      </c>
      <c r="U953" t="str">
        <f>ROUND((Q953+R953)*0.4,-2)</f>
        <v>#REF!</v>
      </c>
      <c r="V953" t="str">
        <f>SUM(Q953:R953)+T953</f>
        <v>#REF!</v>
      </c>
      <c r="W953" t="str">
        <f>SUM(Q953:S953)+U953</f>
        <v>#REF!</v>
      </c>
      <c r="X953">
        <v>0</v>
      </c>
      <c r="Y953" t="str">
        <f>V953*0.038</f>
        <v>#REF!</v>
      </c>
      <c r="Z953" t="str">
        <f>V953*0.02</f>
        <v>#REF!</v>
      </c>
      <c r="AA953" t="str">
        <f>W953*0.1</f>
        <v>#REF!</v>
      </c>
      <c r="AB953" t="str">
        <f>V953-Y953-Z953</f>
        <v>#REF!</v>
      </c>
      <c r="AC953" t="str">
        <f>W953-AA953</f>
        <v>#REF!</v>
      </c>
      <c r="AD953" t="str">
        <f>AB953*0.01</f>
        <v>#REF!</v>
      </c>
      <c r="AE953" t="str">
        <f>AB953-Q953-AD953-R953</f>
        <v>#REF!</v>
      </c>
      <c r="AF953" t="str">
        <f>AC953-Q953-AD953-R953</f>
        <v>#REF!</v>
      </c>
      <c r="AG953" t="str">
        <f>AE953/V953</f>
        <v>#REF!</v>
      </c>
      <c r="AH953" t="str">
        <f>AF953/W953</f>
        <v>#REF!</v>
      </c>
    </row>
    <row r="954">
      <c r="G954" t="str">
        <v>A</v>
      </c>
      <c r="J954" t="str">
        <f>IF(K954&gt;0,K954*0.0625,IF(L954&gt;0,L954*2.204623,))</f>
        <v>#REF!</v>
      </c>
      <c r="K954" t="str">
        <f>IF(L954&gt;0,L954*35.273962,IF(J954&gt;0,J954*16,))</f>
        <v>#REF!</v>
      </c>
      <c r="L954" t="str">
        <f>IF(J954&gt;0,J954*0.453592,IF(K954&gt;0,K954*0.02835,))</f>
        <v>#REF!</v>
      </c>
      <c r="O954">
        <f>I954+N954+M954</f>
        <v>0</v>
      </c>
      <c r="P954">
        <f>O954*B$3</f>
        <v>0</v>
      </c>
      <c r="Q954">
        <f>ROUND(SUM(P954), -2)</f>
        <v>0</v>
      </c>
      <c r="R954" t="str">
        <f>ROUNDUP(HLOOKUP(IF(CEILING(L954,0.5)&lt;1,0.5,CEILING(L954,0.5)),'배송비 조회'!A$44:AO$56,7,0)*B$3,-2)</f>
        <v>#REF!</v>
      </c>
      <c r="S954">
        <v>0</v>
      </c>
      <c r="T954" t="str">
        <f>ROUND((Q954+R954)*0.3,-2)</f>
        <v>#REF!</v>
      </c>
      <c r="U954" t="str">
        <f>ROUND((Q954+R954)*0.4,-2)</f>
        <v>#REF!</v>
      </c>
      <c r="V954" t="str">
        <f>SUM(Q954:R954)+T954</f>
        <v>#REF!</v>
      </c>
      <c r="W954" t="str">
        <f>SUM(Q954:S954)+U954</f>
        <v>#REF!</v>
      </c>
      <c r="X954">
        <v>0</v>
      </c>
      <c r="Y954" t="str">
        <f>V954*0.038</f>
        <v>#REF!</v>
      </c>
      <c r="Z954" t="str">
        <f>V954*0.02</f>
        <v>#REF!</v>
      </c>
      <c r="AA954" t="str">
        <f>W954*0.1</f>
        <v>#REF!</v>
      </c>
      <c r="AB954" t="str">
        <f>V954-Y954-Z954</f>
        <v>#REF!</v>
      </c>
      <c r="AC954" t="str">
        <f>W954-AA954</f>
        <v>#REF!</v>
      </c>
      <c r="AD954" t="str">
        <f>AB954*0.01</f>
        <v>#REF!</v>
      </c>
      <c r="AE954" t="str">
        <f>AB954-Q954-AD954-R954</f>
        <v>#REF!</v>
      </c>
      <c r="AF954" t="str">
        <f>AC954-Q954-AD954-R954</f>
        <v>#REF!</v>
      </c>
      <c r="AG954" t="str">
        <f>AE954/V954</f>
        <v>#REF!</v>
      </c>
      <c r="AH954" t="str">
        <f>AF954/W954</f>
        <v>#REF!</v>
      </c>
    </row>
    <row r="955">
      <c r="G955" t="str">
        <v>A</v>
      </c>
      <c r="J955" t="str">
        <f>IF(K955&gt;0,K955*0.0625,IF(L955&gt;0,L955*2.204623,))</f>
        <v>#REF!</v>
      </c>
      <c r="K955" t="str">
        <f>IF(L955&gt;0,L955*35.273962,IF(J955&gt;0,J955*16,))</f>
        <v>#REF!</v>
      </c>
      <c r="L955" t="str">
        <f>IF(J955&gt;0,J955*0.453592,IF(K955&gt;0,K955*0.02835,))</f>
        <v>#REF!</v>
      </c>
      <c r="O955">
        <f>I955+N955+M955</f>
        <v>0</v>
      </c>
      <c r="P955">
        <f>O955*B$3</f>
        <v>0</v>
      </c>
      <c r="Q955">
        <f>ROUND(SUM(P955), -2)</f>
        <v>0</v>
      </c>
      <c r="R955" t="str">
        <f>ROUNDUP(HLOOKUP(IF(CEILING(L955,0.5)&lt;1,0.5,CEILING(L955,0.5)),'배송비 조회'!A$44:AO$56,7,0)*B$3,-2)</f>
        <v>#REF!</v>
      </c>
      <c r="S955">
        <v>0</v>
      </c>
      <c r="T955" t="str">
        <f>ROUND((Q955+R955)*0.3,-2)</f>
        <v>#REF!</v>
      </c>
      <c r="U955" t="str">
        <f>ROUND((Q955+R955)*0.4,-2)</f>
        <v>#REF!</v>
      </c>
      <c r="V955" t="str">
        <f>SUM(Q955:R955)+T955</f>
        <v>#REF!</v>
      </c>
      <c r="W955" t="str">
        <f>SUM(Q955:S955)+U955</f>
        <v>#REF!</v>
      </c>
      <c r="X955">
        <v>0</v>
      </c>
      <c r="Y955" t="str">
        <f>V955*0.038</f>
        <v>#REF!</v>
      </c>
      <c r="Z955" t="str">
        <f>V955*0.02</f>
        <v>#REF!</v>
      </c>
      <c r="AA955" t="str">
        <f>W955*0.1</f>
        <v>#REF!</v>
      </c>
      <c r="AB955" t="str">
        <f>V955-Y955-Z955</f>
        <v>#REF!</v>
      </c>
      <c r="AC955" t="str">
        <f>W955-AA955</f>
        <v>#REF!</v>
      </c>
      <c r="AD955" t="str">
        <f>AB955*0.01</f>
        <v>#REF!</v>
      </c>
      <c r="AE955" t="str">
        <f>AB955-Q955-AD955-R955</f>
        <v>#REF!</v>
      </c>
      <c r="AF955" t="str">
        <f>AC955-Q955-AD955-R955</f>
        <v>#REF!</v>
      </c>
      <c r="AG955" t="str">
        <f>AE955/V955</f>
        <v>#REF!</v>
      </c>
      <c r="AH955" t="str">
        <f>AF955/W955</f>
        <v>#REF!</v>
      </c>
    </row>
    <row r="956">
      <c r="G956" t="str">
        <v>A</v>
      </c>
      <c r="J956" t="str">
        <f>IF(K956&gt;0,K956*0.0625,IF(L956&gt;0,L956*2.204623,))</f>
        <v>#REF!</v>
      </c>
      <c r="K956" t="str">
        <f>IF(L956&gt;0,L956*35.273962,IF(J956&gt;0,J956*16,))</f>
        <v>#REF!</v>
      </c>
      <c r="L956" t="str">
        <f>IF(J956&gt;0,J956*0.453592,IF(K956&gt;0,K956*0.02835,))</f>
        <v>#REF!</v>
      </c>
      <c r="O956">
        <f>I956+N956+M956</f>
        <v>0</v>
      </c>
      <c r="P956">
        <f>O956*B$3</f>
        <v>0</v>
      </c>
      <c r="Q956">
        <f>ROUND(SUM(P956), -2)</f>
        <v>0</v>
      </c>
      <c r="R956" t="str">
        <f>ROUNDUP(HLOOKUP(IF(CEILING(L956,0.5)&lt;1,0.5,CEILING(L956,0.5)),'배송비 조회'!A$44:AO$56,7,0)*B$3,-2)</f>
        <v>#REF!</v>
      </c>
      <c r="S956">
        <v>0</v>
      </c>
      <c r="T956" t="str">
        <f>ROUND((Q956+R956)*0.3,-2)</f>
        <v>#REF!</v>
      </c>
      <c r="U956" t="str">
        <f>ROUND((Q956+R956)*0.4,-2)</f>
        <v>#REF!</v>
      </c>
      <c r="V956" t="str">
        <f>SUM(Q956:R956)+T956</f>
        <v>#REF!</v>
      </c>
      <c r="W956" t="str">
        <f>SUM(Q956:S956)+U956</f>
        <v>#REF!</v>
      </c>
      <c r="X956">
        <v>0</v>
      </c>
      <c r="Y956" t="str">
        <f>V956*0.038</f>
        <v>#REF!</v>
      </c>
      <c r="Z956" t="str">
        <f>V956*0.02</f>
        <v>#REF!</v>
      </c>
      <c r="AA956" t="str">
        <f>W956*0.1</f>
        <v>#REF!</v>
      </c>
      <c r="AB956" t="str">
        <f>V956-Y956-Z956</f>
        <v>#REF!</v>
      </c>
      <c r="AC956" t="str">
        <f>W956-AA956</f>
        <v>#REF!</v>
      </c>
      <c r="AD956" t="str">
        <f>AB956*0.01</f>
        <v>#REF!</v>
      </c>
      <c r="AE956" t="str">
        <f>AB956-Q956-AD956-R956</f>
        <v>#REF!</v>
      </c>
      <c r="AF956" t="str">
        <f>AC956-Q956-AD956-R956</f>
        <v>#REF!</v>
      </c>
      <c r="AG956" t="str">
        <f>AE956/V956</f>
        <v>#REF!</v>
      </c>
      <c r="AH956" t="str">
        <f>AF956/W956</f>
        <v>#REF!</v>
      </c>
    </row>
    <row r="957">
      <c r="G957" t="str">
        <v>A</v>
      </c>
      <c r="J957" t="str">
        <f>IF(K957&gt;0,K957*0.0625,IF(L957&gt;0,L957*2.204623,))</f>
        <v>#REF!</v>
      </c>
      <c r="K957" t="str">
        <f>IF(L957&gt;0,L957*35.273962,IF(J957&gt;0,J957*16,))</f>
        <v>#REF!</v>
      </c>
      <c r="L957" t="str">
        <f>IF(J957&gt;0,J957*0.453592,IF(K957&gt;0,K957*0.02835,))</f>
        <v>#REF!</v>
      </c>
      <c r="O957">
        <f>I957+N957+M957</f>
        <v>0</v>
      </c>
      <c r="P957">
        <f>O957*B$3</f>
        <v>0</v>
      </c>
      <c r="Q957">
        <f>ROUND(SUM(P957), -2)</f>
        <v>0</v>
      </c>
      <c r="R957" t="str">
        <f>ROUNDUP(HLOOKUP(IF(CEILING(L957,0.5)&lt;1,0.5,CEILING(L957,0.5)),'배송비 조회'!A$44:AO$56,7,0)*B$3,-2)</f>
        <v>#REF!</v>
      </c>
      <c r="S957">
        <v>0</v>
      </c>
      <c r="T957" t="str">
        <f>ROUND((Q957+R957)*0.3,-2)</f>
        <v>#REF!</v>
      </c>
      <c r="U957" t="str">
        <f>ROUND((Q957+R957)*0.4,-2)</f>
        <v>#REF!</v>
      </c>
      <c r="V957" t="str">
        <f>SUM(Q957:R957)+T957</f>
        <v>#REF!</v>
      </c>
      <c r="W957" t="str">
        <f>SUM(Q957:S957)+U957</f>
        <v>#REF!</v>
      </c>
      <c r="X957">
        <v>0</v>
      </c>
      <c r="Y957" t="str">
        <f>V957*0.038</f>
        <v>#REF!</v>
      </c>
      <c r="Z957" t="str">
        <f>V957*0.02</f>
        <v>#REF!</v>
      </c>
      <c r="AA957" t="str">
        <f>W957*0.1</f>
        <v>#REF!</v>
      </c>
      <c r="AB957" t="str">
        <f>V957-Y957-Z957</f>
        <v>#REF!</v>
      </c>
      <c r="AC957" t="str">
        <f>W957-AA957</f>
        <v>#REF!</v>
      </c>
      <c r="AD957" t="str">
        <f>AB957*0.01</f>
        <v>#REF!</v>
      </c>
      <c r="AE957" t="str">
        <f>AB957-Q957-AD957-R957</f>
        <v>#REF!</v>
      </c>
      <c r="AF957" t="str">
        <f>AC957-Q957-AD957-R957</f>
        <v>#REF!</v>
      </c>
      <c r="AG957" t="str">
        <f>AE957/V957</f>
        <v>#REF!</v>
      </c>
      <c r="AH957" t="str">
        <f>AF957/W957</f>
        <v>#REF!</v>
      </c>
    </row>
    <row r="958">
      <c r="G958" t="str">
        <v>A</v>
      </c>
      <c r="J958" t="str">
        <f>IF(K958&gt;0,K958*0.0625,IF(L958&gt;0,L958*2.204623,))</f>
        <v>#REF!</v>
      </c>
      <c r="K958" t="str">
        <f>IF(L958&gt;0,L958*35.273962,IF(J958&gt;0,J958*16,))</f>
        <v>#REF!</v>
      </c>
      <c r="L958" t="str">
        <f>IF(J958&gt;0,J958*0.453592,IF(K958&gt;0,K958*0.02835,))</f>
        <v>#REF!</v>
      </c>
      <c r="O958">
        <f>I958+N958+M958</f>
        <v>0</v>
      </c>
      <c r="P958">
        <f>O958*B$3</f>
        <v>0</v>
      </c>
      <c r="Q958">
        <f>ROUND(SUM(P958), -2)</f>
        <v>0</v>
      </c>
      <c r="R958" t="str">
        <f>ROUNDUP(HLOOKUP(IF(CEILING(L958,0.5)&lt;1,0.5,CEILING(L958,0.5)),'배송비 조회'!A$44:AO$56,7,0)*B$3,-2)</f>
        <v>#REF!</v>
      </c>
      <c r="S958">
        <v>0</v>
      </c>
      <c r="T958" t="str">
        <f>ROUND((Q958+R958)*0.3,-2)</f>
        <v>#REF!</v>
      </c>
      <c r="U958" t="str">
        <f>ROUND((Q958+R958)*0.4,-2)</f>
        <v>#REF!</v>
      </c>
      <c r="V958" t="str">
        <f>SUM(Q958:R958)+T958</f>
        <v>#REF!</v>
      </c>
      <c r="W958" t="str">
        <f>SUM(Q958:S958)+U958</f>
        <v>#REF!</v>
      </c>
      <c r="X958">
        <v>0</v>
      </c>
      <c r="Y958" t="str">
        <f>V958*0.038</f>
        <v>#REF!</v>
      </c>
      <c r="Z958" t="str">
        <f>V958*0.02</f>
        <v>#REF!</v>
      </c>
      <c r="AA958" t="str">
        <f>W958*0.1</f>
        <v>#REF!</v>
      </c>
      <c r="AB958" t="str">
        <f>V958-Y958-Z958</f>
        <v>#REF!</v>
      </c>
      <c r="AC958" t="str">
        <f>W958-AA958</f>
        <v>#REF!</v>
      </c>
      <c r="AD958" t="str">
        <f>AB958*0.01</f>
        <v>#REF!</v>
      </c>
      <c r="AE958" t="str">
        <f>AB958-Q958-AD958-R958</f>
        <v>#REF!</v>
      </c>
      <c r="AF958" t="str">
        <f>AC958-Q958-AD958-R958</f>
        <v>#REF!</v>
      </c>
      <c r="AG958" t="str">
        <f>AE958/V958</f>
        <v>#REF!</v>
      </c>
      <c r="AH958" t="str">
        <f>AF958/W958</f>
        <v>#REF!</v>
      </c>
    </row>
    <row r="959">
      <c r="G959" t="str">
        <v>A</v>
      </c>
      <c r="J959" t="str">
        <f>IF(K959&gt;0,K959*0.0625,IF(L959&gt;0,L959*2.204623,))</f>
        <v>#REF!</v>
      </c>
      <c r="K959" t="str">
        <f>IF(L959&gt;0,L959*35.273962,IF(J959&gt;0,J959*16,))</f>
        <v>#REF!</v>
      </c>
      <c r="L959" t="str">
        <f>IF(J959&gt;0,J959*0.453592,IF(K959&gt;0,K959*0.02835,))</f>
        <v>#REF!</v>
      </c>
      <c r="O959">
        <f>I959+N959+M959</f>
        <v>0</v>
      </c>
      <c r="P959">
        <f>O959*B$3</f>
        <v>0</v>
      </c>
      <c r="Q959">
        <f>ROUND(SUM(P959), -2)</f>
        <v>0</v>
      </c>
      <c r="R959" t="str">
        <f>ROUNDUP(HLOOKUP(IF(CEILING(L959,0.5)&lt;1,0.5,CEILING(L959,0.5)),'배송비 조회'!A$44:AO$56,7,0)*B$3,-2)</f>
        <v>#REF!</v>
      </c>
      <c r="S959">
        <v>0</v>
      </c>
      <c r="T959" t="str">
        <f>ROUND((Q959+R959)*0.3,-2)</f>
        <v>#REF!</v>
      </c>
      <c r="U959" t="str">
        <f>ROUND((Q959+R959)*0.4,-2)</f>
        <v>#REF!</v>
      </c>
      <c r="V959" t="str">
        <f>SUM(Q959:R959)+T959</f>
        <v>#REF!</v>
      </c>
      <c r="W959" t="str">
        <f>SUM(Q959:S959)+U959</f>
        <v>#REF!</v>
      </c>
      <c r="X959">
        <v>0</v>
      </c>
      <c r="Y959" t="str">
        <f>V959*0.038</f>
        <v>#REF!</v>
      </c>
      <c r="Z959" t="str">
        <f>V959*0.02</f>
        <v>#REF!</v>
      </c>
      <c r="AA959" t="str">
        <f>W959*0.1</f>
        <v>#REF!</v>
      </c>
      <c r="AB959" t="str">
        <f>V959-Y959-Z959</f>
        <v>#REF!</v>
      </c>
      <c r="AC959" t="str">
        <f>W959-AA959</f>
        <v>#REF!</v>
      </c>
      <c r="AD959" t="str">
        <f>AB959*0.01</f>
        <v>#REF!</v>
      </c>
      <c r="AE959" t="str">
        <f>AB959-Q959-AD959-R959</f>
        <v>#REF!</v>
      </c>
      <c r="AF959" t="str">
        <f>AC959-Q959-AD959-R959</f>
        <v>#REF!</v>
      </c>
      <c r="AG959" t="str">
        <f>AE959/V959</f>
        <v>#REF!</v>
      </c>
      <c r="AH959" t="str">
        <f>AF959/W959</f>
        <v>#REF!</v>
      </c>
    </row>
    <row r="960">
      <c r="G960" t="str">
        <v>A</v>
      </c>
      <c r="J960" t="str">
        <f>IF(K960&gt;0,K960*0.0625,IF(L960&gt;0,L960*2.204623,))</f>
        <v>#REF!</v>
      </c>
      <c r="K960" t="str">
        <f>IF(L960&gt;0,L960*35.273962,IF(J960&gt;0,J960*16,))</f>
        <v>#REF!</v>
      </c>
      <c r="L960" t="str">
        <f>IF(J960&gt;0,J960*0.453592,IF(K960&gt;0,K960*0.02835,))</f>
        <v>#REF!</v>
      </c>
      <c r="O960">
        <f>I960+N960+M960</f>
        <v>0</v>
      </c>
      <c r="P960">
        <f>O960*B$3</f>
        <v>0</v>
      </c>
      <c r="Q960">
        <f>ROUND(SUM(P960), -2)</f>
        <v>0</v>
      </c>
      <c r="R960" t="str">
        <f>ROUNDUP(HLOOKUP(IF(CEILING(L960,0.5)&lt;1,0.5,CEILING(L960,0.5)),'배송비 조회'!A$44:AO$56,7,0)*B$3,-2)</f>
        <v>#REF!</v>
      </c>
      <c r="S960">
        <v>0</v>
      </c>
      <c r="T960" t="str">
        <f>ROUND((Q960+R960)*0.3,-2)</f>
        <v>#REF!</v>
      </c>
      <c r="U960" t="str">
        <f>ROUND((Q960+R960)*0.4,-2)</f>
        <v>#REF!</v>
      </c>
      <c r="V960" t="str">
        <f>SUM(Q960:R960)+T960</f>
        <v>#REF!</v>
      </c>
      <c r="W960" t="str">
        <f>SUM(Q960:S960)+U960</f>
        <v>#REF!</v>
      </c>
      <c r="X960">
        <v>0</v>
      </c>
      <c r="Y960" t="str">
        <f>V960*0.038</f>
        <v>#REF!</v>
      </c>
      <c r="Z960" t="str">
        <f>V960*0.02</f>
        <v>#REF!</v>
      </c>
      <c r="AA960" t="str">
        <f>W960*0.1</f>
        <v>#REF!</v>
      </c>
      <c r="AB960" t="str">
        <f>V960-Y960-Z960</f>
        <v>#REF!</v>
      </c>
      <c r="AC960" t="str">
        <f>W960-AA960</f>
        <v>#REF!</v>
      </c>
      <c r="AD960" t="str">
        <f>AB960*0.01</f>
        <v>#REF!</v>
      </c>
      <c r="AE960" t="str">
        <f>AB960-Q960-AD960-R960</f>
        <v>#REF!</v>
      </c>
      <c r="AF960" t="str">
        <f>AC960-Q960-AD960-R960</f>
        <v>#REF!</v>
      </c>
      <c r="AG960" t="str">
        <f>AE960/V960</f>
        <v>#REF!</v>
      </c>
      <c r="AH960" t="str">
        <f>AF960/W960</f>
        <v>#REF!</v>
      </c>
    </row>
    <row r="961">
      <c r="G961" t="str">
        <v>A</v>
      </c>
      <c r="J961" t="str">
        <f>IF(K961&gt;0,K961*0.0625,IF(L961&gt;0,L961*2.204623,))</f>
        <v>#REF!</v>
      </c>
      <c r="K961" t="str">
        <f>IF(L961&gt;0,L961*35.273962,IF(J961&gt;0,J961*16,))</f>
        <v>#REF!</v>
      </c>
      <c r="L961" t="str">
        <f>IF(J961&gt;0,J961*0.453592,IF(K961&gt;0,K961*0.02835,))</f>
        <v>#REF!</v>
      </c>
      <c r="O961">
        <f>I961+N961+M961</f>
        <v>0</v>
      </c>
      <c r="P961">
        <f>O961*B$3</f>
        <v>0</v>
      </c>
      <c r="Q961">
        <f>ROUND(SUM(P961), -2)</f>
        <v>0</v>
      </c>
      <c r="R961" t="str">
        <f>ROUNDUP(HLOOKUP(IF(CEILING(L961,0.5)&lt;1,0.5,CEILING(L961,0.5)),'배송비 조회'!A$44:AO$56,7,0)*B$3,-2)</f>
        <v>#REF!</v>
      </c>
      <c r="S961">
        <v>0</v>
      </c>
      <c r="T961" t="str">
        <f>ROUND((Q961+R961)*0.3,-2)</f>
        <v>#REF!</v>
      </c>
      <c r="U961" t="str">
        <f>ROUND((Q961+R961)*0.4,-2)</f>
        <v>#REF!</v>
      </c>
      <c r="V961" t="str">
        <f>SUM(Q961:R961)+T961</f>
        <v>#REF!</v>
      </c>
      <c r="W961" t="str">
        <f>SUM(Q961:S961)+U961</f>
        <v>#REF!</v>
      </c>
      <c r="X961">
        <v>0</v>
      </c>
      <c r="Y961" t="str">
        <f>V961*0.038</f>
        <v>#REF!</v>
      </c>
      <c r="Z961" t="str">
        <f>V961*0.02</f>
        <v>#REF!</v>
      </c>
      <c r="AA961" t="str">
        <f>W961*0.1</f>
        <v>#REF!</v>
      </c>
      <c r="AB961" t="str">
        <f>V961-Y961-Z961</f>
        <v>#REF!</v>
      </c>
      <c r="AC961" t="str">
        <f>W961-AA961</f>
        <v>#REF!</v>
      </c>
      <c r="AD961" t="str">
        <f>AB961*0.01</f>
        <v>#REF!</v>
      </c>
      <c r="AE961" t="str">
        <f>AB961-Q961-AD961-R961</f>
        <v>#REF!</v>
      </c>
      <c r="AF961" t="str">
        <f>AC961-Q961-AD961-R961</f>
        <v>#REF!</v>
      </c>
      <c r="AG961" t="str">
        <f>AE961/V961</f>
        <v>#REF!</v>
      </c>
      <c r="AH961" t="str">
        <f>AF961/W961</f>
        <v>#REF!</v>
      </c>
    </row>
    <row r="962">
      <c r="G962" t="str">
        <v>A</v>
      </c>
      <c r="J962" t="str">
        <f>IF(K962&gt;0,K962*0.0625,IF(L962&gt;0,L962*2.204623,))</f>
        <v>#REF!</v>
      </c>
      <c r="K962" t="str">
        <f>IF(L962&gt;0,L962*35.273962,IF(J962&gt;0,J962*16,))</f>
        <v>#REF!</v>
      </c>
      <c r="L962" t="str">
        <f>IF(J962&gt;0,J962*0.453592,IF(K962&gt;0,K962*0.02835,))</f>
        <v>#REF!</v>
      </c>
      <c r="O962">
        <f>I962+N962+M962</f>
        <v>0</v>
      </c>
      <c r="P962">
        <f>O962*B$3</f>
        <v>0</v>
      </c>
      <c r="Q962">
        <f>ROUND(SUM(P962), -2)</f>
        <v>0</v>
      </c>
      <c r="R962" t="str">
        <f>ROUNDUP(HLOOKUP(IF(CEILING(L962,0.5)&lt;1,0.5,CEILING(L962,0.5)),'배송비 조회'!A$44:AO$56,7,0)*B$3,-2)</f>
        <v>#REF!</v>
      </c>
      <c r="S962">
        <v>0</v>
      </c>
      <c r="T962" t="str">
        <f>ROUND((Q962+R962)*0.3,-2)</f>
        <v>#REF!</v>
      </c>
      <c r="U962" t="str">
        <f>ROUND((Q962+R962)*0.4,-2)</f>
        <v>#REF!</v>
      </c>
      <c r="V962" t="str">
        <f>SUM(Q962:R962)+T962</f>
        <v>#REF!</v>
      </c>
      <c r="W962" t="str">
        <f>SUM(Q962:S962)+U962</f>
        <v>#REF!</v>
      </c>
      <c r="X962">
        <v>0</v>
      </c>
      <c r="Y962" t="str">
        <f>V962*0.038</f>
        <v>#REF!</v>
      </c>
      <c r="Z962" t="str">
        <f>V962*0.02</f>
        <v>#REF!</v>
      </c>
      <c r="AA962" t="str">
        <f>W962*0.1</f>
        <v>#REF!</v>
      </c>
      <c r="AB962" t="str">
        <f>V962-Y962-Z962</f>
        <v>#REF!</v>
      </c>
      <c r="AC962" t="str">
        <f>W962-AA962</f>
        <v>#REF!</v>
      </c>
      <c r="AD962" t="str">
        <f>AB962*0.01</f>
        <v>#REF!</v>
      </c>
      <c r="AE962" t="str">
        <f>AB962-Q962-AD962-R962</f>
        <v>#REF!</v>
      </c>
      <c r="AF962" t="str">
        <f>AC962-Q962-AD962-R962</f>
        <v>#REF!</v>
      </c>
      <c r="AG962" t="str">
        <f>AE962/V962</f>
        <v>#REF!</v>
      </c>
      <c r="AH962" t="str">
        <f>AF962/W962</f>
        <v>#REF!</v>
      </c>
    </row>
    <row r="963">
      <c r="G963" t="str">
        <v>A</v>
      </c>
      <c r="J963" t="str">
        <f>IF(K963&gt;0,K963*0.0625,IF(L963&gt;0,L963*2.204623,))</f>
        <v>#REF!</v>
      </c>
      <c r="K963" t="str">
        <f>IF(L963&gt;0,L963*35.273962,IF(J963&gt;0,J963*16,))</f>
        <v>#REF!</v>
      </c>
      <c r="L963" t="str">
        <f>IF(J963&gt;0,J963*0.453592,IF(K963&gt;0,K963*0.02835,))</f>
        <v>#REF!</v>
      </c>
      <c r="O963">
        <f>I963+N963+M963</f>
        <v>0</v>
      </c>
      <c r="P963">
        <f>O963*B$3</f>
        <v>0</v>
      </c>
      <c r="Q963">
        <f>ROUND(SUM(P963), -2)</f>
        <v>0</v>
      </c>
      <c r="R963" t="str">
        <f>ROUNDUP(HLOOKUP(IF(CEILING(L963,0.5)&lt;1,0.5,CEILING(L963,0.5)),'배송비 조회'!A$44:AO$56,7,0)*B$3,-2)</f>
        <v>#REF!</v>
      </c>
      <c r="S963">
        <v>0</v>
      </c>
      <c r="T963" t="str">
        <f>ROUND((Q963+R963)*0.3,-2)</f>
        <v>#REF!</v>
      </c>
      <c r="U963" t="str">
        <f>ROUND((Q963+R963)*0.4,-2)</f>
        <v>#REF!</v>
      </c>
      <c r="V963" t="str">
        <f>SUM(Q963:R963)+T963</f>
        <v>#REF!</v>
      </c>
      <c r="W963" t="str">
        <f>SUM(Q963:S963)+U963</f>
        <v>#REF!</v>
      </c>
      <c r="X963">
        <v>0</v>
      </c>
      <c r="Y963" t="str">
        <f>V963*0.038</f>
        <v>#REF!</v>
      </c>
      <c r="Z963" t="str">
        <f>V963*0.02</f>
        <v>#REF!</v>
      </c>
      <c r="AA963" t="str">
        <f>W963*0.1</f>
        <v>#REF!</v>
      </c>
      <c r="AB963" t="str">
        <f>V963-Y963-Z963</f>
        <v>#REF!</v>
      </c>
      <c r="AC963" t="str">
        <f>W963-AA963</f>
        <v>#REF!</v>
      </c>
      <c r="AD963" t="str">
        <f>AB963*0.01</f>
        <v>#REF!</v>
      </c>
      <c r="AE963" t="str">
        <f>AB963-Q963-AD963-R963</f>
        <v>#REF!</v>
      </c>
      <c r="AF963" t="str">
        <f>AC963-Q963-AD963-R963</f>
        <v>#REF!</v>
      </c>
      <c r="AG963" t="str">
        <f>AE963/V963</f>
        <v>#REF!</v>
      </c>
      <c r="AH963" t="str">
        <f>AF963/W963</f>
        <v>#REF!</v>
      </c>
    </row>
    <row r="964">
      <c r="G964" t="str">
        <v>A</v>
      </c>
      <c r="J964" t="str">
        <f>IF(K964&gt;0,K964*0.0625,IF(L964&gt;0,L964*2.204623,))</f>
        <v>#REF!</v>
      </c>
      <c r="K964" t="str">
        <f>IF(L964&gt;0,L964*35.273962,IF(J964&gt;0,J964*16,))</f>
        <v>#REF!</v>
      </c>
      <c r="L964" t="str">
        <f>IF(J964&gt;0,J964*0.453592,IF(K964&gt;0,K964*0.02835,))</f>
        <v>#REF!</v>
      </c>
      <c r="O964">
        <f>I964+N964+M964</f>
        <v>0</v>
      </c>
      <c r="P964">
        <f>O964*B$3</f>
        <v>0</v>
      </c>
      <c r="Q964">
        <f>ROUND(SUM(P964), -2)</f>
        <v>0</v>
      </c>
      <c r="R964" t="str">
        <f>ROUNDUP(HLOOKUP(IF(CEILING(L964,0.5)&lt;1,0.5,CEILING(L964,0.5)),'배송비 조회'!A$44:AO$56,7,0)*B$3,-2)</f>
        <v>#REF!</v>
      </c>
      <c r="S964">
        <v>0</v>
      </c>
      <c r="T964" t="str">
        <f>ROUND((Q964+R964)*0.3,-2)</f>
        <v>#REF!</v>
      </c>
      <c r="U964" t="str">
        <f>ROUND((Q964+R964)*0.4,-2)</f>
        <v>#REF!</v>
      </c>
      <c r="V964" t="str">
        <f>SUM(Q964:R964)+T964</f>
        <v>#REF!</v>
      </c>
      <c r="W964" t="str">
        <f>SUM(Q964:S964)+U964</f>
        <v>#REF!</v>
      </c>
      <c r="X964">
        <v>0</v>
      </c>
      <c r="Y964" t="str">
        <f>V964*0.038</f>
        <v>#REF!</v>
      </c>
      <c r="Z964" t="str">
        <f>V964*0.02</f>
        <v>#REF!</v>
      </c>
      <c r="AA964" t="str">
        <f>W964*0.1</f>
        <v>#REF!</v>
      </c>
      <c r="AB964" t="str">
        <f>V964-Y964-Z964</f>
        <v>#REF!</v>
      </c>
      <c r="AC964" t="str">
        <f>W964-AA964</f>
        <v>#REF!</v>
      </c>
      <c r="AD964" t="str">
        <f>AB964*0.01</f>
        <v>#REF!</v>
      </c>
      <c r="AE964" t="str">
        <f>AB964-Q964-AD964-R964</f>
        <v>#REF!</v>
      </c>
      <c r="AF964" t="str">
        <f>AC964-Q964-AD964-R964</f>
        <v>#REF!</v>
      </c>
      <c r="AG964" t="str">
        <f>AE964/V964</f>
        <v>#REF!</v>
      </c>
      <c r="AH964" t="str">
        <f>AF964/W964</f>
        <v>#REF!</v>
      </c>
    </row>
    <row r="965">
      <c r="G965" t="str">
        <v>A</v>
      </c>
      <c r="J965" t="str">
        <f>IF(K965&gt;0,K965*0.0625,IF(L965&gt;0,L965*2.204623,))</f>
        <v>#REF!</v>
      </c>
      <c r="K965" t="str">
        <f>IF(L965&gt;0,L965*35.273962,IF(J965&gt;0,J965*16,))</f>
        <v>#REF!</v>
      </c>
      <c r="L965" t="str">
        <f>IF(J965&gt;0,J965*0.453592,IF(K965&gt;0,K965*0.02835,))</f>
        <v>#REF!</v>
      </c>
      <c r="O965">
        <f>I965+N965+M965</f>
        <v>0</v>
      </c>
      <c r="P965">
        <f>O965*B$3</f>
        <v>0</v>
      </c>
      <c r="Q965">
        <f>ROUND(SUM(P965), -2)</f>
        <v>0</v>
      </c>
      <c r="R965" t="str">
        <f>ROUNDUP(HLOOKUP(IF(CEILING(L965,0.5)&lt;1,0.5,CEILING(L965,0.5)),'배송비 조회'!A$44:AO$56,7,0)*B$3,-2)</f>
        <v>#REF!</v>
      </c>
      <c r="S965">
        <v>0</v>
      </c>
      <c r="T965" t="str">
        <f>ROUND((Q965+R965)*0.3,-2)</f>
        <v>#REF!</v>
      </c>
      <c r="U965" t="str">
        <f>ROUND((Q965+R965)*0.4,-2)</f>
        <v>#REF!</v>
      </c>
      <c r="V965" t="str">
        <f>SUM(Q965:R965)+T965</f>
        <v>#REF!</v>
      </c>
      <c r="W965" t="str">
        <f>SUM(Q965:S965)+U965</f>
        <v>#REF!</v>
      </c>
      <c r="X965">
        <v>0</v>
      </c>
      <c r="Y965" t="str">
        <f>V965*0.038</f>
        <v>#REF!</v>
      </c>
      <c r="Z965" t="str">
        <f>V965*0.02</f>
        <v>#REF!</v>
      </c>
      <c r="AA965" t="str">
        <f>W965*0.1</f>
        <v>#REF!</v>
      </c>
      <c r="AB965" t="str">
        <f>V965-Y965-Z965</f>
        <v>#REF!</v>
      </c>
      <c r="AC965" t="str">
        <f>W965-AA965</f>
        <v>#REF!</v>
      </c>
      <c r="AD965" t="str">
        <f>AB965*0.01</f>
        <v>#REF!</v>
      </c>
      <c r="AE965" t="str">
        <f>AB965-Q965-AD965-R965</f>
        <v>#REF!</v>
      </c>
      <c r="AF965" t="str">
        <f>AC965-Q965-AD965-R965</f>
        <v>#REF!</v>
      </c>
      <c r="AG965" t="str">
        <f>AE965/V965</f>
        <v>#REF!</v>
      </c>
      <c r="AH965" t="str">
        <f>AF965/W965</f>
        <v>#REF!</v>
      </c>
    </row>
    <row r="966">
      <c r="G966" t="str">
        <v>A</v>
      </c>
      <c r="J966" t="str">
        <f>IF(K966&gt;0,K966*0.0625,IF(L966&gt;0,L966*2.204623,))</f>
        <v>#REF!</v>
      </c>
      <c r="K966" t="str">
        <f>IF(L966&gt;0,L966*35.273962,IF(J966&gt;0,J966*16,))</f>
        <v>#REF!</v>
      </c>
      <c r="L966" t="str">
        <f>IF(J966&gt;0,J966*0.453592,IF(K966&gt;0,K966*0.02835,))</f>
        <v>#REF!</v>
      </c>
      <c r="O966">
        <f>I966+N966+M966</f>
        <v>0</v>
      </c>
      <c r="P966">
        <f>O966*B$3</f>
        <v>0</v>
      </c>
      <c r="Q966">
        <f>ROUND(SUM(P966), -2)</f>
        <v>0</v>
      </c>
      <c r="R966" t="str">
        <f>ROUNDUP(HLOOKUP(IF(CEILING(L966,0.5)&lt;1,0.5,CEILING(L966,0.5)),'배송비 조회'!A$44:AO$56,7,0)*B$3,-2)</f>
        <v>#REF!</v>
      </c>
      <c r="S966">
        <v>0</v>
      </c>
      <c r="T966" t="str">
        <f>ROUND((Q966+R966)*0.3,-2)</f>
        <v>#REF!</v>
      </c>
      <c r="U966" t="str">
        <f>ROUND((Q966+R966)*0.4,-2)</f>
        <v>#REF!</v>
      </c>
      <c r="V966" t="str">
        <f>SUM(Q966:R966)+T966</f>
        <v>#REF!</v>
      </c>
      <c r="W966" t="str">
        <f>SUM(Q966:S966)+U966</f>
        <v>#REF!</v>
      </c>
      <c r="X966">
        <v>0</v>
      </c>
      <c r="Y966" t="str">
        <f>V966*0.038</f>
        <v>#REF!</v>
      </c>
      <c r="Z966" t="str">
        <f>V966*0.02</f>
        <v>#REF!</v>
      </c>
      <c r="AA966" t="str">
        <f>W966*0.1</f>
        <v>#REF!</v>
      </c>
      <c r="AB966" t="str">
        <f>V966-Y966-Z966</f>
        <v>#REF!</v>
      </c>
      <c r="AC966" t="str">
        <f>W966-AA966</f>
        <v>#REF!</v>
      </c>
      <c r="AD966" t="str">
        <f>AB966*0.01</f>
        <v>#REF!</v>
      </c>
      <c r="AE966" t="str">
        <f>AB966-Q966-AD966-R966</f>
        <v>#REF!</v>
      </c>
      <c r="AF966" t="str">
        <f>AC966-Q966-AD966-R966</f>
        <v>#REF!</v>
      </c>
      <c r="AG966" t="str">
        <f>AE966/V966</f>
        <v>#REF!</v>
      </c>
      <c r="AH966" t="str">
        <f>AF966/W966</f>
        <v>#REF!</v>
      </c>
    </row>
    <row r="967">
      <c r="G967" t="str">
        <v>A</v>
      </c>
      <c r="J967" t="str">
        <f>IF(K967&gt;0,K967*0.0625,IF(L967&gt;0,L967*2.204623,))</f>
        <v>#REF!</v>
      </c>
      <c r="K967" t="str">
        <f>IF(L967&gt;0,L967*35.273962,IF(J967&gt;0,J967*16,))</f>
        <v>#REF!</v>
      </c>
      <c r="L967" t="str">
        <f>IF(J967&gt;0,J967*0.453592,IF(K967&gt;0,K967*0.02835,))</f>
        <v>#REF!</v>
      </c>
      <c r="O967">
        <f>I967+N967+M967</f>
        <v>0</v>
      </c>
      <c r="P967">
        <f>O967*B$3</f>
        <v>0</v>
      </c>
      <c r="Q967">
        <f>ROUND(SUM(P967), -2)</f>
        <v>0</v>
      </c>
      <c r="R967" t="str">
        <f>ROUNDUP(HLOOKUP(IF(CEILING(L967,0.5)&lt;1,0.5,CEILING(L967,0.5)),'배송비 조회'!A$44:AO$56,7,0)*B$3,-2)</f>
        <v>#REF!</v>
      </c>
      <c r="S967">
        <v>0</v>
      </c>
      <c r="T967" t="str">
        <f>ROUND((Q967+R967)*0.3,-2)</f>
        <v>#REF!</v>
      </c>
      <c r="U967" t="str">
        <f>ROUND((Q967+R967)*0.4,-2)</f>
        <v>#REF!</v>
      </c>
      <c r="V967" t="str">
        <f>SUM(Q967:R967)+T967</f>
        <v>#REF!</v>
      </c>
      <c r="W967" t="str">
        <f>SUM(Q967:S967)+U967</f>
        <v>#REF!</v>
      </c>
      <c r="X967">
        <v>0</v>
      </c>
      <c r="Y967" t="str">
        <f>V967*0.038</f>
        <v>#REF!</v>
      </c>
      <c r="Z967" t="str">
        <f>V967*0.02</f>
        <v>#REF!</v>
      </c>
      <c r="AA967" t="str">
        <f>W967*0.1</f>
        <v>#REF!</v>
      </c>
      <c r="AB967" t="str">
        <f>V967-Y967-Z967</f>
        <v>#REF!</v>
      </c>
      <c r="AC967" t="str">
        <f>W967-AA967</f>
        <v>#REF!</v>
      </c>
      <c r="AD967" t="str">
        <f>AB967*0.01</f>
        <v>#REF!</v>
      </c>
      <c r="AE967" t="str">
        <f>AB967-Q967-AD967-R967</f>
        <v>#REF!</v>
      </c>
      <c r="AF967" t="str">
        <f>AC967-Q967-AD967-R967</f>
        <v>#REF!</v>
      </c>
      <c r="AG967" t="str">
        <f>AE967/V967</f>
        <v>#REF!</v>
      </c>
      <c r="AH967" t="str">
        <f>AF967/W967</f>
        <v>#REF!</v>
      </c>
    </row>
    <row r="968">
      <c r="G968" t="str">
        <v>A</v>
      </c>
      <c r="J968" t="str">
        <f>IF(K968&gt;0,K968*0.0625,IF(L968&gt;0,L968*2.204623,))</f>
        <v>#REF!</v>
      </c>
      <c r="K968" t="str">
        <f>IF(L968&gt;0,L968*35.273962,IF(J968&gt;0,J968*16,))</f>
        <v>#REF!</v>
      </c>
      <c r="L968" t="str">
        <f>IF(J968&gt;0,J968*0.453592,IF(K968&gt;0,K968*0.02835,))</f>
        <v>#REF!</v>
      </c>
      <c r="O968">
        <f>I968+N968+M968</f>
        <v>0</v>
      </c>
      <c r="P968">
        <f>O968*B$3</f>
        <v>0</v>
      </c>
      <c r="Q968">
        <f>ROUND(SUM(P968), -2)</f>
        <v>0</v>
      </c>
      <c r="R968" t="str">
        <f>ROUNDUP(HLOOKUP(IF(CEILING(L968,0.5)&lt;1,0.5,CEILING(L968,0.5)),'배송비 조회'!A$44:AO$56,7,0)*B$3,-2)</f>
        <v>#REF!</v>
      </c>
      <c r="S968">
        <v>0</v>
      </c>
      <c r="T968" t="str">
        <f>ROUND((Q968+R968)*0.3,-2)</f>
        <v>#REF!</v>
      </c>
      <c r="U968" t="str">
        <f>ROUND((Q968+R968)*0.4,-2)</f>
        <v>#REF!</v>
      </c>
      <c r="V968" t="str">
        <f>SUM(Q968:R968)+T968</f>
        <v>#REF!</v>
      </c>
      <c r="W968" t="str">
        <f>SUM(Q968:S968)+U968</f>
        <v>#REF!</v>
      </c>
      <c r="X968">
        <v>0</v>
      </c>
      <c r="Y968" t="str">
        <f>V968*0.038</f>
        <v>#REF!</v>
      </c>
      <c r="Z968" t="str">
        <f>V968*0.02</f>
        <v>#REF!</v>
      </c>
      <c r="AA968" t="str">
        <f>W968*0.1</f>
        <v>#REF!</v>
      </c>
      <c r="AB968" t="str">
        <f>V968-Y968-Z968</f>
        <v>#REF!</v>
      </c>
      <c r="AC968" t="str">
        <f>W968-AA968</f>
        <v>#REF!</v>
      </c>
      <c r="AD968" t="str">
        <f>AB968*0.01</f>
        <v>#REF!</v>
      </c>
      <c r="AE968" t="str">
        <f>AB968-Q968-AD968-R968</f>
        <v>#REF!</v>
      </c>
      <c r="AF968" t="str">
        <f>AC968-Q968-AD968-R968</f>
        <v>#REF!</v>
      </c>
      <c r="AG968" t="str">
        <f>AE968/V968</f>
        <v>#REF!</v>
      </c>
      <c r="AH968" t="str">
        <f>AF968/W968</f>
        <v>#REF!</v>
      </c>
    </row>
    <row r="969">
      <c r="G969" t="str">
        <v>A</v>
      </c>
      <c r="J969" t="str">
        <f>IF(K969&gt;0,K969*0.0625,IF(L969&gt;0,L969*2.204623,))</f>
        <v>#REF!</v>
      </c>
      <c r="K969" t="str">
        <f>IF(L969&gt;0,L969*35.273962,IF(J969&gt;0,J969*16,))</f>
        <v>#REF!</v>
      </c>
      <c r="L969" t="str">
        <f>IF(J969&gt;0,J969*0.453592,IF(K969&gt;0,K969*0.02835,))</f>
        <v>#REF!</v>
      </c>
      <c r="O969">
        <f>I969+N969+M969</f>
        <v>0</v>
      </c>
      <c r="P969">
        <f>O969*B$3</f>
        <v>0</v>
      </c>
      <c r="Q969">
        <f>ROUND(SUM(P969), -2)</f>
        <v>0</v>
      </c>
      <c r="R969" t="str">
        <f>ROUNDUP(HLOOKUP(IF(CEILING(L969,0.5)&lt;1,0.5,CEILING(L969,0.5)),'배송비 조회'!A$44:AO$56,7,0)*B$3,-2)</f>
        <v>#REF!</v>
      </c>
      <c r="S969">
        <v>0</v>
      </c>
      <c r="T969" t="str">
        <f>ROUND((Q969+R969)*0.3,-2)</f>
        <v>#REF!</v>
      </c>
      <c r="U969" t="str">
        <f>ROUND((Q969+R969)*0.4,-2)</f>
        <v>#REF!</v>
      </c>
      <c r="V969" t="str">
        <f>SUM(Q969:R969)+T969</f>
        <v>#REF!</v>
      </c>
      <c r="W969" t="str">
        <f>SUM(Q969:S969)+U969</f>
        <v>#REF!</v>
      </c>
      <c r="X969">
        <v>0</v>
      </c>
      <c r="Y969" t="str">
        <f>V969*0.038</f>
        <v>#REF!</v>
      </c>
      <c r="Z969" t="str">
        <f>V969*0.02</f>
        <v>#REF!</v>
      </c>
      <c r="AA969" t="str">
        <f>W969*0.1</f>
        <v>#REF!</v>
      </c>
      <c r="AB969" t="str">
        <f>V969-Y969-Z969</f>
        <v>#REF!</v>
      </c>
      <c r="AC969" t="str">
        <f>W969-AA969</f>
        <v>#REF!</v>
      </c>
      <c r="AD969" t="str">
        <f>AB969*0.01</f>
        <v>#REF!</v>
      </c>
      <c r="AE969" t="str">
        <f>AB969-Q969-AD969-R969</f>
        <v>#REF!</v>
      </c>
      <c r="AF969" t="str">
        <f>AC969-Q969-AD969-R969</f>
        <v>#REF!</v>
      </c>
      <c r="AG969" t="str">
        <f>AE969/V969</f>
        <v>#REF!</v>
      </c>
      <c r="AH969" t="str">
        <f>AF969/W969</f>
        <v>#REF!</v>
      </c>
    </row>
    <row r="970">
      <c r="G970" t="str">
        <v>A</v>
      </c>
      <c r="J970" t="str">
        <f>IF(K970&gt;0,K970*0.0625,IF(L970&gt;0,L970*2.204623,))</f>
        <v>#REF!</v>
      </c>
      <c r="K970" t="str">
        <f>IF(L970&gt;0,L970*35.273962,IF(J970&gt;0,J970*16,))</f>
        <v>#REF!</v>
      </c>
      <c r="L970" t="str">
        <f>IF(J970&gt;0,J970*0.453592,IF(K970&gt;0,K970*0.02835,))</f>
        <v>#REF!</v>
      </c>
      <c r="O970">
        <f>I970+N970+M970</f>
        <v>0</v>
      </c>
      <c r="P970">
        <f>O970*B$3</f>
        <v>0</v>
      </c>
      <c r="Q970">
        <f>ROUND(SUM(P970), -2)</f>
        <v>0</v>
      </c>
      <c r="R970" t="str">
        <f>ROUNDUP(HLOOKUP(IF(CEILING(L970,0.5)&lt;1,0.5,CEILING(L970,0.5)),'배송비 조회'!A$44:AO$56,7,0)*B$3,-2)</f>
        <v>#REF!</v>
      </c>
      <c r="S970">
        <v>0</v>
      </c>
      <c r="T970" t="str">
        <f>ROUND((Q970+R970)*0.3,-2)</f>
        <v>#REF!</v>
      </c>
      <c r="U970" t="str">
        <f>ROUND((Q970+R970)*0.4,-2)</f>
        <v>#REF!</v>
      </c>
      <c r="V970" t="str">
        <f>SUM(Q970:R970)+T970</f>
        <v>#REF!</v>
      </c>
      <c r="W970" t="str">
        <f>SUM(Q970:S970)+U970</f>
        <v>#REF!</v>
      </c>
      <c r="X970">
        <v>0</v>
      </c>
      <c r="Y970" t="str">
        <f>V970*0.038</f>
        <v>#REF!</v>
      </c>
      <c r="Z970" t="str">
        <f>V970*0.02</f>
        <v>#REF!</v>
      </c>
      <c r="AA970" t="str">
        <f>W970*0.1</f>
        <v>#REF!</v>
      </c>
      <c r="AB970" t="str">
        <f>V970-Y970-Z970</f>
        <v>#REF!</v>
      </c>
      <c r="AC970" t="str">
        <f>W970-AA970</f>
        <v>#REF!</v>
      </c>
      <c r="AD970" t="str">
        <f>AB970*0.01</f>
        <v>#REF!</v>
      </c>
      <c r="AE970" t="str">
        <f>AB970-Q970-AD970-R970</f>
        <v>#REF!</v>
      </c>
      <c r="AF970" t="str">
        <f>AC970-Q970-AD970-R970</f>
        <v>#REF!</v>
      </c>
      <c r="AG970" t="str">
        <f>AE970/V970</f>
        <v>#REF!</v>
      </c>
      <c r="AH970" t="str">
        <f>AF970/W970</f>
        <v>#REF!</v>
      </c>
    </row>
    <row r="971">
      <c r="G971" t="str">
        <v>A</v>
      </c>
      <c r="J971" t="str">
        <f>IF(K971&gt;0,K971*0.0625,IF(L971&gt;0,L971*2.204623,))</f>
        <v>#REF!</v>
      </c>
      <c r="K971" t="str">
        <f>IF(L971&gt;0,L971*35.273962,IF(J971&gt;0,J971*16,))</f>
        <v>#REF!</v>
      </c>
      <c r="L971" t="str">
        <f>IF(J971&gt;0,J971*0.453592,IF(K971&gt;0,K971*0.02835,))</f>
        <v>#REF!</v>
      </c>
      <c r="O971">
        <f>I971+N971+M971</f>
        <v>0</v>
      </c>
      <c r="P971">
        <f>O971*B$3</f>
        <v>0</v>
      </c>
      <c r="Q971">
        <f>ROUND(SUM(P971), -2)</f>
        <v>0</v>
      </c>
      <c r="R971" t="str">
        <f>ROUNDUP(HLOOKUP(IF(CEILING(L971,0.5)&lt;1,0.5,CEILING(L971,0.5)),'배송비 조회'!A$44:AO$56,7,0)*B$3,-2)</f>
        <v>#REF!</v>
      </c>
      <c r="S971">
        <v>0</v>
      </c>
      <c r="T971" t="str">
        <f>ROUND((Q971+R971)*0.3,-2)</f>
        <v>#REF!</v>
      </c>
      <c r="U971" t="str">
        <f>ROUND((Q971+R971)*0.4,-2)</f>
        <v>#REF!</v>
      </c>
      <c r="V971" t="str">
        <f>SUM(Q971:R971)+T971</f>
        <v>#REF!</v>
      </c>
      <c r="W971" t="str">
        <f>SUM(Q971:S971)+U971</f>
        <v>#REF!</v>
      </c>
      <c r="X971">
        <v>0</v>
      </c>
      <c r="Y971" t="str">
        <f>V971*0.038</f>
        <v>#REF!</v>
      </c>
      <c r="Z971" t="str">
        <f>V971*0.02</f>
        <v>#REF!</v>
      </c>
      <c r="AA971" t="str">
        <f>W971*0.1</f>
        <v>#REF!</v>
      </c>
      <c r="AB971" t="str">
        <f>V971-Y971-Z971</f>
        <v>#REF!</v>
      </c>
      <c r="AC971" t="str">
        <f>W971-AA971</f>
        <v>#REF!</v>
      </c>
      <c r="AD971" t="str">
        <f>AB971*0.01</f>
        <v>#REF!</v>
      </c>
      <c r="AE971" t="str">
        <f>AB971-Q971-AD971-R971</f>
        <v>#REF!</v>
      </c>
      <c r="AF971" t="str">
        <f>AC971-Q971-AD971-R971</f>
        <v>#REF!</v>
      </c>
      <c r="AG971" t="str">
        <f>AE971/V971</f>
        <v>#REF!</v>
      </c>
      <c r="AH971" t="str">
        <f>AF971/W971</f>
        <v>#REF!</v>
      </c>
    </row>
    <row r="972">
      <c r="G972" t="str">
        <v>A</v>
      </c>
      <c r="J972" t="str">
        <f>IF(K972&gt;0,K972*0.0625,IF(L972&gt;0,L972*2.204623,))</f>
        <v>#REF!</v>
      </c>
      <c r="K972" t="str">
        <f>IF(L972&gt;0,L972*35.273962,IF(J972&gt;0,J972*16,))</f>
        <v>#REF!</v>
      </c>
      <c r="L972" t="str">
        <f>IF(J972&gt;0,J972*0.453592,IF(K972&gt;0,K972*0.02835,))</f>
        <v>#REF!</v>
      </c>
      <c r="O972">
        <f>I972+N972+M972</f>
        <v>0</v>
      </c>
      <c r="P972">
        <f>O972*B$3</f>
        <v>0</v>
      </c>
      <c r="Q972">
        <f>ROUND(SUM(P972), -2)</f>
        <v>0</v>
      </c>
      <c r="R972" t="str">
        <f>ROUNDUP(HLOOKUP(IF(CEILING(L972,0.5)&lt;1,0.5,CEILING(L972,0.5)),'배송비 조회'!A$44:AO$56,7,0)*B$3,-2)</f>
        <v>#REF!</v>
      </c>
      <c r="S972">
        <v>0</v>
      </c>
      <c r="T972" t="str">
        <f>ROUND((Q972+R972)*0.3,-2)</f>
        <v>#REF!</v>
      </c>
      <c r="U972" t="str">
        <f>ROUND((Q972+R972)*0.4,-2)</f>
        <v>#REF!</v>
      </c>
      <c r="V972" t="str">
        <f>SUM(Q972:R972)+T972</f>
        <v>#REF!</v>
      </c>
      <c r="W972" t="str">
        <f>SUM(Q972:S972)+U972</f>
        <v>#REF!</v>
      </c>
      <c r="X972">
        <v>0</v>
      </c>
      <c r="Y972" t="str">
        <f>V972*0.038</f>
        <v>#REF!</v>
      </c>
      <c r="Z972" t="str">
        <f>V972*0.02</f>
        <v>#REF!</v>
      </c>
      <c r="AA972" t="str">
        <f>W972*0.1</f>
        <v>#REF!</v>
      </c>
      <c r="AB972" t="str">
        <f>V972-Y972-Z972</f>
        <v>#REF!</v>
      </c>
      <c r="AC972" t="str">
        <f>W972-AA972</f>
        <v>#REF!</v>
      </c>
      <c r="AD972" t="str">
        <f>AB972*0.01</f>
        <v>#REF!</v>
      </c>
      <c r="AE972" t="str">
        <f>AB972-Q972-AD972-R972</f>
        <v>#REF!</v>
      </c>
      <c r="AF972" t="str">
        <f>AC972-Q972-AD972-R972</f>
        <v>#REF!</v>
      </c>
      <c r="AG972" t="str">
        <f>AE972/V972</f>
        <v>#REF!</v>
      </c>
      <c r="AH972" t="str">
        <f>AF972/W972</f>
        <v>#REF!</v>
      </c>
    </row>
    <row r="973">
      <c r="G973" t="str">
        <v>A</v>
      </c>
      <c r="J973" t="str">
        <f>IF(K973&gt;0,K973*0.0625,IF(L973&gt;0,L973*2.204623,))</f>
        <v>#REF!</v>
      </c>
      <c r="K973" t="str">
        <f>IF(L973&gt;0,L973*35.273962,IF(J973&gt;0,J973*16,))</f>
        <v>#REF!</v>
      </c>
      <c r="L973" t="str">
        <f>IF(J973&gt;0,J973*0.453592,IF(K973&gt;0,K973*0.02835,))</f>
        <v>#REF!</v>
      </c>
      <c r="O973">
        <f>I973+N973+M973</f>
        <v>0</v>
      </c>
      <c r="P973">
        <f>O973*B$3</f>
        <v>0</v>
      </c>
      <c r="Q973">
        <f>ROUND(SUM(P973), -2)</f>
        <v>0</v>
      </c>
      <c r="R973" t="str">
        <f>ROUNDUP(HLOOKUP(IF(CEILING(L973,0.5)&lt;1,0.5,CEILING(L973,0.5)),'배송비 조회'!A$44:AO$56,7,0)*B$3,-2)</f>
        <v>#REF!</v>
      </c>
      <c r="S973">
        <v>0</v>
      </c>
      <c r="T973" t="str">
        <f>ROUND((Q973+R973)*0.3,-2)</f>
        <v>#REF!</v>
      </c>
      <c r="U973" t="str">
        <f>ROUND((Q973+R973)*0.4,-2)</f>
        <v>#REF!</v>
      </c>
      <c r="V973" t="str">
        <f>SUM(Q973:R973)+T973</f>
        <v>#REF!</v>
      </c>
      <c r="W973" t="str">
        <f>SUM(Q973:S973)+U973</f>
        <v>#REF!</v>
      </c>
      <c r="X973">
        <v>0</v>
      </c>
      <c r="Y973" t="str">
        <f>V973*0.038</f>
        <v>#REF!</v>
      </c>
      <c r="Z973" t="str">
        <f>V973*0.02</f>
        <v>#REF!</v>
      </c>
      <c r="AA973" t="str">
        <f>W973*0.1</f>
        <v>#REF!</v>
      </c>
      <c r="AB973" t="str">
        <f>V973-Y973-Z973</f>
        <v>#REF!</v>
      </c>
      <c r="AC973" t="str">
        <f>W973-AA973</f>
        <v>#REF!</v>
      </c>
      <c r="AD973" t="str">
        <f>AB973*0.01</f>
        <v>#REF!</v>
      </c>
      <c r="AE973" t="str">
        <f>AB973-Q973-AD973-R973</f>
        <v>#REF!</v>
      </c>
      <c r="AF973" t="str">
        <f>AC973-Q973-AD973-R973</f>
        <v>#REF!</v>
      </c>
      <c r="AG973" t="str">
        <f>AE973/V973</f>
        <v>#REF!</v>
      </c>
      <c r="AH973" t="str">
        <f>AF973/W973</f>
        <v>#REF!</v>
      </c>
    </row>
    <row r="974">
      <c r="G974" t="str">
        <v>A</v>
      </c>
      <c r="J974" t="str">
        <f>IF(K974&gt;0,K974*0.0625,IF(L974&gt;0,L974*2.204623,))</f>
        <v>#REF!</v>
      </c>
      <c r="K974" t="str">
        <f>IF(L974&gt;0,L974*35.273962,IF(J974&gt;0,J974*16,))</f>
        <v>#REF!</v>
      </c>
      <c r="L974" t="str">
        <f>IF(J974&gt;0,J974*0.453592,IF(K974&gt;0,K974*0.02835,))</f>
        <v>#REF!</v>
      </c>
      <c r="O974">
        <f>I974+N974+M974</f>
        <v>0</v>
      </c>
      <c r="P974">
        <f>O974*B$3</f>
        <v>0</v>
      </c>
      <c r="Q974">
        <f>ROUND(SUM(P974), -2)</f>
        <v>0</v>
      </c>
      <c r="R974" t="str">
        <f>ROUNDUP(HLOOKUP(IF(CEILING(L974,0.5)&lt;1,0.5,CEILING(L974,0.5)),'배송비 조회'!A$44:AO$56,7,0)*B$3,-2)</f>
        <v>#REF!</v>
      </c>
      <c r="S974">
        <v>0</v>
      </c>
      <c r="T974" t="str">
        <f>ROUND((Q974+R974)*0.3,-2)</f>
        <v>#REF!</v>
      </c>
      <c r="U974" t="str">
        <f>ROUND((Q974+R974)*0.4,-2)</f>
        <v>#REF!</v>
      </c>
      <c r="V974" t="str">
        <f>SUM(Q974:R974)+T974</f>
        <v>#REF!</v>
      </c>
      <c r="W974" t="str">
        <f>SUM(Q974:S974)+U974</f>
        <v>#REF!</v>
      </c>
      <c r="X974">
        <v>0</v>
      </c>
      <c r="Y974" t="str">
        <f>V974*0.038</f>
        <v>#REF!</v>
      </c>
      <c r="Z974" t="str">
        <f>V974*0.02</f>
        <v>#REF!</v>
      </c>
      <c r="AA974" t="str">
        <f>W974*0.1</f>
        <v>#REF!</v>
      </c>
      <c r="AB974" t="str">
        <f>V974-Y974-Z974</f>
        <v>#REF!</v>
      </c>
      <c r="AC974" t="str">
        <f>W974-AA974</f>
        <v>#REF!</v>
      </c>
      <c r="AD974" t="str">
        <f>AB974*0.01</f>
        <v>#REF!</v>
      </c>
      <c r="AE974" t="str">
        <f>AB974-Q974-AD974-R974</f>
        <v>#REF!</v>
      </c>
      <c r="AF974" t="str">
        <f>AC974-Q974-AD974-R974</f>
        <v>#REF!</v>
      </c>
      <c r="AG974" t="str">
        <f>AE974/V974</f>
        <v>#REF!</v>
      </c>
      <c r="AH974" t="str">
        <f>AF974/W974</f>
        <v>#REF!</v>
      </c>
    </row>
    <row r="975">
      <c r="G975" t="str">
        <v>A</v>
      </c>
      <c r="J975" t="str">
        <f>IF(K975&gt;0,K975*0.0625,IF(L975&gt;0,L975*2.204623,))</f>
        <v>#REF!</v>
      </c>
      <c r="K975" t="str">
        <f>IF(L975&gt;0,L975*35.273962,IF(J975&gt;0,J975*16,))</f>
        <v>#REF!</v>
      </c>
      <c r="L975" t="str">
        <f>IF(J975&gt;0,J975*0.453592,IF(K975&gt;0,K975*0.02835,))</f>
        <v>#REF!</v>
      </c>
      <c r="O975">
        <f>I975+N975+M975</f>
        <v>0</v>
      </c>
      <c r="P975">
        <f>O975*B$3</f>
        <v>0</v>
      </c>
      <c r="Q975">
        <f>ROUND(SUM(P975), -2)</f>
        <v>0</v>
      </c>
      <c r="R975" t="str">
        <f>ROUNDUP(HLOOKUP(IF(CEILING(L975,0.5)&lt;1,0.5,CEILING(L975,0.5)),'배송비 조회'!A$44:AO$56,7,0)*B$3,-2)</f>
        <v>#REF!</v>
      </c>
      <c r="S975">
        <v>0</v>
      </c>
      <c r="T975" t="str">
        <f>ROUND((Q975+R975)*0.3,-2)</f>
        <v>#REF!</v>
      </c>
      <c r="U975" t="str">
        <f>ROUND((Q975+R975)*0.4,-2)</f>
        <v>#REF!</v>
      </c>
      <c r="V975" t="str">
        <f>SUM(Q975:R975)+T975</f>
        <v>#REF!</v>
      </c>
      <c r="W975" t="str">
        <f>SUM(Q975:S975)+U975</f>
        <v>#REF!</v>
      </c>
      <c r="X975">
        <v>0</v>
      </c>
      <c r="Y975" t="str">
        <f>V975*0.038</f>
        <v>#REF!</v>
      </c>
      <c r="Z975" t="str">
        <f>V975*0.02</f>
        <v>#REF!</v>
      </c>
      <c r="AA975" t="str">
        <f>W975*0.1</f>
        <v>#REF!</v>
      </c>
      <c r="AB975" t="str">
        <f>V975-Y975-Z975</f>
        <v>#REF!</v>
      </c>
      <c r="AC975" t="str">
        <f>W975-AA975</f>
        <v>#REF!</v>
      </c>
      <c r="AD975" t="str">
        <f>AB975*0.01</f>
        <v>#REF!</v>
      </c>
      <c r="AE975" t="str">
        <f>AB975-Q975-AD975-R975</f>
        <v>#REF!</v>
      </c>
      <c r="AF975" t="str">
        <f>AC975-Q975-AD975-R975</f>
        <v>#REF!</v>
      </c>
      <c r="AG975" t="str">
        <f>AE975/V975</f>
        <v>#REF!</v>
      </c>
      <c r="AH975" t="str">
        <f>AF975/W975</f>
        <v>#REF!</v>
      </c>
    </row>
    <row r="976">
      <c r="G976" t="str">
        <v>A</v>
      </c>
      <c r="J976" t="str">
        <f>IF(K976&gt;0,K976*0.0625,IF(L976&gt;0,L976*2.204623,))</f>
        <v>#REF!</v>
      </c>
      <c r="K976" t="str">
        <f>IF(L976&gt;0,L976*35.273962,IF(J976&gt;0,J976*16,))</f>
        <v>#REF!</v>
      </c>
      <c r="L976" t="str">
        <f>IF(J976&gt;0,J976*0.453592,IF(K976&gt;0,K976*0.02835,))</f>
        <v>#REF!</v>
      </c>
      <c r="O976">
        <f>I976+N976+M976</f>
        <v>0</v>
      </c>
      <c r="P976">
        <f>O976*B$3</f>
        <v>0</v>
      </c>
      <c r="Q976">
        <f>ROUND(SUM(P976), -2)</f>
        <v>0</v>
      </c>
      <c r="R976" t="str">
        <f>ROUNDUP(HLOOKUP(IF(CEILING(L976,0.5)&lt;1,0.5,CEILING(L976,0.5)),'배송비 조회'!A$44:AO$56,7,0)*B$3,-2)</f>
        <v>#REF!</v>
      </c>
      <c r="S976">
        <v>0</v>
      </c>
      <c r="T976" t="str">
        <f>ROUND((Q976+R976)*0.3,-2)</f>
        <v>#REF!</v>
      </c>
      <c r="U976" t="str">
        <f>ROUND((Q976+R976)*0.4,-2)</f>
        <v>#REF!</v>
      </c>
      <c r="V976" t="str">
        <f>SUM(Q976:R976)+T976</f>
        <v>#REF!</v>
      </c>
      <c r="W976" t="str">
        <f>SUM(Q976:S976)+U976</f>
        <v>#REF!</v>
      </c>
      <c r="X976">
        <v>0</v>
      </c>
      <c r="Y976" t="str">
        <f>V976*0.038</f>
        <v>#REF!</v>
      </c>
      <c r="Z976" t="str">
        <f>V976*0.02</f>
        <v>#REF!</v>
      </c>
      <c r="AA976" t="str">
        <f>W976*0.1</f>
        <v>#REF!</v>
      </c>
      <c r="AB976" t="str">
        <f>V976-Y976-Z976</f>
        <v>#REF!</v>
      </c>
      <c r="AC976" t="str">
        <f>W976-AA976</f>
        <v>#REF!</v>
      </c>
      <c r="AD976" t="str">
        <f>AB976*0.01</f>
        <v>#REF!</v>
      </c>
      <c r="AE976" t="str">
        <f>AB976-Q976-AD976-R976</f>
        <v>#REF!</v>
      </c>
      <c r="AF976" t="str">
        <f>AC976-Q976-AD976-R976</f>
        <v>#REF!</v>
      </c>
      <c r="AG976" t="str">
        <f>AE976/V976</f>
        <v>#REF!</v>
      </c>
      <c r="AH976" t="str">
        <f>AF976/W976</f>
        <v>#REF!</v>
      </c>
    </row>
    <row r="977">
      <c r="G977" t="str">
        <v>A</v>
      </c>
      <c r="J977" t="str">
        <f>IF(K977&gt;0,K977*0.0625,IF(L977&gt;0,L977*2.204623,))</f>
        <v>#REF!</v>
      </c>
      <c r="K977" t="str">
        <f>IF(L977&gt;0,L977*35.273962,IF(J977&gt;0,J977*16,))</f>
        <v>#REF!</v>
      </c>
      <c r="L977" t="str">
        <f>IF(J977&gt;0,J977*0.453592,IF(K977&gt;0,K977*0.02835,))</f>
        <v>#REF!</v>
      </c>
      <c r="O977">
        <f>I977+N977+M977</f>
        <v>0</v>
      </c>
      <c r="P977">
        <f>O977*B$3</f>
        <v>0</v>
      </c>
      <c r="Q977">
        <f>ROUND(SUM(P977), -2)</f>
        <v>0</v>
      </c>
      <c r="R977" t="str">
        <f>ROUNDUP(HLOOKUP(IF(CEILING(L977,0.5)&lt;1,0.5,CEILING(L977,0.5)),'배송비 조회'!A$44:AO$56,7,0)*B$3,-2)</f>
        <v>#REF!</v>
      </c>
      <c r="S977">
        <v>0</v>
      </c>
      <c r="T977" t="str">
        <f>ROUND((Q977+R977)*0.3,-2)</f>
        <v>#REF!</v>
      </c>
      <c r="U977" t="str">
        <f>ROUND((Q977+R977)*0.4,-2)</f>
        <v>#REF!</v>
      </c>
      <c r="V977" t="str">
        <f>SUM(Q977:R977)+T977</f>
        <v>#REF!</v>
      </c>
      <c r="W977" t="str">
        <f>SUM(Q977:S977)+U977</f>
        <v>#REF!</v>
      </c>
      <c r="X977">
        <v>0</v>
      </c>
      <c r="Y977" t="str">
        <f>V977*0.038</f>
        <v>#REF!</v>
      </c>
      <c r="Z977" t="str">
        <f>V977*0.02</f>
        <v>#REF!</v>
      </c>
      <c r="AA977" t="str">
        <f>W977*0.1</f>
        <v>#REF!</v>
      </c>
      <c r="AB977" t="str">
        <f>V977-Y977-Z977</f>
        <v>#REF!</v>
      </c>
      <c r="AC977" t="str">
        <f>W977-AA977</f>
        <v>#REF!</v>
      </c>
      <c r="AD977" t="str">
        <f>AB977*0.01</f>
        <v>#REF!</v>
      </c>
      <c r="AE977" t="str">
        <f>AB977-Q977-AD977-R977</f>
        <v>#REF!</v>
      </c>
      <c r="AF977" t="str">
        <f>AC977-Q977-AD977-R977</f>
        <v>#REF!</v>
      </c>
      <c r="AG977" t="str">
        <f>AE977/V977</f>
        <v>#REF!</v>
      </c>
      <c r="AH977" t="str">
        <f>AF977/W977</f>
        <v>#REF!</v>
      </c>
    </row>
    <row r="978">
      <c r="G978" t="str">
        <v>A</v>
      </c>
      <c r="J978" t="str">
        <f>IF(K978&gt;0,K978*0.0625,IF(L978&gt;0,L978*2.204623,))</f>
        <v>#REF!</v>
      </c>
      <c r="K978" t="str">
        <f>IF(L978&gt;0,L978*35.273962,IF(J978&gt;0,J978*16,))</f>
        <v>#REF!</v>
      </c>
      <c r="L978" t="str">
        <f>IF(J978&gt;0,J978*0.453592,IF(K978&gt;0,K978*0.02835,))</f>
        <v>#REF!</v>
      </c>
      <c r="O978">
        <f>I978+N978+M978</f>
        <v>0</v>
      </c>
      <c r="P978">
        <f>O978*B$3</f>
        <v>0</v>
      </c>
      <c r="Q978">
        <f>ROUND(SUM(P978), -2)</f>
        <v>0</v>
      </c>
      <c r="R978" t="str">
        <f>ROUNDUP(HLOOKUP(IF(CEILING(L978,0.5)&lt;1,0.5,CEILING(L978,0.5)),'배송비 조회'!A$44:AO$56,7,0)*B$3,-2)</f>
        <v>#REF!</v>
      </c>
      <c r="S978">
        <v>0</v>
      </c>
      <c r="T978" t="str">
        <f>ROUND((Q978+R978)*0.3,-2)</f>
        <v>#REF!</v>
      </c>
      <c r="U978" t="str">
        <f>ROUND((Q978+R978)*0.4,-2)</f>
        <v>#REF!</v>
      </c>
      <c r="V978" t="str">
        <f>SUM(Q978:R978)+T978</f>
        <v>#REF!</v>
      </c>
      <c r="W978" t="str">
        <f>SUM(Q978:S978)+U978</f>
        <v>#REF!</v>
      </c>
      <c r="X978">
        <v>0</v>
      </c>
      <c r="Y978" t="str">
        <f>V978*0.038</f>
        <v>#REF!</v>
      </c>
      <c r="Z978" t="str">
        <f>V978*0.02</f>
        <v>#REF!</v>
      </c>
      <c r="AA978" t="str">
        <f>W978*0.1</f>
        <v>#REF!</v>
      </c>
      <c r="AB978" t="str">
        <f>V978-Y978-Z978</f>
        <v>#REF!</v>
      </c>
      <c r="AC978" t="str">
        <f>W978-AA978</f>
        <v>#REF!</v>
      </c>
      <c r="AD978" t="str">
        <f>AB978*0.01</f>
        <v>#REF!</v>
      </c>
      <c r="AE978" t="str">
        <f>AB978-Q978-AD978-R978</f>
        <v>#REF!</v>
      </c>
      <c r="AF978" t="str">
        <f>AC978-Q978-AD978-R978</f>
        <v>#REF!</v>
      </c>
      <c r="AG978" t="str">
        <f>AE978/V978</f>
        <v>#REF!</v>
      </c>
      <c r="AH978" t="str">
        <f>AF978/W978</f>
        <v>#REF!</v>
      </c>
    </row>
    <row r="979">
      <c r="G979" t="str">
        <v>A</v>
      </c>
      <c r="J979" t="str">
        <f>IF(K979&gt;0,K979*0.0625,IF(L979&gt;0,L979*2.204623,))</f>
        <v>#REF!</v>
      </c>
      <c r="K979" t="str">
        <f>IF(L979&gt;0,L979*35.273962,IF(J979&gt;0,J979*16,))</f>
        <v>#REF!</v>
      </c>
      <c r="L979" t="str">
        <f>IF(J979&gt;0,J979*0.453592,IF(K979&gt;0,K979*0.02835,))</f>
        <v>#REF!</v>
      </c>
      <c r="O979">
        <f>I979+N979+M979</f>
        <v>0</v>
      </c>
      <c r="P979">
        <f>O979*B$3</f>
        <v>0</v>
      </c>
      <c r="Q979">
        <f>ROUND(SUM(P979), -2)</f>
        <v>0</v>
      </c>
      <c r="R979" t="str">
        <f>ROUNDUP(HLOOKUP(IF(CEILING(L979,0.5)&lt;1,0.5,CEILING(L979,0.5)),'배송비 조회'!A$44:AO$56,7,0)*B$3,-2)</f>
        <v>#REF!</v>
      </c>
      <c r="S979">
        <v>0</v>
      </c>
      <c r="T979" t="str">
        <f>ROUND((Q979+R979)*0.3,-2)</f>
        <v>#REF!</v>
      </c>
      <c r="U979" t="str">
        <f>ROUND((Q979+R979)*0.4,-2)</f>
        <v>#REF!</v>
      </c>
      <c r="V979" t="str">
        <f>SUM(Q979:R979)+T979</f>
        <v>#REF!</v>
      </c>
      <c r="W979" t="str">
        <f>SUM(Q979:S979)+U979</f>
        <v>#REF!</v>
      </c>
      <c r="X979">
        <v>0</v>
      </c>
      <c r="Y979" t="str">
        <f>V979*0.038</f>
        <v>#REF!</v>
      </c>
      <c r="Z979" t="str">
        <f>V979*0.02</f>
        <v>#REF!</v>
      </c>
      <c r="AA979" t="str">
        <f>W979*0.1</f>
        <v>#REF!</v>
      </c>
      <c r="AB979" t="str">
        <f>V979-Y979-Z979</f>
        <v>#REF!</v>
      </c>
      <c r="AC979" t="str">
        <f>W979-AA979</f>
        <v>#REF!</v>
      </c>
      <c r="AD979" t="str">
        <f>AB979*0.01</f>
        <v>#REF!</v>
      </c>
      <c r="AE979" t="str">
        <f>AB979-Q979-AD979-R979</f>
        <v>#REF!</v>
      </c>
      <c r="AF979" t="str">
        <f>AC979-Q979-AD979-R979</f>
        <v>#REF!</v>
      </c>
      <c r="AG979" t="str">
        <f>AE979/V979</f>
        <v>#REF!</v>
      </c>
      <c r="AH979" t="str">
        <f>AF979/W979</f>
        <v>#REF!</v>
      </c>
    </row>
    <row r="980">
      <c r="G980" t="str">
        <v>A</v>
      </c>
      <c r="J980" t="str">
        <f>IF(K980&gt;0,K980*0.0625,IF(L980&gt;0,L980*2.204623,))</f>
        <v>#REF!</v>
      </c>
      <c r="K980" t="str">
        <f>IF(L980&gt;0,L980*35.273962,IF(J980&gt;0,J980*16,))</f>
        <v>#REF!</v>
      </c>
      <c r="L980" t="str">
        <f>IF(J980&gt;0,J980*0.453592,IF(K980&gt;0,K980*0.02835,))</f>
        <v>#REF!</v>
      </c>
      <c r="O980">
        <f>I980+N980+M980</f>
        <v>0</v>
      </c>
      <c r="P980">
        <f>O980*B$3</f>
        <v>0</v>
      </c>
      <c r="Q980">
        <f>ROUND(SUM(P980), -2)</f>
        <v>0</v>
      </c>
      <c r="R980" t="str">
        <f>ROUNDUP(HLOOKUP(IF(CEILING(L980,0.5)&lt;1,0.5,CEILING(L980,0.5)),'배송비 조회'!A$44:AO$56,7,0)*B$3,-2)</f>
        <v>#REF!</v>
      </c>
      <c r="S980">
        <v>0</v>
      </c>
      <c r="T980" t="str">
        <f>ROUND((Q980+R980)*0.3,-2)</f>
        <v>#REF!</v>
      </c>
      <c r="U980" t="str">
        <f>ROUND((Q980+R980)*0.4,-2)</f>
        <v>#REF!</v>
      </c>
      <c r="V980" t="str">
        <f>SUM(Q980:R980)+T980</f>
        <v>#REF!</v>
      </c>
      <c r="W980" t="str">
        <f>SUM(Q980:S980)+U980</f>
        <v>#REF!</v>
      </c>
      <c r="X980">
        <v>0</v>
      </c>
      <c r="Y980" t="str">
        <f>V980*0.038</f>
        <v>#REF!</v>
      </c>
      <c r="Z980" t="str">
        <f>V980*0.02</f>
        <v>#REF!</v>
      </c>
      <c r="AA980" t="str">
        <f>W980*0.1</f>
        <v>#REF!</v>
      </c>
      <c r="AB980" t="str">
        <f>V980-Y980-Z980</f>
        <v>#REF!</v>
      </c>
      <c r="AC980" t="str">
        <f>W980-AA980</f>
        <v>#REF!</v>
      </c>
      <c r="AD980" t="str">
        <f>AB980*0.01</f>
        <v>#REF!</v>
      </c>
      <c r="AE980" t="str">
        <f>AB980-Q980-AD980-R980</f>
        <v>#REF!</v>
      </c>
      <c r="AF980" t="str">
        <f>AC980-Q980-AD980-R980</f>
        <v>#REF!</v>
      </c>
      <c r="AG980" t="str">
        <f>AE980/V980</f>
        <v>#REF!</v>
      </c>
      <c r="AH980" t="str">
        <f>AF980/W980</f>
        <v>#REF!</v>
      </c>
    </row>
    <row r="981">
      <c r="G981" t="str">
        <v>A</v>
      </c>
      <c r="J981" t="str">
        <f>IF(K981&gt;0,K981*0.0625,IF(L981&gt;0,L981*2.204623,))</f>
        <v>#REF!</v>
      </c>
      <c r="K981" t="str">
        <f>IF(L981&gt;0,L981*35.273962,IF(J981&gt;0,J981*16,))</f>
        <v>#REF!</v>
      </c>
      <c r="L981" t="str">
        <f>IF(J981&gt;0,J981*0.453592,IF(K981&gt;0,K981*0.02835,))</f>
        <v>#REF!</v>
      </c>
      <c r="O981">
        <f>I981+N981+M981</f>
        <v>0</v>
      </c>
      <c r="P981">
        <f>O981*B$3</f>
        <v>0</v>
      </c>
      <c r="Q981">
        <f>ROUND(SUM(P981), -2)</f>
        <v>0</v>
      </c>
      <c r="R981" t="str">
        <f>ROUNDUP(HLOOKUP(IF(CEILING(L981,0.5)&lt;1,0.5,CEILING(L981,0.5)),'배송비 조회'!A$44:AO$56,7,0)*B$3,-2)</f>
        <v>#REF!</v>
      </c>
      <c r="S981">
        <v>0</v>
      </c>
      <c r="T981" t="str">
        <f>ROUND((Q981+R981)*0.3,-2)</f>
        <v>#REF!</v>
      </c>
      <c r="U981" t="str">
        <f>ROUND((Q981+R981)*0.4,-2)</f>
        <v>#REF!</v>
      </c>
      <c r="V981" t="str">
        <f>SUM(Q981:R981)+T981</f>
        <v>#REF!</v>
      </c>
      <c r="W981" t="str">
        <f>SUM(Q981:S981)+U981</f>
        <v>#REF!</v>
      </c>
      <c r="X981">
        <v>0</v>
      </c>
      <c r="Y981" t="str">
        <f>V981*0.038</f>
        <v>#REF!</v>
      </c>
      <c r="Z981" t="str">
        <f>V981*0.02</f>
        <v>#REF!</v>
      </c>
      <c r="AA981" t="str">
        <f>W981*0.1</f>
        <v>#REF!</v>
      </c>
      <c r="AB981" t="str">
        <f>V981-Y981-Z981</f>
        <v>#REF!</v>
      </c>
      <c r="AC981" t="str">
        <f>W981-AA981</f>
        <v>#REF!</v>
      </c>
      <c r="AD981" t="str">
        <f>AB981*0.01</f>
        <v>#REF!</v>
      </c>
      <c r="AE981" t="str">
        <f>AB981-Q981-AD981-R981</f>
        <v>#REF!</v>
      </c>
      <c r="AF981" t="str">
        <f>AC981-Q981-AD981-R981</f>
        <v>#REF!</v>
      </c>
      <c r="AG981" t="str">
        <f>AE981/V981</f>
        <v>#REF!</v>
      </c>
      <c r="AH981" t="str">
        <f>AF981/W981</f>
        <v>#REF!</v>
      </c>
    </row>
    <row r="982">
      <c r="G982" t="str">
        <v>A</v>
      </c>
      <c r="J982" t="str">
        <f>IF(K982&gt;0,K982*0.0625,IF(L982&gt;0,L982*2.204623,))</f>
        <v>#REF!</v>
      </c>
      <c r="K982" t="str">
        <f>IF(L982&gt;0,L982*35.273962,IF(J982&gt;0,J982*16,))</f>
        <v>#REF!</v>
      </c>
      <c r="L982" t="str">
        <f>IF(J982&gt;0,J982*0.453592,IF(K982&gt;0,K982*0.02835,))</f>
        <v>#REF!</v>
      </c>
      <c r="O982">
        <f>I982+N982+M982</f>
        <v>0</v>
      </c>
      <c r="P982">
        <f>O982*B$3</f>
        <v>0</v>
      </c>
      <c r="Q982">
        <f>ROUND(SUM(P982), -2)</f>
        <v>0</v>
      </c>
      <c r="R982" t="str">
        <f>ROUNDUP(HLOOKUP(IF(CEILING(L982,0.5)&lt;1,0.5,CEILING(L982,0.5)),'배송비 조회'!A$44:AO$56,7,0)*B$3,-2)</f>
        <v>#REF!</v>
      </c>
      <c r="S982">
        <v>0</v>
      </c>
      <c r="T982" t="str">
        <f>ROUND((Q982+R982)*0.3,-2)</f>
        <v>#REF!</v>
      </c>
      <c r="U982" t="str">
        <f>ROUND((Q982+R982)*0.4,-2)</f>
        <v>#REF!</v>
      </c>
      <c r="V982" t="str">
        <f>SUM(Q982:R982)+T982</f>
        <v>#REF!</v>
      </c>
      <c r="W982" t="str">
        <f>SUM(Q982:S982)+U982</f>
        <v>#REF!</v>
      </c>
      <c r="X982">
        <v>0</v>
      </c>
      <c r="Y982" t="str">
        <f>V982*0.038</f>
        <v>#REF!</v>
      </c>
      <c r="Z982" t="str">
        <f>V982*0.02</f>
        <v>#REF!</v>
      </c>
      <c r="AA982" t="str">
        <f>W982*0.1</f>
        <v>#REF!</v>
      </c>
      <c r="AB982" t="str">
        <f>V982-Y982-Z982</f>
        <v>#REF!</v>
      </c>
      <c r="AC982" t="str">
        <f>W982-AA982</f>
        <v>#REF!</v>
      </c>
      <c r="AD982" t="str">
        <f>AB982*0.01</f>
        <v>#REF!</v>
      </c>
      <c r="AE982" t="str">
        <f>AB982-Q982-AD982-R982</f>
        <v>#REF!</v>
      </c>
      <c r="AF982" t="str">
        <f>AC982-Q982-AD982-R982</f>
        <v>#REF!</v>
      </c>
      <c r="AG982" t="str">
        <f>AE982/V982</f>
        <v>#REF!</v>
      </c>
      <c r="AH982" t="str">
        <f>AF982/W982</f>
        <v>#REF!</v>
      </c>
    </row>
    <row r="983">
      <c r="G983" t="str">
        <v>A</v>
      </c>
      <c r="J983" t="str">
        <f>IF(K983&gt;0,K983*0.0625,IF(L983&gt;0,L983*2.204623,))</f>
        <v>#REF!</v>
      </c>
      <c r="K983" t="str">
        <f>IF(L983&gt;0,L983*35.273962,IF(J983&gt;0,J983*16,))</f>
        <v>#REF!</v>
      </c>
      <c r="L983" t="str">
        <f>IF(J983&gt;0,J983*0.453592,IF(K983&gt;0,K983*0.02835,))</f>
        <v>#REF!</v>
      </c>
      <c r="O983">
        <f>I983+N983+M983</f>
        <v>0</v>
      </c>
      <c r="P983">
        <f>O983*B$3</f>
        <v>0</v>
      </c>
      <c r="Q983">
        <f>ROUND(SUM(P983), -2)</f>
        <v>0</v>
      </c>
      <c r="R983" t="str">
        <f>ROUNDUP(HLOOKUP(IF(CEILING(L983,0.5)&lt;1,0.5,CEILING(L983,0.5)),'배송비 조회'!A$44:AO$56,7,0)*B$3,-2)</f>
        <v>#REF!</v>
      </c>
      <c r="S983">
        <v>0</v>
      </c>
      <c r="T983" t="str">
        <f>ROUND((Q983+R983)*0.3,-2)</f>
        <v>#REF!</v>
      </c>
      <c r="U983" t="str">
        <f>ROUND((Q983+R983)*0.4,-2)</f>
        <v>#REF!</v>
      </c>
      <c r="V983" t="str">
        <f>SUM(Q983:R983)+T983</f>
        <v>#REF!</v>
      </c>
      <c r="W983" t="str">
        <f>SUM(Q983:S983)+U983</f>
        <v>#REF!</v>
      </c>
      <c r="X983">
        <v>0</v>
      </c>
      <c r="Y983" t="str">
        <f>V983*0.038</f>
        <v>#REF!</v>
      </c>
      <c r="Z983" t="str">
        <f>V983*0.02</f>
        <v>#REF!</v>
      </c>
      <c r="AA983" t="str">
        <f>W983*0.1</f>
        <v>#REF!</v>
      </c>
      <c r="AB983" t="str">
        <f>V983-Y983-Z983</f>
        <v>#REF!</v>
      </c>
      <c r="AC983" t="str">
        <f>W983-AA983</f>
        <v>#REF!</v>
      </c>
      <c r="AD983" t="str">
        <f>AB983*0.01</f>
        <v>#REF!</v>
      </c>
      <c r="AE983" t="str">
        <f>AB983-Q983-AD983-R983</f>
        <v>#REF!</v>
      </c>
      <c r="AF983" t="str">
        <f>AC983-Q983-AD983-R983</f>
        <v>#REF!</v>
      </c>
      <c r="AG983" t="str">
        <f>AE983/V983</f>
        <v>#REF!</v>
      </c>
      <c r="AH983" t="str">
        <f>AF983/W983</f>
        <v>#REF!</v>
      </c>
    </row>
    <row r="984">
      <c r="G984" t="str">
        <v>A</v>
      </c>
      <c r="J984" t="str">
        <f>IF(K984&gt;0,K984*0.0625,IF(L984&gt;0,L984*2.204623,))</f>
        <v>#REF!</v>
      </c>
      <c r="K984" t="str">
        <f>IF(L984&gt;0,L984*35.273962,IF(J984&gt;0,J984*16,))</f>
        <v>#REF!</v>
      </c>
      <c r="L984" t="str">
        <f>IF(J984&gt;0,J984*0.453592,IF(K984&gt;0,K984*0.02835,))</f>
        <v>#REF!</v>
      </c>
      <c r="O984">
        <f>I984+N984+M984</f>
        <v>0</v>
      </c>
      <c r="P984">
        <f>O984*B$3</f>
        <v>0</v>
      </c>
      <c r="Q984">
        <f>ROUND(SUM(P984), -2)</f>
        <v>0</v>
      </c>
      <c r="R984" t="str">
        <f>ROUNDUP(HLOOKUP(IF(CEILING(L984,0.5)&lt;1,0.5,CEILING(L984,0.5)),'배송비 조회'!A$44:AO$56,7,0)*B$3,-2)</f>
        <v>#REF!</v>
      </c>
      <c r="S984">
        <v>0</v>
      </c>
      <c r="T984" t="str">
        <f>ROUND((Q984+R984)*0.3,-2)</f>
        <v>#REF!</v>
      </c>
      <c r="U984" t="str">
        <f>ROUND((Q984+R984)*0.4,-2)</f>
        <v>#REF!</v>
      </c>
      <c r="V984" t="str">
        <f>SUM(Q984:R984)+T984</f>
        <v>#REF!</v>
      </c>
      <c r="W984" t="str">
        <f>SUM(Q984:S984)+U984</f>
        <v>#REF!</v>
      </c>
      <c r="X984">
        <v>0</v>
      </c>
      <c r="Y984" t="str">
        <f>V984*0.038</f>
        <v>#REF!</v>
      </c>
      <c r="Z984" t="str">
        <f>V984*0.02</f>
        <v>#REF!</v>
      </c>
      <c r="AA984" t="str">
        <f>W984*0.1</f>
        <v>#REF!</v>
      </c>
      <c r="AB984" t="str">
        <f>V984-Y984-Z984</f>
        <v>#REF!</v>
      </c>
      <c r="AC984" t="str">
        <f>W984-AA984</f>
        <v>#REF!</v>
      </c>
      <c r="AD984" t="str">
        <f>AB984*0.01</f>
        <v>#REF!</v>
      </c>
      <c r="AE984" t="str">
        <f>AB984-Q984-AD984-R984</f>
        <v>#REF!</v>
      </c>
      <c r="AF984" t="str">
        <f>AC984-Q984-AD984-R984</f>
        <v>#REF!</v>
      </c>
      <c r="AG984" t="str">
        <f>AE984/V984</f>
        <v>#REF!</v>
      </c>
      <c r="AH984" t="str">
        <f>AF984/W984</f>
        <v>#REF!</v>
      </c>
    </row>
    <row r="985">
      <c r="G985" t="str">
        <v>A</v>
      </c>
      <c r="J985" t="str">
        <f>IF(K985&gt;0,K985*0.0625,IF(L985&gt;0,L985*2.204623,))</f>
        <v>#REF!</v>
      </c>
      <c r="K985" t="str">
        <f>IF(L985&gt;0,L985*35.273962,IF(J985&gt;0,J985*16,))</f>
        <v>#REF!</v>
      </c>
      <c r="L985" t="str">
        <f>IF(J985&gt;0,J985*0.453592,IF(K985&gt;0,K985*0.02835,))</f>
        <v>#REF!</v>
      </c>
      <c r="O985">
        <f>I985+N985+M985</f>
        <v>0</v>
      </c>
      <c r="P985">
        <f>O985*B$3</f>
        <v>0</v>
      </c>
      <c r="Q985">
        <f>ROUND(SUM(P985), -2)</f>
        <v>0</v>
      </c>
      <c r="R985" t="str">
        <f>ROUNDUP(HLOOKUP(IF(CEILING(L985,0.5)&lt;1,0.5,CEILING(L985,0.5)),'배송비 조회'!A$44:AO$56,7,0)*B$3,-2)</f>
        <v>#REF!</v>
      </c>
      <c r="S985">
        <v>0</v>
      </c>
      <c r="T985" t="str">
        <f>ROUND((Q985+R985)*0.3,-2)</f>
        <v>#REF!</v>
      </c>
      <c r="U985" t="str">
        <f>ROUND((Q985+R985)*0.4,-2)</f>
        <v>#REF!</v>
      </c>
      <c r="V985" t="str">
        <f>SUM(Q985:R985)+T985</f>
        <v>#REF!</v>
      </c>
      <c r="W985" t="str">
        <f>SUM(Q985:S985)+U985</f>
        <v>#REF!</v>
      </c>
      <c r="X985">
        <v>0</v>
      </c>
      <c r="Y985" t="str">
        <f>V985*0.038</f>
        <v>#REF!</v>
      </c>
      <c r="Z985" t="str">
        <f>V985*0.02</f>
        <v>#REF!</v>
      </c>
      <c r="AA985" t="str">
        <f>W985*0.1</f>
        <v>#REF!</v>
      </c>
      <c r="AB985" t="str">
        <f>V985-Y985-Z985</f>
        <v>#REF!</v>
      </c>
      <c r="AC985" t="str">
        <f>W985-AA985</f>
        <v>#REF!</v>
      </c>
      <c r="AD985" t="str">
        <f>AB985*0.01</f>
        <v>#REF!</v>
      </c>
      <c r="AE985" t="str">
        <f>AB985-Q985-AD985-R985</f>
        <v>#REF!</v>
      </c>
      <c r="AF985" t="str">
        <f>AC985-Q985-AD985-R985</f>
        <v>#REF!</v>
      </c>
      <c r="AG985" t="str">
        <f>AE985/V985</f>
        <v>#REF!</v>
      </c>
      <c r="AH985" t="str">
        <f>AF985/W985</f>
        <v>#REF!</v>
      </c>
    </row>
    <row r="986">
      <c r="G986" t="str">
        <v>A</v>
      </c>
      <c r="J986" t="str">
        <f>IF(K986&gt;0,K986*0.0625,IF(L986&gt;0,L986*2.204623,))</f>
        <v>#REF!</v>
      </c>
      <c r="K986" t="str">
        <f>IF(L986&gt;0,L986*35.273962,IF(J986&gt;0,J986*16,))</f>
        <v>#REF!</v>
      </c>
      <c r="L986" t="str">
        <f>IF(J986&gt;0,J986*0.453592,IF(K986&gt;0,K986*0.02835,))</f>
        <v>#REF!</v>
      </c>
      <c r="O986">
        <f>I986+N986+M986</f>
        <v>0</v>
      </c>
      <c r="P986">
        <f>O986*B$3</f>
        <v>0</v>
      </c>
      <c r="Q986">
        <f>ROUND(SUM(P986), -2)</f>
        <v>0</v>
      </c>
      <c r="R986" t="str">
        <f>ROUNDUP(HLOOKUP(IF(CEILING(L986,0.5)&lt;1,0.5,CEILING(L986,0.5)),'배송비 조회'!A$44:AO$56,7,0)*B$3,-2)</f>
        <v>#REF!</v>
      </c>
      <c r="S986">
        <v>0</v>
      </c>
      <c r="T986" t="str">
        <f>ROUND((Q986+R986)*0.3,-2)</f>
        <v>#REF!</v>
      </c>
      <c r="U986" t="str">
        <f>ROUND((Q986+R986)*0.4,-2)</f>
        <v>#REF!</v>
      </c>
      <c r="V986" t="str">
        <f>SUM(Q986:R986)+T986</f>
        <v>#REF!</v>
      </c>
      <c r="W986" t="str">
        <f>SUM(Q986:S986)+U986</f>
        <v>#REF!</v>
      </c>
      <c r="X986">
        <v>0</v>
      </c>
      <c r="Y986" t="str">
        <f>V986*0.038</f>
        <v>#REF!</v>
      </c>
      <c r="Z986" t="str">
        <f>V986*0.02</f>
        <v>#REF!</v>
      </c>
      <c r="AA986" t="str">
        <f>W986*0.1</f>
        <v>#REF!</v>
      </c>
      <c r="AB986" t="str">
        <f>V986-Y986-Z986</f>
        <v>#REF!</v>
      </c>
      <c r="AC986" t="str">
        <f>W986-AA986</f>
        <v>#REF!</v>
      </c>
      <c r="AD986" t="str">
        <f>AB986*0.01</f>
        <v>#REF!</v>
      </c>
      <c r="AE986" t="str">
        <f>AB986-Q986-AD986-R986</f>
        <v>#REF!</v>
      </c>
      <c r="AF986" t="str">
        <f>AC986-Q986-AD986-R986</f>
        <v>#REF!</v>
      </c>
      <c r="AG986" t="str">
        <f>AE986/V986</f>
        <v>#REF!</v>
      </c>
      <c r="AH986" t="str">
        <f>AF986/W986</f>
        <v>#REF!</v>
      </c>
    </row>
    <row r="987">
      <c r="G987" t="str">
        <v>A</v>
      </c>
      <c r="J987" t="str">
        <f>IF(K987&gt;0,K987*0.0625,IF(L987&gt;0,L987*2.204623,))</f>
        <v>#REF!</v>
      </c>
      <c r="K987" t="str">
        <f>IF(L987&gt;0,L987*35.273962,IF(J987&gt;0,J987*16,))</f>
        <v>#REF!</v>
      </c>
      <c r="L987" t="str">
        <f>IF(J987&gt;0,J987*0.453592,IF(K987&gt;0,K987*0.02835,))</f>
        <v>#REF!</v>
      </c>
      <c r="O987">
        <f>I987+N987+M987</f>
        <v>0</v>
      </c>
      <c r="P987">
        <f>O987*B$3</f>
        <v>0</v>
      </c>
      <c r="Q987">
        <f>ROUND(SUM(P987), -2)</f>
        <v>0</v>
      </c>
      <c r="R987" t="str">
        <f>ROUNDUP(HLOOKUP(IF(CEILING(L987,0.5)&lt;1,0.5,CEILING(L987,0.5)),'배송비 조회'!A$44:AO$56,7,0)*B$3,-2)</f>
        <v>#REF!</v>
      </c>
      <c r="S987">
        <v>0</v>
      </c>
      <c r="T987" t="str">
        <f>ROUND((Q987+R987)*0.3,-2)</f>
        <v>#REF!</v>
      </c>
      <c r="U987" t="str">
        <f>ROUND((Q987+R987)*0.4,-2)</f>
        <v>#REF!</v>
      </c>
      <c r="V987" t="str">
        <f>SUM(Q987:R987)+T987</f>
        <v>#REF!</v>
      </c>
      <c r="W987" t="str">
        <f>SUM(Q987:S987)+U987</f>
        <v>#REF!</v>
      </c>
      <c r="X987">
        <v>0</v>
      </c>
      <c r="Y987" t="str">
        <f>V987*0.038</f>
        <v>#REF!</v>
      </c>
      <c r="Z987" t="str">
        <f>V987*0.02</f>
        <v>#REF!</v>
      </c>
      <c r="AA987" t="str">
        <f>W987*0.1</f>
        <v>#REF!</v>
      </c>
      <c r="AB987" t="str">
        <f>V987-Y987-Z987</f>
        <v>#REF!</v>
      </c>
      <c r="AC987" t="str">
        <f>W987-AA987</f>
        <v>#REF!</v>
      </c>
      <c r="AD987" t="str">
        <f>AB987*0.01</f>
        <v>#REF!</v>
      </c>
      <c r="AE987" t="str">
        <f>AB987-Q987-AD987-R987</f>
        <v>#REF!</v>
      </c>
      <c r="AF987" t="str">
        <f>AC987-Q987-AD987-R987</f>
        <v>#REF!</v>
      </c>
      <c r="AG987" t="str">
        <f>AE987/V987</f>
        <v>#REF!</v>
      </c>
      <c r="AH987" t="str">
        <f>AF987/W987</f>
        <v>#REF!</v>
      </c>
    </row>
    <row r="988">
      <c r="G988" t="str">
        <v>A</v>
      </c>
      <c r="J988" t="str">
        <f>IF(K988&gt;0,K988*0.0625,IF(L988&gt;0,L988*2.204623,))</f>
        <v>#REF!</v>
      </c>
      <c r="K988" t="str">
        <f>IF(L988&gt;0,L988*35.273962,IF(J988&gt;0,J988*16,))</f>
        <v>#REF!</v>
      </c>
      <c r="L988" t="str">
        <f>IF(J988&gt;0,J988*0.453592,IF(K988&gt;0,K988*0.02835,))</f>
        <v>#REF!</v>
      </c>
      <c r="O988">
        <f>I988+N988+M988</f>
        <v>0</v>
      </c>
      <c r="P988">
        <f>O988*B$3</f>
        <v>0</v>
      </c>
      <c r="Q988">
        <f>ROUND(SUM(P988), -2)</f>
        <v>0</v>
      </c>
      <c r="R988" t="str">
        <f>ROUNDUP(HLOOKUP(IF(CEILING(L988,0.5)&lt;1,0.5,CEILING(L988,0.5)),'배송비 조회'!A$44:AO$56,7,0)*B$3,-2)</f>
        <v>#REF!</v>
      </c>
      <c r="S988">
        <v>0</v>
      </c>
      <c r="T988" t="str">
        <f>ROUND((Q988+R988)*0.3,-2)</f>
        <v>#REF!</v>
      </c>
      <c r="U988" t="str">
        <f>ROUND((Q988+R988)*0.4,-2)</f>
        <v>#REF!</v>
      </c>
      <c r="V988" t="str">
        <f>SUM(Q988:R988)+T988</f>
        <v>#REF!</v>
      </c>
      <c r="W988" t="str">
        <f>SUM(Q988:S988)+U988</f>
        <v>#REF!</v>
      </c>
      <c r="X988">
        <v>0</v>
      </c>
      <c r="Y988" t="str">
        <f>V988*0.038</f>
        <v>#REF!</v>
      </c>
      <c r="Z988" t="str">
        <f>V988*0.02</f>
        <v>#REF!</v>
      </c>
      <c r="AA988" t="str">
        <f>W988*0.1</f>
        <v>#REF!</v>
      </c>
      <c r="AB988" t="str">
        <f>V988-Y988-Z988</f>
        <v>#REF!</v>
      </c>
      <c r="AC988" t="str">
        <f>W988-AA988</f>
        <v>#REF!</v>
      </c>
      <c r="AD988" t="str">
        <f>AB988*0.01</f>
        <v>#REF!</v>
      </c>
      <c r="AE988" t="str">
        <f>AB988-Q988-AD988-R988</f>
        <v>#REF!</v>
      </c>
      <c r="AF988" t="str">
        <f>AC988-Q988-AD988-R988</f>
        <v>#REF!</v>
      </c>
      <c r="AG988" t="str">
        <f>AE988/V988</f>
        <v>#REF!</v>
      </c>
      <c r="AH988" t="str">
        <f>AF988/W988</f>
        <v>#REF!</v>
      </c>
    </row>
    <row r="989">
      <c r="G989" t="str">
        <v>A</v>
      </c>
      <c r="J989" t="str">
        <f>IF(K989&gt;0,K989*0.0625,IF(L989&gt;0,L989*2.204623,))</f>
        <v>#REF!</v>
      </c>
      <c r="K989" t="str">
        <f>IF(L989&gt;0,L989*35.273962,IF(J989&gt;0,J989*16,))</f>
        <v>#REF!</v>
      </c>
      <c r="L989" t="str">
        <f>IF(J989&gt;0,J989*0.453592,IF(K989&gt;0,K989*0.02835,))</f>
        <v>#REF!</v>
      </c>
      <c r="O989">
        <f>I989+N989+M989</f>
        <v>0</v>
      </c>
      <c r="P989">
        <f>O989*B$3</f>
        <v>0</v>
      </c>
      <c r="Q989">
        <f>ROUND(SUM(P989), -2)</f>
        <v>0</v>
      </c>
      <c r="R989" t="str">
        <f>ROUNDUP(HLOOKUP(IF(CEILING(L989,0.5)&lt;1,0.5,CEILING(L989,0.5)),'배송비 조회'!A$44:AO$56,7,0)*B$3,-2)</f>
        <v>#REF!</v>
      </c>
      <c r="S989">
        <v>0</v>
      </c>
      <c r="T989" t="str">
        <f>ROUND((Q989+R989)*0.3,-2)</f>
        <v>#REF!</v>
      </c>
      <c r="U989" t="str">
        <f>ROUND((Q989+R989)*0.4,-2)</f>
        <v>#REF!</v>
      </c>
      <c r="V989" t="str">
        <f>SUM(Q989:R989)+T989</f>
        <v>#REF!</v>
      </c>
      <c r="W989" t="str">
        <f>SUM(Q989:S989)+U989</f>
        <v>#REF!</v>
      </c>
      <c r="X989">
        <v>0</v>
      </c>
      <c r="Y989" t="str">
        <f>V989*0.038</f>
        <v>#REF!</v>
      </c>
      <c r="Z989" t="str">
        <f>V989*0.02</f>
        <v>#REF!</v>
      </c>
      <c r="AA989" t="str">
        <f>W989*0.1</f>
        <v>#REF!</v>
      </c>
      <c r="AB989" t="str">
        <f>V989-Y989-Z989</f>
        <v>#REF!</v>
      </c>
      <c r="AC989" t="str">
        <f>W989-AA989</f>
        <v>#REF!</v>
      </c>
      <c r="AD989" t="str">
        <f>AB989*0.01</f>
        <v>#REF!</v>
      </c>
      <c r="AE989" t="str">
        <f>AB989-Q989-AD989-R989</f>
        <v>#REF!</v>
      </c>
      <c r="AF989" t="str">
        <f>AC989-Q989-AD989-R989</f>
        <v>#REF!</v>
      </c>
      <c r="AG989" t="str">
        <f>AE989/V989</f>
        <v>#REF!</v>
      </c>
      <c r="AH989" t="str">
        <f>AF989/W989</f>
        <v>#REF!</v>
      </c>
    </row>
    <row r="990">
      <c r="G990" t="str">
        <v>A</v>
      </c>
      <c r="J990" t="str">
        <f>IF(K990&gt;0,K990*0.0625,IF(L990&gt;0,L990*2.204623,))</f>
        <v>#REF!</v>
      </c>
      <c r="K990" t="str">
        <f>IF(L990&gt;0,L990*35.273962,IF(J990&gt;0,J990*16,))</f>
        <v>#REF!</v>
      </c>
      <c r="L990" t="str">
        <f>IF(J990&gt;0,J990*0.453592,IF(K990&gt;0,K990*0.02835,))</f>
        <v>#REF!</v>
      </c>
      <c r="O990">
        <f>I990+N990+M990</f>
        <v>0</v>
      </c>
      <c r="P990">
        <f>O990*B$3</f>
        <v>0</v>
      </c>
      <c r="Q990">
        <f>ROUND(SUM(P990), -2)</f>
        <v>0</v>
      </c>
      <c r="R990" t="str">
        <f>ROUNDUP(HLOOKUP(IF(CEILING(L990,0.5)&lt;1,0.5,CEILING(L990,0.5)),'배송비 조회'!A$44:AO$56,7,0)*B$3,-2)</f>
        <v>#REF!</v>
      </c>
      <c r="S990">
        <v>0</v>
      </c>
      <c r="T990" t="str">
        <f>ROUND((Q990+R990)*0.3,-2)</f>
        <v>#REF!</v>
      </c>
      <c r="U990" t="str">
        <f>ROUND((Q990+R990)*0.4,-2)</f>
        <v>#REF!</v>
      </c>
      <c r="V990" t="str">
        <f>SUM(Q990:R990)+T990</f>
        <v>#REF!</v>
      </c>
      <c r="W990" t="str">
        <f>SUM(Q990:S990)+U990</f>
        <v>#REF!</v>
      </c>
      <c r="X990">
        <v>0</v>
      </c>
      <c r="Y990" t="str">
        <f>V990*0.038</f>
        <v>#REF!</v>
      </c>
      <c r="Z990" t="str">
        <f>V990*0.02</f>
        <v>#REF!</v>
      </c>
      <c r="AA990" t="str">
        <f>W990*0.1</f>
        <v>#REF!</v>
      </c>
      <c r="AB990" t="str">
        <f>V990-Y990-Z990</f>
        <v>#REF!</v>
      </c>
      <c r="AC990" t="str">
        <f>W990-AA990</f>
        <v>#REF!</v>
      </c>
      <c r="AD990" t="str">
        <f>AB990*0.01</f>
        <v>#REF!</v>
      </c>
      <c r="AE990" t="str">
        <f>AB990-Q990-AD990-R990</f>
        <v>#REF!</v>
      </c>
      <c r="AF990" t="str">
        <f>AC990-Q990-AD990-R990</f>
        <v>#REF!</v>
      </c>
      <c r="AG990" t="str">
        <f>AE990/V990</f>
        <v>#REF!</v>
      </c>
      <c r="AH990" t="str">
        <f>AF990/W990</f>
        <v>#REF!</v>
      </c>
    </row>
    <row r="991">
      <c r="G991" t="str">
        <v>A</v>
      </c>
      <c r="J991" t="str">
        <f>IF(K991&gt;0,K991*0.0625,IF(L991&gt;0,L991*2.204623,))</f>
        <v>#REF!</v>
      </c>
      <c r="K991" t="str">
        <f>IF(L991&gt;0,L991*35.273962,IF(J991&gt;0,J991*16,))</f>
        <v>#REF!</v>
      </c>
      <c r="L991" t="str">
        <f>IF(J991&gt;0,J991*0.453592,IF(K991&gt;0,K991*0.02835,))</f>
        <v>#REF!</v>
      </c>
      <c r="O991">
        <f>I991+N991+M991</f>
        <v>0</v>
      </c>
      <c r="P991">
        <f>O991*B$3</f>
        <v>0</v>
      </c>
      <c r="Q991">
        <f>ROUND(SUM(P991), -2)</f>
        <v>0</v>
      </c>
      <c r="R991" t="str">
        <f>ROUNDUP(HLOOKUP(IF(CEILING(L991,0.5)&lt;1,0.5,CEILING(L991,0.5)),'배송비 조회'!A$44:AO$56,7,0)*B$3,-2)</f>
        <v>#REF!</v>
      </c>
      <c r="S991">
        <v>0</v>
      </c>
      <c r="T991" t="str">
        <f>ROUND((Q991+R991)*0.3,-2)</f>
        <v>#REF!</v>
      </c>
      <c r="U991" t="str">
        <f>ROUND((Q991+R991)*0.4,-2)</f>
        <v>#REF!</v>
      </c>
      <c r="V991" t="str">
        <f>SUM(Q991:R991)+T991</f>
        <v>#REF!</v>
      </c>
      <c r="W991" t="str">
        <f>SUM(Q991:S991)+U991</f>
        <v>#REF!</v>
      </c>
      <c r="X991">
        <v>0</v>
      </c>
      <c r="Y991" t="str">
        <f>V991*0.038</f>
        <v>#REF!</v>
      </c>
      <c r="Z991" t="str">
        <f>V991*0.02</f>
        <v>#REF!</v>
      </c>
      <c r="AA991" t="str">
        <f>W991*0.1</f>
        <v>#REF!</v>
      </c>
      <c r="AB991" t="str">
        <f>V991-Y991-Z991</f>
        <v>#REF!</v>
      </c>
      <c r="AC991" t="str">
        <f>W991-AA991</f>
        <v>#REF!</v>
      </c>
      <c r="AD991" t="str">
        <f>AB991*0.01</f>
        <v>#REF!</v>
      </c>
      <c r="AE991" t="str">
        <f>AB991-Q991-AD991-R991</f>
        <v>#REF!</v>
      </c>
      <c r="AF991" t="str">
        <f>AC991-Q991-AD991-R991</f>
        <v>#REF!</v>
      </c>
      <c r="AG991" t="str">
        <f>AE991/V991</f>
        <v>#REF!</v>
      </c>
      <c r="AH991" t="str">
        <f>AF991/W991</f>
        <v>#REF!</v>
      </c>
    </row>
    <row r="992">
      <c r="G992" t="str">
        <v>A</v>
      </c>
      <c r="J992" t="str">
        <f>IF(K992&gt;0,K992*0.0625,IF(L992&gt;0,L992*2.204623,))</f>
        <v>#REF!</v>
      </c>
      <c r="K992" t="str">
        <f>IF(L992&gt;0,L992*35.273962,IF(J992&gt;0,J992*16,))</f>
        <v>#REF!</v>
      </c>
      <c r="L992" t="str">
        <f>IF(J992&gt;0,J992*0.453592,IF(K992&gt;0,K992*0.02835,))</f>
        <v>#REF!</v>
      </c>
      <c r="O992">
        <f>I992+N992+M992</f>
        <v>0</v>
      </c>
      <c r="P992">
        <f>O992*B$3</f>
        <v>0</v>
      </c>
      <c r="Q992">
        <f>ROUND(SUM(P992), -2)</f>
        <v>0</v>
      </c>
      <c r="R992" t="str">
        <f>ROUNDUP(HLOOKUP(IF(CEILING(L992,0.5)&lt;1,0.5,CEILING(L992,0.5)),'배송비 조회'!A$44:AO$56,7,0)*B$3,-2)</f>
        <v>#REF!</v>
      </c>
      <c r="S992">
        <v>0</v>
      </c>
      <c r="T992" t="str">
        <f>ROUND((Q992+R992)*0.3,-2)</f>
        <v>#REF!</v>
      </c>
      <c r="U992" t="str">
        <f>ROUND((Q992+R992)*0.4,-2)</f>
        <v>#REF!</v>
      </c>
      <c r="V992" t="str">
        <f>SUM(Q992:R992)+T992</f>
        <v>#REF!</v>
      </c>
      <c r="W992" t="str">
        <f>SUM(Q992:S992)+U992</f>
        <v>#REF!</v>
      </c>
      <c r="X992">
        <v>0</v>
      </c>
      <c r="Y992" t="str">
        <f>V992*0.038</f>
        <v>#REF!</v>
      </c>
      <c r="Z992" t="str">
        <f>V992*0.02</f>
        <v>#REF!</v>
      </c>
      <c r="AA992" t="str">
        <f>W992*0.1</f>
        <v>#REF!</v>
      </c>
      <c r="AB992" t="str">
        <f>V992-Y992-Z992</f>
        <v>#REF!</v>
      </c>
      <c r="AC992" t="str">
        <f>W992-AA992</f>
        <v>#REF!</v>
      </c>
      <c r="AD992" t="str">
        <f>AB992*0.01</f>
        <v>#REF!</v>
      </c>
      <c r="AE992" t="str">
        <f>AB992-Q992-AD992-R992</f>
        <v>#REF!</v>
      </c>
      <c r="AF992" t="str">
        <f>AC992-Q992-AD992-R992</f>
        <v>#REF!</v>
      </c>
      <c r="AG992" t="str">
        <f>AE992/V992</f>
        <v>#REF!</v>
      </c>
      <c r="AH992" t="str">
        <f>AF992/W992</f>
        <v>#REF!</v>
      </c>
    </row>
    <row r="993">
      <c r="G993" t="str">
        <v>A</v>
      </c>
      <c r="J993" t="str">
        <f>IF(K993&gt;0,K993*0.0625,IF(L993&gt;0,L993*2.204623,))</f>
        <v>#REF!</v>
      </c>
      <c r="K993" t="str">
        <f>IF(L993&gt;0,L993*35.273962,IF(J993&gt;0,J993*16,))</f>
        <v>#REF!</v>
      </c>
      <c r="L993" t="str">
        <f>IF(J993&gt;0,J993*0.453592,IF(K993&gt;0,K993*0.02835,))</f>
        <v>#REF!</v>
      </c>
      <c r="O993">
        <f>I993+N993+M993</f>
        <v>0</v>
      </c>
      <c r="P993">
        <f>O993*B$3</f>
        <v>0</v>
      </c>
      <c r="Q993">
        <f>ROUND(SUM(P993), -2)</f>
        <v>0</v>
      </c>
      <c r="R993" t="str">
        <f>ROUNDUP(HLOOKUP(IF(CEILING(L993,0.5)&lt;1,0.5,CEILING(L993,0.5)),'배송비 조회'!A$44:AO$56,7,0)*B$3,-2)</f>
        <v>#REF!</v>
      </c>
      <c r="S993">
        <v>0</v>
      </c>
      <c r="T993" t="str">
        <f>ROUND((Q993+R993)*0.3,-2)</f>
        <v>#REF!</v>
      </c>
      <c r="U993" t="str">
        <f>ROUND((Q993+R993)*0.4,-2)</f>
        <v>#REF!</v>
      </c>
      <c r="V993" t="str">
        <f>SUM(Q993:R993)+T993</f>
        <v>#REF!</v>
      </c>
      <c r="W993" t="str">
        <f>SUM(Q993:S993)+U993</f>
        <v>#REF!</v>
      </c>
      <c r="X993">
        <v>0</v>
      </c>
      <c r="Y993" t="str">
        <f>V993*0.038</f>
        <v>#REF!</v>
      </c>
      <c r="Z993" t="str">
        <f>V993*0.02</f>
        <v>#REF!</v>
      </c>
      <c r="AA993" t="str">
        <f>W993*0.1</f>
        <v>#REF!</v>
      </c>
      <c r="AB993" t="str">
        <f>V993-Y993-Z993</f>
        <v>#REF!</v>
      </c>
      <c r="AC993" t="str">
        <f>W993-AA993</f>
        <v>#REF!</v>
      </c>
      <c r="AD993" t="str">
        <f>AB993*0.01</f>
        <v>#REF!</v>
      </c>
      <c r="AE993" t="str">
        <f>AB993-Q993-AD993-R993</f>
        <v>#REF!</v>
      </c>
      <c r="AF993" t="str">
        <f>AC993-Q993-AD993-R993</f>
        <v>#REF!</v>
      </c>
      <c r="AG993" t="str">
        <f>AE993/V993</f>
        <v>#REF!</v>
      </c>
      <c r="AH993" t="str">
        <f>AF993/W993</f>
        <v>#REF!</v>
      </c>
    </row>
    <row r="994">
      <c r="G994" t="str">
        <v>A</v>
      </c>
      <c r="J994" t="str">
        <f>IF(K994&gt;0,K994*0.0625,IF(L994&gt;0,L994*2.204623,))</f>
        <v>#REF!</v>
      </c>
      <c r="K994" t="str">
        <f>IF(L994&gt;0,L994*35.273962,IF(J994&gt;0,J994*16,))</f>
        <v>#REF!</v>
      </c>
      <c r="L994" t="str">
        <f>IF(J994&gt;0,J994*0.453592,IF(K994&gt;0,K994*0.02835,))</f>
        <v>#REF!</v>
      </c>
      <c r="O994">
        <f>I994+N994+M994</f>
        <v>0</v>
      </c>
      <c r="P994">
        <f>O994*B$3</f>
        <v>0</v>
      </c>
      <c r="Q994">
        <f>ROUND(SUM(P994), -2)</f>
        <v>0</v>
      </c>
      <c r="R994" t="str">
        <f>ROUNDUP(HLOOKUP(IF(CEILING(L994,0.5)&lt;1,0.5,CEILING(L994,0.5)),'배송비 조회'!A$44:AO$56,7,0)*B$3,-2)</f>
        <v>#REF!</v>
      </c>
      <c r="S994">
        <v>0</v>
      </c>
      <c r="T994" t="str">
        <f>ROUND((Q994+R994)*0.3,-2)</f>
        <v>#REF!</v>
      </c>
      <c r="U994" t="str">
        <f>ROUND((Q994+R994)*0.4,-2)</f>
        <v>#REF!</v>
      </c>
      <c r="V994" t="str">
        <f>SUM(Q994:R994)+T994</f>
        <v>#REF!</v>
      </c>
      <c r="W994" t="str">
        <f>SUM(Q994:S994)+U994</f>
        <v>#REF!</v>
      </c>
      <c r="X994">
        <v>0</v>
      </c>
      <c r="Y994" t="str">
        <f>V994*0.038</f>
        <v>#REF!</v>
      </c>
      <c r="Z994" t="str">
        <f>V994*0.02</f>
        <v>#REF!</v>
      </c>
      <c r="AA994" t="str">
        <f>W994*0.1</f>
        <v>#REF!</v>
      </c>
      <c r="AB994" t="str">
        <f>V994-Y994-Z994</f>
        <v>#REF!</v>
      </c>
      <c r="AC994" t="str">
        <f>W994-AA994</f>
        <v>#REF!</v>
      </c>
      <c r="AD994" t="str">
        <f>AB994*0.01</f>
        <v>#REF!</v>
      </c>
      <c r="AE994" t="str">
        <f>AB994-Q994-AD994-R994</f>
        <v>#REF!</v>
      </c>
      <c r="AF994" t="str">
        <f>AC994-Q994-AD994-R994</f>
        <v>#REF!</v>
      </c>
      <c r="AG994" t="str">
        <f>AE994/V994</f>
        <v>#REF!</v>
      </c>
      <c r="AH994" t="str">
        <f>AF994/W994</f>
        <v>#REF!</v>
      </c>
    </row>
  </sheetData>
  <mergeCells count="40">
    <mergeCell ref="AG1:AH1"/>
    <mergeCell ref="M1:M2"/>
    <mergeCell ref="N1:N2"/>
    <mergeCell ref="O1:O2"/>
    <mergeCell ref="P1:P2"/>
    <mergeCell ref="Q1:Q2"/>
    <mergeCell ref="R1:R2"/>
    <mergeCell ref="S1:S2"/>
    <mergeCell ref="T1:U1"/>
    <mergeCell ref="V1:W1"/>
    <mergeCell ref="X1:AA1"/>
    <mergeCell ref="AB1:AC1"/>
    <mergeCell ref="AE1:AF1"/>
    <mergeCell ref="A1:B1"/>
    <mergeCell ref="C1:D1"/>
    <mergeCell ref="E1:E2"/>
    <mergeCell ref="F1:F2"/>
    <mergeCell ref="G1:H2"/>
    <mergeCell ref="I1:I2"/>
    <mergeCell ref="J1:L1"/>
    <mergeCell ref="C9:C13"/>
    <mergeCell ref="D9:D13"/>
    <mergeCell ref="C14:C16"/>
    <mergeCell ref="D14:D16"/>
    <mergeCell ref="E14:E16"/>
    <mergeCell ref="C18:C25"/>
    <mergeCell ref="D18:D25"/>
    <mergeCell ref="E18:E25"/>
    <mergeCell ref="A5:A8"/>
    <mergeCell ref="B5:B8"/>
    <mergeCell ref="C5:C8"/>
    <mergeCell ref="D5:D8"/>
    <mergeCell ref="E5:E8"/>
    <mergeCell ref="B9:B13"/>
    <mergeCell ref="E9:E13"/>
    <mergeCell ref="A9:A13"/>
    <mergeCell ref="A14:A16"/>
    <mergeCell ref="B14:B16"/>
    <mergeCell ref="A18:A25"/>
    <mergeCell ref="B18:B25"/>
  </mergeCells>
  <pageMargins left="0.7" right="0.7" top="0.75" bottom="0.75" header="0.3" footer="0.3"/>
  <ignoredErrors>
    <ignoredError numberStoredAsText="1" sqref="A1:AU994"/>
  </ignoredErrors>
</worksheet>
</file>

<file path=xl/worksheets/sheet4.xml><?xml version="1.0" encoding="utf-8"?>
<worksheet xmlns="http://schemas.openxmlformats.org/spreadsheetml/2006/main" xmlns:r="http://schemas.openxmlformats.org/officeDocument/2006/relationships">
  <dimension ref="A1:AY69"/>
  <sheetViews>
    <sheetView workbookViewId="0" rightToLeft="0"/>
  </sheetViews>
  <sheetData>
    <row r="1" xml:space="preserve">
      <c r="A1" t="str" xml:space="preserve">
        <v xml:space="preserve">직구닷컴(미국)_x000d_
※ 부피무게 적용_x000d_
오레곤, 캘리포니아 물류센터 모두 같은 방식으로 적용_x000b_- 부피무게가 20파운드(세변의 합이 45인치) 이하시 실무게로 적용_x000b_- 단, 실무게와 부피의 차가 3배 이상일 경우 부피무게 60%적용._x000b_- 부피무게가 20파운드 이상시 부피무게의 60% 적용_x000b_예) 실무게 8파운드 부피무게 20파운드 일때 실무게 20 * 0.6 = 12 파운드. (부피무게의 60%가 적용됨)_x000b_예) 실무게 13파운드 부피무게 20파운드 일때 실무게 실무게 13파운드 적용_x000d_
</v>
      </c>
    </row>
    <row r="9">
      <c r="A9" t="str">
        <v>단위 : 달러/lb</v>
      </c>
    </row>
    <row r="10">
      <c r="A10" t="str">
        <v>&lt;직구닷컴&gt;</v>
      </c>
      <c r="B10">
        <v>1</v>
      </c>
      <c r="C10">
        <v>2</v>
      </c>
      <c r="D10">
        <v>3</v>
      </c>
      <c r="E10">
        <v>4</v>
      </c>
      <c r="F10">
        <v>5</v>
      </c>
      <c r="G10">
        <v>6</v>
      </c>
      <c r="H10">
        <v>7</v>
      </c>
      <c r="I10">
        <v>8</v>
      </c>
      <c r="J10">
        <v>9</v>
      </c>
      <c r="K10">
        <v>10</v>
      </c>
      <c r="L10">
        <v>11</v>
      </c>
      <c r="M10">
        <v>12</v>
      </c>
      <c r="N10">
        <v>13</v>
      </c>
      <c r="O10">
        <v>14</v>
      </c>
      <c r="P10">
        <v>15</v>
      </c>
      <c r="Q10">
        <v>16</v>
      </c>
      <c r="R10">
        <v>17</v>
      </c>
      <c r="S10">
        <v>18</v>
      </c>
      <c r="T10">
        <v>19</v>
      </c>
      <c r="U10">
        <v>20</v>
      </c>
      <c r="V10">
        <v>21</v>
      </c>
      <c r="W10">
        <v>22</v>
      </c>
      <c r="X10">
        <v>23</v>
      </c>
      <c r="Y10">
        <v>24</v>
      </c>
      <c r="Z10">
        <v>25</v>
      </c>
      <c r="AA10">
        <v>26</v>
      </c>
      <c r="AB10">
        <v>27</v>
      </c>
      <c r="AC10">
        <v>28</v>
      </c>
      <c r="AD10">
        <v>29</v>
      </c>
      <c r="AE10">
        <v>30</v>
      </c>
    </row>
    <row r="11">
      <c r="A11" t="str">
        <v>로켓배송</v>
      </c>
      <c r="B11">
        <v>5</v>
      </c>
      <c r="C11">
        <v>6.5</v>
      </c>
      <c r="D11">
        <v>8</v>
      </c>
      <c r="E11">
        <v>9.5</v>
      </c>
      <c r="F11">
        <v>11</v>
      </c>
      <c r="G11">
        <v>12.5</v>
      </c>
      <c r="H11">
        <v>14</v>
      </c>
      <c r="I11">
        <v>15.5</v>
      </c>
      <c r="J11">
        <v>17</v>
      </c>
      <c r="K11">
        <v>18.5</v>
      </c>
      <c r="L11">
        <v>20</v>
      </c>
      <c r="M11">
        <v>21.5</v>
      </c>
      <c r="N11">
        <v>23</v>
      </c>
      <c r="O11">
        <v>24.5</v>
      </c>
      <c r="P11">
        <v>26</v>
      </c>
      <c r="Q11">
        <v>27.5</v>
      </c>
      <c r="R11">
        <v>29</v>
      </c>
      <c r="S11">
        <v>30.5</v>
      </c>
      <c r="T11">
        <v>32</v>
      </c>
      <c r="U11">
        <v>33.5</v>
      </c>
      <c r="V11">
        <v>35</v>
      </c>
      <c r="W11">
        <v>36.5</v>
      </c>
      <c r="X11">
        <v>38</v>
      </c>
      <c r="Y11">
        <v>39.5</v>
      </c>
      <c r="Z11">
        <v>41</v>
      </c>
      <c r="AA11">
        <v>42.5</v>
      </c>
      <c r="AB11">
        <v>44</v>
      </c>
      <c r="AC11">
        <v>45.5</v>
      </c>
      <c r="AD11">
        <v>47</v>
      </c>
      <c r="AE11">
        <v>48.5</v>
      </c>
    </row>
    <row r="12">
      <c r="A12" t="str">
        <v>ROYAL패밀리</v>
      </c>
      <c r="B12">
        <v>6</v>
      </c>
      <c r="C12">
        <v>7.6</v>
      </c>
      <c r="D12">
        <v>9.2</v>
      </c>
      <c r="E12">
        <v>10.8</v>
      </c>
      <c r="F12">
        <v>12.4</v>
      </c>
      <c r="G12">
        <v>14</v>
      </c>
      <c r="H12">
        <v>15.6</v>
      </c>
      <c r="I12">
        <v>17.2</v>
      </c>
      <c r="J12">
        <v>18.8</v>
      </c>
      <c r="K12">
        <v>20.4</v>
      </c>
      <c r="L12">
        <v>22</v>
      </c>
      <c r="M12">
        <v>23.6</v>
      </c>
      <c r="N12">
        <v>25.2</v>
      </c>
      <c r="O12">
        <v>26.8</v>
      </c>
      <c r="P12">
        <v>28.4</v>
      </c>
      <c r="Q12">
        <v>30</v>
      </c>
      <c r="R12">
        <v>31.6</v>
      </c>
      <c r="S12">
        <v>33.2</v>
      </c>
      <c r="T12">
        <v>34.8</v>
      </c>
      <c r="U12">
        <v>36.4</v>
      </c>
      <c r="V12">
        <v>38</v>
      </c>
      <c r="W12">
        <v>39.6</v>
      </c>
      <c r="X12">
        <v>41.2</v>
      </c>
      <c r="Y12">
        <v>42.8000000000001</v>
      </c>
      <c r="Z12">
        <v>44.4000000000001</v>
      </c>
      <c r="AA12">
        <v>46.0000000000001</v>
      </c>
      <c r="AB12">
        <v>47.6000000000001</v>
      </c>
      <c r="AC12">
        <v>49.2000000000001</v>
      </c>
      <c r="AD12">
        <v>50.8000000000001</v>
      </c>
      <c r="AE12">
        <v>52.4000000000001</v>
      </c>
    </row>
    <row r="13">
      <c r="A13" t="str">
        <v>직구1단</v>
      </c>
      <c r="B13">
        <v>8</v>
      </c>
      <c r="C13">
        <v>9.8</v>
      </c>
      <c r="D13">
        <v>11.6</v>
      </c>
      <c r="E13">
        <v>13.4</v>
      </c>
      <c r="F13">
        <v>15.2</v>
      </c>
      <c r="G13">
        <v>17</v>
      </c>
      <c r="H13">
        <v>18.8</v>
      </c>
      <c r="I13">
        <v>20.6</v>
      </c>
      <c r="J13">
        <v>22.4</v>
      </c>
      <c r="K13">
        <v>24.2</v>
      </c>
      <c r="L13">
        <v>26</v>
      </c>
      <c r="M13">
        <v>27.8</v>
      </c>
      <c r="N13">
        <v>29.6</v>
      </c>
      <c r="O13">
        <v>31.4</v>
      </c>
      <c r="P13">
        <v>33.2</v>
      </c>
      <c r="Q13">
        <v>35</v>
      </c>
      <c r="R13">
        <v>36.8</v>
      </c>
      <c r="S13">
        <v>38.6</v>
      </c>
      <c r="T13">
        <v>40.4</v>
      </c>
      <c r="U13">
        <v>42.2</v>
      </c>
      <c r="V13">
        <v>44</v>
      </c>
      <c r="W13">
        <v>45.8</v>
      </c>
      <c r="X13">
        <v>47.6</v>
      </c>
      <c r="Y13">
        <v>49.4000000000001</v>
      </c>
      <c r="Z13">
        <v>51.2000000000001</v>
      </c>
      <c r="AA13">
        <v>53.0000000000001</v>
      </c>
      <c r="AB13">
        <v>54.8000000000001</v>
      </c>
      <c r="AC13">
        <v>56.6000000000001</v>
      </c>
      <c r="AD13">
        <v>58.4000000000001</v>
      </c>
      <c r="AE13">
        <v>60.2000000000001</v>
      </c>
    </row>
    <row r="14">
      <c r="A14" t="str">
        <v>직구2단</v>
      </c>
      <c r="B14">
        <v>7.2</v>
      </c>
      <c r="C14">
        <v>8.95</v>
      </c>
      <c r="D14">
        <v>10.7</v>
      </c>
      <c r="E14">
        <v>12.45</v>
      </c>
      <c r="F14">
        <v>14.2</v>
      </c>
      <c r="G14">
        <v>15.95</v>
      </c>
      <c r="H14">
        <v>17.7</v>
      </c>
      <c r="I14">
        <v>19.45</v>
      </c>
      <c r="J14">
        <v>21.2</v>
      </c>
      <c r="K14">
        <v>22.95</v>
      </c>
      <c r="L14">
        <v>24.7</v>
      </c>
      <c r="M14">
        <v>26.45</v>
      </c>
      <c r="N14">
        <v>28.2</v>
      </c>
      <c r="O14">
        <v>29.95</v>
      </c>
      <c r="P14">
        <v>31.7</v>
      </c>
      <c r="Q14">
        <v>33.45</v>
      </c>
      <c r="R14">
        <v>35.2</v>
      </c>
      <c r="S14">
        <v>36.95</v>
      </c>
      <c r="T14">
        <v>38.7</v>
      </c>
      <c r="U14">
        <v>40.45</v>
      </c>
      <c r="V14">
        <v>42.2</v>
      </c>
      <c r="W14">
        <v>43.95</v>
      </c>
      <c r="X14">
        <v>45.7</v>
      </c>
      <c r="Y14">
        <v>47.45</v>
      </c>
      <c r="Z14">
        <v>49.2</v>
      </c>
      <c r="AA14">
        <v>50.95</v>
      </c>
      <c r="AB14">
        <v>52.7</v>
      </c>
      <c r="AC14">
        <v>54.45</v>
      </c>
      <c r="AD14">
        <v>56.2</v>
      </c>
      <c r="AE14">
        <v>57.95</v>
      </c>
    </row>
    <row r="15">
      <c r="A15" t="str">
        <v>직구3단</v>
      </c>
      <c r="B15">
        <v>7.2</v>
      </c>
      <c r="C15">
        <v>8.95</v>
      </c>
      <c r="D15">
        <v>10.7</v>
      </c>
      <c r="E15">
        <v>12.45</v>
      </c>
      <c r="F15">
        <v>14.2</v>
      </c>
      <c r="G15">
        <v>15.95</v>
      </c>
      <c r="H15">
        <v>17.7</v>
      </c>
      <c r="I15">
        <v>19.45</v>
      </c>
      <c r="J15">
        <v>21.2</v>
      </c>
      <c r="K15">
        <v>22.95</v>
      </c>
      <c r="L15">
        <v>24.7</v>
      </c>
      <c r="M15">
        <v>26.45</v>
      </c>
      <c r="N15">
        <v>28.2</v>
      </c>
      <c r="O15">
        <v>29.95</v>
      </c>
      <c r="P15">
        <v>31.7</v>
      </c>
      <c r="Q15">
        <v>33.45</v>
      </c>
      <c r="R15">
        <v>35.2</v>
      </c>
      <c r="S15">
        <v>36.95</v>
      </c>
      <c r="T15">
        <v>38.7</v>
      </c>
      <c r="U15">
        <v>40.45</v>
      </c>
      <c r="V15">
        <v>42.2</v>
      </c>
      <c r="W15">
        <v>43.95</v>
      </c>
      <c r="X15">
        <v>45.7</v>
      </c>
      <c r="Y15">
        <v>47.45</v>
      </c>
      <c r="Z15">
        <v>49.2</v>
      </c>
      <c r="AA15">
        <v>50.95</v>
      </c>
      <c r="AB15">
        <v>52.7</v>
      </c>
      <c r="AC15">
        <v>54.45</v>
      </c>
      <c r="AD15">
        <v>56.2</v>
      </c>
      <c r="AE15">
        <v>57.95</v>
      </c>
    </row>
    <row r="16">
      <c r="A16" t="str">
        <v>직구4단</v>
      </c>
      <c r="B16">
        <v>7.2</v>
      </c>
      <c r="C16">
        <v>8.95</v>
      </c>
      <c r="D16">
        <v>10.7</v>
      </c>
      <c r="E16">
        <v>12.45</v>
      </c>
      <c r="F16">
        <v>14.2</v>
      </c>
      <c r="G16">
        <v>15.95</v>
      </c>
      <c r="H16">
        <v>17.7</v>
      </c>
      <c r="I16">
        <v>19.45</v>
      </c>
      <c r="J16">
        <v>21.2</v>
      </c>
      <c r="K16">
        <v>22.95</v>
      </c>
      <c r="L16">
        <v>24.7</v>
      </c>
      <c r="M16">
        <v>26.45</v>
      </c>
      <c r="N16">
        <v>28.2</v>
      </c>
      <c r="O16">
        <v>29.95</v>
      </c>
      <c r="P16">
        <v>31.7</v>
      </c>
      <c r="Q16">
        <v>33.45</v>
      </c>
      <c r="R16">
        <v>35.2</v>
      </c>
      <c r="S16">
        <v>36.95</v>
      </c>
      <c r="T16">
        <v>38.7</v>
      </c>
      <c r="U16">
        <v>40.45</v>
      </c>
      <c r="V16">
        <v>42.2</v>
      </c>
      <c r="W16">
        <v>43.95</v>
      </c>
      <c r="X16">
        <v>45.7</v>
      </c>
      <c r="Y16">
        <v>47.45</v>
      </c>
      <c r="Z16">
        <v>49.2</v>
      </c>
      <c r="AA16">
        <v>50.95</v>
      </c>
      <c r="AB16">
        <v>52.7</v>
      </c>
      <c r="AC16">
        <v>54.45</v>
      </c>
      <c r="AD16">
        <v>56.2</v>
      </c>
      <c r="AE16">
        <v>57.95</v>
      </c>
    </row>
    <row r="17">
      <c r="A17" t="str">
        <v>직구5단</v>
      </c>
      <c r="B17">
        <v>7.2</v>
      </c>
      <c r="C17">
        <v>8.95</v>
      </c>
      <c r="D17">
        <v>10.7</v>
      </c>
      <c r="E17">
        <v>12.45</v>
      </c>
      <c r="F17">
        <v>14.2</v>
      </c>
      <c r="G17">
        <v>15.95</v>
      </c>
      <c r="H17">
        <v>17.7</v>
      </c>
      <c r="I17">
        <v>19.45</v>
      </c>
      <c r="J17">
        <v>21.2</v>
      </c>
      <c r="K17">
        <v>22.95</v>
      </c>
      <c r="L17">
        <v>24.7</v>
      </c>
      <c r="M17">
        <v>26.45</v>
      </c>
      <c r="N17">
        <v>28.2</v>
      </c>
      <c r="O17">
        <v>29.95</v>
      </c>
      <c r="P17">
        <v>31.7</v>
      </c>
      <c r="Q17">
        <v>33.45</v>
      </c>
      <c r="R17">
        <v>35.2</v>
      </c>
      <c r="S17">
        <v>36.95</v>
      </c>
      <c r="T17">
        <v>38.7</v>
      </c>
      <c r="U17">
        <v>40.45</v>
      </c>
      <c r="V17">
        <v>42.2</v>
      </c>
      <c r="W17">
        <v>43.95</v>
      </c>
      <c r="X17">
        <v>45.7</v>
      </c>
      <c r="Y17">
        <v>47.45</v>
      </c>
      <c r="Z17">
        <v>49.2</v>
      </c>
      <c r="AA17">
        <v>50.95</v>
      </c>
      <c r="AB17">
        <v>52.7</v>
      </c>
      <c r="AC17">
        <v>54.45</v>
      </c>
      <c r="AD17">
        <v>56.2</v>
      </c>
      <c r="AE17">
        <v>57.95</v>
      </c>
    </row>
    <row r="18">
      <c r="A18" t="str">
        <v>직구6단</v>
      </c>
      <c r="B18">
        <v>7.2</v>
      </c>
      <c r="C18">
        <v>8.95</v>
      </c>
      <c r="D18">
        <v>10.7</v>
      </c>
      <c r="E18">
        <v>12.45</v>
      </c>
      <c r="F18">
        <v>14.2</v>
      </c>
      <c r="G18">
        <v>15.95</v>
      </c>
      <c r="H18">
        <v>17.7</v>
      </c>
      <c r="I18">
        <v>19.45</v>
      </c>
      <c r="J18">
        <v>21.2</v>
      </c>
      <c r="K18">
        <v>22.95</v>
      </c>
      <c r="L18">
        <v>24.7</v>
      </c>
      <c r="M18">
        <v>26.45</v>
      </c>
      <c r="N18">
        <v>28.2</v>
      </c>
      <c r="O18">
        <v>29.95</v>
      </c>
      <c r="P18">
        <v>31.7</v>
      </c>
      <c r="Q18">
        <v>33.45</v>
      </c>
      <c r="R18">
        <v>35.2</v>
      </c>
      <c r="S18">
        <v>36.95</v>
      </c>
      <c r="T18">
        <v>38.7</v>
      </c>
      <c r="U18">
        <v>40.45</v>
      </c>
      <c r="V18">
        <v>42.2</v>
      </c>
      <c r="W18">
        <v>43.95</v>
      </c>
      <c r="X18">
        <v>45.7</v>
      </c>
      <c r="Y18">
        <v>47.45</v>
      </c>
      <c r="Z18">
        <v>49.2</v>
      </c>
      <c r="AA18">
        <v>50.95</v>
      </c>
      <c r="AB18">
        <v>52.7</v>
      </c>
      <c r="AC18">
        <v>54.45</v>
      </c>
      <c r="AD18">
        <v>56.2</v>
      </c>
      <c r="AE18">
        <v>57.95</v>
      </c>
    </row>
    <row r="19">
      <c r="A19" t="str">
        <v>직구7단</v>
      </c>
      <c r="B19">
        <v>7.2</v>
      </c>
      <c r="C19">
        <v>8.95</v>
      </c>
      <c r="D19">
        <v>10.7</v>
      </c>
      <c r="E19">
        <v>12.45</v>
      </c>
      <c r="F19">
        <v>14.2</v>
      </c>
      <c r="G19">
        <v>15.95</v>
      </c>
      <c r="H19">
        <v>17.7</v>
      </c>
      <c r="I19">
        <v>19.45</v>
      </c>
      <c r="J19">
        <v>21.2</v>
      </c>
      <c r="K19">
        <v>22.95</v>
      </c>
      <c r="L19">
        <v>24.7</v>
      </c>
      <c r="M19">
        <v>26.45</v>
      </c>
      <c r="N19">
        <v>28.2</v>
      </c>
      <c r="O19">
        <v>29.95</v>
      </c>
      <c r="P19">
        <v>31.7</v>
      </c>
      <c r="Q19">
        <v>33.45</v>
      </c>
      <c r="R19">
        <v>35.2</v>
      </c>
      <c r="S19">
        <v>36.95</v>
      </c>
      <c r="T19">
        <v>38.7</v>
      </c>
      <c r="U19">
        <v>40.45</v>
      </c>
      <c r="V19">
        <v>42.2</v>
      </c>
      <c r="W19">
        <v>43.95</v>
      </c>
      <c r="X19">
        <v>45.7</v>
      </c>
      <c r="Y19">
        <v>47.45</v>
      </c>
      <c r="Z19">
        <v>49.2</v>
      </c>
      <c r="AA19">
        <v>50.95</v>
      </c>
      <c r="AB19">
        <v>52.7</v>
      </c>
      <c r="AC19">
        <v>54.45</v>
      </c>
      <c r="AD19">
        <v>56.2</v>
      </c>
      <c r="AE19">
        <v>57.95</v>
      </c>
    </row>
    <row r="20">
      <c r="A20" t="str">
        <v>직구8단</v>
      </c>
      <c r="B20">
        <v>7.2</v>
      </c>
      <c r="C20">
        <v>8.95</v>
      </c>
      <c r="D20">
        <v>10.7</v>
      </c>
      <c r="E20">
        <v>12.45</v>
      </c>
      <c r="F20">
        <v>14.2</v>
      </c>
      <c r="G20">
        <v>15.95</v>
      </c>
      <c r="H20">
        <v>17.7</v>
      </c>
      <c r="I20">
        <v>19.45</v>
      </c>
      <c r="J20">
        <v>21.2</v>
      </c>
      <c r="K20">
        <v>22.95</v>
      </c>
      <c r="L20">
        <v>24.7</v>
      </c>
      <c r="M20">
        <v>26.45</v>
      </c>
      <c r="N20">
        <v>28.2</v>
      </c>
      <c r="O20">
        <v>29.95</v>
      </c>
      <c r="P20">
        <v>31.7</v>
      </c>
      <c r="Q20">
        <v>33.45</v>
      </c>
      <c r="R20">
        <v>35.2</v>
      </c>
      <c r="S20">
        <v>36.95</v>
      </c>
      <c r="T20">
        <v>38.7</v>
      </c>
      <c r="U20">
        <v>40.45</v>
      </c>
      <c r="V20">
        <v>42.2</v>
      </c>
      <c r="W20">
        <v>43.95</v>
      </c>
      <c r="X20">
        <v>45.7</v>
      </c>
      <c r="Y20">
        <v>47.45</v>
      </c>
      <c r="Z20">
        <v>49.2</v>
      </c>
      <c r="AA20">
        <v>50.95</v>
      </c>
      <c r="AB20">
        <v>52.7</v>
      </c>
      <c r="AC20">
        <v>54.45</v>
      </c>
      <c r="AD20">
        <v>56.2</v>
      </c>
      <c r="AE20">
        <v>57.95</v>
      </c>
    </row>
    <row r="21">
      <c r="A21" t="str">
        <v>직구9단</v>
      </c>
      <c r="B21">
        <v>7.2</v>
      </c>
      <c r="C21">
        <v>8.95</v>
      </c>
      <c r="D21">
        <v>10.7</v>
      </c>
      <c r="E21">
        <v>12.45</v>
      </c>
      <c r="F21">
        <v>14.2</v>
      </c>
      <c r="G21">
        <v>15.95</v>
      </c>
      <c r="H21">
        <v>17.7</v>
      </c>
      <c r="I21">
        <v>19.45</v>
      </c>
      <c r="J21">
        <v>21.2</v>
      </c>
      <c r="K21">
        <v>22.95</v>
      </c>
      <c r="L21">
        <v>24.7</v>
      </c>
      <c r="M21">
        <v>26.45</v>
      </c>
      <c r="N21">
        <v>28.2</v>
      </c>
      <c r="O21">
        <v>29.95</v>
      </c>
      <c r="P21">
        <v>31.7</v>
      </c>
      <c r="Q21">
        <v>33.45</v>
      </c>
      <c r="R21">
        <v>35.2</v>
      </c>
      <c r="S21">
        <v>36.95</v>
      </c>
      <c r="T21">
        <v>38.7</v>
      </c>
      <c r="U21">
        <v>40.45</v>
      </c>
      <c r="V21">
        <v>42.2</v>
      </c>
      <c r="W21">
        <v>43.95</v>
      </c>
      <c r="X21">
        <v>45.7</v>
      </c>
      <c r="Y21">
        <v>47.45</v>
      </c>
      <c r="Z21">
        <v>49.2</v>
      </c>
      <c r="AA21">
        <v>50.95</v>
      </c>
      <c r="AB21">
        <v>52.7</v>
      </c>
      <c r="AC21">
        <v>54.45</v>
      </c>
      <c r="AD21">
        <v>56.2</v>
      </c>
      <c r="AE21">
        <v>57.95</v>
      </c>
    </row>
    <row r="22">
      <c r="A22" t="str">
        <v>직구명인</v>
      </c>
      <c r="B22">
        <v>7</v>
      </c>
      <c r="C22">
        <v>8.65</v>
      </c>
      <c r="D22">
        <v>10.3</v>
      </c>
      <c r="E22">
        <v>11.95</v>
      </c>
      <c r="F22">
        <v>13.6</v>
      </c>
      <c r="G22">
        <v>15.25</v>
      </c>
      <c r="H22">
        <v>16.9</v>
      </c>
      <c r="I22">
        <v>18.55</v>
      </c>
      <c r="J22">
        <v>20.2</v>
      </c>
      <c r="K22">
        <v>21.85</v>
      </c>
      <c r="L22">
        <v>23.5</v>
      </c>
      <c r="M22">
        <v>25.15</v>
      </c>
      <c r="N22">
        <v>26.8</v>
      </c>
      <c r="O22">
        <v>28.45</v>
      </c>
      <c r="P22">
        <v>30.1</v>
      </c>
      <c r="Q22">
        <v>31.75</v>
      </c>
      <c r="R22">
        <v>33.4</v>
      </c>
      <c r="S22">
        <v>35.05</v>
      </c>
      <c r="T22">
        <v>36.7</v>
      </c>
      <c r="U22">
        <v>38.35</v>
      </c>
      <c r="V22">
        <v>40</v>
      </c>
      <c r="W22">
        <v>41.65</v>
      </c>
      <c r="X22">
        <v>43.3</v>
      </c>
      <c r="Y22">
        <v>44.95</v>
      </c>
      <c r="Z22">
        <v>46.5999999999999</v>
      </c>
      <c r="AA22">
        <v>48.2499999999999</v>
      </c>
      <c r="AB22">
        <v>49.8999999999999</v>
      </c>
      <c r="AC22">
        <v>51.5499999999999</v>
      </c>
      <c r="AD22">
        <v>53.1999999999999</v>
      </c>
      <c r="AE22">
        <v>54.8499999999999</v>
      </c>
    </row>
    <row r="24" xml:space="preserve">
      <c r="A24" t="str" xml:space="preserve">
        <v xml:space="preserve">산타빌리지 (로얄로 가즈아!!!)_x000d_
※ 중량무게 적용_x000d_
배송요금에는 중국통관 +국제배송비(항공,해상)+국내(한국)배송비가 포함_x000d_
(관부가세, 부가수수료, 대형화물 착불택배비 별도)_x000d_
_x000d_
- 1kg당 기준, 0.5kg당 절상(반올림, 1.3kg -&gt; 1.5kg)_x000d_
- 부피무게는 적용되지 않으며, only 중량무게(kg)로 배송비 측정됨_x000d_
(kg무게와 cbm(cubic meter : 1m X 1m X 1m = 1cbm)간 차이가 클 경우, 고객 협의후 cbm부피무게 적용됨.)</v>
      </c>
    </row>
    <row r="31">
      <c r="A31" t="str">
        <v>단위 : 원</v>
      </c>
    </row>
    <row r="32">
      <c r="A32" t="str">
        <v>무게(kg)</v>
      </c>
      <c r="B32">
        <v>1</v>
      </c>
      <c r="C32">
        <v>1.5</v>
      </c>
      <c r="D32">
        <v>2</v>
      </c>
      <c r="E32">
        <v>2.5</v>
      </c>
      <c r="F32">
        <v>3</v>
      </c>
      <c r="G32">
        <v>3.5</v>
      </c>
      <c r="H32">
        <v>4</v>
      </c>
      <c r="I32">
        <v>4.5</v>
      </c>
      <c r="J32">
        <v>5</v>
      </c>
      <c r="K32">
        <v>5.5</v>
      </c>
      <c r="L32">
        <v>6</v>
      </c>
      <c r="M32">
        <v>6.5</v>
      </c>
      <c r="N32">
        <v>7</v>
      </c>
      <c r="O32">
        <v>7.5</v>
      </c>
      <c r="P32">
        <v>8</v>
      </c>
      <c r="Q32">
        <v>8.5</v>
      </c>
      <c r="R32">
        <v>9</v>
      </c>
      <c r="S32">
        <v>9.5</v>
      </c>
      <c r="T32">
        <v>10</v>
      </c>
      <c r="U32">
        <v>10.5</v>
      </c>
      <c r="V32">
        <v>11</v>
      </c>
      <c r="W32">
        <v>11.5</v>
      </c>
      <c r="X32">
        <v>12</v>
      </c>
      <c r="Y32">
        <v>12.5</v>
      </c>
      <c r="Z32">
        <v>13</v>
      </c>
      <c r="AA32">
        <v>13.5</v>
      </c>
      <c r="AB32">
        <v>14</v>
      </c>
      <c r="AC32">
        <v>14.5</v>
      </c>
      <c r="AD32">
        <v>15</v>
      </c>
      <c r="AE32">
        <v>15.5</v>
      </c>
      <c r="AF32">
        <v>16</v>
      </c>
      <c r="AG32">
        <v>16.5</v>
      </c>
      <c r="AH32">
        <v>17</v>
      </c>
      <c r="AI32">
        <v>17.5</v>
      </c>
      <c r="AJ32">
        <v>18</v>
      </c>
      <c r="AK32">
        <v>18.5</v>
      </c>
      <c r="AL32">
        <v>19</v>
      </c>
      <c r="AM32">
        <v>19.5</v>
      </c>
      <c r="AN32">
        <v>20</v>
      </c>
      <c r="AO32">
        <v>20.5</v>
      </c>
      <c r="AP32">
        <v>21</v>
      </c>
      <c r="AQ32">
        <v>21.5</v>
      </c>
      <c r="AR32">
        <v>22</v>
      </c>
      <c r="AS32">
        <v>22.5</v>
      </c>
      <c r="AT32">
        <v>23</v>
      </c>
      <c r="AU32">
        <v>23.5</v>
      </c>
      <c r="AV32">
        <v>24</v>
      </c>
      <c r="AW32">
        <v>24.5</v>
      </c>
      <c r="AX32">
        <v>25</v>
      </c>
      <c r="AY32">
        <v>25.5</v>
      </c>
    </row>
    <row r="33" xml:space="preserve">
      <c r="A33" t="str" xml:space="preserve">
        <v xml:space="preserve">산타빌리지_x000d_
</v>
      </c>
      <c r="B33">
        <v>8000</v>
      </c>
      <c r="C33">
        <v>8800</v>
      </c>
      <c r="D33">
        <v>9600</v>
      </c>
      <c r="E33">
        <v>10400</v>
      </c>
      <c r="F33">
        <v>11200</v>
      </c>
      <c r="G33">
        <v>12000</v>
      </c>
      <c r="H33">
        <v>12800</v>
      </c>
      <c r="I33">
        <v>13600</v>
      </c>
      <c r="J33">
        <v>14400</v>
      </c>
      <c r="K33">
        <v>15200</v>
      </c>
      <c r="L33">
        <v>16000</v>
      </c>
      <c r="M33">
        <v>16800</v>
      </c>
      <c r="N33">
        <v>17600</v>
      </c>
      <c r="O33">
        <v>18400</v>
      </c>
      <c r="P33">
        <v>19200</v>
      </c>
      <c r="Q33">
        <v>20000</v>
      </c>
      <c r="R33">
        <v>20800</v>
      </c>
      <c r="S33">
        <v>21600</v>
      </c>
      <c r="T33">
        <v>22400</v>
      </c>
      <c r="U33">
        <v>23200</v>
      </c>
      <c r="V33">
        <v>24000</v>
      </c>
      <c r="W33">
        <v>24800</v>
      </c>
      <c r="X33">
        <v>25600</v>
      </c>
      <c r="Y33">
        <v>26400</v>
      </c>
      <c r="Z33">
        <v>27200</v>
      </c>
      <c r="AA33">
        <v>28000</v>
      </c>
      <c r="AB33">
        <v>28800</v>
      </c>
      <c r="AC33">
        <v>29600</v>
      </c>
      <c r="AD33">
        <v>30400</v>
      </c>
      <c r="AE33">
        <v>31200</v>
      </c>
      <c r="AF33">
        <v>32000</v>
      </c>
      <c r="AG33">
        <v>32800</v>
      </c>
      <c r="AH33">
        <v>33600</v>
      </c>
      <c r="AI33">
        <v>34400</v>
      </c>
      <c r="AJ33">
        <v>35200</v>
      </c>
      <c r="AK33">
        <v>36000</v>
      </c>
      <c r="AL33">
        <v>36800</v>
      </c>
      <c r="AM33">
        <v>37600</v>
      </c>
      <c r="AN33">
        <v>38400</v>
      </c>
      <c r="AO33">
        <v>39200</v>
      </c>
      <c r="AP33">
        <v>40000</v>
      </c>
      <c r="AQ33">
        <v>40800</v>
      </c>
      <c r="AR33">
        <v>41600</v>
      </c>
      <c r="AS33">
        <v>42400</v>
      </c>
      <c r="AT33">
        <v>43200</v>
      </c>
      <c r="AU33">
        <v>44000</v>
      </c>
      <c r="AV33">
        <v>44800</v>
      </c>
      <c r="AW33">
        <v>45600</v>
      </c>
      <c r="AX33">
        <v>46400</v>
      </c>
      <c r="AY33">
        <v>47200</v>
      </c>
    </row>
    <row r="34" xml:space="preserve">
      <c r="A34" t="str" xml:space="preserve">
        <v xml:space="preserve">VIP_x000d_
(50건 이상)</v>
      </c>
      <c r="B34">
        <v>7600</v>
      </c>
      <c r="C34">
        <v>8360</v>
      </c>
      <c r="D34">
        <v>9120</v>
      </c>
      <c r="E34">
        <v>9880</v>
      </c>
      <c r="F34">
        <v>10640</v>
      </c>
      <c r="G34">
        <v>11400</v>
      </c>
      <c r="H34">
        <v>12160</v>
      </c>
      <c r="I34">
        <v>12920</v>
      </c>
      <c r="J34">
        <v>13680</v>
      </c>
      <c r="K34">
        <v>14440</v>
      </c>
      <c r="L34">
        <v>15200</v>
      </c>
      <c r="M34">
        <v>15960</v>
      </c>
      <c r="N34">
        <v>16720</v>
      </c>
      <c r="O34">
        <v>17480</v>
      </c>
      <c r="P34">
        <v>18240</v>
      </c>
      <c r="Q34">
        <v>19000</v>
      </c>
      <c r="R34">
        <v>19760</v>
      </c>
      <c r="S34">
        <v>20520</v>
      </c>
      <c r="T34">
        <v>21280</v>
      </c>
      <c r="U34">
        <v>22040</v>
      </c>
      <c r="V34">
        <v>22800</v>
      </c>
      <c r="W34">
        <v>23560</v>
      </c>
      <c r="X34">
        <v>24320</v>
      </c>
      <c r="Y34">
        <v>25080</v>
      </c>
      <c r="Z34">
        <v>25840</v>
      </c>
      <c r="AA34">
        <v>26600</v>
      </c>
      <c r="AB34">
        <v>27360</v>
      </c>
      <c r="AC34">
        <v>28120</v>
      </c>
      <c r="AD34">
        <v>28880</v>
      </c>
      <c r="AE34">
        <v>29640</v>
      </c>
      <c r="AF34">
        <v>30400</v>
      </c>
      <c r="AG34">
        <v>31160</v>
      </c>
      <c r="AH34">
        <v>31920</v>
      </c>
      <c r="AI34">
        <v>32680</v>
      </c>
      <c r="AJ34">
        <v>33440</v>
      </c>
      <c r="AK34">
        <v>34200</v>
      </c>
      <c r="AL34">
        <v>34960</v>
      </c>
      <c r="AM34">
        <v>35720</v>
      </c>
      <c r="AN34">
        <v>36480</v>
      </c>
      <c r="AO34">
        <v>37240</v>
      </c>
      <c r="AP34">
        <v>38000</v>
      </c>
      <c r="AQ34">
        <v>38760</v>
      </c>
      <c r="AR34">
        <v>39520</v>
      </c>
      <c r="AS34">
        <v>40280</v>
      </c>
      <c r="AT34">
        <v>41040</v>
      </c>
      <c r="AU34">
        <v>41800</v>
      </c>
      <c r="AV34">
        <v>42560</v>
      </c>
      <c r="AW34">
        <v>43320</v>
      </c>
      <c r="AX34">
        <v>44080</v>
      </c>
      <c r="AY34">
        <v>44840</v>
      </c>
    </row>
    <row r="35" xml:space="preserve">
      <c r="A35" t="str" xml:space="preserve">
        <v xml:space="preserve">VVIP_x000d_
(100건 이상)</v>
      </c>
      <c r="B35">
        <v>7200</v>
      </c>
      <c r="C35">
        <v>7920</v>
      </c>
      <c r="D35">
        <v>8640</v>
      </c>
      <c r="E35">
        <v>9360</v>
      </c>
      <c r="F35">
        <v>10080</v>
      </c>
      <c r="G35">
        <v>10800</v>
      </c>
      <c r="H35">
        <v>11520</v>
      </c>
      <c r="I35">
        <v>12240</v>
      </c>
      <c r="J35">
        <v>12960</v>
      </c>
      <c r="K35">
        <v>13680</v>
      </c>
      <c r="L35">
        <v>14400</v>
      </c>
      <c r="M35">
        <v>15120</v>
      </c>
      <c r="N35">
        <v>15840</v>
      </c>
      <c r="O35">
        <v>16560</v>
      </c>
      <c r="P35">
        <v>17280</v>
      </c>
      <c r="Q35">
        <v>18000</v>
      </c>
      <c r="R35">
        <v>18720</v>
      </c>
      <c r="S35">
        <v>19440</v>
      </c>
      <c r="T35">
        <v>20160</v>
      </c>
      <c r="U35">
        <v>20880</v>
      </c>
      <c r="V35">
        <v>21600</v>
      </c>
      <c r="W35">
        <v>22320</v>
      </c>
      <c r="X35">
        <v>23040</v>
      </c>
      <c r="Y35">
        <v>23760</v>
      </c>
      <c r="Z35">
        <v>24480</v>
      </c>
      <c r="AA35">
        <v>25200</v>
      </c>
      <c r="AB35">
        <v>25920</v>
      </c>
      <c r="AC35">
        <v>26640</v>
      </c>
      <c r="AD35">
        <v>27360</v>
      </c>
      <c r="AE35">
        <v>28080</v>
      </c>
      <c r="AF35">
        <v>28800</v>
      </c>
      <c r="AG35">
        <v>29520</v>
      </c>
      <c r="AH35">
        <v>30240</v>
      </c>
      <c r="AI35">
        <v>30960</v>
      </c>
      <c r="AJ35">
        <v>31680</v>
      </c>
      <c r="AK35">
        <v>32400</v>
      </c>
      <c r="AL35">
        <v>33120</v>
      </c>
      <c r="AM35">
        <v>33840</v>
      </c>
      <c r="AN35">
        <v>34560</v>
      </c>
      <c r="AO35">
        <v>35280</v>
      </c>
      <c r="AP35">
        <v>36000</v>
      </c>
      <c r="AQ35">
        <v>36720</v>
      </c>
      <c r="AR35">
        <v>37440</v>
      </c>
      <c r="AS35">
        <v>38160</v>
      </c>
      <c r="AT35">
        <v>38880</v>
      </c>
      <c r="AU35">
        <v>39600</v>
      </c>
      <c r="AV35">
        <v>40320</v>
      </c>
      <c r="AW35">
        <v>41040</v>
      </c>
      <c r="AX35">
        <v>41760</v>
      </c>
      <c r="AY35">
        <v>42480</v>
      </c>
    </row>
    <row r="36" xml:space="preserve">
      <c r="A36" t="str" xml:space="preserve">
        <v xml:space="preserve">ROYAL_x000d_
(매월 100건 이상)</v>
      </c>
      <c r="B36">
        <v>6770</v>
      </c>
      <c r="C36">
        <v>7450</v>
      </c>
      <c r="D36">
        <v>8130</v>
      </c>
      <c r="E36">
        <v>8800</v>
      </c>
      <c r="F36">
        <v>9480</v>
      </c>
      <c r="G36">
        <v>10160</v>
      </c>
      <c r="H36">
        <v>10830</v>
      </c>
      <c r="I36">
        <v>11510</v>
      </c>
      <c r="J36">
        <v>12190</v>
      </c>
      <c r="K36">
        <v>12860</v>
      </c>
      <c r="L36">
        <v>13540</v>
      </c>
      <c r="M36">
        <v>14220</v>
      </c>
      <c r="N36">
        <v>14890</v>
      </c>
      <c r="O36">
        <v>15570</v>
      </c>
      <c r="P36">
        <v>16250</v>
      </c>
      <c r="Q36">
        <v>16920</v>
      </c>
      <c r="R36">
        <v>17600</v>
      </c>
      <c r="S36">
        <v>18280</v>
      </c>
      <c r="T36">
        <v>18960</v>
      </c>
      <c r="U36">
        <v>19630</v>
      </c>
      <c r="V36">
        <v>20310</v>
      </c>
      <c r="W36">
        <v>20990</v>
      </c>
      <c r="X36">
        <v>21660</v>
      </c>
      <c r="Y36">
        <v>22340</v>
      </c>
      <c r="Z36">
        <v>23020</v>
      </c>
      <c r="AA36">
        <v>23690</v>
      </c>
      <c r="AB36">
        <v>24370</v>
      </c>
      <c r="AC36">
        <v>25050</v>
      </c>
      <c r="AD36">
        <v>25720</v>
      </c>
      <c r="AE36">
        <v>26400</v>
      </c>
      <c r="AF36">
        <v>27080</v>
      </c>
      <c r="AG36">
        <v>27750</v>
      </c>
      <c r="AH36">
        <v>28430</v>
      </c>
      <c r="AI36">
        <v>29110</v>
      </c>
      <c r="AJ36">
        <v>29780</v>
      </c>
      <c r="AK36">
        <v>30460</v>
      </c>
      <c r="AL36">
        <v>31140</v>
      </c>
      <c r="AM36">
        <v>31810</v>
      </c>
      <c r="AN36">
        <v>32490</v>
      </c>
      <c r="AO36">
        <v>33170</v>
      </c>
      <c r="AP36">
        <v>33840</v>
      </c>
      <c r="AQ36">
        <v>34520</v>
      </c>
      <c r="AR36">
        <v>35200</v>
      </c>
      <c r="AS36">
        <v>35880</v>
      </c>
      <c r="AT36">
        <v>36550</v>
      </c>
      <c r="AU36">
        <v>37230</v>
      </c>
      <c r="AV36">
        <v>37910</v>
      </c>
      <c r="AW36">
        <v>38580</v>
      </c>
      <c r="AX36">
        <v>39260</v>
      </c>
      <c r="AY36">
        <v>39940</v>
      </c>
    </row>
    <row r="38" xml:space="preserve">
      <c r="A38" t="str" xml:space="preserve">
        <v xml:space="preserve">직구닷컴(독일)_x000d_
※ 부피무게 적용_x000d_
실중량과 부피무게를 비교하여 더 높은 쪽 무게를 기준으로 청구됩니다._x000b_- 독일 부피무게 계산공식: 가로(Cm) x 세로(Cm) x 높이(Cm) / 6000 단위:Kg_x000d_
</v>
      </c>
    </row>
    <row r="43">
      <c r="A43" t="str">
        <v>단위 : 달러/kg</v>
      </c>
    </row>
    <row r="44">
      <c r="A44" t="str">
        <v>&lt;직구닷컴&gt;</v>
      </c>
      <c r="B44">
        <v>0.5</v>
      </c>
      <c r="C44">
        <v>1</v>
      </c>
      <c r="D44">
        <v>1.5</v>
      </c>
      <c r="E44">
        <v>2</v>
      </c>
      <c r="F44">
        <v>2.5</v>
      </c>
      <c r="G44">
        <v>3</v>
      </c>
      <c r="H44">
        <v>3.5</v>
      </c>
      <c r="I44">
        <v>4</v>
      </c>
      <c r="J44">
        <v>4.5</v>
      </c>
      <c r="K44">
        <v>5</v>
      </c>
      <c r="L44">
        <v>5.5</v>
      </c>
      <c r="M44">
        <v>6</v>
      </c>
      <c r="N44">
        <v>6.5</v>
      </c>
      <c r="O44">
        <v>7</v>
      </c>
      <c r="P44">
        <v>7.5</v>
      </c>
      <c r="Q44">
        <v>8</v>
      </c>
      <c r="R44">
        <v>8.5</v>
      </c>
      <c r="S44">
        <v>9</v>
      </c>
      <c r="T44">
        <v>9.5</v>
      </c>
      <c r="U44">
        <v>10</v>
      </c>
      <c r="V44">
        <v>10.5</v>
      </c>
      <c r="W44">
        <v>11</v>
      </c>
      <c r="X44">
        <v>11.5</v>
      </c>
      <c r="Y44">
        <v>12</v>
      </c>
      <c r="Z44">
        <v>12.5</v>
      </c>
      <c r="AA44">
        <v>13</v>
      </c>
      <c r="AB44">
        <v>13.5</v>
      </c>
      <c r="AC44">
        <v>14</v>
      </c>
      <c r="AD44">
        <v>14.5</v>
      </c>
      <c r="AE44">
        <v>15</v>
      </c>
      <c r="AF44">
        <v>15.5</v>
      </c>
      <c r="AG44">
        <v>16</v>
      </c>
      <c r="AH44">
        <v>16.5</v>
      </c>
      <c r="AI44">
        <v>17</v>
      </c>
      <c r="AJ44">
        <v>17.5</v>
      </c>
      <c r="AK44">
        <v>18</v>
      </c>
      <c r="AL44">
        <v>18.5</v>
      </c>
      <c r="AM44">
        <v>19</v>
      </c>
      <c r="AN44">
        <v>19.5</v>
      </c>
      <c r="AO44">
        <v>20</v>
      </c>
    </row>
    <row r="45">
      <c r="A45" t="str">
        <v>로켓배송</v>
      </c>
      <c r="B45">
        <v>9</v>
      </c>
      <c r="C45">
        <v>10.6</v>
      </c>
      <c r="D45">
        <v>12.2</v>
      </c>
      <c r="E45">
        <v>13.8</v>
      </c>
      <c r="F45">
        <v>15.4</v>
      </c>
      <c r="G45">
        <v>17</v>
      </c>
      <c r="H45">
        <v>18.6</v>
      </c>
      <c r="I45">
        <v>20.2</v>
      </c>
      <c r="J45">
        <v>21.8</v>
      </c>
      <c r="K45">
        <v>23.4</v>
      </c>
      <c r="L45">
        <v>25</v>
      </c>
      <c r="M45">
        <v>26.6</v>
      </c>
      <c r="N45">
        <v>28.2</v>
      </c>
      <c r="O45">
        <v>29.8</v>
      </c>
      <c r="P45">
        <v>31.4</v>
      </c>
      <c r="Q45">
        <v>33</v>
      </c>
      <c r="R45">
        <v>34.6</v>
      </c>
      <c r="S45">
        <v>36.2</v>
      </c>
      <c r="T45">
        <v>37.8</v>
      </c>
      <c r="U45">
        <v>39.4</v>
      </c>
      <c r="V45">
        <v>41</v>
      </c>
      <c r="W45">
        <v>42.6</v>
      </c>
      <c r="X45">
        <v>44.2</v>
      </c>
      <c r="Y45">
        <v>45.8</v>
      </c>
      <c r="Z45">
        <v>47.4</v>
      </c>
      <c r="AA45">
        <v>49</v>
      </c>
      <c r="AB45">
        <v>50.6</v>
      </c>
      <c r="AC45">
        <v>52.2</v>
      </c>
      <c r="AD45">
        <v>53.8</v>
      </c>
      <c r="AE45">
        <v>55.4</v>
      </c>
      <c r="AF45">
        <v>57</v>
      </c>
      <c r="AG45">
        <v>58.6</v>
      </c>
      <c r="AH45">
        <v>60.2</v>
      </c>
      <c r="AI45">
        <v>61.8</v>
      </c>
      <c r="AJ45">
        <v>63.4</v>
      </c>
      <c r="AK45">
        <v>65</v>
      </c>
      <c r="AL45">
        <v>66.6</v>
      </c>
      <c r="AM45">
        <v>68.2</v>
      </c>
      <c r="AN45">
        <v>69.8</v>
      </c>
      <c r="AO45">
        <v>71.4</v>
      </c>
    </row>
    <row r="46">
      <c r="A46" t="str">
        <v>ROYAL패밀리</v>
      </c>
      <c r="B46">
        <v>10.5</v>
      </c>
      <c r="C46">
        <v>12.4</v>
      </c>
      <c r="D46">
        <v>14.3</v>
      </c>
      <c r="E46">
        <v>16.2</v>
      </c>
      <c r="F46">
        <v>18.1</v>
      </c>
      <c r="G46">
        <v>20</v>
      </c>
      <c r="H46">
        <v>21.9</v>
      </c>
      <c r="I46">
        <v>23.8</v>
      </c>
      <c r="J46">
        <v>25.7</v>
      </c>
      <c r="K46">
        <v>27.6</v>
      </c>
      <c r="L46">
        <v>29.5</v>
      </c>
      <c r="M46">
        <v>31.4</v>
      </c>
      <c r="N46">
        <v>33.3</v>
      </c>
      <c r="O46">
        <v>35.2</v>
      </c>
      <c r="P46">
        <v>37.1</v>
      </c>
      <c r="Q46">
        <v>39</v>
      </c>
      <c r="R46">
        <v>40.9</v>
      </c>
      <c r="S46">
        <v>42.8</v>
      </c>
      <c r="T46">
        <v>44.7</v>
      </c>
      <c r="U46">
        <v>46.6</v>
      </c>
      <c r="V46">
        <v>48.5</v>
      </c>
      <c r="W46">
        <v>50.4</v>
      </c>
      <c r="X46">
        <v>52.3</v>
      </c>
      <c r="Y46">
        <v>54.2</v>
      </c>
      <c r="Z46">
        <v>56.1</v>
      </c>
      <c r="AA46">
        <v>58</v>
      </c>
      <c r="AB46">
        <v>59.9</v>
      </c>
      <c r="AC46">
        <v>61.8</v>
      </c>
      <c r="AD46">
        <v>63.7</v>
      </c>
      <c r="AE46">
        <v>65.6</v>
      </c>
      <c r="AF46">
        <v>67.5</v>
      </c>
      <c r="AG46">
        <v>69.4</v>
      </c>
      <c r="AH46">
        <v>71.3</v>
      </c>
      <c r="AI46">
        <v>73.2</v>
      </c>
      <c r="AJ46">
        <v>75.1</v>
      </c>
      <c r="AK46">
        <v>77</v>
      </c>
      <c r="AL46">
        <v>78.9</v>
      </c>
      <c r="AM46">
        <v>80.8</v>
      </c>
      <c r="AN46">
        <v>82.7</v>
      </c>
      <c r="AO46">
        <v>84.6</v>
      </c>
    </row>
    <row r="47">
      <c r="A47" t="str">
        <v>직구1단</v>
      </c>
      <c r="B47">
        <v>11.5</v>
      </c>
      <c r="C47">
        <v>13.7</v>
      </c>
      <c r="D47">
        <v>15.9</v>
      </c>
      <c r="E47">
        <v>18.1</v>
      </c>
      <c r="F47">
        <v>20.3</v>
      </c>
      <c r="G47">
        <v>22.5</v>
      </c>
      <c r="H47">
        <v>24.7</v>
      </c>
      <c r="I47">
        <v>26.9</v>
      </c>
      <c r="J47">
        <v>29.1</v>
      </c>
      <c r="K47">
        <v>31.3</v>
      </c>
      <c r="L47">
        <v>33.5</v>
      </c>
      <c r="M47">
        <v>35.7</v>
      </c>
      <c r="N47">
        <v>37.9</v>
      </c>
      <c r="O47">
        <v>40.1</v>
      </c>
      <c r="P47">
        <v>42.3</v>
      </c>
      <c r="Q47">
        <v>44.5</v>
      </c>
      <c r="R47">
        <v>46.7</v>
      </c>
      <c r="S47">
        <v>48.9</v>
      </c>
      <c r="T47">
        <v>51.1</v>
      </c>
      <c r="U47">
        <v>53.3</v>
      </c>
      <c r="V47">
        <v>55.5</v>
      </c>
      <c r="W47">
        <v>57.7</v>
      </c>
      <c r="X47">
        <v>59.9</v>
      </c>
      <c r="Y47">
        <v>62.1</v>
      </c>
      <c r="Z47">
        <v>64.3</v>
      </c>
      <c r="AA47">
        <v>66.5</v>
      </c>
      <c r="AB47">
        <v>68.7</v>
      </c>
      <c r="AC47">
        <v>70.9</v>
      </c>
      <c r="AD47">
        <v>73.1</v>
      </c>
      <c r="AE47">
        <v>75.3</v>
      </c>
      <c r="AF47">
        <v>77.5</v>
      </c>
      <c r="AG47">
        <v>79.7</v>
      </c>
      <c r="AH47">
        <v>81.9</v>
      </c>
      <c r="AI47">
        <v>84.1</v>
      </c>
      <c r="AJ47">
        <v>86.3</v>
      </c>
      <c r="AK47">
        <v>88.5</v>
      </c>
      <c r="AL47">
        <v>90.7</v>
      </c>
      <c r="AM47">
        <v>92.9</v>
      </c>
      <c r="AN47">
        <v>95.1</v>
      </c>
      <c r="AO47">
        <v>97.3</v>
      </c>
    </row>
    <row r="48">
      <c r="A48" t="str">
        <v>직구2단</v>
      </c>
      <c r="B48">
        <v>11</v>
      </c>
      <c r="C48">
        <v>13.2</v>
      </c>
      <c r="D48">
        <v>15.4</v>
      </c>
      <c r="E48">
        <v>17.6</v>
      </c>
      <c r="F48">
        <v>19.8</v>
      </c>
      <c r="G48">
        <v>22</v>
      </c>
      <c r="H48">
        <v>24.2</v>
      </c>
      <c r="I48">
        <v>26.4</v>
      </c>
      <c r="J48">
        <v>28.6</v>
      </c>
      <c r="K48">
        <v>30.8</v>
      </c>
      <c r="L48">
        <v>33</v>
      </c>
      <c r="M48">
        <v>35.2</v>
      </c>
      <c r="N48">
        <v>37.4</v>
      </c>
      <c r="O48">
        <v>39.6</v>
      </c>
      <c r="P48">
        <v>41.8</v>
      </c>
      <c r="Q48">
        <v>44</v>
      </c>
      <c r="R48">
        <v>46.2</v>
      </c>
      <c r="S48">
        <v>48.4</v>
      </c>
      <c r="T48">
        <v>50.6</v>
      </c>
      <c r="U48">
        <v>52.8</v>
      </c>
      <c r="V48">
        <v>55</v>
      </c>
      <c r="W48">
        <v>57.2</v>
      </c>
      <c r="X48">
        <v>59.4</v>
      </c>
      <c r="Y48">
        <v>61.6</v>
      </c>
      <c r="Z48">
        <v>63.8</v>
      </c>
      <c r="AA48">
        <v>66</v>
      </c>
      <c r="AB48">
        <v>68.2</v>
      </c>
      <c r="AC48">
        <v>70.4</v>
      </c>
      <c r="AD48">
        <v>72.6</v>
      </c>
      <c r="AE48">
        <v>74.8</v>
      </c>
      <c r="AF48">
        <v>77</v>
      </c>
      <c r="AG48">
        <v>79.2</v>
      </c>
      <c r="AH48">
        <v>81.4</v>
      </c>
      <c r="AI48">
        <v>83.6</v>
      </c>
      <c r="AJ48">
        <v>85.8</v>
      </c>
      <c r="AK48">
        <v>88</v>
      </c>
      <c r="AL48">
        <v>90.2</v>
      </c>
      <c r="AM48">
        <v>92.4</v>
      </c>
      <c r="AN48">
        <v>94.6</v>
      </c>
      <c r="AO48">
        <v>96.8</v>
      </c>
    </row>
    <row r="49">
      <c r="A49" t="str">
        <v>직구3단</v>
      </c>
      <c r="B49">
        <v>11</v>
      </c>
      <c r="C49">
        <v>13.2</v>
      </c>
      <c r="D49">
        <v>15.4</v>
      </c>
      <c r="E49">
        <v>17.6</v>
      </c>
      <c r="F49">
        <v>19.8</v>
      </c>
      <c r="G49">
        <v>22</v>
      </c>
      <c r="H49">
        <v>24.2</v>
      </c>
      <c r="I49">
        <v>26.4</v>
      </c>
      <c r="J49">
        <v>28.6</v>
      </c>
      <c r="K49">
        <v>30.8</v>
      </c>
      <c r="L49">
        <v>33</v>
      </c>
      <c r="M49">
        <v>35.2</v>
      </c>
      <c r="N49">
        <v>37.4</v>
      </c>
      <c r="O49">
        <v>39.6</v>
      </c>
      <c r="P49">
        <v>41.8</v>
      </c>
      <c r="Q49">
        <v>44</v>
      </c>
      <c r="R49">
        <v>46.2</v>
      </c>
      <c r="S49">
        <v>48.4</v>
      </c>
      <c r="T49">
        <v>50.6</v>
      </c>
      <c r="U49">
        <v>52.8</v>
      </c>
      <c r="V49">
        <v>55</v>
      </c>
      <c r="W49">
        <v>57.2</v>
      </c>
      <c r="X49">
        <v>59.4</v>
      </c>
      <c r="Y49">
        <v>61.6</v>
      </c>
      <c r="Z49">
        <v>63.8</v>
      </c>
      <c r="AA49">
        <v>66</v>
      </c>
      <c r="AB49">
        <v>68.2</v>
      </c>
      <c r="AC49">
        <v>70.4</v>
      </c>
      <c r="AD49">
        <v>72.6</v>
      </c>
      <c r="AE49">
        <v>74.8</v>
      </c>
      <c r="AF49">
        <v>77</v>
      </c>
      <c r="AG49">
        <v>79.2</v>
      </c>
      <c r="AH49">
        <v>81.4</v>
      </c>
      <c r="AI49">
        <v>83.6</v>
      </c>
      <c r="AJ49">
        <v>85.8</v>
      </c>
      <c r="AK49">
        <v>88</v>
      </c>
      <c r="AL49">
        <v>90.2</v>
      </c>
      <c r="AM49">
        <v>92.4</v>
      </c>
      <c r="AN49">
        <v>94.6</v>
      </c>
      <c r="AO49">
        <v>96.8</v>
      </c>
    </row>
    <row r="50">
      <c r="A50" t="str">
        <v>직구4단</v>
      </c>
      <c r="B50">
        <v>11</v>
      </c>
      <c r="C50">
        <v>13.2</v>
      </c>
      <c r="D50">
        <v>15.4</v>
      </c>
      <c r="E50">
        <v>17.6</v>
      </c>
      <c r="F50">
        <v>19.8</v>
      </c>
      <c r="G50">
        <v>22</v>
      </c>
      <c r="H50">
        <v>24.2</v>
      </c>
      <c r="I50">
        <v>26.4</v>
      </c>
      <c r="J50">
        <v>28.6</v>
      </c>
      <c r="K50">
        <v>30.8</v>
      </c>
      <c r="L50">
        <v>33</v>
      </c>
      <c r="M50">
        <v>35.2</v>
      </c>
      <c r="N50">
        <v>37.4</v>
      </c>
      <c r="O50">
        <v>39.6</v>
      </c>
      <c r="P50">
        <v>41.8</v>
      </c>
      <c r="Q50">
        <v>44</v>
      </c>
      <c r="R50">
        <v>46.2</v>
      </c>
      <c r="S50">
        <v>48.4</v>
      </c>
      <c r="T50">
        <v>50.6</v>
      </c>
      <c r="U50">
        <v>52.8</v>
      </c>
      <c r="V50">
        <v>55</v>
      </c>
      <c r="W50">
        <v>57.2</v>
      </c>
      <c r="X50">
        <v>59.4</v>
      </c>
      <c r="Y50">
        <v>61.6</v>
      </c>
      <c r="Z50">
        <v>63.8</v>
      </c>
      <c r="AA50">
        <v>66</v>
      </c>
      <c r="AB50">
        <v>68.2</v>
      </c>
      <c r="AC50">
        <v>70.4</v>
      </c>
      <c r="AD50">
        <v>72.6</v>
      </c>
      <c r="AE50">
        <v>74.8</v>
      </c>
      <c r="AF50">
        <v>77</v>
      </c>
      <c r="AG50">
        <v>79.2</v>
      </c>
      <c r="AH50">
        <v>81.4</v>
      </c>
      <c r="AI50">
        <v>83.6</v>
      </c>
      <c r="AJ50">
        <v>85.8</v>
      </c>
      <c r="AK50">
        <v>88</v>
      </c>
      <c r="AL50">
        <v>90.2</v>
      </c>
      <c r="AM50">
        <v>92.4</v>
      </c>
      <c r="AN50">
        <v>94.6</v>
      </c>
      <c r="AO50">
        <v>96.8</v>
      </c>
    </row>
    <row r="51">
      <c r="A51" t="str">
        <v>직구5단</v>
      </c>
      <c r="B51">
        <v>11</v>
      </c>
      <c r="C51">
        <v>13.2</v>
      </c>
      <c r="D51">
        <v>15.4</v>
      </c>
      <c r="E51">
        <v>17.6</v>
      </c>
      <c r="F51">
        <v>19.8</v>
      </c>
      <c r="G51">
        <v>22</v>
      </c>
      <c r="H51">
        <v>24.2</v>
      </c>
      <c r="I51">
        <v>26.4</v>
      </c>
      <c r="J51">
        <v>28.6</v>
      </c>
      <c r="K51">
        <v>30.8</v>
      </c>
      <c r="L51">
        <v>33</v>
      </c>
      <c r="M51">
        <v>35.2</v>
      </c>
      <c r="N51">
        <v>37.4</v>
      </c>
      <c r="O51">
        <v>39.6</v>
      </c>
      <c r="P51">
        <v>41.8</v>
      </c>
      <c r="Q51">
        <v>44</v>
      </c>
      <c r="R51">
        <v>46.2</v>
      </c>
      <c r="S51">
        <v>48.4</v>
      </c>
      <c r="T51">
        <v>50.6</v>
      </c>
      <c r="U51">
        <v>52.8</v>
      </c>
      <c r="V51">
        <v>55</v>
      </c>
      <c r="W51">
        <v>57.2</v>
      </c>
      <c r="X51">
        <v>59.4</v>
      </c>
      <c r="Y51">
        <v>61.6</v>
      </c>
      <c r="Z51">
        <v>63.8</v>
      </c>
      <c r="AA51">
        <v>66</v>
      </c>
      <c r="AB51">
        <v>68.2</v>
      </c>
      <c r="AC51">
        <v>70.4</v>
      </c>
      <c r="AD51">
        <v>72.6</v>
      </c>
      <c r="AE51">
        <v>74.8</v>
      </c>
      <c r="AF51">
        <v>77</v>
      </c>
      <c r="AG51">
        <v>79.2</v>
      </c>
      <c r="AH51">
        <v>81.4</v>
      </c>
      <c r="AI51">
        <v>83.6</v>
      </c>
      <c r="AJ51">
        <v>85.8</v>
      </c>
      <c r="AK51">
        <v>88</v>
      </c>
      <c r="AL51">
        <v>90.2</v>
      </c>
      <c r="AM51">
        <v>92.4</v>
      </c>
      <c r="AN51">
        <v>94.6</v>
      </c>
      <c r="AO51">
        <v>96.8</v>
      </c>
    </row>
    <row r="52">
      <c r="A52" t="str">
        <v>직구6단</v>
      </c>
      <c r="B52">
        <v>11</v>
      </c>
      <c r="C52">
        <v>13.2</v>
      </c>
      <c r="D52">
        <v>15.4</v>
      </c>
      <c r="E52">
        <v>17.6</v>
      </c>
      <c r="F52">
        <v>19.8</v>
      </c>
      <c r="G52">
        <v>22</v>
      </c>
      <c r="H52">
        <v>24.2</v>
      </c>
      <c r="I52">
        <v>26.4</v>
      </c>
      <c r="J52">
        <v>28.6</v>
      </c>
      <c r="K52">
        <v>30.8</v>
      </c>
      <c r="L52">
        <v>33</v>
      </c>
      <c r="M52">
        <v>35.2</v>
      </c>
      <c r="N52">
        <v>37.4</v>
      </c>
      <c r="O52">
        <v>39.6</v>
      </c>
      <c r="P52">
        <v>41.8</v>
      </c>
      <c r="Q52">
        <v>44</v>
      </c>
      <c r="R52">
        <v>46.2</v>
      </c>
      <c r="S52">
        <v>48.4</v>
      </c>
      <c r="T52">
        <v>50.6</v>
      </c>
      <c r="U52">
        <v>52.8</v>
      </c>
      <c r="V52">
        <v>55</v>
      </c>
      <c r="W52">
        <v>57.2</v>
      </c>
      <c r="X52">
        <v>59.4</v>
      </c>
      <c r="Y52">
        <v>61.6</v>
      </c>
      <c r="Z52">
        <v>63.8</v>
      </c>
      <c r="AA52">
        <v>66</v>
      </c>
      <c r="AB52">
        <v>68.2</v>
      </c>
      <c r="AC52">
        <v>70.4</v>
      </c>
      <c r="AD52">
        <v>72.6</v>
      </c>
      <c r="AE52">
        <v>74.8</v>
      </c>
      <c r="AF52">
        <v>77</v>
      </c>
      <c r="AG52">
        <v>79.2</v>
      </c>
      <c r="AH52">
        <v>81.4</v>
      </c>
      <c r="AI52">
        <v>83.6</v>
      </c>
      <c r="AJ52">
        <v>85.8</v>
      </c>
      <c r="AK52">
        <v>88</v>
      </c>
      <c r="AL52">
        <v>90.2</v>
      </c>
      <c r="AM52">
        <v>92.4</v>
      </c>
      <c r="AN52">
        <v>94.6</v>
      </c>
      <c r="AO52">
        <v>96.8</v>
      </c>
    </row>
    <row r="53">
      <c r="A53" t="str">
        <v>직구7단</v>
      </c>
      <c r="B53">
        <v>11</v>
      </c>
      <c r="C53">
        <v>13.2</v>
      </c>
      <c r="D53">
        <v>15.4</v>
      </c>
      <c r="E53">
        <v>17.6</v>
      </c>
      <c r="F53">
        <v>19.8</v>
      </c>
      <c r="G53">
        <v>22</v>
      </c>
      <c r="H53">
        <v>24.2</v>
      </c>
      <c r="I53">
        <v>26.4</v>
      </c>
      <c r="J53">
        <v>28.6</v>
      </c>
      <c r="K53">
        <v>30.8</v>
      </c>
      <c r="L53">
        <v>33</v>
      </c>
      <c r="M53">
        <v>35.2</v>
      </c>
      <c r="N53">
        <v>37.4</v>
      </c>
      <c r="O53">
        <v>39.6</v>
      </c>
      <c r="P53">
        <v>41.8</v>
      </c>
      <c r="Q53">
        <v>44</v>
      </c>
      <c r="R53">
        <v>46.2</v>
      </c>
      <c r="S53">
        <v>48.4</v>
      </c>
      <c r="T53">
        <v>50.6</v>
      </c>
      <c r="U53">
        <v>52.8</v>
      </c>
      <c r="V53">
        <v>55</v>
      </c>
      <c r="W53">
        <v>57.2</v>
      </c>
      <c r="X53">
        <v>59.4</v>
      </c>
      <c r="Y53">
        <v>61.6</v>
      </c>
      <c r="Z53">
        <v>63.8</v>
      </c>
      <c r="AA53">
        <v>66</v>
      </c>
      <c r="AB53">
        <v>68.2</v>
      </c>
      <c r="AC53">
        <v>70.4</v>
      </c>
      <c r="AD53">
        <v>72.6</v>
      </c>
      <c r="AE53">
        <v>74.8</v>
      </c>
      <c r="AF53">
        <v>77</v>
      </c>
      <c r="AG53">
        <v>79.2</v>
      </c>
      <c r="AH53">
        <v>81.4</v>
      </c>
      <c r="AI53">
        <v>83.6</v>
      </c>
      <c r="AJ53">
        <v>85.8</v>
      </c>
      <c r="AK53">
        <v>88</v>
      </c>
      <c r="AL53">
        <v>90.2</v>
      </c>
      <c r="AM53">
        <v>92.4</v>
      </c>
      <c r="AN53">
        <v>94.6</v>
      </c>
      <c r="AO53">
        <v>96.8</v>
      </c>
    </row>
    <row r="54">
      <c r="A54" t="str">
        <v>직구8단</v>
      </c>
      <c r="B54">
        <v>11</v>
      </c>
      <c r="C54">
        <v>13.2</v>
      </c>
      <c r="D54">
        <v>15.4</v>
      </c>
      <c r="E54">
        <v>17.6</v>
      </c>
      <c r="F54">
        <v>19.8</v>
      </c>
      <c r="G54">
        <v>22</v>
      </c>
      <c r="H54">
        <v>24.2</v>
      </c>
      <c r="I54">
        <v>26.4</v>
      </c>
      <c r="J54">
        <v>28.6</v>
      </c>
      <c r="K54">
        <v>30.8</v>
      </c>
      <c r="L54">
        <v>33</v>
      </c>
      <c r="M54">
        <v>35.2</v>
      </c>
      <c r="N54">
        <v>37.4</v>
      </c>
      <c r="O54">
        <v>39.6</v>
      </c>
      <c r="P54">
        <v>41.8</v>
      </c>
      <c r="Q54">
        <v>44</v>
      </c>
      <c r="R54">
        <v>46.2</v>
      </c>
      <c r="S54">
        <v>48.4</v>
      </c>
      <c r="T54">
        <v>50.6</v>
      </c>
      <c r="U54">
        <v>52.8</v>
      </c>
      <c r="V54">
        <v>55</v>
      </c>
      <c r="W54">
        <v>57.2</v>
      </c>
      <c r="X54">
        <v>59.4</v>
      </c>
      <c r="Y54">
        <v>61.6</v>
      </c>
      <c r="Z54">
        <v>63.8</v>
      </c>
      <c r="AA54">
        <v>66</v>
      </c>
      <c r="AB54">
        <v>68.2</v>
      </c>
      <c r="AC54">
        <v>70.4</v>
      </c>
      <c r="AD54">
        <v>72.6</v>
      </c>
      <c r="AE54">
        <v>74.8</v>
      </c>
      <c r="AF54">
        <v>77</v>
      </c>
      <c r="AG54">
        <v>79.2</v>
      </c>
      <c r="AH54">
        <v>81.4</v>
      </c>
      <c r="AI54">
        <v>83.6</v>
      </c>
      <c r="AJ54">
        <v>85.8</v>
      </c>
      <c r="AK54">
        <v>88</v>
      </c>
      <c r="AL54">
        <v>90.2</v>
      </c>
      <c r="AM54">
        <v>92.4</v>
      </c>
      <c r="AN54">
        <v>94.6</v>
      </c>
      <c r="AO54">
        <v>96.8</v>
      </c>
    </row>
    <row r="55">
      <c r="A55" t="str">
        <v>직구9단</v>
      </c>
      <c r="B55">
        <v>11</v>
      </c>
      <c r="C55">
        <v>13.2</v>
      </c>
      <c r="D55">
        <v>15.4</v>
      </c>
      <c r="E55">
        <v>17.6</v>
      </c>
      <c r="F55">
        <v>19.8</v>
      </c>
      <c r="G55">
        <v>22</v>
      </c>
      <c r="H55">
        <v>24.2</v>
      </c>
      <c r="I55">
        <v>26.4</v>
      </c>
      <c r="J55">
        <v>28.6</v>
      </c>
      <c r="K55">
        <v>30.8</v>
      </c>
      <c r="L55">
        <v>33</v>
      </c>
      <c r="M55">
        <v>35.2</v>
      </c>
      <c r="N55">
        <v>37.4</v>
      </c>
      <c r="O55">
        <v>39.6</v>
      </c>
      <c r="P55">
        <v>41.8</v>
      </c>
      <c r="Q55">
        <v>44</v>
      </c>
      <c r="R55">
        <v>46.2</v>
      </c>
      <c r="S55">
        <v>48.4</v>
      </c>
      <c r="T55">
        <v>50.6</v>
      </c>
      <c r="U55">
        <v>52.8</v>
      </c>
      <c r="V55">
        <v>55</v>
      </c>
      <c r="W55">
        <v>57.2</v>
      </c>
      <c r="X55">
        <v>59.4</v>
      </c>
      <c r="Y55">
        <v>61.6</v>
      </c>
      <c r="Z55">
        <v>63.8</v>
      </c>
      <c r="AA55">
        <v>66</v>
      </c>
      <c r="AB55">
        <v>68.2</v>
      </c>
      <c r="AC55">
        <v>70.4</v>
      </c>
      <c r="AD55">
        <v>72.6</v>
      </c>
      <c r="AE55">
        <v>74.8</v>
      </c>
      <c r="AF55">
        <v>77</v>
      </c>
      <c r="AG55">
        <v>79.2</v>
      </c>
      <c r="AH55">
        <v>81.4</v>
      </c>
      <c r="AI55">
        <v>83.6</v>
      </c>
      <c r="AJ55">
        <v>85.8</v>
      </c>
      <c r="AK55">
        <v>88</v>
      </c>
      <c r="AL55">
        <v>90.2</v>
      </c>
      <c r="AM55">
        <v>92.4</v>
      </c>
      <c r="AN55">
        <v>94.6</v>
      </c>
      <c r="AO55">
        <v>96.8</v>
      </c>
    </row>
    <row r="56">
      <c r="A56" t="str">
        <v>직구명인</v>
      </c>
      <c r="B56">
        <v>10.8</v>
      </c>
      <c r="C56">
        <v>12.8</v>
      </c>
      <c r="D56">
        <v>14.8</v>
      </c>
      <c r="E56">
        <v>16.8</v>
      </c>
      <c r="F56">
        <v>18.8</v>
      </c>
      <c r="G56">
        <v>20.8</v>
      </c>
      <c r="H56">
        <v>22.8</v>
      </c>
      <c r="I56">
        <v>24.8</v>
      </c>
      <c r="J56">
        <v>26.8</v>
      </c>
      <c r="K56">
        <v>28.8</v>
      </c>
      <c r="L56">
        <v>30.8</v>
      </c>
      <c r="M56">
        <v>32.8</v>
      </c>
      <c r="N56">
        <v>34.8</v>
      </c>
      <c r="O56">
        <v>36.8</v>
      </c>
      <c r="P56">
        <v>38.8</v>
      </c>
      <c r="Q56">
        <v>40.8</v>
      </c>
      <c r="R56">
        <v>42.8</v>
      </c>
      <c r="S56">
        <v>44.8</v>
      </c>
      <c r="T56">
        <v>46.8</v>
      </c>
      <c r="U56">
        <v>48.8</v>
      </c>
      <c r="V56">
        <v>50.8</v>
      </c>
      <c r="W56">
        <v>52.8</v>
      </c>
      <c r="X56">
        <v>54.8</v>
      </c>
      <c r="Y56">
        <v>56.8</v>
      </c>
      <c r="Z56">
        <v>58.8</v>
      </c>
      <c r="AA56">
        <v>60.8</v>
      </c>
      <c r="AB56">
        <v>62.8</v>
      </c>
      <c r="AC56">
        <v>64.8</v>
      </c>
      <c r="AD56">
        <v>66.8</v>
      </c>
      <c r="AE56">
        <v>68.8</v>
      </c>
      <c r="AF56">
        <v>70.8</v>
      </c>
      <c r="AG56">
        <v>72.8</v>
      </c>
      <c r="AH56">
        <v>74.8</v>
      </c>
      <c r="AI56">
        <v>76.8</v>
      </c>
      <c r="AJ56">
        <v>78.8</v>
      </c>
      <c r="AK56">
        <v>80.8</v>
      </c>
      <c r="AL56">
        <v>82.8</v>
      </c>
      <c r="AM56">
        <v>84.8</v>
      </c>
      <c r="AN56">
        <v>86.8</v>
      </c>
      <c r="AO56">
        <v>88.8</v>
      </c>
    </row>
  </sheetData>
  <mergeCells count="3">
    <mergeCell ref="A1:I7"/>
    <mergeCell ref="A24:I30"/>
    <mergeCell ref="A38:I41"/>
  </mergeCells>
  <pageMargins left="0.7" right="0.7" top="0.75" bottom="0.75" header="0.3" footer="0.3"/>
  <ignoredErrors>
    <ignoredError numberStoredAsText="1" sqref="A1:AY69"/>
  </ignoredErrors>
</worksheet>
</file>

<file path=xl/worksheets/sheet5.xml><?xml version="1.0" encoding="utf-8"?>
<worksheet xmlns="http://schemas.openxmlformats.org/spreadsheetml/2006/main" xmlns:r="http://schemas.openxmlformats.org/officeDocument/2006/relationships">
  <dimension ref="A1:AE999"/>
  <sheetViews>
    <sheetView workbookViewId="0" rightToLeft="0"/>
  </sheetViews>
  <sheetData>
    <row r="1">
      <c r="B1" t="str">
        <v>상품명 한글</v>
      </c>
      <c r="C1" t="str">
        <v>상품명 영문</v>
      </c>
      <c r="D1" t="str">
        <v>상품 URL</v>
      </c>
      <c r="E1" t="str">
        <v>구매(위안)</v>
      </c>
      <c r="F1" t="str">
        <v>해외 배송비(위안)</v>
      </c>
      <c r="G1" t="str">
        <v>사입비합계(달러)</v>
      </c>
      <c r="H1" t="str">
        <v>사입비(한화)</v>
      </c>
      <c r="I1" t="str">
        <v>나의 판매가격</v>
      </c>
      <c r="J1" t="str">
        <v>예상배송비</v>
      </c>
      <c r="K1" t="str">
        <v>배송비 포함 최종 판매가</v>
      </c>
      <c r="L1" t="str">
        <v>결제수수료 3.8%</v>
      </c>
      <c r="M1" t="str">
        <v>네이버수수료 2%</v>
      </c>
      <c r="N1" t="str">
        <v>정산금액</v>
      </c>
      <c r="O1" t="str">
        <v>카드수수료 1%</v>
      </c>
      <c r="P1" t="str">
        <v>실제 배송비</v>
      </c>
      <c r="Q1" t="str">
        <v>마진</v>
      </c>
    </row>
    <row r="2">
      <c r="B2" t="str">
        <v>후지 목베개 쿠션</v>
      </c>
      <c r="D2" t="str">
        <v>https://www.amazon.com/Huzi-Infinity-Pillow-Design-Travel/dp/B077ZLHXXZ</v>
      </c>
      <c r="E2">
        <v>145</v>
      </c>
      <c r="F2">
        <v>0</v>
      </c>
      <c r="G2">
        <f>E2+F2</f>
        <v>145</v>
      </c>
      <c r="H2">
        <f>G2*170</f>
        <v>24650</v>
      </c>
      <c r="I2">
        <v>29000</v>
      </c>
      <c r="J2">
        <v>10000</v>
      </c>
      <c r="K2">
        <f>SUM(I2:J2)</f>
        <v>39000</v>
      </c>
      <c r="L2">
        <f>I2*0.038</f>
        <v>1102</v>
      </c>
      <c r="M2">
        <f>I2*0.02</f>
        <v>580</v>
      </c>
      <c r="N2">
        <f>I2+J2-L2-M2</f>
        <v>37318</v>
      </c>
      <c r="O2">
        <f>N2*0.01</f>
        <v>373.18</v>
      </c>
      <c r="P2">
        <v>10000</v>
      </c>
      <c r="Q2">
        <f>N2-H2-O2-P2</f>
        <v>2294.8199999999997</v>
      </c>
    </row>
    <row r="5">
      <c r="R5" t="str">
        <v>달러 기준 (1위안/170원) 으로 만들어졌으며, 환율에 따라 변형하여 사용하세요</v>
      </c>
    </row>
    <row r="11">
      <c r="C11" t="str">
        <v>X - (X-0.1X-0.033X) = 0.3Y</v>
      </c>
    </row>
    <row r="12">
      <c r="C12" t="str">
        <v>판매수수료 10%</v>
      </c>
    </row>
    <row r="13">
      <c r="C13" t="str">
        <v>배송비 3.3%</v>
      </c>
      <c r="D13">
        <f>1-0.133</f>
        <v>0.867</v>
      </c>
    </row>
    <row r="14">
      <c r="D14">
        <f>0.3/0.133</f>
        <v>2.2556390977443606</v>
      </c>
    </row>
    <row r="15">
      <c r="C15" t="str">
        <v>0.133X = 0.3Y</v>
      </c>
    </row>
    <row r="16">
      <c r="C16" t="str">
        <v>X= 2.25Y</v>
      </c>
      <c r="D16">
        <f>2.25^-1</f>
        <v>0.4444444444444444</v>
      </c>
    </row>
    <row r="18">
      <c r="C18" t="str">
        <v>0.1X = 0.3Y</v>
      </c>
    </row>
  </sheetData>
  <mergeCells count="1">
    <mergeCell ref="R5:V6"/>
  </mergeCells>
  <hyperlinks>
    <hyperlink ref="D2" r:id="rId1"/>
  </hyperlinks>
  <pageMargins left="0.7" right="0.7" top="0.75" bottom="0.75" header="0.3" footer="0.3"/>
  <ignoredErrors>
    <ignoredError numberStoredAsText="1" sqref="A1:AE99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
  <DocSecurity>0</DocSecurity>
  <Manager/>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미국</vt:lpstr>
      <vt:lpstr>중국</vt:lpstr>
      <vt:lpstr>유럽(독일)</vt:lpstr>
      <vt:lpstr>배송비 조회</vt:lpstr>
      <vt:lpstr>etc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2020-01-01T12:38:57Z</dcterms:created>
  <dcterms:modified xsi:type="dcterms:W3CDTF">2020-01-12T11:05:39Z</dcterms:modified>
  <cp:lastModifiedBy>김범진</cp:lastModifiedBy>
  <dc:creator>김범진</dc:creator>
</cp:coreProperties>
</file>