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<sst xmlns="http://schemas.openxmlformats.org/spreadsheetml/2006/main" count="5024" uniqueCount="916">
  <si>
    <t>QID</t>
  </si>
  <si>
    <t>Status</t>
  </si>
  <si>
    <t>Title</t>
  </si>
  <si>
    <t>Difficulty</t>
  </si>
  <si>
    <t>Tags</t>
  </si>
  <si>
    <t>Accuracy</t>
  </si>
  <si>
    <t>Easy</t>
  </si>
  <si>
    <t>Array, Hash Table</t>
  </si>
  <si>
    <t>Medium</t>
  </si>
  <si>
    <t>Linked List, Math, Recursion</t>
  </si>
  <si>
    <t>Hash Table, String, Sliding Window</t>
  </si>
  <si>
    <t>Hard</t>
  </si>
  <si>
    <t>Array, Binary Search, Divide and Conquer</t>
  </si>
  <si>
    <t>String, Dynamic Programming</t>
  </si>
  <si>
    <t>String</t>
  </si>
  <si>
    <t>Math</t>
  </si>
  <si>
    <t>String, Dynamic Programming, Recursion</t>
  </si>
  <si>
    <t>Array, Two Pointers, Greedy</t>
  </si>
  <si>
    <t>Hash Table, Math, String</t>
  </si>
  <si>
    <t>Array, Two Pointers, Sorting</t>
  </si>
  <si>
    <t>Hash Table, String, Backtracking</t>
  </si>
  <si>
    <t>Linked List, Two Pointers</t>
  </si>
  <si>
    <t>String, Stack</t>
  </si>
  <si>
    <t>Linked List, Recursion</t>
  </si>
  <si>
    <t>String, Dynamic Programming, Backtracking</t>
  </si>
  <si>
    <t>Linked List, Divide and Conquer, Heap (Priority Queue), Merge Sort</t>
  </si>
  <si>
    <t>Array, Two Pointers</t>
  </si>
  <si>
    <t>Two Pointers, String, String Matching</t>
  </si>
  <si>
    <t>Math, Bit Manipulation</t>
  </si>
  <si>
    <t>String, Dynamic Programming, Stack</t>
  </si>
  <si>
    <t>Array, Binary Search</t>
  </si>
  <si>
    <t>Array, Hash Table, Matrix</t>
  </si>
  <si>
    <t>Array, Backtracking, Matrix</t>
  </si>
  <si>
    <t>Array, Backtracking</t>
  </si>
  <si>
    <t>Array, Two Pointers, Dynamic Programming, Stack, Monotonic Stack</t>
  </si>
  <si>
    <t>Math, String, Simulation</t>
  </si>
  <si>
    <t>String, Dynamic Programming, Greedy, Recursion</t>
  </si>
  <si>
    <t>Array, Dynamic Programming, Greedy</t>
  </si>
  <si>
    <t>Array, Math, Matrix</t>
  </si>
  <si>
    <t>Array, Hash Table, String, Sorting</t>
  </si>
  <si>
    <t>Math, Recursion</t>
  </si>
  <si>
    <t>Backtracking</t>
  </si>
  <si>
    <t>Array, Divide and Conquer, Dynamic Programming</t>
  </si>
  <si>
    <t>Array, Matrix, Simulation</t>
  </si>
  <si>
    <t>Array, Sorting</t>
  </si>
  <si>
    <t>Array</t>
  </si>
  <si>
    <t>Math, Dynamic Programming, Combinatorics</t>
  </si>
  <si>
    <t>Array, Dynamic Programming, Matrix</t>
  </si>
  <si>
    <t>Array, Math</t>
  </si>
  <si>
    <t>Math, String, Bit Manipulation, Simulation</t>
  </si>
  <si>
    <t>Array, String, Simulation</t>
  </si>
  <si>
    <t>Math, Binary Search</t>
  </si>
  <si>
    <t>Math, Dynamic Programming, Memoization</t>
  </si>
  <si>
    <t>Array, Binary Search, Matrix</t>
  </si>
  <si>
    <t>Array, Backtracking, Bit Manipulation</t>
  </si>
  <si>
    <t>Linked List</t>
  </si>
  <si>
    <t>Array, Stack, Monotonic Stack</t>
  </si>
  <si>
    <t>Array, Dynamic Programming, Stack, Matrix, Monotonic Stack</t>
  </si>
  <si>
    <t>Math, Backtracking, Bit Manipulation</t>
  </si>
  <si>
    <t>String, Backtracking</t>
  </si>
  <si>
    <t>Stack, Tree, Depth-First Search, Binary Tree</t>
  </si>
  <si>
    <t>Dynamic Programming, Backtracking, Tree, Binary Search Tree, Binary Tree</t>
  </si>
  <si>
    <t>Math, Dynamic Programming, Tree, Binary Search Tree, Binary Tree</t>
  </si>
  <si>
    <t>Tree, Depth-First Search, Binary Search Tree, Binary Tree</t>
  </si>
  <si>
    <t>Tree, Depth-First Search, Breadth-First Search, Binary Tree</t>
  </si>
  <si>
    <t>Tree, Breadth-First Search, Binary Tree</t>
  </si>
  <si>
    <t>Array, Hash Table, Divide and Conquer, Tree, Binary Tree</t>
  </si>
  <si>
    <t>Array, Divide and Conquer, Tree, Binary Search Tree, Binary Tree</t>
  </si>
  <si>
    <t>Linked List, Divide and Conquer, Tree, Binary Search Tree, Binary Tree</t>
  </si>
  <si>
    <t>Tree, Depth-First Search, Binary Tree</t>
  </si>
  <si>
    <t>Backtracking, Tree, Depth-First Search, Binary Tree</t>
  </si>
  <si>
    <t>Linked List, Stack, Tree, Depth-First Search, Binary Tree</t>
  </si>
  <si>
    <t>Linked List, Tree, Depth-First Search, Breadth-First Search, Binary Tree</t>
  </si>
  <si>
    <t>Array, Dynamic Programming</t>
  </si>
  <si>
    <t>Dynamic Programming, Tree, Depth-First Search, Binary Tree</t>
  </si>
  <si>
    <t>Two Pointers, String</t>
  </si>
  <si>
    <t>Hash Table, String, Backtracking, Breadth-First Search</t>
  </si>
  <si>
    <t>Hash Table, String, Breadth-First Search</t>
  </si>
  <si>
    <t>Array, Hash Table, Union Find</t>
  </si>
  <si>
    <t>Array, Depth-First Search, Breadth-First Search, Union Find, Matrix</t>
  </si>
  <si>
    <t>Hash Table, Depth-First Search, Breadth-First Search, Graph</t>
  </si>
  <si>
    <t>Array, Greedy</t>
  </si>
  <si>
    <t>Array, Bit Manipulation</t>
  </si>
  <si>
    <t>Hash Table, Linked List</t>
  </si>
  <si>
    <t>Hash Table, String, Dynamic Programming, Trie, Memoization</t>
  </si>
  <si>
    <t>Hash Table, String, Dynamic Programming, Backtracking, Trie, Memoization</t>
  </si>
  <si>
    <t>Hash Table, Linked List, Two Pointers</t>
  </si>
  <si>
    <t>Linked List, Two Pointers, Stack, Recursion</t>
  </si>
  <si>
    <t>Hash Table, Linked List, Design, Doubly-Linked List</t>
  </si>
  <si>
    <t>Linked List, Sorting</t>
  </si>
  <si>
    <t>Linked List, Two Pointers, Divide and Conquer, Sorting, Merge Sort</t>
  </si>
  <si>
    <t>Array, Hash Table, Math, Geometry</t>
  </si>
  <si>
    <t>Array, Math, Stack</t>
  </si>
  <si>
    <t>Stack, Design</t>
  </si>
  <si>
    <t>String, Simulation, Interactive</t>
  </si>
  <si>
    <t>Array, Sorting, Bucket Sort, Radix Sort</t>
  </si>
  <si>
    <t>Array, Two Pointers, Binary Search</t>
  </si>
  <si>
    <t>Math, String</t>
  </si>
  <si>
    <t>Array, Hash Table, Divide and Conquer, Sorting, Counting</t>
  </si>
  <si>
    <t>Array, Hash Table, Two Pointers, Design, Data Stream</t>
  </si>
  <si>
    <t>Stack, Tree, Design, Binary Search Tree, Binary Tree, Iterator</t>
  </si>
  <si>
    <t>Database</t>
  </si>
  <si>
    <t>Array, String, Greedy, Sorting</t>
  </si>
  <si>
    <t>Hash Table, String, Bit Manipulation, Sliding Window, Rolling Hash, Hash Function</t>
  </si>
  <si>
    <t>Array, Math, Two Pointers</t>
  </si>
  <si>
    <t>Divide and Conquer, Bit Manipulation</t>
  </si>
  <si>
    <t>Shell</t>
  </si>
  <si>
    <t>Bit Manipulation</t>
  </si>
  <si>
    <t>Hash Table, Math, Two Pointers</t>
  </si>
  <si>
    <t>Array, Math, Enumeration, Number Theory</t>
  </si>
  <si>
    <t>Hash Table, String</t>
  </si>
  <si>
    <t>Depth-First Search, Breadth-First Search, Graph, Topological Sort</t>
  </si>
  <si>
    <t>Hash Table, String, Design, Trie</t>
  </si>
  <si>
    <t>Array, Binary Search, Sliding Window, Prefix Sum</t>
  </si>
  <si>
    <t>String, Depth-First Search, Design, Trie</t>
  </si>
  <si>
    <t>Array, String, Backtracking, Trie, Matrix</t>
  </si>
  <si>
    <t>String, Rolling Hash, String Matching, Hash Function</t>
  </si>
  <si>
    <t>Array, Divide and Conquer, Sorting, Heap (Priority Queue), Quickselect</t>
  </si>
  <si>
    <t>Array, Hash Table, Sorting</t>
  </si>
  <si>
    <t>Array, Divide and Conquer, Binary Indexed Tree, Segment Tree, Line Sweep, Heap (Priority Queue), Ordered Set</t>
  </si>
  <si>
    <t>Array, Hash Table, Sliding Window</t>
  </si>
  <si>
    <t>Array, Sliding Window, Sorting, Bucket Sort, Ordered Set</t>
  </si>
  <si>
    <t>Binary Search, Tree, Depth-First Search, Binary Tree</t>
  </si>
  <si>
    <t>Math, Geometry</t>
  </si>
  <si>
    <t>Math, String, Stack, Recursion</t>
  </si>
  <si>
    <t>Stack, Design, Queue</t>
  </si>
  <si>
    <t>Math, String, Stack</t>
  </si>
  <si>
    <t>Array, Hash Table, Sorting, Counting</t>
  </si>
  <si>
    <t>Math, Bit Manipulation, Recursion</t>
  </si>
  <si>
    <t>Math, Dynamic Programming, Recursion</t>
  </si>
  <si>
    <t>Array, Prefix Sum</t>
  </si>
  <si>
    <t>Array, Queue, Sliding Window, Heap (Priority Queue), Monotonic Queue</t>
  </si>
  <si>
    <t>Array, Binary Search, Divide and Conquer, Matrix</t>
  </si>
  <si>
    <t>Math, String, Dynamic Programming, Recursion, Memoization</t>
  </si>
  <si>
    <t>Hash Table, String, Sorting</t>
  </si>
  <si>
    <t>Array, String</t>
  </si>
  <si>
    <t>Array, Hash Table, Two Pointers, String, Design</t>
  </si>
  <si>
    <t>Hash Table, Two Pointers, String</t>
  </si>
  <si>
    <t>Array, String, Recursion</t>
  </si>
  <si>
    <t>Array, Hash Table, String</t>
  </si>
  <si>
    <t>Array, Two Pointers, Design, Iterator</t>
  </si>
  <si>
    <t>Array, Two Pointers, Greedy, Sorting, Heap (Priority Queue), Prefix Sum</t>
  </si>
  <si>
    <t>Stack, Tree, Binary Search Tree, Recursion, Monotonic Stack, Binary Tree</t>
  </si>
  <si>
    <t>String, Backtracking, Tree, Depth-First Search, Binary Tree</t>
  </si>
  <si>
    <t>Math, Simulation, Number Theory</t>
  </si>
  <si>
    <t>Array, Two Pointers, Binary Search, Sorting</t>
  </si>
  <si>
    <t>Depth-First Search, Breadth-First Search, Union Find, Graph</t>
  </si>
  <si>
    <t>Hash Table, Math, Dynamic Programming, Heap (Priority Queue)</t>
  </si>
  <si>
    <t>Hash Table, String, Bit Manipulation</t>
  </si>
  <si>
    <t>Array, Hash Table, Math, Binary Search, Bit Manipulation, Sorting</t>
  </si>
  <si>
    <t>Array, String, Depth-First Search, Breadth-First Search, Graph, Topological Sort</t>
  </si>
  <si>
    <t>Binary Search, Tree, Depth-First Search, Binary Search Tree, Binary Tree</t>
  </si>
  <si>
    <t>Array, String, Design</t>
  </si>
  <si>
    <t>Two Pointers, Stack, Tree, Depth-First Search, Binary Search Tree, Heap (Priority Queue), Binary Tree</t>
  </si>
  <si>
    <t>Math, String, Recursion</t>
  </si>
  <si>
    <t>Array, Sorting, Counting Sort</t>
  </si>
  <si>
    <t>Dynamic Programming</t>
  </si>
  <si>
    <t>Two Pointers, Greedy, Graph, Interactive</t>
  </si>
  <si>
    <t>Binary Search, Interactive</t>
  </si>
  <si>
    <t>Math, Dynamic Programming, Breadth-First Search</t>
  </si>
  <si>
    <t>Array, Greedy, Sorting</t>
  </si>
  <si>
    <t>Array, Design, Queue, Iterator</t>
  </si>
  <si>
    <t>Math, String, Backtracking</t>
  </si>
  <si>
    <t>Array, Design, Iterator</t>
  </si>
  <si>
    <t>Array, Breadth-First Search, Matrix</t>
  </si>
  <si>
    <t>Array, Two Pointers, Binary Search, Bit Manipulation</t>
  </si>
  <si>
    <t>Array, Hash Table, String, Design</t>
  </si>
  <si>
    <t>Math, Brainteaser, Game Theory</t>
  </si>
  <si>
    <t>Math, Dynamic Programming, Backtracking, Memoization, Game Theory</t>
  </si>
  <si>
    <t>Two Pointers, Design, Sorting, Heap (Priority Queue), Data Stream</t>
  </si>
  <si>
    <t>Array, Math, Sorting, Matrix</t>
  </si>
  <si>
    <t>String, Tree, Depth-First Search, Breadth-First Search, Design, Binary Tree</t>
  </si>
  <si>
    <t>Hash Table, String, Counting</t>
  </si>
  <si>
    <t>Array, Binary Search, Dynamic Programming</t>
  </si>
  <si>
    <t>String, Backtracking, Breadth-First Search</t>
  </si>
  <si>
    <t>Array, Binary Search, Depth-First Search, Breadth-First Search, Matrix</t>
  </si>
  <si>
    <t>Array, Design, Prefix Sum</t>
  </si>
  <si>
    <t>Array, Design, Matrix, Prefix Sum</t>
  </si>
  <si>
    <t>Array, Union Find</t>
  </si>
  <si>
    <t>Array, Design, Binary Indexed Tree, Segment Tree</t>
  </si>
  <si>
    <t>Array, Design, Binary Indexed Tree, Segment Tree, Matrix</t>
  </si>
  <si>
    <t>Array, Math, Dynamic Programming</t>
  </si>
  <si>
    <t>Hash Table, Tree, Depth-First Search, Breadth-First Search, Binary Tree</t>
  </si>
  <si>
    <t>Array, Binary Search, Divide and Conquer, Binary Indexed Tree, Segment Tree, Merge Sort, Ordered Set</t>
  </si>
  <si>
    <t>String, Stack, Greedy, Monotonic Stack</t>
  </si>
  <si>
    <t>Array, String, Bit Manipulation</t>
  </si>
  <si>
    <t>Math, Brainteaser</t>
  </si>
  <si>
    <t>String, Backtracking, Bit Manipulation</t>
  </si>
  <si>
    <t>Stack, Greedy, Monotonic Stack</t>
  </si>
  <si>
    <t>Array, Dynamic Programming, Breadth-First Search</t>
  </si>
  <si>
    <t>Array, Divide and Conquer, Sorting, Quickselect</t>
  </si>
  <si>
    <t>Array, Hash Table, Prefix Sum</t>
  </si>
  <si>
    <t>Array, Dynamic Programming, Depth-First Search, Breadth-First Search, Graph, Topological Sort, Memoization, Matrix</t>
  </si>
  <si>
    <t>String, Stack, Tree, Binary Tree</t>
  </si>
  <si>
    <t>Depth-First Search, Graph, Eulerian Circuit</t>
  </si>
  <si>
    <t>Dynamic Programming, Tree, Depth-First Search, Binary Search Tree, Binary Tree</t>
  </si>
  <si>
    <t>Array, Math, Geometry</t>
  </si>
  <si>
    <t>Array, Hash Table, String, Trie</t>
  </si>
  <si>
    <t>Dynamic Programming, Bit Manipulation</t>
  </si>
  <si>
    <t>Depth-First Search, Breadth-First Search</t>
  </si>
  <si>
    <t>Stack, Tree, Depth-First Search, Design, Queue, Iterator</t>
  </si>
  <si>
    <t>Math, Dynamic Programming</t>
  </si>
  <si>
    <t>Array, Design, Queue, Data Stream</t>
  </si>
  <si>
    <t>Array, Hash Table, Divide and Conquer, Sorting, Heap (Priority Queue), Bucket Sort, Counting, Quickselect</t>
  </si>
  <si>
    <t>Array, Hash Table, Design, Matrix</t>
  </si>
  <si>
    <t>Array, Hash Table, Two Pointers, Binary Search, Sorting</t>
  </si>
  <si>
    <t>Dynamic Programming, Backtracking</t>
  </si>
  <si>
    <t>Binary Search, Design, Ordered Set</t>
  </si>
  <si>
    <t>Array, Design, Queue, Matrix</t>
  </si>
  <si>
    <t>Array, Binary Search, Dynamic Programming, Sorting</t>
  </si>
  <si>
    <t>Hash Table, Linked List, Design, Heap (Priority Queue)</t>
  </si>
  <si>
    <t>Array, Hash Table, Math</t>
  </si>
  <si>
    <t>Math, Dynamic Programming, Backtracking</t>
  </si>
  <si>
    <t>Hash Table, String, Greedy, Sorting, Heap (Priority Queue), Counting</t>
  </si>
  <si>
    <t>Hash Table, Design</t>
  </si>
  <si>
    <t>Array, Math, Two Pointers, Sorting</t>
  </si>
  <si>
    <t>Array, Hash Table, Binary Search, Design, Queue</t>
  </si>
  <si>
    <t>Array, Binary Search, Matrix, Prefix Sum, Ordered Set</t>
  </si>
  <si>
    <t>Stack, Depth-First Search, Breadth-First Search</t>
  </si>
  <si>
    <t>Math, Depth-First Search, Breadth-First Search</t>
  </si>
  <si>
    <t>Array, Math, Dynamic Programming, Sorting</t>
  </si>
  <si>
    <t>Linked List, Math</t>
  </si>
  <si>
    <t>Math, Divide and Conquer</t>
  </si>
  <si>
    <t>Array, Heap (Priority Queue)</t>
  </si>
  <si>
    <t>Math, Dynamic Programming, Game Theory</t>
  </si>
  <si>
    <t>Array, Binary Search, Sorting, Heap (Priority Queue), Matrix</t>
  </si>
  <si>
    <t>Array, Hash Table, Linked List, Design, Queue</t>
  </si>
  <si>
    <t>Array, Hash Table, Math, Design, Randomized</t>
  </si>
  <si>
    <t>Linked List, Math, Reservoir Sampling, Randomized</t>
  </si>
  <si>
    <t>Array, Math, Randomized</t>
  </si>
  <si>
    <t>String, Stack, Depth-First Search</t>
  </si>
  <si>
    <t>Depth-First Search, Trie</t>
  </si>
  <si>
    <t>Hash Table, String, Queue, Counting</t>
  </si>
  <si>
    <t>Hash Table, String, Bit Manipulation, Sorting</t>
  </si>
  <si>
    <t>Array, Line Sweep</t>
  </si>
  <si>
    <t>Two Pointers, String, Dynamic Programming</t>
  </si>
  <si>
    <t>String, Stack, Recursion</t>
  </si>
  <si>
    <t>Hash Table, String, Divide and Conquer, Sliding Window</t>
  </si>
  <si>
    <t>Dynamic Programming, Greedy, Bit Manipulation, Memoization</t>
  </si>
  <si>
    <t>Hash Table, Math, Reservoir Sampling, Randomized</t>
  </si>
  <si>
    <t>Array, Depth-First Search, Breadth-First Search, Union Find, Graph, Shortest Path</t>
  </si>
  <si>
    <t>Backtracking, Bit Manipulation</t>
  </si>
  <si>
    <t>Array, Greedy, Binary Indexed Tree, Segment Tree, Sorting</t>
  </si>
  <si>
    <t>Array, Breadth-First Search, Heap (Priority Queue), Matrix</t>
  </si>
  <si>
    <t>Hash Table, String, Greedy</t>
  </si>
  <si>
    <t>Array, Binary Search, Dynamic Programming, Greedy</t>
  </si>
  <si>
    <t>Array, Depth-First Search, Breadth-First Search, Matrix</t>
  </si>
  <si>
    <t>String, Dynamic Programming, Simulation</t>
  </si>
  <si>
    <t>Array, Depth-First Search, Matrix</t>
  </si>
  <si>
    <t>String, Greedy, Heap (Priority Queue)</t>
  </si>
  <si>
    <t>Array, Hash Table, Bit Manipulation, Trie</t>
  </si>
  <si>
    <t>Array, Matrix</t>
  </si>
  <si>
    <t>Array, String, Backtracking, Trie</t>
  </si>
  <si>
    <t>Linked List, Stack, Tree, Depth-First Search, Binary Search Tree, Binary Tree, Doubly-Linked List</t>
  </si>
  <si>
    <t>Array, Divide and Conquer, Tree, Matrix</t>
  </si>
  <si>
    <t>String, Tree, Depth-First Search, Breadth-First Search</t>
  </si>
  <si>
    <t>Tree, Breadth-First Search</t>
  </si>
  <si>
    <t>Linked List, Depth-First Search, Doubly-Linked List</t>
  </si>
  <si>
    <t>Tree, Depth-First Search, Breadth-First Search, Design, Binary Tree</t>
  </si>
  <si>
    <t>Array, Dynamic Programming, Greedy, Sorting</t>
  </si>
  <si>
    <t>Array, Binary Search, Sorting</t>
  </si>
  <si>
    <t>Trie</t>
  </si>
  <si>
    <t>Array, Graph, Topological Sort</t>
  </si>
  <si>
    <t>Linked List, Math, Stack</t>
  </si>
  <si>
    <t>String, Tree, Depth-First Search, Breadth-First Search, Design, Binary Search Tree, Binary Tree</t>
  </si>
  <si>
    <t>Tree, Binary Search Tree, Binary Tree</t>
  </si>
  <si>
    <t>Hash Table, String, Sorting, Heap (Priority Queue), Bucket Sort, Counting</t>
  </si>
  <si>
    <t>Array, Two Pointers, Greedy, Sorting</t>
  </si>
  <si>
    <t>Array, Binary Search, Stack, Monotonic Stack, Ordered Set</t>
  </si>
  <si>
    <t>Array, Hash Table, Two Pointers</t>
  </si>
  <si>
    <t>String, String Matching</t>
  </si>
  <si>
    <t>Array, Math, Sorting</t>
  </si>
  <si>
    <t>Math, Dynamic Programming, Bit Manipulation, Memoization, Game Theory, Bitmask</t>
  </si>
  <si>
    <t>Array, Dynamic Programming, Backtracking, Bit Manipulation, Bitmask</t>
  </si>
  <si>
    <t>Math, Rejection Sampling, Randomized, Probability and Statistics</t>
  </si>
  <si>
    <t>Array, String, Dynamic Programming, Depth-First Search, Trie</t>
  </si>
  <si>
    <t>Array, String, Dynamic Programming</t>
  </si>
  <si>
    <t>Array, Math, Bit Manipulation</t>
  </si>
  <si>
    <t>Math, Geometry, Rejection Sampling, Randomized</t>
  </si>
  <si>
    <t>Array, Hash Table, Sliding Window, Heap (Priority Queue)</t>
  </si>
  <si>
    <t>Array, String, Stack, Greedy</t>
  </si>
  <si>
    <t>Array, Math, Dynamic Programming, Recursion, Game Theory</t>
  </si>
  <si>
    <t>Array, Dynamic Programming, Sliding Window</t>
  </si>
  <si>
    <t>String, Dynamic Programming, Breadth-First Search, Memoization</t>
  </si>
  <si>
    <t>Backtracking, Interactive</t>
  </si>
  <si>
    <t>Depth-First Search, Breadth-First Search, Graph</t>
  </si>
  <si>
    <t>Array, Hash Table, Backtracking, Bit Manipulation</t>
  </si>
  <si>
    <t>Array, Dynamic Programming, Backtracking</t>
  </si>
  <si>
    <t>Array, Simulation</t>
  </si>
  <si>
    <t>Array, Hash Table, Stack, Monotonic Stack</t>
  </si>
  <si>
    <t>Math, Binary Search, Reservoir Sampling, Prefix Sum, Ordered Set, Randomized</t>
  </si>
  <si>
    <t>Depth-First Search, Breadth-First Search, Graph, Heap (Priority Queue), Shortest Path</t>
  </si>
  <si>
    <t>Array, Greedy, Sorting, Heap (Priority Queue)</t>
  </si>
  <si>
    <t>Array, Sorting, Heap (Priority Queue)</t>
  </si>
  <si>
    <t>Hash Table, Tree, Depth-First Search, Binary Tree</t>
  </si>
  <si>
    <t>Math, Dynamic Programming, Recursion, Memoization</t>
  </si>
  <si>
    <t>String, Dynamic Programming, Depth-First Search, Breadth-First Search</t>
  </si>
  <si>
    <t>Array, Hash Table, Two Pointers, String, Sorting</t>
  </si>
  <si>
    <t>Array, Hash Table, Math, Prefix Sum</t>
  </si>
  <si>
    <t>Array, Two Pointers, String, Sorting</t>
  </si>
  <si>
    <t>Array, String, Greedy, Trie, Sorting</t>
  </si>
  <si>
    <t>Math, Binary Search, Prefix Sum, Randomized</t>
  </si>
  <si>
    <t>Tree, Depth-First Search, Breadth-First Search, Binary Search Tree, Binary Tree</t>
  </si>
  <si>
    <t>Hash Table, String, Design, Hash Function</t>
  </si>
  <si>
    <t>String, Tree, Depth-First Search, Binary Tree</t>
  </si>
  <si>
    <t>Array, Math, String, Sorting</t>
  </si>
  <si>
    <t>Array, Dynamic Programming, Breadth-First Search, Matrix</t>
  </si>
  <si>
    <t>String, Recursion, Simulation</t>
  </si>
  <si>
    <t>Array, Dynamic Programming, Memoization</t>
  </si>
  <si>
    <t>Array, String, Greedy</t>
  </si>
  <si>
    <t>Math, Two Pointers, String</t>
  </si>
  <si>
    <t>Divide and Conquer, Tree</t>
  </si>
  <si>
    <t>Tree, Depth-First Search, Breadth-First Search</t>
  </si>
  <si>
    <t>Array, Greedy, Sorting, Counting Sort</t>
  </si>
  <si>
    <t>Array, Depth-First Search</t>
  </si>
  <si>
    <t>Hash Table, Two Pointers, String, Sliding Window</t>
  </si>
  <si>
    <t>Tree, Depth-First Search, String Matching, Binary Tree, Hash Function</t>
  </si>
  <si>
    <t>Array, Two Pointers, Stack, Greedy, Sorting, Monotonic Stack</t>
  </si>
  <si>
    <t>Array, Hash Table, Tree, Depth-First Search, Breadth-First Search</t>
  </si>
  <si>
    <t>Stack, Tree, Depth-First Search</t>
  </si>
  <si>
    <t>Array, Hash Table, String, Design, Iterator</t>
  </si>
  <si>
    <t>Array, Two Pointers, Binary Search, Greedy, Sorting</t>
  </si>
  <si>
    <t>Array, Hash Table, String, Trie, String Matching</t>
  </si>
  <si>
    <t>Array, Hash Table, Greedy, Sorting, Heap (Priority Queue), Counting</t>
  </si>
  <si>
    <t>Array, Linked List, Design, Queue</t>
  </si>
  <si>
    <t>Math, Greedy</t>
  </si>
  <si>
    <t>Array, Greedy, Heap (Priority Queue)</t>
  </si>
  <si>
    <t>Graph, Design, Topological Sort</t>
  </si>
  <si>
    <t>Array, Hash Table, Greedy, Sliding Window, Sorting, Heap (Priority Queue)</t>
  </si>
  <si>
    <t>Math, Two Pointers, Binary Search</t>
  </si>
  <si>
    <t>Hash Table, String, Design, Ordered Set</t>
  </si>
  <si>
    <t>Array, Stack</t>
  </si>
  <si>
    <t>Array, Dynamic Programming, Backtracking, Bit Manipulation, Memoization, Bitmask</t>
  </si>
  <si>
    <t>String, Design, Trie, Data Stream</t>
  </si>
  <si>
    <t>Array, Sliding Window</t>
  </si>
  <si>
    <t>Array, Binary Search, Prefix Sum</t>
  </si>
  <si>
    <t>Array, Hash Table, Bit Manipulation, Sorting</t>
  </si>
  <si>
    <t>String, Greedy, Queue</t>
  </si>
  <si>
    <t>Hash Table, Two Pointers, Tree, Depth-First Search, Breadth-First Search, Binary Search Tree, Binary Tree</t>
  </si>
  <si>
    <t>Array, Divide and Conquer, Stack, Tree, Monotonic Stack, Binary Tree</t>
  </si>
  <si>
    <t>String, Simulation</t>
  </si>
  <si>
    <t>Array, Two Pointers, Binary Search, Sliding Window, Sorting, Heap (Priority Queue)</t>
  </si>
  <si>
    <t>Array, Hash Table, Greedy, Heap (Priority Queue)</t>
  </si>
  <si>
    <t>Array, Tree, Depth-First Search, Binary Tree</t>
  </si>
  <si>
    <t>Math, Bit Manipulation, Depth-First Search, Breadth-First Search</t>
  </si>
  <si>
    <t>Array, Dynamic Programming, Binary Indexed Tree, Segment Tree</t>
  </si>
  <si>
    <t>String, Dynamic Programming, Stack, Greedy</t>
  </si>
  <si>
    <t>Array, Math, Backtracking</t>
  </si>
  <si>
    <t>Two Pointers, String, Greedy</t>
  </si>
  <si>
    <t>String, Enumeration</t>
  </si>
  <si>
    <t>Array, Stack, Simulation</t>
  </si>
  <si>
    <t>Array, Binary Indexed Tree, Sliding Window, Ordered Set</t>
  </si>
  <si>
    <t>Hash Table, Depth-First Search, Breadth-First Search</t>
  </si>
  <si>
    <t>Array, String, Dynamic Programming, Backtracking, Bit Manipulation, Bitmask</t>
  </si>
  <si>
    <t>Hash Table, String, Trie, Sorting, Heap (Priority Queue), Bucket Sort, Counting</t>
  </si>
  <si>
    <t>Hash Table, Depth-First Search, Breadth-First Search, Union Find, Hash Function</t>
  </si>
  <si>
    <t>Array, Segment Tree, Ordered Set</t>
  </si>
  <si>
    <t>Array, Binary Search, Interactive</t>
  </si>
  <si>
    <t>Tree, Design, Binary Search Tree, Heap (Priority Queue), Binary Tree, Data Stream</t>
  </si>
  <si>
    <t>Array, Hash Table, Linked List, Design, Hash Function</t>
  </si>
  <si>
    <t>Linked List, Design</t>
  </si>
  <si>
    <t>Hash Table, Math, Binary Search, Sorting, Randomized</t>
  </si>
  <si>
    <t>Design, Segment Tree, Ordered Set</t>
  </si>
  <si>
    <t>Linked List, Stack, Design, Doubly-Linked List, Ordered Set</t>
  </si>
  <si>
    <t>Array, Binary Search, Dynamic Programming, Sliding Window, Rolling Hash, Hash Function</t>
  </si>
  <si>
    <t>Array, Hash Table, String, Trie, Sorting</t>
  </si>
  <si>
    <t>Array, String, Depth-First Search, Breadth-First Search, Union Find</t>
  </si>
  <si>
    <t>Array, Two Pointers, Matrix, Simulation</t>
  </si>
  <si>
    <t>Hash Table, String, Stack, Sorting</t>
  </si>
  <si>
    <t>String, Dynamic Programming, Sliding Window</t>
  </si>
  <si>
    <t>Binary Search, Design, Segment Tree, Ordered Set</t>
  </si>
  <si>
    <t>Hash Table, String, Stack, Recursion</t>
  </si>
  <si>
    <t>Array, Hash Table, String, Depth-First Search, Breadth-First Search, Union Find</t>
  </si>
  <si>
    <t>Array, Hash Table, Dynamic Programming</t>
  </si>
  <si>
    <t>Array, Depth-First Search, Breadth-First Search, Matrix, Simulation</t>
  </si>
  <si>
    <t>Array, Math, Dynamic Programming, Matrix</t>
  </si>
  <si>
    <t>String, Bit Manipulation</t>
  </si>
  <si>
    <t>Array, Hash Table, String, Breadth-First Search</t>
  </si>
  <si>
    <t>Bit Manipulation, Depth-First Search, Breadth-First Search</t>
  </si>
  <si>
    <t>String, Recursion</t>
  </si>
  <si>
    <t>Hash Table, Two Pointers, String, Greedy</t>
  </si>
  <si>
    <t>Greedy, Depth-First Search, Breadth-First Search, Union Find, Graph</t>
  </si>
  <si>
    <t>Array, Stack, Greedy, Sorting, Monotonic Stack</t>
  </si>
  <si>
    <t>Hash Table, Math, String, Stack, Recursion</t>
  </si>
  <si>
    <t>Tree, Binary Search Tree, Recursion, Binary Tree</t>
  </si>
  <si>
    <t>Array, Binary Search, Depth-First Search, Breadth-First Search, Union Find, Heap (Priority Queue), Matrix</t>
  </si>
  <si>
    <t>Array, Hash Table, Math, Greedy</t>
  </si>
  <si>
    <t>Array, Math, Bit Manipulation, Matrix</t>
  </si>
  <si>
    <t>Array, Binary Search, Sorting, Heap (Priority Queue)</t>
  </si>
  <si>
    <t>Dynamic Programming, Depth-First Search, Breadth-First Search, Graph, Heap (Priority Queue), Shortest Path</t>
  </si>
  <si>
    <t>Hash Table, String, Trie, Sorting</t>
  </si>
  <si>
    <t>Backtracking, Depth-First Search, Breadth-First Search, Graph</t>
  </si>
  <si>
    <t>Math, String, Enumeration</t>
  </si>
  <si>
    <t>Array, Union Find, Matrix</t>
  </si>
  <si>
    <t>Array, Math, Dynamic Programming, Bit Manipulation, Bitmask</t>
  </si>
  <si>
    <t>Array, Greedy, Matrix</t>
  </si>
  <si>
    <t>Math, Dynamic Programming, Probability and Statistics</t>
  </si>
  <si>
    <t>Array, Two Pointers, String</t>
  </si>
  <si>
    <t>Array, Math, Bit Manipulation, Brainteaser, Game Theory</t>
  </si>
  <si>
    <t>Array, Hash Table, String, Counting</t>
  </si>
  <si>
    <t>Array, Dynamic Programming, Prefix Sum</t>
  </si>
  <si>
    <t>Array, Hash Table, Breadth-First Search</t>
  </si>
  <si>
    <t>Array, Hash Table, Linked List</t>
  </si>
  <si>
    <t>Hash Table, String, Dynamic Programming</t>
  </si>
  <si>
    <t>Math, Enumeration</t>
  </si>
  <si>
    <t>Array, String, Sorting</t>
  </si>
  <si>
    <t>Dynamic Programming, Tree, Depth-First Search, Graph</t>
  </si>
  <si>
    <t>Math, Dynamic Programming, Sliding Window, Probability and Statistics</t>
  </si>
  <si>
    <t>Array, Math, String, Interactive, Game Theory</t>
  </si>
  <si>
    <t>Two Pointers, String, Stack, Simulation</t>
  </si>
  <si>
    <t>Array, Two Pointers, Dynamic Programming, Enumeration</t>
  </si>
  <si>
    <t>Array, Hash Table, Greedy, Sorting</t>
  </si>
  <si>
    <t>Dynamic Programming, Bit Manipulation, Breadth-First Search, Graph, Bitmask</t>
  </si>
  <si>
    <t>Array, Segment Tree, Line Sweep, Ordered Set</t>
  </si>
  <si>
    <t>Array, Depth-First Search, Graph, Topological Sort</t>
  </si>
  <si>
    <t>Array, Stack, Sorting, Monotonic Stack</t>
  </si>
  <si>
    <t>String, Breadth-First Search</t>
  </si>
  <si>
    <t>Design, Ordered Set</t>
  </si>
  <si>
    <t>Array, Greedy, Bit Manipulation, Matrix</t>
  </si>
  <si>
    <t>Array, Binary Search, Queue, Sliding Window, Heap (Priority Queue), Prefix Sum, Monotonic Queue</t>
  </si>
  <si>
    <t>Array, Bit Manipulation, Breadth-First Search, Matrix</t>
  </si>
  <si>
    <t>Math, Sorting, Counting, Enumeration</t>
  </si>
  <si>
    <t>Array, Dynamic Programming, Greedy, Heap (Priority Queue)</t>
  </si>
  <si>
    <t>Array, Math, Dynamic Programming, Game Theory</t>
  </si>
  <si>
    <t>Graph, Heap (Priority Queue), Shortest Path</t>
  </si>
  <si>
    <t>Array, Math, Geometry, Matrix</t>
  </si>
  <si>
    <t>Math, Binary Search, Dynamic Programming</t>
  </si>
  <si>
    <t>Array, Hash Table, Binary Search, Sorting</t>
  </si>
  <si>
    <t>Dynamic Programming, Tree, Recursion, Memoization, Binary Tree</t>
  </si>
  <si>
    <t>Hash Table, Stack, Design, Ordered Set</t>
  </si>
  <si>
    <t>Stack, Tree, Depth-First Search, Binary Search Tree, Binary Tree</t>
  </si>
  <si>
    <t>Array, Dynamic Programming, Bit Manipulation</t>
  </si>
  <si>
    <t>Math, String, Sorting</t>
  </si>
  <si>
    <t>Array, Design, Counting, Iterator</t>
  </si>
  <si>
    <t>Stack, Design, Monotonic Stack, Data Stream</t>
  </si>
  <si>
    <t>Array, Math, String, Binary Search, Dynamic Programming</t>
  </si>
  <si>
    <t>Array, Dynamic Programming, Stack, Monotonic Stack</t>
  </si>
  <si>
    <t>Array, Math, Greedy, Sorting</t>
  </si>
  <si>
    <t>Array, Hash Table, Binary Search, Design</t>
  </si>
  <si>
    <t>Array, Divide and Conquer, Sorting, Heap (Priority Queue), Merge Sort, Bucket Sort, Radix Sort, Counting Sort</t>
  </si>
  <si>
    <t>Math, Dynamic Programming, Graph, Topological Sort, Memoization, Game Theory</t>
  </si>
  <si>
    <t>Array, Hash Table, Math, Counting, Number Theory</t>
  </si>
  <si>
    <t>Array, Divide and Conquer, Dynamic Programming, Queue, Monotonic Queue</t>
  </si>
  <si>
    <t>Tree, Breadth-First Search, Design, Binary Tree</t>
  </si>
  <si>
    <t>String, Stack, Greedy</t>
  </si>
  <si>
    <t>Array, Hash Table, Two Pointers, Sorting, Counting</t>
  </si>
  <si>
    <t>Array, Hash Table, Sliding Window, Prefix Sum</t>
  </si>
  <si>
    <t>Array, Math, Divide and Conquer</t>
  </si>
  <si>
    <t>Design, Queue, Data Stream</t>
  </si>
  <si>
    <t>String, Stack, Greedy, Queue</t>
  </si>
  <si>
    <t>Array, Hash Table, Math, Geometry, Sorting</t>
  </si>
  <si>
    <t>Array, Two Pointers, String, Greedy</t>
  </si>
  <si>
    <t>Array, String, Dynamic Programming, Bit Manipulation, Bitmask</t>
  </si>
  <si>
    <t>Array, Greedy, Sorting, Counting</t>
  </si>
  <si>
    <t>Depth-First Search, Union Find, Graph</t>
  </si>
  <si>
    <t>Array, Queue, Sorting, Simulation</t>
  </si>
  <si>
    <t>Array, Math, Union Find</t>
  </si>
  <si>
    <t>Array, Hash Table, Math, Bit Manipulation</t>
  </si>
  <si>
    <t>Backtracking, Breadth-First Search</t>
  </si>
  <si>
    <t>Hash Table, Math</t>
  </si>
  <si>
    <t>Array, Math, Divide and Conquer, Geometry, Sorting, Heap (Priority Queue), Quickselect</t>
  </si>
  <si>
    <t>Array, Dynamic Programming, Stack, Monotonic Stack, Ordered Set</t>
  </si>
  <si>
    <t>Array, Backtracking, Bit Manipulation, Matrix</t>
  </si>
  <si>
    <t>Hash Table, String, Binary Search, Design</t>
  </si>
  <si>
    <t>Array, Hash Table, Bit Manipulation</t>
  </si>
  <si>
    <t>String, Greedy</t>
  </si>
  <si>
    <t>Array, String, Union Find, Graph</t>
  </si>
  <si>
    <t>Array, Hash Table, Sliding Window, Counting</t>
  </si>
  <si>
    <t>Array, Bit Manipulation, Queue, Sliding Window, Prefix Sum</t>
  </si>
  <si>
    <t>Array, Math, Dynamic Programming, Backtracking, Bit Manipulation, Bitmask</t>
  </si>
  <si>
    <t>Array, Hash Table, Graph</t>
  </si>
  <si>
    <t>Tree, Binary Tree</t>
  </si>
  <si>
    <t>Math, Stack, Simulation</t>
  </si>
  <si>
    <t>Array, Stack, Tree, Binary Search Tree, Monotonic Stack, Binary Tree</t>
  </si>
  <si>
    <t>Array, Hash Table, Counting</t>
  </si>
  <si>
    <t>Array, Linked List, Stack, Monotonic Stack</t>
  </si>
  <si>
    <t>Two Pointers, String, Trie, String Matching</t>
  </si>
  <si>
    <t>Math, Dynamic Programming, Brainteaser, Game Theory</t>
  </si>
  <si>
    <t>Array, Hash Table, Binary Search, Dynamic Programming</t>
  </si>
  <si>
    <t>Array, Math, Geometry, Sorting, Matrix</t>
  </si>
  <si>
    <t>Array, String, Design, Trie, Data Stream</t>
  </si>
  <si>
    <t>Array, Hash Table, Depth-First Search, Breadth-First Search</t>
  </si>
  <si>
    <t>String, Binary Search, Sliding Window, Rolling Hash, Suffix Array, Hash Function</t>
  </si>
  <si>
    <t>Array, Hash Table, Two Pointers, String, Dynamic Programming</t>
  </si>
  <si>
    <t>String, Dynamic Programming, Greedy</t>
  </si>
  <si>
    <t>Array, Math, String, Greedy</t>
  </si>
  <si>
    <t>Depth-First Search, Graph</t>
  </si>
  <si>
    <t>String, Union Find</t>
  </si>
  <si>
    <t>String, Binary Search, Dynamic Programming, Rolling Hash, Suffix Array, Hash Function</t>
  </si>
  <si>
    <t>Array, String, Trie, Sorting</t>
  </si>
  <si>
    <t>Array, Hash Table, Matrix, Prefix Sum</t>
  </si>
  <si>
    <t>Hash Table, String, Backtracking, Counting</t>
  </si>
  <si>
    <t>Math, Backtracking</t>
  </si>
  <si>
    <t>Array, Hash Table, Greedy, Sorting, Counting</t>
  </si>
  <si>
    <t>Math, Two Pointers, Probability and Statistics</t>
  </si>
  <si>
    <t>Array, Sorting, Heap (Priority Queue), Simulation, Prefix Sum</t>
  </si>
  <si>
    <t>String, Backtracking, Stack, Breadth-First Search</t>
  </si>
  <si>
    <t>Array, Depth-First Search, Breadth-First Search, Union Find, Heap (Priority Queue), Matrix</t>
  </si>
  <si>
    <t>Math, Simulation</t>
  </si>
  <si>
    <t>Math, Tree, Binary Tree</t>
  </si>
  <si>
    <t>Concurrency</t>
  </si>
  <si>
    <t>Array, Hash Table, Sorting, Counting Sort</t>
  </si>
  <si>
    <t>Array, Hash Table, Stack, Monotonic Stack, Prefix Sum</t>
  </si>
  <si>
    <t>Array, Dynamic Programming, Bit Manipulation, Bitmask</t>
  </si>
  <si>
    <t>Breadth-First Search, Graph</t>
  </si>
  <si>
    <t>Dynamic Programming, Stack, Greedy, Monotonic Stack</t>
  </si>
  <si>
    <t>Union Find, Graph, Heap (Priority Queue), Minimum Spanning Tree</t>
  </si>
  <si>
    <t>Graph, Topological Sort</t>
  </si>
  <si>
    <t>Two Pointers, String, Dynamic Programming, Greedy, Rolling Hash, Hash Function</t>
  </si>
  <si>
    <t>String, Sliding Window</t>
  </si>
  <si>
    <t>Array, Binary Search, Design, Binary Indexed Tree, Segment Tree</t>
  </si>
  <si>
    <t>Union Find, Graph, Minimum Spanning Tree</t>
  </si>
  <si>
    <t>Array, Hash Table, String, Binary Search, Sorting</t>
  </si>
  <si>
    <t>Hash Table, Stack, Design, Heap (Priority Queue)</t>
  </si>
  <si>
    <t>Hash Table, String, Bit Manipulation, Prefix Sum</t>
  </si>
  <si>
    <t>Array, Hash Table, String, Bit Manipulation, Trie</t>
  </si>
  <si>
    <t>Greedy, Heap (Priority Queue)</t>
  </si>
  <si>
    <t>Depth-First Search, Graph, Biconnected Component</t>
  </si>
  <si>
    <t>Breadth-First Search</t>
  </si>
  <si>
    <t>Array, Hash Table, Binary Search, Matrix, Counting</t>
  </si>
  <si>
    <t>Math, Greedy, Heap (Priority Queue)</t>
  </si>
  <si>
    <t>Math, Binary Search, Number Theory</t>
  </si>
  <si>
    <t>Hash Table, String, Depth-First Search, Breadth-First Search, Union Find</t>
  </si>
  <si>
    <t>String, Binary Search, Sliding Window, Prefix Sum</t>
  </si>
  <si>
    <t>Array, Hash Table, Binary Search, Counting</t>
  </si>
  <si>
    <t>Two Pointers, Binary Search, Stack, Tree, Depth-First Search, Binary Search Tree, Binary Tree</t>
  </si>
  <si>
    <t>Array, Math, Greedy</t>
  </si>
  <si>
    <t>String, Greedy, Counting</t>
  </si>
  <si>
    <t>Math, Dynamic Programming, Brainteaser, Probability and Statistics</t>
  </si>
  <si>
    <t>Array, String, Trie</t>
  </si>
  <si>
    <t>String, Depth-First Search, Breadth-First Search, Interactive</t>
  </si>
  <si>
    <t>Math, Two Pointers, Binary Search, Interactive</t>
  </si>
  <si>
    <t>Array, String, Backtracking, Bit Manipulation</t>
  </si>
  <si>
    <t>Depth-First Search, Breadth-First Search, Concurrency</t>
  </si>
  <si>
    <t>Hash Table, Design, Sorting</t>
  </si>
  <si>
    <t>Tree, Depth-First Search, Breadth-First Search, Graph, Topological Sort</t>
  </si>
  <si>
    <t>Math, String, Greedy</t>
  </si>
  <si>
    <t>Array, Hash Table, Math, Sliding Window</t>
  </si>
  <si>
    <t>Array, Math, Number Theory</t>
  </si>
  <si>
    <t>Array, Math, Simulation</t>
  </si>
  <si>
    <t>Math, String, Bit Manipulation</t>
  </si>
  <si>
    <t>Array, Hash Table, String, Tree, Depth-First Search, Breadth-First Search</t>
  </si>
  <si>
    <t>Array, Hash Table, String, Backtracking, Union Find</t>
  </si>
  <si>
    <t>Hash Table, Tree, Depth-First Search, Breadth-First Search, Design, Binary Tree</t>
  </si>
  <si>
    <t>Array, Depth-First Search, Breadth-First Search, Union Find, Matrix, Counting</t>
  </si>
  <si>
    <t>Array, Divide and Conquer, Interactive</t>
  </si>
  <si>
    <t>Array, Hash Table, Matrix, Simulation</t>
  </si>
  <si>
    <t>String, Backtracking, Design, Iterator</t>
  </si>
  <si>
    <t>Enumeration</t>
  </si>
  <si>
    <t>Array, Binary Search, Matrix, Prefix Sum</t>
  </si>
  <si>
    <t>Array, Breadth-First Search, Graph</t>
  </si>
  <si>
    <t>Tree, Depth-First Search, Binary Search Tree, Sorting, Binary Tree</t>
  </si>
  <si>
    <t>Array, Depth-First Search, Breadth-First Search</t>
  </si>
  <si>
    <t>Array, Math, String, Backtracking</t>
  </si>
  <si>
    <t>Array, Bit Manipulation, Prefix Sum</t>
  </si>
  <si>
    <t>Array, Hash Table, Breadth-First Search, Graph, Sorting</t>
  </si>
  <si>
    <t>Array, Matrix, Prefix Sum</t>
  </si>
  <si>
    <t>String, Trie, Rolling Hash, Hash Function</t>
  </si>
  <si>
    <t>Array, Sorting, Matrix</t>
  </si>
  <si>
    <t>Dynamic Programming, Graph, Shortest Path</t>
  </si>
  <si>
    <t>Array, Hash Table, Greedy, Sorting, Heap (Priority Queue)</t>
  </si>
  <si>
    <t>Array, Dynamic Programming, Sorting</t>
  </si>
  <si>
    <t>Hash Table, Binary Search, Design, Sorting, Ordered Set</t>
  </si>
  <si>
    <t>Array, Dynamic Programming, Bit Manipulation, Matrix, Bitmask</t>
  </si>
  <si>
    <t>Array, Math, Design, Queue, Data Stream</t>
  </si>
  <si>
    <t>Array, Bit Manipulation, Sorting, Counting</t>
  </si>
  <si>
    <t>Array, Hash Table, Design</t>
  </si>
  <si>
    <t>Tree, Depth-First Search, Breadth-First Search, Union Find, Graph, Binary Tree</t>
  </si>
  <si>
    <t>Array, Hash Table, String, Sorting, Counting</t>
  </si>
  <si>
    <t>Array, Breadth-First Search, Graph, Heap (Priority Queue), Matrix, Shortest Path</t>
  </si>
  <si>
    <t>Tree, Depth-First Search, Breadth-First Search, Graph</t>
  </si>
  <si>
    <t>Array, Stack, Design</t>
  </si>
  <si>
    <t>Divide and Conquer, Greedy, Tree, Depth-First Search, Binary Search Tree, Binary Tree</t>
  </si>
  <si>
    <t>Array, Hash Table, Greedy, Bit Manipulation</t>
  </si>
  <si>
    <t>Dynamic Programming, Memoization, Sorting</t>
  </si>
  <si>
    <t>Array, Dynamic Programming, Binary Indexed Tree</t>
  </si>
  <si>
    <t>Hash Table, String, Design</t>
  </si>
  <si>
    <t>String, Dynamic Programming, String Matching</t>
  </si>
  <si>
    <t>Hash Table, String, Greedy, Counting</t>
  </si>
  <si>
    <t>Array, String, String Matching</t>
  </si>
  <si>
    <t>Array, Binary Indexed Tree, Simulation</t>
  </si>
  <si>
    <t>Array, Hash Table, String, Sorting, Ordered Set</t>
  </si>
  <si>
    <t>String, Counting</t>
  </si>
  <si>
    <t>Array, Sliding Window, Prefix Sum</t>
  </si>
  <si>
    <t>Array, Dynamic Programming, Queue, Sliding Window, Heap (Priority Queue), Monotonic Queue</t>
  </si>
  <si>
    <t>Array, Math, String</t>
  </si>
  <si>
    <t>Array, Binary Search, Matrix, Interactive</t>
  </si>
  <si>
    <t>Array, Hash Table, Design, Queue, Data Stream</t>
  </si>
  <si>
    <t>String, Greedy, Sorting</t>
  </si>
  <si>
    <t>Array, Queue, Sliding Window, Heap (Priority Queue), Ordered Set, Monotonic Queue</t>
  </si>
  <si>
    <t>Array, Binary Search, Heap (Priority Queue), Matrix</t>
  </si>
  <si>
    <t>Array, Hash Table, Math, Bit Manipulation, Prefix Sum</t>
  </si>
  <si>
    <t>Hash Table, Tree, Depth-First Search, Breadth-First Search</t>
  </si>
  <si>
    <t>Array, Dynamic Programming, Memoization, Matrix</t>
  </si>
  <si>
    <t>Math, String, Number Theory</t>
  </si>
  <si>
    <t>String, Sorting</t>
  </si>
  <si>
    <t>Bit Manipulation, Tree, Depth-First Search, Breadth-First Search, Binary Tree</t>
  </si>
  <si>
    <t>Hash Table, String, Bit Manipulation, Rolling Hash, Hash Function</t>
  </si>
  <si>
    <t>Math, Dynamic Programming, Backtracking, Combinatorics, Probability and Statistics</t>
  </si>
  <si>
    <t>Array, Linked List, Stack, Design, Doubly-Linked List, Data Stream</t>
  </si>
  <si>
    <t>Array, Design, Matrix</t>
  </si>
  <si>
    <t>Array, Hash Table, Binary Search, Dynamic Programming, Sliding Window</t>
  </si>
  <si>
    <t>Binary Search, Dynamic Programming, Tree, Depth-First Search, Breadth-First Search, Design</t>
  </si>
  <si>
    <t>Array, Hash Table, Binary Search, Greedy, Heap (Priority Queue)</t>
  </si>
  <si>
    <t>Union Find, Graph, Sorting, Minimum Spanning Tree, Strongly Connected Component</t>
  </si>
  <si>
    <t>Dynamic Programming, Bit Manipulation, Graph, Bitmask</t>
  </si>
  <si>
    <t>Hash Table, Design, Heap (Priority Queue), Data Stream</t>
  </si>
  <si>
    <t>Array, Brainteaser, Simulation</t>
  </si>
  <si>
    <t>String, Greedy, Binary Indexed Tree, Segment Tree</t>
  </si>
  <si>
    <t>Hash Table, Bit Manipulation, Tree, Depth-First Search</t>
  </si>
  <si>
    <t>Array, Hash Table, Math, Counting</t>
  </si>
  <si>
    <t>Array, Graph, Heap (Priority Queue), Shortest Path</t>
  </si>
  <si>
    <t>Math, Geometry, Randomized</t>
  </si>
  <si>
    <t>Tree, Depth-First Search</t>
  </si>
  <si>
    <t>Hash Table, Tree, Depth-First Search, Breadth-First Search, Counting</t>
  </si>
  <si>
    <t>Array, Binary Search, Bit Manipulation, Segment Tree</t>
  </si>
  <si>
    <t>Array, Math, Dynamic Programming, Prefix Sum</t>
  </si>
  <si>
    <t>String, Dynamic Programming, Bit Manipulation</t>
  </si>
  <si>
    <t>Array, Dynamic Programming, Stack, Greedy, Monotonic Stack</t>
  </si>
  <si>
    <t>Array, Enumeration</t>
  </si>
  <si>
    <t>Array, Two Pointers, Dynamic Programming, Greedy</t>
  </si>
  <si>
    <t>Array, Math, Interactive</t>
  </si>
  <si>
    <t>Array, Hash Table, Greedy, Prefix Sum</t>
  </si>
  <si>
    <t>Dynamic Programming, Graph</t>
  </si>
  <si>
    <t>Dynamic Programming, Memoization</t>
  </si>
  <si>
    <t>Hash Table, String, Rolling Hash, Hash Function</t>
  </si>
  <si>
    <t>Graph</t>
  </si>
  <si>
    <t>Array, Greedy, Bit Manipulation</t>
  </si>
  <si>
    <t>Array, Math, Greedy, Sorting, Game Theory</t>
  </si>
  <si>
    <t>Array, Binary Search, Simulation</t>
  </si>
  <si>
    <t>Array, Depth-First Search, Breadth-First Search, Matrix, Strongly Connected Component</t>
  </si>
  <si>
    <t>Array, Math, Divide and Conquer, Dynamic Programming, Tree, Union Find, Binary Search Tree, Memoization, Combinatorics, Binary Tree</t>
  </si>
  <si>
    <t>Array, Hash Table, Two Pointers, Design</t>
  </si>
  <si>
    <t>Array, Two Pointers, Binary Search, Stack, Monotonic Stack</t>
  </si>
  <si>
    <t>Array, Hash Table, Math, Two Pointers</t>
  </si>
  <si>
    <t>Array, String, Dynamic Programming, Greedy</t>
  </si>
  <si>
    <t>Union Find, Graph</t>
  </si>
  <si>
    <t>Array, Union Find, Graph, Minimum Spanning Tree</t>
  </si>
  <si>
    <t>Array, Math, Prefix Sum</t>
  </si>
  <si>
    <t>Array, Greedy, Sorting, Prefix Sum</t>
  </si>
  <si>
    <t>Array, Graph, Topological Sort, Matrix</t>
  </si>
  <si>
    <t>Array, String, Stack</t>
  </si>
  <si>
    <t>Hash Table, Tree, Depth-First Search, Design</t>
  </si>
  <si>
    <t>Array, Backtracking, Bit Manipulation, Enumeration</t>
  </si>
  <si>
    <t>Design, Simulation, Counting</t>
  </si>
  <si>
    <t>Array, Greedy, Heap (Priority Queue), Ordered Set</t>
  </si>
  <si>
    <t>Array, Math, Geometry, Sliding Window, Sorting</t>
  </si>
  <si>
    <t>Dynamic Programming, Bit Manipulation, Memoization</t>
  </si>
  <si>
    <t>Dynamic Programming, Bit Manipulation, Tree, Enumeration, Bitmask</t>
  </si>
  <si>
    <t>Array, String, Binary Search, Interactive</t>
  </si>
  <si>
    <t>Math, Design, Segment Tree</t>
  </si>
  <si>
    <t>Math, Stack, Tree, Design, Binary Tree</t>
  </si>
  <si>
    <t>Array, Greedy, Union Find, Graph, Topological Sort, Matrix</t>
  </si>
  <si>
    <t>Linked List, Math, Two Pointers</t>
  </si>
  <si>
    <t>Array, Math, Dynamic Programming, Combinatorics</t>
  </si>
  <si>
    <t>Array, Dynamic Programming, Simulation</t>
  </si>
  <si>
    <t>Hash Table, String, Greedy, Sorting</t>
  </si>
  <si>
    <t>Array, Math, Binary Search, Greedy, Sorting, Heap (Priority Queue)</t>
  </si>
  <si>
    <t>Hash Table, Tree, Binary Tree</t>
  </si>
  <si>
    <t>Array, Hash Table, Design, Data Stream</t>
  </si>
  <si>
    <t>Array, Hash Table, Binary Search, Sliding Window, Prefix Sum</t>
  </si>
  <si>
    <t>Dynamic Programming, Bit Manipulation, Memoization, Bitmask</t>
  </si>
  <si>
    <t>Array, Linked List, Design, Queue, Data Stream</t>
  </si>
  <si>
    <t>Array, Stack, Greedy, Monotonic Stack</t>
  </si>
  <si>
    <t>Array, Hash Table, Two Pointers, Sorting</t>
  </si>
  <si>
    <t>Math, Bit Manipulation, Simulation</t>
  </si>
  <si>
    <t>Array, Hash Table, String, Bit Manipulation</t>
  </si>
  <si>
    <t>Array, Math, Greedy, Sorting, Heap (Priority Queue), Game Theory</t>
  </si>
  <si>
    <t>Array, Dynamic Programming, Segment Tree, Queue, Heap (Priority Queue), Monotonic Queue</t>
  </si>
  <si>
    <t>Array, Union Find, Graph, Sorting</t>
  </si>
  <si>
    <t>String, Trie, Rolling Hash, Suffix Array, Hash Function</t>
  </si>
  <si>
    <t>Array, Stack, Queue, Simulation</t>
  </si>
  <si>
    <t>Array, Greedy, Sliding Window, Prefix Sum</t>
  </si>
  <si>
    <t>Array, Dynamic Programming, Depth-First Search, Matrix, Simulation</t>
  </si>
  <si>
    <t>Array, Bit Manipulation, Trie</t>
  </si>
  <si>
    <t>Array, Two Pointers, Binary Search, Prefix Sum</t>
  </si>
  <si>
    <t>Array, Hash Table, Binary Search, Greedy</t>
  </si>
  <si>
    <t>Tree, Graph</t>
  </si>
  <si>
    <t>Array, Depth-First Search, Union Find</t>
  </si>
  <si>
    <t>Array, Greedy, Sorting, Matrix</t>
  </si>
  <si>
    <t>Array, Math, Dynamic Programming, Graph, Topological Sort, Memoization, Matrix, Game Theory</t>
  </si>
  <si>
    <t>Array, Math, Dynamic Programming, Combinatorics, Number Theory</t>
  </si>
  <si>
    <t>Hash Table, String, Counting, Prefix Sum</t>
  </si>
  <si>
    <t>Array, Divide and Conquer, Bit Manipulation, Heap (Priority Queue), Matrix, Prefix Sum, Quickselect</t>
  </si>
  <si>
    <t>Math, Binary Search, Greedy</t>
  </si>
  <si>
    <t>Hash Table, Math, Counting</t>
  </si>
  <si>
    <t>Array, Two Pointers, Dynamic Programming, Bit Manipulation, Bitmask</t>
  </si>
  <si>
    <t>Array, Hash Table, Stack, Design, Binary Indexed Tree, Ordered Set</t>
  </si>
  <si>
    <t>Hash Table, String, Divide and Conquer, Bit Manipulation, Sliding Window</t>
  </si>
  <si>
    <t>Array, Greedy, String Matching</t>
  </si>
  <si>
    <t>Math, Tree, Depth-First Search, Breadth-First Search</t>
  </si>
  <si>
    <t>Array, Hash Table, Greedy, Counting</t>
  </si>
  <si>
    <t>Array, Math, Stack, Heap (Priority Queue), Monotonic Stack</t>
  </si>
  <si>
    <t>Depth-First Search, Breadth-First Search, Graph, Interactive</t>
  </si>
  <si>
    <t>Two Pointers, Binary Search, Graph</t>
  </si>
  <si>
    <t>Dynamic Programming, Graph, Topological Sort, Heap (Priority Queue), Shortest Path</t>
  </si>
  <si>
    <t>Array, Greedy, Prefix Sum</t>
  </si>
  <si>
    <t>Array, Math, Dynamic Programming, Backtracking, Bit Manipulation, Number Theory, Bitmask</t>
  </si>
  <si>
    <t>Array, Heap (Priority Queue), Simulation</t>
  </si>
  <si>
    <t>Binary Search, Greedy</t>
  </si>
  <si>
    <t>Depth-First Search, Breadth-First Search, Graph, Heap (Priority Queue), Interactive</t>
  </si>
  <si>
    <t>Array, Dynamic Programming, Bit Manipulation, Memoization, Bitmask</t>
  </si>
  <si>
    <t>Array, Binary Search, Sorting, Ordered Set</t>
  </si>
  <si>
    <t>Array, Math, Counting, Number Theory</t>
  </si>
  <si>
    <t>Array, Math, Recursion, Queue, Simulation</t>
  </si>
  <si>
    <t>Design, Queue, Heap (Priority Queue), Data Stream, Ordered Set</t>
  </si>
  <si>
    <t>Math, String, Combinatorics</t>
  </si>
  <si>
    <t>Array, Binary Search, Greedy, Sliding Window, Sorting, Prefix Sum</t>
  </si>
  <si>
    <t>Design, Heap (Priority Queue)</t>
  </si>
  <si>
    <t>Array, Binary Search, Line Sweep, Sorting, Heap (Priority Queue)</t>
  </si>
  <si>
    <t>Array, Counting</t>
  </si>
  <si>
    <t>Array, Two Pointers, Binary Search, Greedy</t>
  </si>
  <si>
    <t>Array, Stack, Monotonic Stack, Prefix Sum</t>
  </si>
  <si>
    <t>Hash Table, Dynamic Programming, Graph, Topological Sort, Memoization, Counting</t>
  </si>
  <si>
    <t>Simulation</t>
  </si>
  <si>
    <t>Array, Two Pointers, Matrix</t>
  </si>
  <si>
    <t>Array, Math, Binary Search, Prefix Sum</t>
  </si>
  <si>
    <t>Array, Math, Backtracking, Bit Manipulation, Combinatorics</t>
  </si>
  <si>
    <t>Two Pointers, String, Prefix Sum</t>
  </si>
  <si>
    <t>Array, Math, Dynamic Programming, Prefix Sum, Game Theory</t>
  </si>
  <si>
    <t>Hash Table, String, Sliding Window, Counting</t>
  </si>
  <si>
    <t>Array, Math, Sorting, Heap (Priority Queue), Matrix, Prefix Sum</t>
  </si>
  <si>
    <t>String, Dynamic Programming, Greedy, Sliding Window</t>
  </si>
  <si>
    <t>Array, Binary Search, Sorting, Prefix Sum</t>
  </si>
  <si>
    <t>Array, Binary Search, Simulation, Prefix Sum</t>
  </si>
  <si>
    <t>Math, String, Dynamic Programming, Stack</t>
  </si>
  <si>
    <t>Array, String, Binary Search</t>
  </si>
  <si>
    <t>Tree, Binary Search Tree, Binary Tree, Ordered Set</t>
  </si>
  <si>
    <t>Array, Math, Dynamic Programming, Bit Manipulation, Brainteaser, Game Theory</t>
  </si>
  <si>
    <t>Array, Hash Table, Design, Heap (Priority Queue), Ordered Set</t>
  </si>
  <si>
    <t>Math, Dynamic Programming, Tree, Graph, Topological Sort, Combinatorics</t>
  </si>
  <si>
    <t>Array, Binary Search, Sliding Window</t>
  </si>
  <si>
    <t>Array, Binary Search, Rolling Hash, Suffix Array, Hash Function</t>
  </si>
  <si>
    <t>Math, Greedy, Game Theory</t>
  </si>
  <si>
    <t>Hash Table, String, Prefix Sum</t>
  </si>
  <si>
    <t>Hash Table, Binary Search, Tree, Depth-First Search, Binary Tree</t>
  </si>
  <si>
    <t>Array, Heap (Priority Queue), Ordered Set</t>
  </si>
  <si>
    <t>Array, Hash Table, String, Trie, Hash Function</t>
  </si>
  <si>
    <t>Array, Math, Binary Search, Geometry, Enumeration</t>
  </si>
  <si>
    <t>Array, Matrix, Enumeration</t>
  </si>
  <si>
    <t>String, Rolling Hash, Hash Function</t>
  </si>
  <si>
    <t>Two Pointers, String, Stack, Greedy</t>
  </si>
  <si>
    <t>Array, Binary Search, Binary Indexed Tree</t>
  </si>
  <si>
    <t>Math, Greedy, Recursion</t>
  </si>
  <si>
    <t>Array, Binary Search, Depth-First Search, Breadth-First Search, Union Find, Matrix</t>
  </si>
  <si>
    <t>Dynamic Programming, Graph, Topological Sort, Shortest Path</t>
  </si>
  <si>
    <t>String, Dynamic Programming, Suffix Array</t>
  </si>
  <si>
    <t>Array, String, Backtracking</t>
  </si>
  <si>
    <t>Array, Divide and Conquer</t>
  </si>
  <si>
    <t>Array, Sliding Window, Sorting</t>
  </si>
  <si>
    <t>Array, String, Divide and Conquer, Sorting, Heap (Priority Queue), Quickselect</t>
  </si>
  <si>
    <t>Hash Table, Tree, Depth-First Search, Breadth-First Search, Design</t>
  </si>
  <si>
    <t>Array, Math, Union Find, Sorting</t>
  </si>
  <si>
    <t>String, Dynamic Programming, Backtracking, Bit Manipulation, Bitmask</t>
  </si>
  <si>
    <t>Dynamic Programming, Tree, Depth-First Search, Union Find</t>
  </si>
  <si>
    <t>Math, Dynamic Programming, Tree, Binary Tree, Game Theory</t>
  </si>
  <si>
    <t>Array, Hash Table, Design, Counting</t>
  </si>
  <si>
    <t>String, Backtracking, Greedy, Counting, Enumeration</t>
  </si>
  <si>
    <t>Array, Math, String, Dynamic Programming, Stack, Memoization</t>
  </si>
  <si>
    <t>Array, Prefix Sum, Ordered Set</t>
  </si>
  <si>
    <t>Array, Hash Table, Counting, Enumeration, Prefix Sum</t>
  </si>
  <si>
    <t>Array, Math, Greedy, Counting, Game Theory</t>
  </si>
  <si>
    <t>Hash Table, Design, Heap (Priority Queue), Data Stream, Ordered Set</t>
  </si>
  <si>
    <t>Array, Two Pointers, Binary Search, Dynamic Programming, Bit Manipulation, Ordered Set, Bitmask</t>
  </si>
  <si>
    <t>Math, String, Greedy, Game Theory</t>
  </si>
  <si>
    <t>Array, Hash Table, Design, Simulation</t>
  </si>
  <si>
    <t>Breadth-First Search, Graph, Shortest Path</t>
  </si>
  <si>
    <t>Linked List, Two Pointers, Sorting</t>
  </si>
  <si>
    <t>Math, Backtracking, Enumeration</t>
  </si>
  <si>
    <t>Dynamic Programming, Graph, Topological Sort</t>
  </si>
  <si>
    <t>Array, Binary Search, Dynamic Programming, Sorting, Heap (Priority Queue)</t>
  </si>
  <si>
    <t>Array, String, Binary Search, Prefix Sum</t>
  </si>
  <si>
    <t>Array, String, Backtracking, Simulation</t>
  </si>
  <si>
    <t>Array, Breadth-First Search</t>
  </si>
  <si>
    <t>Math, String, Dynamic Programming, Combinatorics</t>
  </si>
  <si>
    <t>Array, Backtracking, Graph</t>
  </si>
  <si>
    <t>String, Counting, Prefix Sum</t>
  </si>
  <si>
    <t>Design, Simulation</t>
  </si>
  <si>
    <t>Array, Binary Search, Greedy, Queue, Sorting, Monotonic Queue</t>
  </si>
  <si>
    <t>Array, Queue, Simulation</t>
  </si>
  <si>
    <t>Array, Hash Table, Binary Search, Design, Segment Tree</t>
  </si>
  <si>
    <t>Hash Table, Math, String, Counting, Prefix Sum</t>
  </si>
  <si>
    <t>Depth-First Search, Breadth-First Search, Union Find, Graph, Sorting</t>
  </si>
  <si>
    <t>Graph, Shortest Path</t>
  </si>
  <si>
    <t>Array, Hash Table, Sorting, Enumeration</t>
  </si>
  <si>
    <t>Array, Hash Table, Sorting, Heap (Priority Queue)</t>
  </si>
  <si>
    <t>Array, Math, Depth-First Search, Breadth-First Search, Graph, Geometry</t>
  </si>
  <si>
    <t>Design, Heap (Priority Queue), Data Stream, Ordered Set</t>
  </si>
  <si>
    <t>Array, Two Pointers, Simulation</t>
  </si>
  <si>
    <t>Array, Hash Table, String, Graph, Topological Sort</t>
  </si>
  <si>
    <t>Array, Graph, Matrix</t>
  </si>
  <si>
    <t>Array, Math, String, Matrix</t>
  </si>
  <si>
    <t>Depth-First Search, Graph, Topological Sort</t>
  </si>
  <si>
    <t>Linked List, Two Pointers, Stack</t>
  </si>
  <si>
    <t>Array, Hash Table, String, Greedy, Counting</t>
  </si>
  <si>
    <t>Array, Greedy, Matrix, Prefix Sum</t>
  </si>
  <si>
    <t>Array, Hash Table, String, Bit Manipulation, Sorting</t>
  </si>
  <si>
    <t>Array, Binary Search, Greedy, Sorting</t>
  </si>
  <si>
    <t>Array, Breadth-First Search, Sorting, Heap (Priority Queue), Matrix</t>
  </si>
  <si>
    <t>Math, String, Dynamic Programming</t>
  </si>
  <si>
    <t>Array, Hash Table, Math, Dynamic Programming, Backtracking, Bit Manipulation, Geometry, Bitmask</t>
  </si>
  <si>
    <t>Array, Hash Table, Sorting, Simulation</t>
  </si>
  <si>
    <t>String, Sliding Window, Rolling Hash, Hash Function</t>
  </si>
  <si>
    <t>String, Bit Manipulation, Union Find</t>
  </si>
  <si>
    <t>Math, Greedy, Sorting</t>
  </si>
  <si>
    <t>Array, Dynamic Programming, Heap (Priority Queue)</t>
  </si>
  <si>
    <t>Math, Sorting</t>
  </si>
  <si>
    <t>Hash Table, String, Rolling Hash, Counting, Hash Function</t>
  </si>
  <si>
    <t>Array, Sorting, Prefix Sum</t>
  </si>
  <si>
    <t>Math, Backtracking, Greedy</t>
  </si>
  <si>
    <t>Linked List, Simulation</t>
  </si>
  <si>
    <t>String, Greedy, Heap (Priority Queue), Counting</t>
  </si>
  <si>
    <t>Two Pointers, String, Greedy, Binary Indexed Tree</t>
  </si>
  <si>
    <t>Array, Hash Table, Tree, Depth-First Search, Breadth-First Search, Binary Tree</t>
  </si>
  <si>
    <t>Array, Math, Stack, Number Theory</t>
  </si>
  <si>
    <t>Array, Hash Table, Simulation</t>
  </si>
  <si>
    <t>Array, Hash Table, Bit Manipulation, Counting</t>
  </si>
  <si>
    <t>String, Greedy, Prefix Sum</t>
  </si>
  <si>
    <t>String, Dynamic Programming, Prefix Sum</t>
  </si>
  <si>
    <t>Array, Bit Manipulation, Recursion, Enumeration</t>
  </si>
  <si>
    <t>Array, String, Segment Tree, Ordered Set</t>
  </si>
  <si>
    <t>Array, Stack, Greedy</t>
  </si>
  <si>
    <t>Array, Math, Simulation, Combinatorics</t>
  </si>
  <si>
    <t>String, Binary Search, Rolling Hash, Suffix Array, String Matching, Hash Function</t>
  </si>
  <si>
    <t>Array, Hash Table, String, Design, Trie</t>
  </si>
  <si>
    <t>Sorting, Heap (Priority Queue)</t>
  </si>
  <si>
    <t>Array, Greedy, Design</t>
  </si>
  <si>
    <t>Array, Graph, Sorting, Enumeration</t>
  </si>
  <si>
    <t>Array, String, Tree, Depth-First Search, Graph, Topological Sort</t>
  </si>
  <si>
    <t>Array, Hash Table, Math, Geometry, Enumeration</t>
  </si>
  <si>
    <t>Array, Binary Search, Binary Indexed Tree, Sorting</t>
  </si>
  <si>
    <t>Array, Hash Table, Binary Search, Sorting, Prefix Sum, Ordered Set</t>
  </si>
  <si>
    <t>Array, Binary Search, Breadth-First Search, Matrix</t>
  </si>
  <si>
    <t>String, Greedy, Enumeration</t>
  </si>
  <si>
    <t>Array, Hash Table, Trie, Rolling Hash, Hash Function, Enumeration</t>
  </si>
  <si>
    <t>Dynamic Programming, Greedy</t>
  </si>
  <si>
    <t>Hash Table, Math, String, Dynamic Programming</t>
  </si>
  <si>
    <t>Array, String, Greedy, Sorting, Counting</t>
  </si>
  <si>
    <t>Math, String, Sliding Window</t>
  </si>
  <si>
    <t>Array, Binary Search, Greedy, Sorting, Prefix Sum</t>
  </si>
  <si>
    <t>Array, Tree, Depth-First Search, Breadth-First Search</t>
  </si>
  <si>
    <t>Array, Math, Geometry, Sorting, Number Theory</t>
  </si>
  <si>
    <t>Array, Stack, Matrix, Monotonic Stack</t>
  </si>
  <si>
    <t>Greedy, Graph, Sorting, Heap (Priority Queue)</t>
  </si>
  <si>
    <t>Binary Search, Design, Binary Indexed Tree, Segment Tree</t>
  </si>
  <si>
    <t>Linked List, String, Stack, Design, Simulation, Doubly-Linked List</t>
  </si>
  <si>
    <t>Array, Dynamic Programming, Stack, Graph, Monotonic Stack, Shortest Path</t>
  </si>
  <si>
    <t>Array, Hash Table, String, String Matching</t>
  </si>
  <si>
    <t>Array, Hash Table, String, Bit Manipulation, Enumeration</t>
  </si>
  <si>
    <t>Array, Depth-First Search, Union Find, Graph</t>
  </si>
  <si>
    <t>Hash Table, String, Enumeration</t>
  </si>
  <si>
    <t>Math, Dynamic Programming, Greedy, Enumeration</t>
  </si>
  <si>
    <t>String, Dynamic Programming, Greedy, Memoization</t>
  </si>
  <si>
    <t>Array, Bit Manipulation, Tree, Depth-First Search</t>
  </si>
  <si>
    <t>Array, Linked List, Matrix, Simulation</t>
  </si>
  <si>
    <t>Dynamic Programming, Queue, Simulation</t>
  </si>
  <si>
    <t>Binary Search, Tree, Depth-First Search</t>
  </si>
  <si>
    <t>Array, Math, Sorting, Heap (Priority Queue)</t>
  </si>
  <si>
    <t>Array, Stack, Union Find, Monotonic Stack</t>
  </si>
  <si>
    <t>Hash Table, Design, Heap (Priority Queue)</t>
  </si>
  <si>
    <t>Math, Dynamic Programming, Combinatorics, Number Theory</t>
  </si>
  <si>
    <t>Array, String, Divide and Conquer, Sorting, Heap (Priority Queue), Radix Sort, Quickselect</t>
  </si>
  <si>
    <t>Array, Math, Sorting, Heap (Priority Queue), Number Theory</t>
  </si>
  <si>
    <t>Hash Table, Design, Heap (Priority Queue), Ordered Set</t>
  </si>
  <si>
    <t>Array, Hash Table, Greedy</t>
  </si>
  <si>
    <t>Array, Hash Table, Binary Search, Bit Manipulation</t>
  </si>
  <si>
    <t>Array, Hash Table, Sorting, Heap (Priority Queue), Simulation</t>
  </si>
  <si>
    <t>Array, Math, Binary Search, Greedy</t>
  </si>
  <si>
    <t>Array, Hash Table, Sorting, Ordered Set</t>
  </si>
  <si>
    <t>Array, Hash Table, Two Pointers, Enumeration</t>
  </si>
  <si>
    <t>Array, Hash Table, Tree, Depth-First Search, Breadth-First Search, Graph</t>
  </si>
  <si>
    <t>Array, Greedy, Union Find, Graph, Topological Sort, Sorting, Matrix</t>
  </si>
  <si>
    <t>Hash Table, Graph</t>
  </si>
  <si>
    <t>String, Backtracking, Stack, Greedy</t>
  </si>
  <si>
    <t>Dynamic Programming, Tree, Depth-First Search</t>
  </si>
  <si>
    <t>Array, String, Prefix Sum</t>
  </si>
  <si>
    <t>Array, Union Find, Prefix Sum, Ordered Set</t>
  </si>
  <si>
    <t>String, Stack, Simulation</t>
  </si>
  <si>
    <t>Math, Two Pointers, Brainteaser</t>
  </si>
  <si>
    <t>Array, Backtracking, Bit Manipulation, Matrix, Enumeration</t>
  </si>
  <si>
    <t>Array, Binary Search, Queue, Sliding Window, Heap (Priority Queue), Prefix Sum</t>
  </si>
  <si>
    <t>Array, Bit Manipulation, Sliding Window</t>
  </si>
  <si>
    <t>Array, Divide and Conquer, Dynamic Programming, Binary Indexed Tree, Segment Tree, Queue, Monotonic Queue</t>
  </si>
  <si>
    <t>Array, Binary Search, Bit Manipulation, Sliding Window</t>
  </si>
  <si>
    <t>Math, Number Theory</t>
  </si>
  <si>
    <t>Array, String, Trie, Counting</t>
  </si>
  <si>
    <t>Array, Bit Manipulation, Brainteaser</t>
  </si>
  <si>
    <t>Array, Tree, Union Find, Graph</t>
  </si>
  <si>
    <t>Binary Search, Union Find, Design, Binary Indexed Tree, Segment Tree, Heap (Priority Queue), Ordered Set</t>
  </si>
  <si>
    <t>Math, Enumeration, Number Theory</t>
  </si>
  <si>
    <t>Greedy, Bit Manipulation</t>
  </si>
  <si>
    <t>String, Dynamic Programming, Rolling Hash, String Matching, Hash Function</t>
  </si>
  <si>
    <t>Hash Table, String, Stack, Greedy</t>
  </si>
  <si>
    <t>Array, Math, Dynamic Programming, Greedy, Number Theory</t>
  </si>
  <si>
    <t>Array, Binary Search, Dynamic Programming, Greedy, Prefix Sum</t>
  </si>
  <si>
    <t>Array, Math, Tree, Depth-First Search, Enumeration</t>
  </si>
  <si>
    <t>Array, Queue, Sliding Window, Monotonic Queue</t>
  </si>
  <si>
    <t>Array, Binary Search, Stack, Sorting, Heap (Priority Queue), Monotonic Stack</t>
  </si>
  <si>
    <t>Array, Hash Table, String, Sorting, Heap (Priority Queue)</t>
  </si>
  <si>
    <t>Array, Tree, Depth-First Search, Breadth-First Search, Binary Tree</t>
  </si>
  <si>
    <t>Array, Two Pointers, Heap (Priority Queue), Simulation</t>
  </si>
  <si>
    <t>Array, Math, Dynamic Programming, Number Theory</t>
  </si>
  <si>
    <t>Array, Tree, Depth-First Search, Breadth-First Search, Graph</t>
  </si>
  <si>
    <t>String, Binary Search</t>
  </si>
  <si>
    <t>Array, Binary Search, Tree, Depth-First Search, Binary Tree</t>
  </si>
  <si>
    <t>Tree, Depth-First Search, Graph, Trie</t>
  </si>
  <si>
    <t>String, Prefix Sum</t>
  </si>
  <si>
    <t>Math, Prefix Sum</t>
  </si>
  <si>
    <t>Linked List, Stack, Recursion, Monotonic Stack</t>
  </si>
  <si>
    <t>Hash Table, Math, String, Prefix Sum</t>
  </si>
  <si>
    <t>Breadth-First Search, Union Find, Graph</t>
  </si>
  <si>
    <t>Array, Greedy, Graph, Sorting, Heap (Priority Queue)</t>
  </si>
  <si>
    <t>Array, Binary Search, Greedy</t>
  </si>
  <si>
    <t>Array, Hash Table, Binary Search, Dynamic Programming, Sorting</t>
  </si>
  <si>
    <t>Array, Breadth-First Search, Union Find, Sorting, Heap (Priority Queue)</t>
  </si>
  <si>
    <t>Array, Math, Bit Manipulation, Brainteaser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</si>
</sst>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44546A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3">
    <border/>
    <border>
      <bottom style="medium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right" vertical="center"/>
    </xf>
    <xf borderId="2" fillId="2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6.29"/>
    <col customWidth="1" min="3" max="3" width="53.86"/>
    <col customWidth="1" min="4" max="4" width="8.57"/>
    <col customWidth="1" min="5" max="5" width="40.71"/>
    <col customWidth="1" min="6" max="6" width="8.71"/>
    <col customWidth="1" min="7" max="7" width="13.29"/>
    <col customWidth="1" min="8" max="8" width="5.71"/>
    <col customWidth="1" min="9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">
        <v>1.0</v>
      </c>
      <c r="B2" s="5"/>
      <c r="C2" s="6" t="str">
        <f>HYPERLINK("https://leetcode.com/problems/two-sum", "Two Sum")</f>
        <v>Two Sum</v>
      </c>
      <c r="D2" s="7" t="s">
        <v>6</v>
      </c>
      <c r="E2" s="8" t="s">
        <v>7</v>
      </c>
      <c r="F2" s="9">
        <v>0.49</v>
      </c>
      <c r="G2" s="10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>
        <v>2.0</v>
      </c>
      <c r="B3" s="5"/>
      <c r="C3" s="6" t="str">
        <f>HYPERLINK("https://leetcode.com/problems/add-two-numbers", "Add Two Numbers")</f>
        <v>Add Two Numbers</v>
      </c>
      <c r="D3" s="7" t="s">
        <v>8</v>
      </c>
      <c r="E3" s="8" t="s">
        <v>9</v>
      </c>
      <c r="F3" s="9">
        <v>0.39</v>
      </c>
      <c r="G3" s="10"/>
      <c r="H3" s="1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>
        <v>3.0</v>
      </c>
      <c r="B4" s="5"/>
      <c r="C4" s="6" t="str">
        <f>HYPERLINK("https://leetcode.com/problems/longest-substring-without-repeating-characters", "Longest Substring Without Repeating Characters")</f>
        <v>Longest Substring Without Repeating Characters</v>
      </c>
      <c r="D4" s="7" t="s">
        <v>8</v>
      </c>
      <c r="E4" s="8" t="s">
        <v>10</v>
      </c>
      <c r="F4" s="9">
        <v>0.33</v>
      </c>
      <c r="G4" s="10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>
        <v>4.0</v>
      </c>
      <c r="B5" s="5"/>
      <c r="C5" s="6" t="str">
        <f>HYPERLINK("https://leetcode.com/problems/median-of-two-sorted-arrays", "Median of Two Sorted Arrays")</f>
        <v>Median of Two Sorted Arrays</v>
      </c>
      <c r="D5" s="7" t="s">
        <v>11</v>
      </c>
      <c r="E5" s="8" t="s">
        <v>12</v>
      </c>
      <c r="F5" s="9">
        <v>0.35</v>
      </c>
      <c r="G5" s="10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>
        <v>5.0</v>
      </c>
      <c r="B6" s="5"/>
      <c r="C6" s="6" t="str">
        <f>HYPERLINK("https://leetcode.com/problems/longest-palindromic-substring", "Longest Palindromic Substring")</f>
        <v>Longest Palindromic Substring</v>
      </c>
      <c r="D6" s="7" t="s">
        <v>8</v>
      </c>
      <c r="E6" s="8" t="s">
        <v>13</v>
      </c>
      <c r="F6" s="9">
        <v>0.32</v>
      </c>
      <c r="G6" s="10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>
        <v>6.0</v>
      </c>
      <c r="B7" s="5"/>
      <c r="C7" s="6" t="str">
        <f>HYPERLINK("https://leetcode.com/problems/zigzag-conversion", "Zigzag Conversion")</f>
        <v>Zigzag Conversion</v>
      </c>
      <c r="D7" s="7" t="s">
        <v>8</v>
      </c>
      <c r="E7" s="8" t="s">
        <v>14</v>
      </c>
      <c r="F7" s="9">
        <v>0.43</v>
      </c>
      <c r="G7" s="10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>
        <v>7.0</v>
      </c>
      <c r="B8" s="5"/>
      <c r="C8" s="6" t="str">
        <f>HYPERLINK("https://leetcode.com/problems/reverse-integer", "Reverse Integer")</f>
        <v>Reverse Integer</v>
      </c>
      <c r="D8" s="7" t="s">
        <v>8</v>
      </c>
      <c r="E8" s="8" t="s">
        <v>15</v>
      </c>
      <c r="F8" s="9">
        <v>0.27</v>
      </c>
      <c r="G8" s="10"/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>
        <v>8.0</v>
      </c>
      <c r="B9" s="5"/>
      <c r="C9" s="6" t="str">
        <f>HYPERLINK("https://leetcode.com/problems/string-to-integer-atoi", "String to Integer (atoi)")</f>
        <v>String to Integer (atoi)</v>
      </c>
      <c r="D9" s="7" t="s">
        <v>8</v>
      </c>
      <c r="E9" s="8" t="s">
        <v>14</v>
      </c>
      <c r="F9" s="9">
        <v>0.16</v>
      </c>
      <c r="G9" s="10"/>
      <c r="H9" s="1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>
        <v>9.0</v>
      </c>
      <c r="B10" s="5"/>
      <c r="C10" s="6" t="str">
        <f>HYPERLINK("https://leetcode.com/problems/palindrome-number", "Palindrome Number")</f>
        <v>Palindrome Number</v>
      </c>
      <c r="D10" s="7" t="s">
        <v>6</v>
      </c>
      <c r="E10" s="8" t="s">
        <v>15</v>
      </c>
      <c r="F10" s="9">
        <v>0.53</v>
      </c>
      <c r="G10" s="10"/>
      <c r="H10" s="1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>
        <v>10.0</v>
      </c>
      <c r="B11" s="5"/>
      <c r="C11" s="6" t="str">
        <f>HYPERLINK("https://leetcode.com/problems/regular-expression-matching", "Regular Expression Matching")</f>
        <v>Regular Expression Matching</v>
      </c>
      <c r="D11" s="7" t="s">
        <v>11</v>
      </c>
      <c r="E11" s="8" t="s">
        <v>16</v>
      </c>
      <c r="F11" s="9">
        <v>0.28</v>
      </c>
      <c r="G11" s="10"/>
      <c r="H11" s="1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>
        <v>11.0</v>
      </c>
      <c r="B12" s="5"/>
      <c r="C12" s="6" t="str">
        <f>HYPERLINK("https://leetcode.com/problems/container-with-most-water", "Container With Most Water")</f>
        <v>Container With Most Water</v>
      </c>
      <c r="D12" s="7" t="s">
        <v>8</v>
      </c>
      <c r="E12" s="8" t="s">
        <v>17</v>
      </c>
      <c r="F12" s="9">
        <v>0.54</v>
      </c>
      <c r="G12" s="10"/>
      <c r="H12" s="1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>
        <v>12.0</v>
      </c>
      <c r="B13" s="5"/>
      <c r="C13" s="6" t="str">
        <f>HYPERLINK("https://leetcode.com/problems/integer-to-roman", "Integer to Roman")</f>
        <v>Integer to Roman</v>
      </c>
      <c r="D13" s="7" t="s">
        <v>8</v>
      </c>
      <c r="E13" s="8" t="s">
        <v>18</v>
      </c>
      <c r="F13" s="9">
        <v>0.61</v>
      </c>
      <c r="G13" s="10"/>
      <c r="H13" s="1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>
        <v>13.0</v>
      </c>
      <c r="B14" s="5"/>
      <c r="C14" s="6" t="str">
        <f>HYPERLINK("https://leetcode.com/problems/roman-to-integer", "Roman to Integer")</f>
        <v>Roman to Integer</v>
      </c>
      <c r="D14" s="7" t="s">
        <v>6</v>
      </c>
      <c r="E14" s="8" t="s">
        <v>18</v>
      </c>
      <c r="F14" s="9">
        <v>0.58</v>
      </c>
      <c r="G14" s="10"/>
      <c r="H14" s="1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>
        <v>14.0</v>
      </c>
      <c r="B15" s="5"/>
      <c r="C15" s="6" t="str">
        <f>HYPERLINK("https://leetcode.com/problems/longest-common-prefix", "Longest Common Prefix")</f>
        <v>Longest Common Prefix</v>
      </c>
      <c r="D15" s="7" t="s">
        <v>6</v>
      </c>
      <c r="E15" s="8" t="s">
        <v>14</v>
      </c>
      <c r="F15" s="9">
        <v>0.4</v>
      </c>
      <c r="G15" s="10"/>
      <c r="H15" s="1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>
        <v>15.0</v>
      </c>
      <c r="B16" s="5"/>
      <c r="C16" s="6" t="str">
        <f>HYPERLINK("https://leetcode.com/problems/3sum", "3Sum")</f>
        <v>3Sum</v>
      </c>
      <c r="D16" s="7" t="s">
        <v>8</v>
      </c>
      <c r="E16" s="8" t="s">
        <v>19</v>
      </c>
      <c r="F16" s="9">
        <v>0.32</v>
      </c>
      <c r="G16" s="10"/>
      <c r="H16" s="1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>
        <v>16.0</v>
      </c>
      <c r="B17" s="5"/>
      <c r="C17" s="6" t="str">
        <f>HYPERLINK("https://leetcode.com/problems/3sum-closest", "3Sum Closest")</f>
        <v>3Sum Closest</v>
      </c>
      <c r="D17" s="7" t="s">
        <v>8</v>
      </c>
      <c r="E17" s="8" t="s">
        <v>19</v>
      </c>
      <c r="F17" s="9">
        <v>0.46</v>
      </c>
      <c r="G17" s="10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>
        <v>17.0</v>
      </c>
      <c r="B18" s="5"/>
      <c r="C18" s="6" t="str">
        <f>HYPERLINK("https://leetcode.com/problems/letter-combinations-of-a-phone-number", "Letter Combinations of a Phone Number")</f>
        <v>Letter Combinations of a Phone Number</v>
      </c>
      <c r="D18" s="7" t="s">
        <v>8</v>
      </c>
      <c r="E18" s="8" t="s">
        <v>20</v>
      </c>
      <c r="F18" s="9">
        <v>0.55</v>
      </c>
      <c r="G18" s="10"/>
      <c r="H18" s="1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>
        <v>18.0</v>
      </c>
      <c r="B19" s="5"/>
      <c r="C19" s="6" t="str">
        <f>HYPERLINK("https://leetcode.com/problems/4sum", "4Sum")</f>
        <v>4Sum</v>
      </c>
      <c r="D19" s="7" t="s">
        <v>8</v>
      </c>
      <c r="E19" s="8" t="s">
        <v>19</v>
      </c>
      <c r="F19" s="9">
        <v>0.36</v>
      </c>
      <c r="G19" s="10"/>
      <c r="H19" s="1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>
        <v>19.0</v>
      </c>
      <c r="B20" s="5"/>
      <c r="C20" s="6" t="str">
        <f>HYPERLINK("https://leetcode.com/problems/remove-nth-node-from-end-of-list", "Remove Nth Node From End of List")</f>
        <v>Remove Nth Node From End of List</v>
      </c>
      <c r="D20" s="7" t="s">
        <v>8</v>
      </c>
      <c r="E20" s="8" t="s">
        <v>21</v>
      </c>
      <c r="F20" s="9">
        <v>0.4</v>
      </c>
      <c r="G20" s="10"/>
      <c r="H20" s="1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>
        <v>20.0</v>
      </c>
      <c r="B21" s="5"/>
      <c r="C21" s="6" t="str">
        <f>HYPERLINK("https://leetcode.com/problems/valid-parentheses", "Valid Parentheses")</f>
        <v>Valid Parentheses</v>
      </c>
      <c r="D21" s="7" t="s">
        <v>6</v>
      </c>
      <c r="E21" s="8" t="s">
        <v>22</v>
      </c>
      <c r="F21" s="9">
        <v>0.4</v>
      </c>
      <c r="G21" s="10"/>
      <c r="H21" s="1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>
        <v>21.0</v>
      </c>
      <c r="B22" s="5"/>
      <c r="C22" s="6" t="str">
        <f>HYPERLINK("https://leetcode.com/problems/merge-two-sorted-lists", "Merge Two Sorted Lists")</f>
        <v>Merge Two Sorted Lists</v>
      </c>
      <c r="D22" s="7" t="s">
        <v>6</v>
      </c>
      <c r="E22" s="8" t="s">
        <v>23</v>
      </c>
      <c r="F22" s="9">
        <v>0.62</v>
      </c>
      <c r="G22" s="10"/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>
        <v>22.0</v>
      </c>
      <c r="B23" s="5"/>
      <c r="C23" s="6" t="str">
        <f>HYPERLINK("https://leetcode.com/problems/generate-parentheses", "Generate Parentheses")</f>
        <v>Generate Parentheses</v>
      </c>
      <c r="D23" s="7" t="s">
        <v>8</v>
      </c>
      <c r="E23" s="8" t="s">
        <v>24</v>
      </c>
      <c r="F23" s="9">
        <v>0.72</v>
      </c>
      <c r="G23" s="10"/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4">
        <v>23.0</v>
      </c>
      <c r="B24" s="5"/>
      <c r="C24" s="6" t="str">
        <f>HYPERLINK("https://leetcode.com/problems/merge-k-sorted-lists", "Merge k Sorted Lists")</f>
        <v>Merge k Sorted Lists</v>
      </c>
      <c r="D24" s="7" t="s">
        <v>11</v>
      </c>
      <c r="E24" s="8" t="s">
        <v>25</v>
      </c>
      <c r="F24" s="9">
        <v>0.48</v>
      </c>
      <c r="G24" s="10"/>
      <c r="H24" s="1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4">
        <v>24.0</v>
      </c>
      <c r="B25" s="5"/>
      <c r="C25" s="6" t="str">
        <f>HYPERLINK("https://leetcode.com/problems/swap-nodes-in-pairs", "Swap Nodes in Pairs")</f>
        <v>Swap Nodes in Pairs</v>
      </c>
      <c r="D25" s="7" t="s">
        <v>8</v>
      </c>
      <c r="E25" s="8" t="s">
        <v>23</v>
      </c>
      <c r="F25" s="9">
        <v>0.6</v>
      </c>
      <c r="G25" s="10"/>
      <c r="H25" s="1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4">
        <v>25.0</v>
      </c>
      <c r="B26" s="5"/>
      <c r="C26" s="6" t="str">
        <f>HYPERLINK("https://leetcode.com/problems/reverse-nodes-in-k-group", "Reverse Nodes in k-Group")</f>
        <v>Reverse Nodes in k-Group</v>
      </c>
      <c r="D26" s="7" t="s">
        <v>11</v>
      </c>
      <c r="E26" s="8" t="s">
        <v>23</v>
      </c>
      <c r="F26" s="9">
        <v>0.53</v>
      </c>
      <c r="G26" s="10"/>
      <c r="H26" s="1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4">
        <v>26.0</v>
      </c>
      <c r="B27" s="5"/>
      <c r="C27" s="6" t="str">
        <f>HYPERLINK("https://leetcode.com/problems/remove-duplicates-from-sorted-array", "Remove Duplicates from Sorted Array")</f>
        <v>Remove Duplicates from Sorted Array</v>
      </c>
      <c r="D27" s="7" t="s">
        <v>6</v>
      </c>
      <c r="E27" s="8" t="s">
        <v>26</v>
      </c>
      <c r="F27" s="9">
        <v>0.51</v>
      </c>
      <c r="G27" s="10"/>
      <c r="H27" s="1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4">
        <v>27.0</v>
      </c>
      <c r="B28" s="5"/>
      <c r="C28" s="6" t="str">
        <f>HYPERLINK("https://leetcode.com/problems/remove-element", "Remove Element")</f>
        <v>Remove Element</v>
      </c>
      <c r="D28" s="7" t="s">
        <v>6</v>
      </c>
      <c r="E28" s="8" t="s">
        <v>26</v>
      </c>
      <c r="F28" s="9">
        <v>0.52</v>
      </c>
      <c r="G28" s="10"/>
      <c r="H28" s="1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4">
        <v>28.0</v>
      </c>
      <c r="B29" s="5"/>
      <c r="C29" s="6" t="str">
        <f>HYPERLINK("https://leetcode.com/problems/find-the-index-of-the-first-occurrence-in-a-string", "Find the Index of the First Occurrence in a String")</f>
        <v>Find the Index of the First Occurrence in a String</v>
      </c>
      <c r="D29" s="7" t="s">
        <v>8</v>
      </c>
      <c r="E29" s="8" t="s">
        <v>27</v>
      </c>
      <c r="F29" s="9">
        <v>0.37</v>
      </c>
      <c r="G29" s="10"/>
      <c r="H29" s="1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4">
        <v>29.0</v>
      </c>
      <c r="B30" s="5"/>
      <c r="C30" s="6" t="str">
        <f>HYPERLINK("https://leetcode.com/problems/divide-two-integers", "Divide Two Integers")</f>
        <v>Divide Two Integers</v>
      </c>
      <c r="D30" s="7" t="s">
        <v>8</v>
      </c>
      <c r="E30" s="8" t="s">
        <v>28</v>
      </c>
      <c r="F30" s="9">
        <v>0.17</v>
      </c>
      <c r="G30" s="10"/>
      <c r="H30" s="1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4">
        <v>30.0</v>
      </c>
      <c r="B31" s="5"/>
      <c r="C31" s="6" t="str">
        <f>HYPERLINK("https://leetcode.com/problems/substring-with-concatenation-of-all-words", "Substring with Concatenation of All Words")</f>
        <v>Substring with Concatenation of All Words</v>
      </c>
      <c r="D31" s="7" t="s">
        <v>11</v>
      </c>
      <c r="E31" s="8" t="s">
        <v>10</v>
      </c>
      <c r="F31" s="9">
        <v>0.3</v>
      </c>
      <c r="G31" s="10"/>
      <c r="H31" s="1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4">
        <v>31.0</v>
      </c>
      <c r="B32" s="5"/>
      <c r="C32" s="6" t="str">
        <f>HYPERLINK("https://leetcode.com/problems/next-permutation", "Next Permutation")</f>
        <v>Next Permutation</v>
      </c>
      <c r="D32" s="7" t="s">
        <v>8</v>
      </c>
      <c r="E32" s="8" t="s">
        <v>26</v>
      </c>
      <c r="F32" s="9">
        <v>0.37</v>
      </c>
      <c r="G32" s="10"/>
      <c r="H32" s="1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4">
        <v>32.0</v>
      </c>
      <c r="B33" s="5"/>
      <c r="C33" s="6" t="str">
        <f>HYPERLINK("https://leetcode.com/problems/longest-valid-parentheses", "Longest Valid Parentheses")</f>
        <v>Longest Valid Parentheses</v>
      </c>
      <c r="D33" s="7" t="s">
        <v>11</v>
      </c>
      <c r="E33" s="8" t="s">
        <v>29</v>
      </c>
      <c r="F33" s="9">
        <v>0.32</v>
      </c>
      <c r="G33" s="10"/>
      <c r="H33" s="1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>
        <v>33.0</v>
      </c>
      <c r="B34" s="5"/>
      <c r="C34" s="6" t="str">
        <f>HYPERLINK("https://leetcode.com/problems/search-in-rotated-sorted-array", "Search in Rotated Sorted Array")</f>
        <v>Search in Rotated Sorted Array</v>
      </c>
      <c r="D34" s="7" t="s">
        <v>8</v>
      </c>
      <c r="E34" s="8" t="s">
        <v>30</v>
      </c>
      <c r="F34" s="9">
        <v>0.38</v>
      </c>
      <c r="G34" s="10"/>
      <c r="H34" s="1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4">
        <v>34.0</v>
      </c>
      <c r="B35" s="5"/>
      <c r="C35" s="6" t="str">
        <f>HYPERLINK("https://leetcode.com/problems/find-first-and-last-position-of-element-in-sorted-array", "Find First and Last Position of Element in Sorted Array")</f>
        <v>Find First and Last Position of Element in Sorted Array</v>
      </c>
      <c r="D35" s="7" t="s">
        <v>8</v>
      </c>
      <c r="E35" s="8" t="s">
        <v>30</v>
      </c>
      <c r="F35" s="9">
        <v>0.41</v>
      </c>
      <c r="G35" s="10"/>
      <c r="H35" s="1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4">
        <v>35.0</v>
      </c>
      <c r="B36" s="5"/>
      <c r="C36" s="6" t="str">
        <f>HYPERLINK("https://leetcode.com/problems/search-insert-position", "Search Insert Position")</f>
        <v>Search Insert Position</v>
      </c>
      <c r="D36" s="7" t="s">
        <v>6</v>
      </c>
      <c r="E36" s="8" t="s">
        <v>30</v>
      </c>
      <c r="F36" s="9">
        <v>0.42</v>
      </c>
      <c r="G36" s="10"/>
      <c r="H36" s="1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4">
        <v>36.0</v>
      </c>
      <c r="B37" s="5"/>
      <c r="C37" s="6" t="str">
        <f>HYPERLINK("https://leetcode.com/problems/valid-sudoku", "Valid Sudoku")</f>
        <v>Valid Sudoku</v>
      </c>
      <c r="D37" s="7" t="s">
        <v>8</v>
      </c>
      <c r="E37" s="8" t="s">
        <v>31</v>
      </c>
      <c r="F37" s="9">
        <v>0.57</v>
      </c>
      <c r="G37" s="10"/>
      <c r="H37" s="1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4">
        <v>37.0</v>
      </c>
      <c r="B38" s="5"/>
      <c r="C38" s="6" t="str">
        <f>HYPERLINK("https://leetcode.com/problems/sudoku-solver", "Sudoku Solver")</f>
        <v>Sudoku Solver</v>
      </c>
      <c r="D38" s="7" t="s">
        <v>11</v>
      </c>
      <c r="E38" s="8" t="s">
        <v>32</v>
      </c>
      <c r="F38" s="9">
        <v>0.57</v>
      </c>
      <c r="G38" s="10"/>
      <c r="H38" s="1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4">
        <v>38.0</v>
      </c>
      <c r="B39" s="5"/>
      <c r="C39" s="6" t="str">
        <f>HYPERLINK("https://leetcode.com/problems/count-and-say", "Count and Say")</f>
        <v>Count and Say</v>
      </c>
      <c r="D39" s="7" t="s">
        <v>8</v>
      </c>
      <c r="E39" s="8" t="s">
        <v>14</v>
      </c>
      <c r="F39" s="9">
        <v>0.51</v>
      </c>
      <c r="G39" s="10"/>
      <c r="H39" s="1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4">
        <v>39.0</v>
      </c>
      <c r="B40" s="5"/>
      <c r="C40" s="6" t="str">
        <f>HYPERLINK("https://leetcode.com/problems/combination-sum", "Combination Sum")</f>
        <v>Combination Sum</v>
      </c>
      <c r="D40" s="7" t="s">
        <v>8</v>
      </c>
      <c r="E40" s="8" t="s">
        <v>33</v>
      </c>
      <c r="F40" s="9">
        <v>0.67</v>
      </c>
      <c r="G40" s="10"/>
      <c r="H40" s="1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4">
        <v>40.0</v>
      </c>
      <c r="B41" s="5"/>
      <c r="C41" s="6" t="str">
        <f>HYPERLINK("https://leetcode.com/problems/combination-sum-ii", "Combination Sum II")</f>
        <v>Combination Sum II</v>
      </c>
      <c r="D41" s="7" t="s">
        <v>8</v>
      </c>
      <c r="E41" s="8" t="s">
        <v>33</v>
      </c>
      <c r="F41" s="9">
        <v>0.53</v>
      </c>
      <c r="G41" s="10"/>
      <c r="H41" s="1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4">
        <v>41.0</v>
      </c>
      <c r="B42" s="5"/>
      <c r="C42" s="6" t="str">
        <f>HYPERLINK("https://leetcode.com/problems/first-missing-positive", "First Missing Positive")</f>
        <v>First Missing Positive</v>
      </c>
      <c r="D42" s="7" t="s">
        <v>11</v>
      </c>
      <c r="E42" s="8" t="s">
        <v>7</v>
      </c>
      <c r="F42" s="9">
        <v>0.36</v>
      </c>
      <c r="G42" s="10"/>
      <c r="H42" s="1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4">
        <v>42.0</v>
      </c>
      <c r="B43" s="5"/>
      <c r="C43" s="6" t="str">
        <f>HYPERLINK("https://leetcode.com/problems/trapping-rain-water", "Trapping Rain Water")</f>
        <v>Trapping Rain Water</v>
      </c>
      <c r="D43" s="7" t="s">
        <v>11</v>
      </c>
      <c r="E43" s="8" t="s">
        <v>34</v>
      </c>
      <c r="F43" s="9">
        <v>0.58</v>
      </c>
      <c r="G43" s="10"/>
      <c r="H43" s="1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4">
        <v>43.0</v>
      </c>
      <c r="B44" s="5"/>
      <c r="C44" s="6" t="str">
        <f>HYPERLINK("https://leetcode.com/problems/multiply-strings", "Multiply Strings")</f>
        <v>Multiply Strings</v>
      </c>
      <c r="D44" s="7" t="s">
        <v>8</v>
      </c>
      <c r="E44" s="8" t="s">
        <v>35</v>
      </c>
      <c r="F44" s="9">
        <v>0.38</v>
      </c>
      <c r="G44" s="10"/>
      <c r="H44" s="1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4">
        <v>44.0</v>
      </c>
      <c r="B45" s="5"/>
      <c r="C45" s="6" t="str">
        <f>HYPERLINK("https://leetcode.com/problems/wildcard-matching", "Wildcard Matching")</f>
        <v>Wildcard Matching</v>
      </c>
      <c r="D45" s="7" t="s">
        <v>11</v>
      </c>
      <c r="E45" s="8" t="s">
        <v>36</v>
      </c>
      <c r="F45" s="9">
        <v>0.26</v>
      </c>
      <c r="G45" s="10"/>
      <c r="H45" s="1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4">
        <v>45.0</v>
      </c>
      <c r="B46" s="5"/>
      <c r="C46" s="6" t="str">
        <f>HYPERLINK("https://leetcode.com/problems/jump-game-ii", "Jump Game II")</f>
        <v>Jump Game II</v>
      </c>
      <c r="D46" s="7" t="s">
        <v>8</v>
      </c>
      <c r="E46" s="8" t="s">
        <v>37</v>
      </c>
      <c r="F46" s="9">
        <v>0.38</v>
      </c>
      <c r="G46" s="10"/>
      <c r="H46" s="1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4">
        <v>46.0</v>
      </c>
      <c r="B47" s="5"/>
      <c r="C47" s="6" t="str">
        <f>HYPERLINK("https://leetcode.com/problems/permutations", "Permutations")</f>
        <v>Permutations</v>
      </c>
      <c r="D47" s="7" t="s">
        <v>8</v>
      </c>
      <c r="E47" s="8" t="s">
        <v>33</v>
      </c>
      <c r="F47" s="9">
        <v>0.75</v>
      </c>
      <c r="G47" s="10"/>
      <c r="H47" s="1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4">
        <v>47.0</v>
      </c>
      <c r="B48" s="5"/>
      <c r="C48" s="6" t="str">
        <f>HYPERLINK("https://leetcode.com/problems/permutations-ii", "Permutations II")</f>
        <v>Permutations II</v>
      </c>
      <c r="D48" s="7" t="s">
        <v>8</v>
      </c>
      <c r="E48" s="8" t="s">
        <v>33</v>
      </c>
      <c r="F48" s="9">
        <v>0.56</v>
      </c>
      <c r="G48" s="10"/>
      <c r="H48" s="1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4">
        <v>48.0</v>
      </c>
      <c r="B49" s="5"/>
      <c r="C49" s="6" t="str">
        <f>HYPERLINK("https://leetcode.com/problems/rotate-image", "Rotate Image")</f>
        <v>Rotate Image</v>
      </c>
      <c r="D49" s="7" t="s">
        <v>8</v>
      </c>
      <c r="E49" s="8" t="s">
        <v>38</v>
      </c>
      <c r="F49" s="9">
        <v>0.7</v>
      </c>
      <c r="G49" s="10"/>
      <c r="H49" s="1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4">
        <v>49.0</v>
      </c>
      <c r="B50" s="5"/>
      <c r="C50" s="6" t="str">
        <f>HYPERLINK("https://leetcode.com/problems/group-anagrams", "Group Anagrams")</f>
        <v>Group Anagrams</v>
      </c>
      <c r="D50" s="7" t="s">
        <v>8</v>
      </c>
      <c r="E50" s="8" t="s">
        <v>39</v>
      </c>
      <c r="F50" s="9">
        <v>0.66</v>
      </c>
      <c r="G50" s="10"/>
      <c r="H50" s="1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4">
        <v>50.0</v>
      </c>
      <c r="B51" s="5"/>
      <c r="C51" s="6" t="str">
        <f>HYPERLINK("https://leetcode.com/problems/powx-n", "Pow(x, n)")</f>
        <v>Pow(x, n)</v>
      </c>
      <c r="D51" s="7" t="s">
        <v>8</v>
      </c>
      <c r="E51" s="8" t="s">
        <v>40</v>
      </c>
      <c r="F51" s="9">
        <v>0.32</v>
      </c>
      <c r="G51" s="10"/>
      <c r="H51" s="1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4">
        <v>51.0</v>
      </c>
      <c r="B52" s="5"/>
      <c r="C52" s="6" t="str">
        <f>HYPERLINK("https://leetcode.com/problems/n-queens", "N-Queens")</f>
        <v>N-Queens</v>
      </c>
      <c r="D52" s="7" t="s">
        <v>11</v>
      </c>
      <c r="E52" s="8" t="s">
        <v>33</v>
      </c>
      <c r="F52" s="9">
        <v>0.63</v>
      </c>
      <c r="G52" s="10"/>
      <c r="H52" s="1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4">
        <v>52.0</v>
      </c>
      <c r="B53" s="5"/>
      <c r="C53" s="6" t="str">
        <f>HYPERLINK("https://leetcode.com/problems/n-queens-ii", "N-Queens II")</f>
        <v>N-Queens II</v>
      </c>
      <c r="D53" s="7" t="s">
        <v>11</v>
      </c>
      <c r="E53" s="8" t="s">
        <v>41</v>
      </c>
      <c r="F53" s="9">
        <v>0.71</v>
      </c>
      <c r="G53" s="10"/>
      <c r="H53" s="1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4">
        <v>53.0</v>
      </c>
      <c r="B54" s="5"/>
      <c r="C54" s="6" t="str">
        <f>HYPERLINK("https://leetcode.com/problems/maximum-subarray", "Maximum Subarray")</f>
        <v>Maximum Subarray</v>
      </c>
      <c r="D54" s="7" t="s">
        <v>8</v>
      </c>
      <c r="E54" s="8" t="s">
        <v>42</v>
      </c>
      <c r="F54" s="9">
        <v>0.5</v>
      </c>
      <c r="G54" s="10"/>
      <c r="H54" s="1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4">
        <v>54.0</v>
      </c>
      <c r="B55" s="5"/>
      <c r="C55" s="6" t="str">
        <f>HYPERLINK("https://leetcode.com/problems/spiral-matrix", "Spiral Matrix")</f>
        <v>Spiral Matrix</v>
      </c>
      <c r="D55" s="7" t="s">
        <v>8</v>
      </c>
      <c r="E55" s="8" t="s">
        <v>43</v>
      </c>
      <c r="F55" s="9">
        <v>0.44</v>
      </c>
      <c r="G55" s="10"/>
      <c r="H55" s="1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4">
        <v>55.0</v>
      </c>
      <c r="B56" s="5"/>
      <c r="C56" s="6" t="str">
        <f>HYPERLINK("https://leetcode.com/problems/jump-game", "Jump Game")</f>
        <v>Jump Game</v>
      </c>
      <c r="D56" s="7" t="s">
        <v>8</v>
      </c>
      <c r="E56" s="8" t="s">
        <v>37</v>
      </c>
      <c r="F56" s="9">
        <v>0.38</v>
      </c>
      <c r="G56" s="10"/>
      <c r="H56" s="1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4">
        <v>56.0</v>
      </c>
      <c r="B57" s="5"/>
      <c r="C57" s="6" t="str">
        <f>HYPERLINK("https://leetcode.com/problems/merge-intervals", "Merge Intervals")</f>
        <v>Merge Intervals</v>
      </c>
      <c r="D57" s="7" t="s">
        <v>8</v>
      </c>
      <c r="E57" s="8" t="s">
        <v>44</v>
      </c>
      <c r="F57" s="9">
        <v>0.46</v>
      </c>
      <c r="G57" s="10"/>
      <c r="H57" s="1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4">
        <v>57.0</v>
      </c>
      <c r="B58" s="5"/>
      <c r="C58" s="6" t="str">
        <f>HYPERLINK("https://leetcode.com/problems/insert-interval", "Insert Interval")</f>
        <v>Insert Interval</v>
      </c>
      <c r="D58" s="7" t="s">
        <v>8</v>
      </c>
      <c r="E58" s="8" t="s">
        <v>45</v>
      </c>
      <c r="F58" s="9">
        <v>0.38</v>
      </c>
      <c r="G58" s="10"/>
      <c r="H58" s="1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4">
        <v>58.0</v>
      </c>
      <c r="B59" s="5"/>
      <c r="C59" s="6" t="str">
        <f>HYPERLINK("https://leetcode.com/problems/length-of-last-word", "Length of Last Word")</f>
        <v>Length of Last Word</v>
      </c>
      <c r="D59" s="7" t="s">
        <v>6</v>
      </c>
      <c r="E59" s="8" t="s">
        <v>14</v>
      </c>
      <c r="F59" s="9">
        <v>0.41</v>
      </c>
      <c r="G59" s="10"/>
      <c r="H59" s="1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4">
        <v>59.0</v>
      </c>
      <c r="B60" s="5"/>
      <c r="C60" s="6" t="str">
        <f>HYPERLINK("https://leetcode.com/problems/spiral-matrix-ii", "Spiral Matrix II")</f>
        <v>Spiral Matrix II</v>
      </c>
      <c r="D60" s="7" t="s">
        <v>8</v>
      </c>
      <c r="E60" s="8" t="s">
        <v>43</v>
      </c>
      <c r="F60" s="9">
        <v>0.66</v>
      </c>
      <c r="G60" s="10"/>
      <c r="H60" s="1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4">
        <v>60.0</v>
      </c>
      <c r="B61" s="5"/>
      <c r="C61" s="6" t="str">
        <f>HYPERLINK("https://leetcode.com/problems/permutation-sequence", "Permutation Sequence")</f>
        <v>Permutation Sequence</v>
      </c>
      <c r="D61" s="7" t="s">
        <v>11</v>
      </c>
      <c r="E61" s="8" t="s">
        <v>40</v>
      </c>
      <c r="F61" s="9">
        <v>0.43</v>
      </c>
      <c r="G61" s="10"/>
      <c r="H61" s="1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4">
        <v>61.0</v>
      </c>
      <c r="B62" s="5"/>
      <c r="C62" s="6" t="str">
        <f>HYPERLINK("https://leetcode.com/problems/rotate-list", "Rotate List")</f>
        <v>Rotate List</v>
      </c>
      <c r="D62" s="7" t="s">
        <v>8</v>
      </c>
      <c r="E62" s="8" t="s">
        <v>21</v>
      </c>
      <c r="F62" s="9">
        <v>0.35</v>
      </c>
      <c r="G62" s="10"/>
      <c r="H62" s="1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4">
        <v>62.0</v>
      </c>
      <c r="B63" s="5"/>
      <c r="C63" s="6" t="str">
        <f>HYPERLINK("https://leetcode.com/problems/unique-paths", "Unique Paths")</f>
        <v>Unique Paths</v>
      </c>
      <c r="D63" s="7" t="s">
        <v>8</v>
      </c>
      <c r="E63" s="8" t="s">
        <v>46</v>
      </c>
      <c r="F63" s="9">
        <v>0.62</v>
      </c>
      <c r="G63" s="10"/>
      <c r="H63" s="1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4">
        <v>63.0</v>
      </c>
      <c r="B64" s="5"/>
      <c r="C64" s="6" t="str">
        <f>HYPERLINK("https://leetcode.com/problems/unique-paths-ii", "Unique Paths II")</f>
        <v>Unique Paths II</v>
      </c>
      <c r="D64" s="7" t="s">
        <v>8</v>
      </c>
      <c r="E64" s="8" t="s">
        <v>47</v>
      </c>
      <c r="F64" s="9">
        <v>0.39</v>
      </c>
      <c r="G64" s="10"/>
      <c r="H64" s="1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4">
        <v>64.0</v>
      </c>
      <c r="B65" s="5"/>
      <c r="C65" s="6" t="str">
        <f>HYPERLINK("https://leetcode.com/problems/minimum-path-sum", "Minimum Path Sum")</f>
        <v>Minimum Path Sum</v>
      </c>
      <c r="D65" s="7" t="s">
        <v>8</v>
      </c>
      <c r="E65" s="8" t="s">
        <v>47</v>
      </c>
      <c r="F65" s="9">
        <v>0.6</v>
      </c>
      <c r="G65" s="10"/>
      <c r="H65" s="1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4">
        <v>65.0</v>
      </c>
      <c r="B66" s="5"/>
      <c r="C66" s="6" t="str">
        <f>HYPERLINK("https://leetcode.com/problems/valid-number", "Valid Number")</f>
        <v>Valid Number</v>
      </c>
      <c r="D66" s="7" t="s">
        <v>11</v>
      </c>
      <c r="E66" s="8" t="s">
        <v>14</v>
      </c>
      <c r="F66" s="9">
        <v>0.18</v>
      </c>
      <c r="G66" s="10"/>
      <c r="H66" s="1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4">
        <v>66.0</v>
      </c>
      <c r="B67" s="5"/>
      <c r="C67" s="6" t="str">
        <f>HYPERLINK("https://leetcode.com/problems/plus-one", "Plus One")</f>
        <v>Plus One</v>
      </c>
      <c r="D67" s="7" t="s">
        <v>6</v>
      </c>
      <c r="E67" s="8" t="s">
        <v>48</v>
      </c>
      <c r="F67" s="9">
        <v>0.43</v>
      </c>
      <c r="G67" s="10"/>
      <c r="H67" s="1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4">
        <v>67.0</v>
      </c>
      <c r="B68" s="5"/>
      <c r="C68" s="6" t="str">
        <f>HYPERLINK("https://leetcode.com/problems/add-binary", "Add Binary")</f>
        <v>Add Binary</v>
      </c>
      <c r="D68" s="7" t="s">
        <v>6</v>
      </c>
      <c r="E68" s="8" t="s">
        <v>49</v>
      </c>
      <c r="F68" s="9">
        <v>0.51</v>
      </c>
      <c r="G68" s="10"/>
      <c r="H68" s="1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4">
        <v>68.0</v>
      </c>
      <c r="B69" s="5"/>
      <c r="C69" s="6" t="str">
        <f>HYPERLINK("https://leetcode.com/problems/text-justification", "Text Justification")</f>
        <v>Text Justification</v>
      </c>
      <c r="D69" s="7" t="s">
        <v>11</v>
      </c>
      <c r="E69" s="8" t="s">
        <v>50</v>
      </c>
      <c r="F69" s="9">
        <v>0.36</v>
      </c>
      <c r="G69" s="10"/>
      <c r="H69" s="1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4">
        <v>69.0</v>
      </c>
      <c r="B70" s="5"/>
      <c r="C70" s="6" t="str">
        <f>HYPERLINK("https://leetcode.com/problems/sqrtx", "Sqrt(x)")</f>
        <v>Sqrt(x)</v>
      </c>
      <c r="D70" s="7" t="s">
        <v>6</v>
      </c>
      <c r="E70" s="8" t="s">
        <v>51</v>
      </c>
      <c r="F70" s="9">
        <v>0.37</v>
      </c>
      <c r="G70" s="10"/>
      <c r="H70" s="1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4">
        <v>70.0</v>
      </c>
      <c r="B71" s="5"/>
      <c r="C71" s="6" t="str">
        <f>HYPERLINK("https://leetcode.com/problems/climbing-stairs", "Climbing Stairs")</f>
        <v>Climbing Stairs</v>
      </c>
      <c r="D71" s="7" t="s">
        <v>6</v>
      </c>
      <c r="E71" s="8" t="s">
        <v>52</v>
      </c>
      <c r="F71" s="9">
        <v>0.52</v>
      </c>
      <c r="G71" s="10"/>
      <c r="H71" s="1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4">
        <v>71.0</v>
      </c>
      <c r="B72" s="5"/>
      <c r="C72" s="6" t="str">
        <f>HYPERLINK("https://leetcode.com/problems/simplify-path", "Simplify Path")</f>
        <v>Simplify Path</v>
      </c>
      <c r="D72" s="7" t="s">
        <v>8</v>
      </c>
      <c r="E72" s="8" t="s">
        <v>22</v>
      </c>
      <c r="F72" s="9">
        <v>0.39</v>
      </c>
      <c r="G72" s="10"/>
      <c r="H72" s="1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4">
        <v>72.0</v>
      </c>
      <c r="B73" s="5"/>
      <c r="C73" s="6" t="str">
        <f>HYPERLINK("https://leetcode.com/problems/edit-distance", "Edit Distance")</f>
        <v>Edit Distance</v>
      </c>
      <c r="D73" s="7" t="s">
        <v>11</v>
      </c>
      <c r="E73" s="8" t="s">
        <v>13</v>
      </c>
      <c r="F73" s="9">
        <v>0.52</v>
      </c>
      <c r="G73" s="10"/>
      <c r="H73" s="1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4">
        <v>73.0</v>
      </c>
      <c r="B74" s="5"/>
      <c r="C74" s="6" t="str">
        <f>HYPERLINK("https://leetcode.com/problems/set-matrix-zeroes", "Set Matrix Zeroes")</f>
        <v>Set Matrix Zeroes</v>
      </c>
      <c r="D74" s="7" t="s">
        <v>8</v>
      </c>
      <c r="E74" s="8" t="s">
        <v>31</v>
      </c>
      <c r="F74" s="9">
        <v>0.5</v>
      </c>
      <c r="G74" s="10"/>
      <c r="H74" s="1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4">
        <v>74.0</v>
      </c>
      <c r="B75" s="5"/>
      <c r="C75" s="6" t="str">
        <f>HYPERLINK("https://leetcode.com/problems/search-a-2d-matrix", "Search a 2D Matrix")</f>
        <v>Search a 2D Matrix</v>
      </c>
      <c r="D75" s="7" t="s">
        <v>8</v>
      </c>
      <c r="E75" s="8" t="s">
        <v>53</v>
      </c>
      <c r="F75" s="9">
        <v>0.47</v>
      </c>
      <c r="G75" s="10"/>
      <c r="H75" s="1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4">
        <v>75.0</v>
      </c>
      <c r="B76" s="5"/>
      <c r="C76" s="6" t="str">
        <f>HYPERLINK("https://leetcode.com/problems/sort-colors", "Sort Colors")</f>
        <v>Sort Colors</v>
      </c>
      <c r="D76" s="7" t="s">
        <v>8</v>
      </c>
      <c r="E76" s="8" t="s">
        <v>19</v>
      </c>
      <c r="F76" s="9">
        <v>0.57</v>
      </c>
      <c r="G76" s="10"/>
      <c r="H76" s="1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4">
        <v>76.0</v>
      </c>
      <c r="B77" s="5"/>
      <c r="C77" s="6" t="str">
        <f>HYPERLINK("https://leetcode.com/problems/minimum-window-substring", "Minimum Window Substring")</f>
        <v>Minimum Window Substring</v>
      </c>
      <c r="D77" s="7" t="s">
        <v>11</v>
      </c>
      <c r="E77" s="8" t="s">
        <v>10</v>
      </c>
      <c r="F77" s="9">
        <v>0.4</v>
      </c>
      <c r="G77" s="10"/>
      <c r="H77" s="1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4">
        <v>77.0</v>
      </c>
      <c r="B78" s="5"/>
      <c r="C78" s="6" t="str">
        <f>HYPERLINK("https://leetcode.com/problems/combinations", "Combinations")</f>
        <v>Combinations</v>
      </c>
      <c r="D78" s="7" t="s">
        <v>8</v>
      </c>
      <c r="E78" s="8" t="s">
        <v>41</v>
      </c>
      <c r="F78" s="9">
        <v>0.66</v>
      </c>
      <c r="G78" s="10"/>
      <c r="H78" s="1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4">
        <v>78.0</v>
      </c>
      <c r="B79" s="5"/>
      <c r="C79" s="6" t="str">
        <f>HYPERLINK("https://leetcode.com/problems/subsets", "Subsets")</f>
        <v>Subsets</v>
      </c>
      <c r="D79" s="7" t="s">
        <v>8</v>
      </c>
      <c r="E79" s="8" t="s">
        <v>54</v>
      </c>
      <c r="F79" s="9">
        <v>0.74</v>
      </c>
      <c r="G79" s="10"/>
      <c r="H79" s="1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4">
        <v>79.0</v>
      </c>
      <c r="B80" s="5"/>
      <c r="C80" s="6" t="str">
        <f>HYPERLINK("https://leetcode.com/problems/word-search", "Word Search")</f>
        <v>Word Search</v>
      </c>
      <c r="D80" s="7" t="s">
        <v>8</v>
      </c>
      <c r="E80" s="8" t="s">
        <v>32</v>
      </c>
      <c r="F80" s="9">
        <v>0.4</v>
      </c>
      <c r="G80" s="10"/>
      <c r="H80" s="1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4">
        <v>80.0</v>
      </c>
      <c r="B81" s="5"/>
      <c r="C81" s="6" t="str">
        <f>HYPERLINK("https://leetcode.com/problems/remove-duplicates-from-sorted-array-ii", "Remove Duplicates from Sorted Array II")</f>
        <v>Remove Duplicates from Sorted Array II</v>
      </c>
      <c r="D81" s="7" t="s">
        <v>8</v>
      </c>
      <c r="E81" s="8" t="s">
        <v>26</v>
      </c>
      <c r="F81" s="9">
        <v>0.51</v>
      </c>
      <c r="G81" s="10"/>
      <c r="H81" s="1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4">
        <v>81.0</v>
      </c>
      <c r="B82" s="5"/>
      <c r="C82" s="6" t="str">
        <f>HYPERLINK("https://leetcode.com/problems/search-in-rotated-sorted-array-ii", "Search in Rotated Sorted Array II")</f>
        <v>Search in Rotated Sorted Array II</v>
      </c>
      <c r="D82" s="7" t="s">
        <v>8</v>
      </c>
      <c r="E82" s="8" t="s">
        <v>30</v>
      </c>
      <c r="F82" s="9">
        <v>0.35</v>
      </c>
      <c r="G82" s="10"/>
      <c r="H82" s="1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4">
        <v>82.0</v>
      </c>
      <c r="B83" s="5"/>
      <c r="C83" s="6" t="str">
        <f>HYPERLINK("https://leetcode.com/problems/remove-duplicates-from-sorted-list-ii", "Remove Duplicates from Sorted List II")</f>
        <v>Remove Duplicates from Sorted List II</v>
      </c>
      <c r="D83" s="7" t="s">
        <v>8</v>
      </c>
      <c r="E83" s="8" t="s">
        <v>21</v>
      </c>
      <c r="F83" s="9">
        <v>0.45</v>
      </c>
      <c r="G83" s="10"/>
      <c r="H83" s="1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4">
        <v>83.0</v>
      </c>
      <c r="B84" s="5"/>
      <c r="C84" s="6" t="str">
        <f>HYPERLINK("https://leetcode.com/problems/remove-duplicates-from-sorted-list", "Remove Duplicates from Sorted List")</f>
        <v>Remove Duplicates from Sorted List</v>
      </c>
      <c r="D84" s="7" t="s">
        <v>6</v>
      </c>
      <c r="E84" s="8" t="s">
        <v>55</v>
      </c>
      <c r="F84" s="9">
        <v>0.5</v>
      </c>
      <c r="G84" s="10"/>
      <c r="H84" s="1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4">
        <v>84.0</v>
      </c>
      <c r="B85" s="5"/>
      <c r="C85" s="6" t="str">
        <f>HYPERLINK("https://leetcode.com/problems/largest-rectangle-in-histogram", "Largest Rectangle in Histogram")</f>
        <v>Largest Rectangle in Histogram</v>
      </c>
      <c r="D85" s="7" t="s">
        <v>11</v>
      </c>
      <c r="E85" s="8" t="s">
        <v>56</v>
      </c>
      <c r="F85" s="9">
        <v>0.42</v>
      </c>
      <c r="G85" s="10"/>
      <c r="H85" s="1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4">
        <v>85.0</v>
      </c>
      <c r="B86" s="5"/>
      <c r="C86" s="6" t="str">
        <f>HYPERLINK("https://leetcode.com/problems/maximal-rectangle", "Maximal Rectangle")</f>
        <v>Maximal Rectangle</v>
      </c>
      <c r="D86" s="7" t="s">
        <v>11</v>
      </c>
      <c r="E86" s="8" t="s">
        <v>57</v>
      </c>
      <c r="F86" s="9">
        <v>0.44</v>
      </c>
      <c r="G86" s="10"/>
      <c r="H86" s="1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4">
        <v>86.0</v>
      </c>
      <c r="B87" s="5"/>
      <c r="C87" s="6" t="str">
        <f>HYPERLINK("https://leetcode.com/problems/partition-list", "Partition List")</f>
        <v>Partition List</v>
      </c>
      <c r="D87" s="7" t="s">
        <v>8</v>
      </c>
      <c r="E87" s="8" t="s">
        <v>21</v>
      </c>
      <c r="F87" s="9">
        <v>0.51</v>
      </c>
      <c r="G87" s="10"/>
      <c r="H87" s="1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4">
        <v>87.0</v>
      </c>
      <c r="B88" s="5"/>
      <c r="C88" s="6" t="str">
        <f>HYPERLINK("https://leetcode.com/problems/scramble-string", "Scramble String")</f>
        <v>Scramble String</v>
      </c>
      <c r="D88" s="7" t="s">
        <v>11</v>
      </c>
      <c r="E88" s="8" t="s">
        <v>13</v>
      </c>
      <c r="F88" s="9">
        <v>0.36</v>
      </c>
      <c r="G88" s="10"/>
      <c r="H88" s="1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4">
        <v>88.0</v>
      </c>
      <c r="B89" s="5"/>
      <c r="C89" s="6" t="str">
        <f>HYPERLINK("https://leetcode.com/problems/merge-sorted-array", "Merge Sorted Array")</f>
        <v>Merge Sorted Array</v>
      </c>
      <c r="D89" s="7" t="s">
        <v>6</v>
      </c>
      <c r="E89" s="8" t="s">
        <v>19</v>
      </c>
      <c r="F89" s="9">
        <v>0.45</v>
      </c>
      <c r="G89" s="10"/>
      <c r="H89" s="1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4">
        <v>89.0</v>
      </c>
      <c r="B90" s="5"/>
      <c r="C90" s="6" t="str">
        <f>HYPERLINK("https://leetcode.com/problems/gray-code", "Gray Code")</f>
        <v>Gray Code</v>
      </c>
      <c r="D90" s="7" t="s">
        <v>8</v>
      </c>
      <c r="E90" s="8" t="s">
        <v>58</v>
      </c>
      <c r="F90" s="9">
        <v>0.56</v>
      </c>
      <c r="G90" s="10"/>
      <c r="H90" s="1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4">
        <v>90.0</v>
      </c>
      <c r="B91" s="5"/>
      <c r="C91" s="6" t="str">
        <f>HYPERLINK("https://leetcode.com/problems/subsets-ii", "Subsets II")</f>
        <v>Subsets II</v>
      </c>
      <c r="D91" s="7" t="s">
        <v>8</v>
      </c>
      <c r="E91" s="8" t="s">
        <v>54</v>
      </c>
      <c r="F91" s="9">
        <v>0.55</v>
      </c>
      <c r="G91" s="10"/>
      <c r="H91" s="1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4">
        <v>91.0</v>
      </c>
      <c r="B92" s="5"/>
      <c r="C92" s="6" t="str">
        <f>HYPERLINK("https://leetcode.com/problems/decode-ways", "Decode Ways")</f>
        <v>Decode Ways</v>
      </c>
      <c r="D92" s="7" t="s">
        <v>8</v>
      </c>
      <c r="E92" s="8" t="s">
        <v>13</v>
      </c>
      <c r="F92" s="9">
        <v>0.32</v>
      </c>
      <c r="G92" s="10"/>
      <c r="H92" s="1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4">
        <v>92.0</v>
      </c>
      <c r="B93" s="5"/>
      <c r="C93" s="6" t="str">
        <f>HYPERLINK("https://leetcode.com/problems/reverse-linked-list-ii", "Reverse Linked List II")</f>
        <v>Reverse Linked List II</v>
      </c>
      <c r="D93" s="7" t="s">
        <v>8</v>
      </c>
      <c r="E93" s="8" t="s">
        <v>55</v>
      </c>
      <c r="F93" s="9">
        <v>0.45</v>
      </c>
      <c r="G93" s="10"/>
      <c r="H93" s="1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4">
        <v>93.0</v>
      </c>
      <c r="B94" s="5"/>
      <c r="C94" s="6" t="str">
        <f>HYPERLINK("https://leetcode.com/problems/restore-ip-addresses", "Restore IP Addresses")</f>
        <v>Restore IP Addresses</v>
      </c>
      <c r="D94" s="7" t="s">
        <v>8</v>
      </c>
      <c r="E94" s="8" t="s">
        <v>59</v>
      </c>
      <c r="F94" s="9">
        <v>0.43</v>
      </c>
      <c r="G94" s="10"/>
      <c r="H94" s="1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4">
        <v>94.0</v>
      </c>
      <c r="B95" s="5"/>
      <c r="C95" s="6" t="str">
        <f>HYPERLINK("https://leetcode.com/problems/binary-tree-inorder-traversal", "Binary Tree Inorder Traversal")</f>
        <v>Binary Tree Inorder Traversal</v>
      </c>
      <c r="D95" s="7" t="s">
        <v>6</v>
      </c>
      <c r="E95" s="8" t="s">
        <v>60</v>
      </c>
      <c r="F95" s="9">
        <v>0.73</v>
      </c>
      <c r="G95" s="10"/>
      <c r="H95" s="1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4">
        <v>95.0</v>
      </c>
      <c r="B96" s="5"/>
      <c r="C96" s="6" t="str">
        <f>HYPERLINK("https://leetcode.com/problems/unique-binary-search-trees-ii", "Unique Binary Search Trees II")</f>
        <v>Unique Binary Search Trees II</v>
      </c>
      <c r="D96" s="7" t="s">
        <v>8</v>
      </c>
      <c r="E96" s="8" t="s">
        <v>61</v>
      </c>
      <c r="F96" s="9">
        <v>0.51</v>
      </c>
      <c r="G96" s="10"/>
      <c r="H96" s="1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4">
        <v>96.0</v>
      </c>
      <c r="B97" s="5"/>
      <c r="C97" s="6" t="str">
        <f>HYPERLINK("https://leetcode.com/problems/unique-binary-search-trees", "Unique Binary Search Trees")</f>
        <v>Unique Binary Search Trees</v>
      </c>
      <c r="D97" s="7" t="s">
        <v>8</v>
      </c>
      <c r="E97" s="8" t="s">
        <v>62</v>
      </c>
      <c r="F97" s="9">
        <v>0.59</v>
      </c>
      <c r="G97" s="10"/>
      <c r="H97" s="1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4">
        <v>97.0</v>
      </c>
      <c r="B98" s="5"/>
      <c r="C98" s="6" t="str">
        <f>HYPERLINK("https://leetcode.com/problems/interleaving-string", "Interleaving String")</f>
        <v>Interleaving String</v>
      </c>
      <c r="D98" s="7" t="s">
        <v>8</v>
      </c>
      <c r="E98" s="8" t="s">
        <v>13</v>
      </c>
      <c r="F98" s="9">
        <v>0.37</v>
      </c>
      <c r="G98" s="10"/>
      <c r="H98" s="1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4">
        <v>98.0</v>
      </c>
      <c r="B99" s="5"/>
      <c r="C99" s="6" t="str">
        <f>HYPERLINK("https://leetcode.com/problems/validate-binary-search-tree", "Validate Binary Search Tree")</f>
        <v>Validate Binary Search Tree</v>
      </c>
      <c r="D99" s="7" t="s">
        <v>8</v>
      </c>
      <c r="E99" s="8" t="s">
        <v>63</v>
      </c>
      <c r="F99" s="9">
        <v>0.31</v>
      </c>
      <c r="G99" s="10"/>
      <c r="H99" s="1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4">
        <v>99.0</v>
      </c>
      <c r="B100" s="5"/>
      <c r="C100" s="6" t="str">
        <f>HYPERLINK("https://leetcode.com/problems/recover-binary-search-tree", "Recover Binary Search Tree")</f>
        <v>Recover Binary Search Tree</v>
      </c>
      <c r="D100" s="7" t="s">
        <v>8</v>
      </c>
      <c r="E100" s="8" t="s">
        <v>63</v>
      </c>
      <c r="F100" s="9">
        <v>0.5</v>
      </c>
      <c r="G100" s="10"/>
      <c r="H100" s="1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4">
        <v>100.0</v>
      </c>
      <c r="B101" s="5"/>
      <c r="C101" s="6" t="str">
        <f>HYPERLINK("https://leetcode.com/problems/same-tree", "Same Tree")</f>
        <v>Same Tree</v>
      </c>
      <c r="D101" s="7" t="s">
        <v>6</v>
      </c>
      <c r="E101" s="8" t="s">
        <v>64</v>
      </c>
      <c r="F101" s="9">
        <v>0.56</v>
      </c>
      <c r="G101" s="10"/>
      <c r="H101" s="1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4">
        <v>101.0</v>
      </c>
      <c r="B102" s="5"/>
      <c r="C102" s="6" t="str">
        <f>HYPERLINK("https://leetcode.com/problems/symmetric-tree", "Symmetric Tree")</f>
        <v>Symmetric Tree</v>
      </c>
      <c r="D102" s="7" t="s">
        <v>6</v>
      </c>
      <c r="E102" s="8" t="s">
        <v>64</v>
      </c>
      <c r="F102" s="9">
        <v>0.53</v>
      </c>
      <c r="G102" s="10"/>
      <c r="H102" s="1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4">
        <v>102.0</v>
      </c>
      <c r="B103" s="5"/>
      <c r="C103" s="6" t="str">
        <f>HYPERLINK("https://leetcode.com/problems/binary-tree-level-order-traversal", "Binary Tree Level Order Traversal")</f>
        <v>Binary Tree Level Order Traversal</v>
      </c>
      <c r="D103" s="7" t="s">
        <v>8</v>
      </c>
      <c r="E103" s="8" t="s">
        <v>65</v>
      </c>
      <c r="F103" s="9">
        <v>0.63</v>
      </c>
      <c r="G103" s="10"/>
      <c r="H103" s="1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4">
        <v>103.0</v>
      </c>
      <c r="B104" s="5"/>
      <c r="C104" s="6" t="str">
        <f>HYPERLINK("https://leetcode.com/problems/binary-tree-zigzag-level-order-traversal", "Binary Tree Zigzag Level Order Traversal")</f>
        <v>Binary Tree Zigzag Level Order Traversal</v>
      </c>
      <c r="D104" s="7" t="s">
        <v>8</v>
      </c>
      <c r="E104" s="8" t="s">
        <v>65</v>
      </c>
      <c r="F104" s="9">
        <v>0.55</v>
      </c>
      <c r="G104" s="10"/>
      <c r="H104" s="1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4">
        <v>104.0</v>
      </c>
      <c r="B105" s="5"/>
      <c r="C105" s="6" t="str">
        <f>HYPERLINK("https://leetcode.com/problems/maximum-depth-of-binary-tree", "Maximum Depth of Binary Tree")</f>
        <v>Maximum Depth of Binary Tree</v>
      </c>
      <c r="D105" s="7" t="s">
        <v>6</v>
      </c>
      <c r="E105" s="8" t="s">
        <v>64</v>
      </c>
      <c r="F105" s="9">
        <v>0.73</v>
      </c>
      <c r="G105" s="10"/>
      <c r="H105" s="1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4">
        <v>105.0</v>
      </c>
      <c r="B106" s="5"/>
      <c r="C106" s="6" t="str">
        <f>HYPERLINK("https://leetcode.com/problems/construct-binary-tree-from-preorder-and-inorder-traversal", "Construct Binary Tree from Preorder and Inorder Traversal")</f>
        <v>Construct Binary Tree from Preorder and Inorder Traversal</v>
      </c>
      <c r="D106" s="7" t="s">
        <v>8</v>
      </c>
      <c r="E106" s="8" t="s">
        <v>66</v>
      </c>
      <c r="F106" s="9">
        <v>0.61</v>
      </c>
      <c r="G106" s="10"/>
      <c r="H106" s="1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4">
        <v>106.0</v>
      </c>
      <c r="B107" s="5"/>
      <c r="C107" s="6" t="str">
        <f>HYPERLINK("https://leetcode.com/problems/construct-binary-tree-from-inorder-and-postorder-traversal", "Construct Binary Tree from Inorder and Postorder Traversal")</f>
        <v>Construct Binary Tree from Inorder and Postorder Traversal</v>
      </c>
      <c r="D107" s="7" t="s">
        <v>8</v>
      </c>
      <c r="E107" s="8" t="s">
        <v>66</v>
      </c>
      <c r="F107" s="9">
        <v>0.57</v>
      </c>
      <c r="G107" s="10"/>
      <c r="H107" s="1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4">
        <v>107.0</v>
      </c>
      <c r="B108" s="5"/>
      <c r="C108" s="6" t="str">
        <f>HYPERLINK("https://leetcode.com/problems/binary-tree-level-order-traversal-ii", "Binary Tree Level Order Traversal II")</f>
        <v>Binary Tree Level Order Traversal II</v>
      </c>
      <c r="D108" s="7" t="s">
        <v>8</v>
      </c>
      <c r="E108" s="8" t="s">
        <v>65</v>
      </c>
      <c r="F108" s="9">
        <v>0.6</v>
      </c>
      <c r="G108" s="10"/>
      <c r="H108" s="1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4">
        <v>108.0</v>
      </c>
      <c r="B109" s="5"/>
      <c r="C109" s="6" t="str">
        <f>HYPERLINK("https://leetcode.com/problems/convert-sorted-array-to-binary-search-tree", "Convert Sorted Array to Binary Search Tree")</f>
        <v>Convert Sorted Array to Binary Search Tree</v>
      </c>
      <c r="D109" s="7" t="s">
        <v>6</v>
      </c>
      <c r="E109" s="8" t="s">
        <v>67</v>
      </c>
      <c r="F109" s="9">
        <v>0.69</v>
      </c>
      <c r="G109" s="10"/>
      <c r="H109" s="1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4">
        <v>109.0</v>
      </c>
      <c r="B110" s="5"/>
      <c r="C110" s="6" t="str">
        <f>HYPERLINK("https://leetcode.com/problems/convert-sorted-list-to-binary-search-tree", "Convert Sorted List to Binary Search Tree")</f>
        <v>Convert Sorted List to Binary Search Tree</v>
      </c>
      <c r="D110" s="7" t="s">
        <v>8</v>
      </c>
      <c r="E110" s="8" t="s">
        <v>68</v>
      </c>
      <c r="F110" s="9">
        <v>0.57</v>
      </c>
      <c r="G110" s="10"/>
      <c r="H110" s="1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4">
        <v>110.0</v>
      </c>
      <c r="B111" s="5"/>
      <c r="C111" s="6" t="str">
        <f>HYPERLINK("https://leetcode.com/problems/balanced-binary-tree", "Balanced Binary Tree")</f>
        <v>Balanced Binary Tree</v>
      </c>
      <c r="D111" s="7" t="s">
        <v>6</v>
      </c>
      <c r="E111" s="8" t="s">
        <v>69</v>
      </c>
      <c r="F111" s="9">
        <v>0.48</v>
      </c>
      <c r="G111" s="10"/>
      <c r="H111" s="1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4">
        <v>111.0</v>
      </c>
      <c r="B112" s="5"/>
      <c r="C112" s="6" t="str">
        <f>HYPERLINK("https://leetcode.com/problems/minimum-depth-of-binary-tree", "Minimum Depth of Binary Tree")</f>
        <v>Minimum Depth of Binary Tree</v>
      </c>
      <c r="D112" s="7" t="s">
        <v>6</v>
      </c>
      <c r="E112" s="8" t="s">
        <v>64</v>
      </c>
      <c r="F112" s="9">
        <v>0.43</v>
      </c>
      <c r="G112" s="10"/>
      <c r="H112" s="1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4">
        <v>112.0</v>
      </c>
      <c r="B113" s="5"/>
      <c r="C113" s="6" t="str">
        <f>HYPERLINK("https://leetcode.com/problems/path-sum", "Path Sum")</f>
        <v>Path Sum</v>
      </c>
      <c r="D113" s="7" t="s">
        <v>6</v>
      </c>
      <c r="E113" s="8" t="s">
        <v>64</v>
      </c>
      <c r="F113" s="9">
        <v>0.47</v>
      </c>
      <c r="G113" s="10"/>
      <c r="H113" s="1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4">
        <v>113.0</v>
      </c>
      <c r="B114" s="5"/>
      <c r="C114" s="6" t="str">
        <f>HYPERLINK("https://leetcode.com/problems/path-sum-ii", "Path Sum II")</f>
        <v>Path Sum II</v>
      </c>
      <c r="D114" s="7" t="s">
        <v>8</v>
      </c>
      <c r="E114" s="8" t="s">
        <v>70</v>
      </c>
      <c r="F114" s="9">
        <v>0.56</v>
      </c>
      <c r="G114" s="10"/>
      <c r="H114" s="1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4">
        <v>114.0</v>
      </c>
      <c r="B115" s="5"/>
      <c r="C115" s="6" t="str">
        <f>HYPERLINK("https://leetcode.com/problems/flatten-binary-tree-to-linked-list", "Flatten Binary Tree to Linked List")</f>
        <v>Flatten Binary Tree to Linked List</v>
      </c>
      <c r="D115" s="7" t="s">
        <v>8</v>
      </c>
      <c r="E115" s="8" t="s">
        <v>71</v>
      </c>
      <c r="F115" s="9">
        <v>0.61</v>
      </c>
      <c r="G115" s="10"/>
      <c r="H115" s="1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4">
        <v>115.0</v>
      </c>
      <c r="B116" s="5"/>
      <c r="C116" s="6" t="str">
        <f>HYPERLINK("https://leetcode.com/problems/distinct-subsequences", "Distinct Subsequences")</f>
        <v>Distinct Subsequences</v>
      </c>
      <c r="D116" s="7" t="s">
        <v>11</v>
      </c>
      <c r="E116" s="8" t="s">
        <v>13</v>
      </c>
      <c r="F116" s="9">
        <v>0.43</v>
      </c>
      <c r="G116" s="10"/>
      <c r="H116" s="1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4">
        <v>116.0</v>
      </c>
      <c r="B117" s="5"/>
      <c r="C117" s="6" t="str">
        <f>HYPERLINK("https://leetcode.com/problems/populating-next-right-pointers-in-each-node", "Populating Next Right Pointers in Each Node")</f>
        <v>Populating Next Right Pointers in Each Node</v>
      </c>
      <c r="D117" s="7" t="s">
        <v>8</v>
      </c>
      <c r="E117" s="8" t="s">
        <v>72</v>
      </c>
      <c r="F117" s="9">
        <v>0.59</v>
      </c>
      <c r="G117" s="10"/>
      <c r="H117" s="1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4">
        <v>117.0</v>
      </c>
      <c r="B118" s="5"/>
      <c r="C118" s="6" t="str">
        <f>HYPERLINK("https://leetcode.com/problems/populating-next-right-pointers-in-each-node-ii", "Populating Next Right Pointers in Each Node II")</f>
        <v>Populating Next Right Pointers in Each Node II</v>
      </c>
      <c r="D118" s="7" t="s">
        <v>8</v>
      </c>
      <c r="E118" s="8" t="s">
        <v>72</v>
      </c>
      <c r="F118" s="9">
        <v>0.49</v>
      </c>
      <c r="G118" s="10"/>
      <c r="H118" s="1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4">
        <v>118.0</v>
      </c>
      <c r="B119" s="5"/>
      <c r="C119" s="6" t="str">
        <f>HYPERLINK("https://leetcode.com/problems/pascals-triangle", "Pascal's Triangle")</f>
        <v>Pascal's Triangle</v>
      </c>
      <c r="D119" s="7" t="s">
        <v>6</v>
      </c>
      <c r="E119" s="8" t="s">
        <v>73</v>
      </c>
      <c r="F119" s="9">
        <v>0.69</v>
      </c>
      <c r="G119" s="10"/>
      <c r="H119" s="1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4">
        <v>119.0</v>
      </c>
      <c r="B120" s="5"/>
      <c r="C120" s="6" t="str">
        <f>HYPERLINK("https://leetcode.com/problems/pascals-triangle-ii", "Pascal's Triangle II")</f>
        <v>Pascal's Triangle II</v>
      </c>
      <c r="D120" s="7" t="s">
        <v>6</v>
      </c>
      <c r="E120" s="8" t="s">
        <v>73</v>
      </c>
      <c r="F120" s="9">
        <v>0.59</v>
      </c>
      <c r="G120" s="10"/>
      <c r="H120" s="1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4">
        <v>120.0</v>
      </c>
      <c r="B121" s="5"/>
      <c r="C121" s="6" t="str">
        <f>HYPERLINK("https://leetcode.com/problems/triangle", "Triangle")</f>
        <v>Triangle</v>
      </c>
      <c r="D121" s="7" t="s">
        <v>8</v>
      </c>
      <c r="E121" s="8" t="s">
        <v>73</v>
      </c>
      <c r="F121" s="9">
        <v>0.54</v>
      </c>
      <c r="G121" s="10"/>
      <c r="H121" s="1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4">
        <v>121.0</v>
      </c>
      <c r="B122" s="5"/>
      <c r="C122" s="6" t="str">
        <f>HYPERLINK("https://leetcode.com/problems/best-time-to-buy-and-sell-stock", "Best Time to Buy and Sell Stock")</f>
        <v>Best Time to Buy and Sell Stock</v>
      </c>
      <c r="D122" s="7" t="s">
        <v>6</v>
      </c>
      <c r="E122" s="8" t="s">
        <v>73</v>
      </c>
      <c r="F122" s="9">
        <v>0.54</v>
      </c>
      <c r="G122" s="10"/>
      <c r="H122" s="1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4">
        <v>122.0</v>
      </c>
      <c r="B123" s="5"/>
      <c r="C123" s="6" t="str">
        <f>HYPERLINK("https://leetcode.com/problems/best-time-to-buy-and-sell-stock-ii", "Best Time to Buy and Sell Stock II")</f>
        <v>Best Time to Buy and Sell Stock II</v>
      </c>
      <c r="D123" s="7" t="s">
        <v>8</v>
      </c>
      <c r="E123" s="8" t="s">
        <v>37</v>
      </c>
      <c r="F123" s="9">
        <v>0.63</v>
      </c>
      <c r="G123" s="10"/>
      <c r="H123" s="1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4">
        <v>123.0</v>
      </c>
      <c r="B124" s="5"/>
      <c r="C124" s="6" t="str">
        <f>HYPERLINK("https://leetcode.com/problems/best-time-to-buy-and-sell-stock-iii", "Best Time to Buy and Sell Stock III")</f>
        <v>Best Time to Buy and Sell Stock III</v>
      </c>
      <c r="D124" s="7" t="s">
        <v>11</v>
      </c>
      <c r="E124" s="8" t="s">
        <v>73</v>
      </c>
      <c r="F124" s="9">
        <v>0.45</v>
      </c>
      <c r="G124" s="10"/>
      <c r="H124" s="1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4">
        <v>124.0</v>
      </c>
      <c r="B125" s="5"/>
      <c r="C125" s="6" t="str">
        <f>HYPERLINK("https://leetcode.com/problems/binary-tree-maximum-path-sum", "Binary Tree Maximum Path Sum")</f>
        <v>Binary Tree Maximum Path Sum</v>
      </c>
      <c r="D125" s="7" t="s">
        <v>11</v>
      </c>
      <c r="E125" s="8" t="s">
        <v>74</v>
      </c>
      <c r="F125" s="9">
        <v>0.39</v>
      </c>
      <c r="G125" s="10"/>
      <c r="H125" s="1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4">
        <v>125.0</v>
      </c>
      <c r="B126" s="5"/>
      <c r="C126" s="6" t="str">
        <f>HYPERLINK("https://leetcode.com/problems/valid-palindrome", "Valid Palindrome")</f>
        <v>Valid Palindrome</v>
      </c>
      <c r="D126" s="7" t="s">
        <v>6</v>
      </c>
      <c r="E126" s="8" t="s">
        <v>75</v>
      </c>
      <c r="F126" s="9">
        <v>0.43</v>
      </c>
      <c r="G126" s="10"/>
      <c r="H126" s="1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4">
        <v>126.0</v>
      </c>
      <c r="B127" s="5"/>
      <c r="C127" s="6" t="str">
        <f>HYPERLINK("https://leetcode.com/problems/word-ladder-ii", "Word Ladder II")</f>
        <v>Word Ladder II</v>
      </c>
      <c r="D127" s="7" t="s">
        <v>11</v>
      </c>
      <c r="E127" s="8" t="s">
        <v>76</v>
      </c>
      <c r="F127" s="9">
        <v>0.27</v>
      </c>
      <c r="G127" s="10"/>
      <c r="H127" s="1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4">
        <v>127.0</v>
      </c>
      <c r="B128" s="5"/>
      <c r="C128" s="6" t="str">
        <f>HYPERLINK("https://leetcode.com/problems/word-ladder", "Word Ladder")</f>
        <v>Word Ladder</v>
      </c>
      <c r="D128" s="7" t="s">
        <v>11</v>
      </c>
      <c r="E128" s="8" t="s">
        <v>77</v>
      </c>
      <c r="F128" s="9">
        <v>0.36</v>
      </c>
      <c r="G128" s="10"/>
      <c r="H128" s="1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4">
        <v>128.0</v>
      </c>
      <c r="B129" s="5"/>
      <c r="C129" s="6" t="str">
        <f>HYPERLINK("https://leetcode.com/problems/longest-consecutive-sequence", "Longest Consecutive Sequence")</f>
        <v>Longest Consecutive Sequence</v>
      </c>
      <c r="D129" s="7" t="s">
        <v>8</v>
      </c>
      <c r="E129" s="8" t="s">
        <v>78</v>
      </c>
      <c r="F129" s="9">
        <v>0.48</v>
      </c>
      <c r="G129" s="10"/>
      <c r="H129" s="1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4">
        <v>129.0</v>
      </c>
      <c r="B130" s="5"/>
      <c r="C130" s="6" t="str">
        <f>HYPERLINK("https://leetcode.com/problems/sum-root-to-leaf-numbers", "Sum Root to Leaf Numbers")</f>
        <v>Sum Root to Leaf Numbers</v>
      </c>
      <c r="D130" s="7" t="s">
        <v>8</v>
      </c>
      <c r="E130" s="8" t="s">
        <v>69</v>
      </c>
      <c r="F130" s="9">
        <v>0.58</v>
      </c>
      <c r="G130" s="10"/>
      <c r="H130" s="1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4">
        <v>130.0</v>
      </c>
      <c r="B131" s="5"/>
      <c r="C131" s="6" t="str">
        <f>HYPERLINK("https://leetcode.com/problems/surrounded-regions", "Surrounded Regions")</f>
        <v>Surrounded Regions</v>
      </c>
      <c r="D131" s="7" t="s">
        <v>8</v>
      </c>
      <c r="E131" s="8" t="s">
        <v>79</v>
      </c>
      <c r="F131" s="9">
        <v>0.36</v>
      </c>
      <c r="G131" s="10"/>
      <c r="H131" s="1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4">
        <v>131.0</v>
      </c>
      <c r="B132" s="5"/>
      <c r="C132" s="6" t="str">
        <f>HYPERLINK("https://leetcode.com/problems/palindrome-partitioning", "Palindrome Partitioning")</f>
        <v>Palindrome Partitioning</v>
      </c>
      <c r="D132" s="7" t="s">
        <v>8</v>
      </c>
      <c r="E132" s="8" t="s">
        <v>24</v>
      </c>
      <c r="F132" s="9">
        <v>0.62</v>
      </c>
      <c r="G132" s="10"/>
      <c r="H132" s="1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4">
        <v>132.0</v>
      </c>
      <c r="B133" s="5"/>
      <c r="C133" s="6" t="str">
        <f>HYPERLINK("https://leetcode.com/problems/palindrome-partitioning-ii", "Palindrome Partitioning II")</f>
        <v>Palindrome Partitioning II</v>
      </c>
      <c r="D133" s="7" t="s">
        <v>11</v>
      </c>
      <c r="E133" s="8" t="s">
        <v>13</v>
      </c>
      <c r="F133" s="9">
        <v>0.33</v>
      </c>
      <c r="G133" s="10"/>
      <c r="H133" s="1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4">
        <v>133.0</v>
      </c>
      <c r="B134" s="5"/>
      <c r="C134" s="6" t="str">
        <f>HYPERLINK("https://leetcode.com/problems/clone-graph", "Clone Graph")</f>
        <v>Clone Graph</v>
      </c>
      <c r="D134" s="7" t="s">
        <v>8</v>
      </c>
      <c r="E134" s="8" t="s">
        <v>80</v>
      </c>
      <c r="F134" s="9">
        <v>0.51</v>
      </c>
      <c r="G134" s="10"/>
      <c r="H134" s="1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4">
        <v>134.0</v>
      </c>
      <c r="B135" s="5"/>
      <c r="C135" s="6" t="str">
        <f>HYPERLINK("https://leetcode.com/problems/gas-station", "Gas Station")</f>
        <v>Gas Station</v>
      </c>
      <c r="D135" s="7" t="s">
        <v>8</v>
      </c>
      <c r="E135" s="8" t="s">
        <v>81</v>
      </c>
      <c r="F135" s="9">
        <v>0.45</v>
      </c>
      <c r="G135" s="10"/>
      <c r="H135" s="1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4">
        <v>135.0</v>
      </c>
      <c r="B136" s="5"/>
      <c r="C136" s="6" t="str">
        <f>HYPERLINK("https://leetcode.com/problems/candy", "Candy")</f>
        <v>Candy</v>
      </c>
      <c r="D136" s="7" t="s">
        <v>11</v>
      </c>
      <c r="E136" s="8" t="s">
        <v>81</v>
      </c>
      <c r="F136" s="9">
        <v>0.4</v>
      </c>
      <c r="G136" s="10"/>
      <c r="H136" s="1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4">
        <v>136.0</v>
      </c>
      <c r="B137" s="5"/>
      <c r="C137" s="6" t="str">
        <f>HYPERLINK("https://leetcode.com/problems/single-number", "Single Number")</f>
        <v>Single Number</v>
      </c>
      <c r="D137" s="7" t="s">
        <v>6</v>
      </c>
      <c r="E137" s="8" t="s">
        <v>82</v>
      </c>
      <c r="F137" s="9">
        <v>0.7</v>
      </c>
      <c r="G137" s="10"/>
      <c r="H137" s="1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4">
        <v>137.0</v>
      </c>
      <c r="B138" s="5"/>
      <c r="C138" s="6" t="str">
        <f>HYPERLINK("https://leetcode.com/problems/single-number-ii", "Single Number II")</f>
        <v>Single Number II</v>
      </c>
      <c r="D138" s="7" t="s">
        <v>8</v>
      </c>
      <c r="E138" s="8" t="s">
        <v>82</v>
      </c>
      <c r="F138" s="9">
        <v>0.57</v>
      </c>
      <c r="G138" s="10"/>
      <c r="H138" s="1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4">
        <v>138.0</v>
      </c>
      <c r="B139" s="5"/>
      <c r="C139" s="6" t="str">
        <f>HYPERLINK("https://leetcode.com/problems/copy-list-with-random-pointer", "Copy List with Random Pointer")</f>
        <v>Copy List with Random Pointer</v>
      </c>
      <c r="D139" s="7" t="s">
        <v>8</v>
      </c>
      <c r="E139" s="8" t="s">
        <v>83</v>
      </c>
      <c r="F139" s="9">
        <v>0.5</v>
      </c>
      <c r="G139" s="10"/>
      <c r="H139" s="1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4">
        <v>139.0</v>
      </c>
      <c r="B140" s="5"/>
      <c r="C140" s="6" t="str">
        <f>HYPERLINK("https://leetcode.com/problems/word-break", "Word Break")</f>
        <v>Word Break</v>
      </c>
      <c r="D140" s="7" t="s">
        <v>8</v>
      </c>
      <c r="E140" s="8" t="s">
        <v>84</v>
      </c>
      <c r="F140" s="9">
        <v>0.45</v>
      </c>
      <c r="G140" s="10"/>
      <c r="H140" s="1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4">
        <v>140.0</v>
      </c>
      <c r="B141" s="5"/>
      <c r="C141" s="6" t="str">
        <f>HYPERLINK("https://leetcode.com/problems/word-break-ii", "Word Break II")</f>
        <v>Word Break II</v>
      </c>
      <c r="D141" s="7" t="s">
        <v>11</v>
      </c>
      <c r="E141" s="8" t="s">
        <v>85</v>
      </c>
      <c r="F141" s="9">
        <v>0.44</v>
      </c>
      <c r="G141" s="10"/>
      <c r="H141" s="1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4">
        <v>141.0</v>
      </c>
      <c r="B142" s="5"/>
      <c r="C142" s="6" t="str">
        <f>HYPERLINK("https://leetcode.com/problems/linked-list-cycle", "Linked List Cycle")</f>
        <v>Linked List Cycle</v>
      </c>
      <c r="D142" s="7" t="s">
        <v>6</v>
      </c>
      <c r="E142" s="8" t="s">
        <v>86</v>
      </c>
      <c r="F142" s="9">
        <v>0.47</v>
      </c>
      <c r="G142" s="10"/>
      <c r="H142" s="1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4">
        <v>142.0</v>
      </c>
      <c r="B143" s="5"/>
      <c r="C143" s="6" t="str">
        <f>HYPERLINK("https://leetcode.com/problems/linked-list-cycle-ii", "Linked List Cycle II")</f>
        <v>Linked List Cycle II</v>
      </c>
      <c r="D143" s="7" t="s">
        <v>8</v>
      </c>
      <c r="E143" s="8" t="s">
        <v>86</v>
      </c>
      <c r="F143" s="9">
        <v>0.46</v>
      </c>
      <c r="G143" s="10"/>
      <c r="H143" s="1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4">
        <v>143.0</v>
      </c>
      <c r="B144" s="5"/>
      <c r="C144" s="6" t="str">
        <f>HYPERLINK("https://leetcode.com/problems/reorder-list", "Reorder List")</f>
        <v>Reorder List</v>
      </c>
      <c r="D144" s="7" t="s">
        <v>8</v>
      </c>
      <c r="E144" s="8" t="s">
        <v>87</v>
      </c>
      <c r="F144" s="9">
        <v>0.51</v>
      </c>
      <c r="G144" s="10"/>
      <c r="H144" s="1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4">
        <v>144.0</v>
      </c>
      <c r="B145" s="5"/>
      <c r="C145" s="6" t="str">
        <f>HYPERLINK("https://leetcode.com/problems/binary-tree-preorder-traversal", "Binary Tree Preorder Traversal")</f>
        <v>Binary Tree Preorder Traversal</v>
      </c>
      <c r="D145" s="7" t="s">
        <v>6</v>
      </c>
      <c r="E145" s="8" t="s">
        <v>60</v>
      </c>
      <c r="F145" s="9">
        <v>0.65</v>
      </c>
      <c r="G145" s="10"/>
      <c r="H145" s="1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4">
        <v>145.0</v>
      </c>
      <c r="B146" s="5"/>
      <c r="C146" s="6" t="str">
        <f>HYPERLINK("https://leetcode.com/problems/binary-tree-postorder-traversal", "Binary Tree Postorder Traversal")</f>
        <v>Binary Tree Postorder Traversal</v>
      </c>
      <c r="D146" s="7" t="s">
        <v>6</v>
      </c>
      <c r="E146" s="8" t="s">
        <v>60</v>
      </c>
      <c r="F146" s="9">
        <v>0.66</v>
      </c>
      <c r="G146" s="10"/>
      <c r="H146" s="1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4">
        <v>146.0</v>
      </c>
      <c r="B147" s="5"/>
      <c r="C147" s="6" t="str">
        <f>HYPERLINK("https://leetcode.com/problems/lru-cache", "LRU Cache")</f>
        <v>LRU Cache</v>
      </c>
      <c r="D147" s="7" t="s">
        <v>8</v>
      </c>
      <c r="E147" s="8" t="s">
        <v>88</v>
      </c>
      <c r="F147" s="9">
        <v>0.4</v>
      </c>
      <c r="G147" s="10"/>
      <c r="H147" s="1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4">
        <v>147.0</v>
      </c>
      <c r="B148" s="5"/>
      <c r="C148" s="6" t="str">
        <f>HYPERLINK("https://leetcode.com/problems/insertion-sort-list", "Insertion Sort List")</f>
        <v>Insertion Sort List</v>
      </c>
      <c r="D148" s="7" t="s">
        <v>8</v>
      </c>
      <c r="E148" s="8" t="s">
        <v>89</v>
      </c>
      <c r="F148" s="9">
        <v>0.5</v>
      </c>
      <c r="G148" s="10"/>
      <c r="H148" s="1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4">
        <v>148.0</v>
      </c>
      <c r="B149" s="5"/>
      <c r="C149" s="6" t="str">
        <f>HYPERLINK("https://leetcode.com/problems/sort-list", "Sort List")</f>
        <v>Sort List</v>
      </c>
      <c r="D149" s="7" t="s">
        <v>8</v>
      </c>
      <c r="E149" s="8" t="s">
        <v>90</v>
      </c>
      <c r="F149" s="9">
        <v>0.54</v>
      </c>
      <c r="G149" s="10"/>
      <c r="H149" s="1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4">
        <v>149.0</v>
      </c>
      <c r="B150" s="5"/>
      <c r="C150" s="6" t="str">
        <f>HYPERLINK("https://leetcode.com/problems/max-points-on-a-line", "Max Points on a Line")</f>
        <v>Max Points on a Line</v>
      </c>
      <c r="D150" s="7" t="s">
        <v>11</v>
      </c>
      <c r="E150" s="8" t="s">
        <v>91</v>
      </c>
      <c r="F150" s="9">
        <v>0.21</v>
      </c>
      <c r="G150" s="10"/>
      <c r="H150" s="1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4">
        <v>150.0</v>
      </c>
      <c r="B151" s="5"/>
      <c r="C151" s="6" t="str">
        <f>HYPERLINK("https://leetcode.com/problems/evaluate-reverse-polish-notation", "Evaluate Reverse Polish Notation")</f>
        <v>Evaluate Reverse Polish Notation</v>
      </c>
      <c r="D151" s="7" t="s">
        <v>8</v>
      </c>
      <c r="E151" s="8" t="s">
        <v>92</v>
      </c>
      <c r="F151" s="9">
        <v>0.44</v>
      </c>
      <c r="G151" s="10"/>
      <c r="H151" s="1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4">
        <v>151.0</v>
      </c>
      <c r="B152" s="5"/>
      <c r="C152" s="6" t="str">
        <f>HYPERLINK("https://leetcode.com/problems/reverse-words-in-a-string", "Reverse Words in a String")</f>
        <v>Reverse Words in a String</v>
      </c>
      <c r="D152" s="7" t="s">
        <v>8</v>
      </c>
      <c r="E152" s="8" t="s">
        <v>75</v>
      </c>
      <c r="F152" s="9">
        <v>0.32</v>
      </c>
      <c r="G152" s="10"/>
      <c r="H152" s="1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4">
        <v>152.0</v>
      </c>
      <c r="B153" s="5"/>
      <c r="C153" s="6" t="str">
        <f>HYPERLINK("https://leetcode.com/problems/maximum-product-subarray", "Maximum Product Subarray")</f>
        <v>Maximum Product Subarray</v>
      </c>
      <c r="D153" s="7" t="s">
        <v>8</v>
      </c>
      <c r="E153" s="8" t="s">
        <v>73</v>
      </c>
      <c r="F153" s="9">
        <v>0.34</v>
      </c>
      <c r="G153" s="10"/>
      <c r="H153" s="1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4">
        <v>153.0</v>
      </c>
      <c r="B154" s="5"/>
      <c r="C154" s="6" t="str">
        <f>HYPERLINK("https://leetcode.com/problems/find-minimum-in-rotated-sorted-array", "Find Minimum in Rotated Sorted Array")</f>
        <v>Find Minimum in Rotated Sorted Array</v>
      </c>
      <c r="D154" s="7" t="s">
        <v>8</v>
      </c>
      <c r="E154" s="8" t="s">
        <v>30</v>
      </c>
      <c r="F154" s="9">
        <v>0.48</v>
      </c>
      <c r="G154" s="10"/>
      <c r="H154" s="1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4">
        <v>154.0</v>
      </c>
      <c r="B155" s="5"/>
      <c r="C155" s="6" t="str">
        <f>HYPERLINK("https://leetcode.com/problems/find-minimum-in-rotated-sorted-array-ii", "Find Minimum in Rotated Sorted Array II")</f>
        <v>Find Minimum in Rotated Sorted Array II</v>
      </c>
      <c r="D155" s="7" t="s">
        <v>11</v>
      </c>
      <c r="E155" s="8" t="s">
        <v>30</v>
      </c>
      <c r="F155" s="9">
        <v>0.43</v>
      </c>
      <c r="G155" s="10"/>
      <c r="H155" s="1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4">
        <v>155.0</v>
      </c>
      <c r="B156" s="5"/>
      <c r="C156" s="6" t="str">
        <f>HYPERLINK("https://leetcode.com/problems/min-stack", "Min Stack")</f>
        <v>Min Stack</v>
      </c>
      <c r="D156" s="7" t="s">
        <v>8</v>
      </c>
      <c r="E156" s="8" t="s">
        <v>93</v>
      </c>
      <c r="F156" s="9">
        <v>0.51</v>
      </c>
      <c r="G156" s="10"/>
      <c r="H156" s="1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1">
        <v>156.0</v>
      </c>
      <c r="B157" s="5"/>
      <c r="C157" s="12" t="str">
        <f>HYPERLINK("https://leetcode.com/problems/binary-tree-upside-down", "Binary Tree Upside Down")</f>
        <v>Binary Tree Upside Down</v>
      </c>
      <c r="D157" s="7" t="s">
        <v>8</v>
      </c>
      <c r="E157" s="8" t="s">
        <v>69</v>
      </c>
      <c r="F157" s="9">
        <v>0.61</v>
      </c>
      <c r="G157" s="10"/>
      <c r="H157" s="1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1">
        <v>157.0</v>
      </c>
      <c r="B158" s="5"/>
      <c r="C158" s="12" t="str">
        <f>HYPERLINK("https://leetcode.com/problems/read-n-characters-given-read4", "Read N Characters Given Read4")</f>
        <v>Read N Characters Given Read4</v>
      </c>
      <c r="D158" s="7" t="s">
        <v>6</v>
      </c>
      <c r="E158" s="8" t="s">
        <v>94</v>
      </c>
      <c r="F158" s="9">
        <v>0.4</v>
      </c>
      <c r="G158" s="10"/>
      <c r="H158" s="1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1">
        <v>158.0</v>
      </c>
      <c r="B159" s="5"/>
      <c r="C159" s="12" t="str">
        <f>HYPERLINK("https://leetcode.com/problems/read-n-characters-given-read4-ii-call-multiple-times", "Read N Characters Given read4 II - Call Multiple Times")</f>
        <v>Read N Characters Given read4 II - Call Multiple Times</v>
      </c>
      <c r="D159" s="7" t="s">
        <v>11</v>
      </c>
      <c r="E159" s="8" t="s">
        <v>94</v>
      </c>
      <c r="F159" s="9">
        <v>0.41</v>
      </c>
      <c r="G159" s="10"/>
      <c r="H159" s="1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1">
        <v>159.0</v>
      </c>
      <c r="B160" s="5"/>
      <c r="C160" s="12" t="str">
        <f>HYPERLINK("https://leetcode.com/problems/longest-substring-with-at-most-two-distinct-characters", "Longest Substring with At Most Two Distinct Characters")</f>
        <v>Longest Substring with At Most Two Distinct Characters</v>
      </c>
      <c r="D160" s="7" t="s">
        <v>8</v>
      </c>
      <c r="E160" s="8" t="s">
        <v>10</v>
      </c>
      <c r="F160" s="9">
        <v>0.53</v>
      </c>
      <c r="G160" s="10"/>
      <c r="H160" s="1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4">
        <v>160.0</v>
      </c>
      <c r="B161" s="5"/>
      <c r="C161" s="6" t="str">
        <f>HYPERLINK("https://leetcode.com/problems/intersection-of-two-linked-lists", "Intersection of Two Linked Lists")</f>
        <v>Intersection of Two Linked Lists</v>
      </c>
      <c r="D161" s="7" t="s">
        <v>6</v>
      </c>
      <c r="E161" s="8" t="s">
        <v>86</v>
      </c>
      <c r="F161" s="9">
        <v>0.53</v>
      </c>
      <c r="G161" s="10"/>
      <c r="H161" s="1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1">
        <v>161.0</v>
      </c>
      <c r="B162" s="5"/>
      <c r="C162" s="12" t="str">
        <f>HYPERLINK("https://leetcode.com/problems/one-edit-distance", "One Edit Distance")</f>
        <v>One Edit Distance</v>
      </c>
      <c r="D162" s="7" t="s">
        <v>8</v>
      </c>
      <c r="E162" s="8" t="s">
        <v>75</v>
      </c>
      <c r="F162" s="9">
        <v>0.34</v>
      </c>
      <c r="G162" s="10"/>
      <c r="H162" s="1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4">
        <v>162.0</v>
      </c>
      <c r="B163" s="5"/>
      <c r="C163" s="6" t="str">
        <f>HYPERLINK("https://leetcode.com/problems/find-peak-element", "Find Peak Element")</f>
        <v>Find Peak Element</v>
      </c>
      <c r="D163" s="7" t="s">
        <v>8</v>
      </c>
      <c r="E163" s="8" t="s">
        <v>30</v>
      </c>
      <c r="F163" s="9">
        <v>0.46</v>
      </c>
      <c r="G163" s="10"/>
      <c r="H163" s="1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1">
        <v>163.0</v>
      </c>
      <c r="B164" s="5"/>
      <c r="C164" s="12" t="str">
        <f>HYPERLINK("https://leetcode.com/problems/missing-ranges", "Missing Ranges")</f>
        <v>Missing Ranges</v>
      </c>
      <c r="D164" s="7" t="s">
        <v>6</v>
      </c>
      <c r="E164" s="8" t="s">
        <v>45</v>
      </c>
      <c r="F164" s="9">
        <v>0.32</v>
      </c>
      <c r="G164" s="10"/>
      <c r="H164" s="1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4">
        <v>164.0</v>
      </c>
      <c r="B165" s="5"/>
      <c r="C165" s="6" t="str">
        <f>HYPERLINK("https://leetcode.com/problems/maximum-gap", "Maximum Gap")</f>
        <v>Maximum Gap</v>
      </c>
      <c r="D165" s="7" t="s">
        <v>11</v>
      </c>
      <c r="E165" s="8" t="s">
        <v>95</v>
      </c>
      <c r="F165" s="9">
        <v>0.42</v>
      </c>
      <c r="G165" s="10"/>
      <c r="H165" s="1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4">
        <v>165.0</v>
      </c>
      <c r="B166" s="5"/>
      <c r="C166" s="6" t="str">
        <f>HYPERLINK("https://leetcode.com/problems/compare-version-numbers", "Compare Version Numbers")</f>
        <v>Compare Version Numbers</v>
      </c>
      <c r="D166" s="7" t="s">
        <v>8</v>
      </c>
      <c r="E166" s="8" t="s">
        <v>75</v>
      </c>
      <c r="F166" s="9">
        <v>0.35</v>
      </c>
      <c r="G166" s="10"/>
      <c r="H166" s="1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4">
        <v>166.0</v>
      </c>
      <c r="B167" s="5"/>
      <c r="C167" s="6" t="str">
        <f>HYPERLINK("https://leetcode.com/problems/fraction-to-recurring-decimal", "Fraction to Recurring Decimal")</f>
        <v>Fraction to Recurring Decimal</v>
      </c>
      <c r="D167" s="7" t="s">
        <v>8</v>
      </c>
      <c r="E167" s="8" t="s">
        <v>18</v>
      </c>
      <c r="F167" s="9">
        <v>0.24</v>
      </c>
      <c r="G167" s="10"/>
      <c r="H167" s="1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4">
        <v>167.0</v>
      </c>
      <c r="B168" s="5"/>
      <c r="C168" s="6" t="str">
        <f>HYPERLINK("https://leetcode.com/problems/two-sum-ii-input-array-is-sorted", "Two Sum II - Input Array Is Sorted")</f>
        <v>Two Sum II - Input Array Is Sorted</v>
      </c>
      <c r="D168" s="7" t="s">
        <v>8</v>
      </c>
      <c r="E168" s="8" t="s">
        <v>96</v>
      </c>
      <c r="F168" s="9">
        <v>0.6</v>
      </c>
      <c r="G168" s="10"/>
      <c r="H168" s="1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4">
        <v>168.0</v>
      </c>
      <c r="B169" s="5"/>
      <c r="C169" s="6" t="str">
        <f>HYPERLINK("https://leetcode.com/problems/excel-sheet-column-title", "Excel Sheet Column Title")</f>
        <v>Excel Sheet Column Title</v>
      </c>
      <c r="D169" s="7" t="s">
        <v>6</v>
      </c>
      <c r="E169" s="8" t="s">
        <v>97</v>
      </c>
      <c r="F169" s="9">
        <v>0.34</v>
      </c>
      <c r="G169" s="10"/>
      <c r="H169" s="1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4">
        <v>169.0</v>
      </c>
      <c r="B170" s="5"/>
      <c r="C170" s="6" t="str">
        <f>HYPERLINK("https://leetcode.com/problems/majority-element", "Majority Element")</f>
        <v>Majority Element</v>
      </c>
      <c r="D170" s="7" t="s">
        <v>6</v>
      </c>
      <c r="E170" s="8" t="s">
        <v>98</v>
      </c>
      <c r="F170" s="9">
        <v>0.63</v>
      </c>
      <c r="G170" s="10"/>
      <c r="H170" s="1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1">
        <v>170.0</v>
      </c>
      <c r="B171" s="5"/>
      <c r="C171" s="12" t="str">
        <f>HYPERLINK("https://leetcode.com/problems/two-sum-iii-data-structure-design", "Two Sum III - Data structure design")</f>
        <v>Two Sum III - Data structure design</v>
      </c>
      <c r="D171" s="7" t="s">
        <v>6</v>
      </c>
      <c r="E171" s="8" t="s">
        <v>99</v>
      </c>
      <c r="F171" s="9">
        <v>0.37</v>
      </c>
      <c r="G171" s="10"/>
      <c r="H171" s="1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4">
        <v>171.0</v>
      </c>
      <c r="B172" s="5"/>
      <c r="C172" s="6" t="str">
        <f>HYPERLINK("https://leetcode.com/problems/excel-sheet-column-number", "Excel Sheet Column Number")</f>
        <v>Excel Sheet Column Number</v>
      </c>
      <c r="D172" s="7" t="s">
        <v>6</v>
      </c>
      <c r="E172" s="8" t="s">
        <v>97</v>
      </c>
      <c r="F172" s="9">
        <v>0.61</v>
      </c>
      <c r="G172" s="10"/>
      <c r="H172" s="1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4">
        <v>172.0</v>
      </c>
      <c r="B173" s="5"/>
      <c r="C173" s="6" t="str">
        <f>HYPERLINK("https://leetcode.com/problems/factorial-trailing-zeroes", "Factorial Trailing Zeroes")</f>
        <v>Factorial Trailing Zeroes</v>
      </c>
      <c r="D173" s="7" t="s">
        <v>8</v>
      </c>
      <c r="E173" s="8" t="s">
        <v>15</v>
      </c>
      <c r="F173" s="9">
        <v>0.41</v>
      </c>
      <c r="G173" s="10"/>
      <c r="H173" s="1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4">
        <v>173.0</v>
      </c>
      <c r="B174" s="5"/>
      <c r="C174" s="6" t="str">
        <f>HYPERLINK("https://leetcode.com/problems/binary-search-tree-iterator", "Binary Search Tree Iterator")</f>
        <v>Binary Search Tree Iterator</v>
      </c>
      <c r="D174" s="7" t="s">
        <v>8</v>
      </c>
      <c r="E174" s="8" t="s">
        <v>100</v>
      </c>
      <c r="F174" s="9">
        <v>0.69</v>
      </c>
      <c r="G174" s="10"/>
      <c r="H174" s="1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4">
        <v>174.0</v>
      </c>
      <c r="B175" s="5"/>
      <c r="C175" s="6" t="str">
        <f>HYPERLINK("https://leetcode.com/problems/dungeon-game", "Dungeon Game")</f>
        <v>Dungeon Game</v>
      </c>
      <c r="D175" s="7" t="s">
        <v>11</v>
      </c>
      <c r="E175" s="8" t="s">
        <v>47</v>
      </c>
      <c r="F175" s="9">
        <v>0.37</v>
      </c>
      <c r="G175" s="10"/>
      <c r="H175" s="1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4">
        <v>175.0</v>
      </c>
      <c r="B176" s="5"/>
      <c r="C176" s="6" t="str">
        <f>HYPERLINK("https://leetcode.com/problems/combine-two-tables", "Combine Two Tables")</f>
        <v>Combine Two Tables</v>
      </c>
      <c r="D176" s="7" t="s">
        <v>6</v>
      </c>
      <c r="E176" s="8" t="s">
        <v>101</v>
      </c>
      <c r="F176" s="9">
        <v>0.73</v>
      </c>
      <c r="G176" s="10"/>
      <c r="H176" s="1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4">
        <v>176.0</v>
      </c>
      <c r="B177" s="5"/>
      <c r="C177" s="6" t="str">
        <f>HYPERLINK("https://leetcode.com/problems/second-highest-salary", "Second Highest Salary")</f>
        <v>Second Highest Salary</v>
      </c>
      <c r="D177" s="7" t="s">
        <v>8</v>
      </c>
      <c r="E177" s="8" t="s">
        <v>101</v>
      </c>
      <c r="F177" s="9">
        <v>0.36</v>
      </c>
      <c r="G177" s="10"/>
      <c r="H177" s="1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4">
        <v>177.0</v>
      </c>
      <c r="B178" s="5"/>
      <c r="C178" s="6" t="str">
        <f>HYPERLINK("https://leetcode.com/problems/nth-highest-salary", "Nth Highest Salary")</f>
        <v>Nth Highest Salary</v>
      </c>
      <c r="D178" s="7" t="s">
        <v>8</v>
      </c>
      <c r="E178" s="8" t="s">
        <v>101</v>
      </c>
      <c r="F178" s="9">
        <v>0.37</v>
      </c>
      <c r="G178" s="10"/>
      <c r="H178" s="1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4">
        <v>178.0</v>
      </c>
      <c r="B179" s="5"/>
      <c r="C179" s="6" t="str">
        <f>HYPERLINK("https://leetcode.com/problems/rank-scores", "Rank Scores")</f>
        <v>Rank Scores</v>
      </c>
      <c r="D179" s="7" t="s">
        <v>8</v>
      </c>
      <c r="E179" s="8" t="s">
        <v>101</v>
      </c>
      <c r="F179" s="9">
        <v>0.6</v>
      </c>
      <c r="G179" s="10"/>
      <c r="H179" s="1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4">
        <v>179.0</v>
      </c>
      <c r="B180" s="5"/>
      <c r="C180" s="6" t="str">
        <f>HYPERLINK("https://leetcode.com/problems/largest-number", "Largest Number")</f>
        <v>Largest Number</v>
      </c>
      <c r="D180" s="7" t="s">
        <v>8</v>
      </c>
      <c r="E180" s="8" t="s">
        <v>102</v>
      </c>
      <c r="F180" s="9">
        <v>0.34</v>
      </c>
      <c r="G180" s="10"/>
      <c r="H180" s="1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4">
        <v>180.0</v>
      </c>
      <c r="B181" s="5"/>
      <c r="C181" s="6" t="str">
        <f>HYPERLINK("https://leetcode.com/problems/consecutive-numbers", "Consecutive Numbers")</f>
        <v>Consecutive Numbers</v>
      </c>
      <c r="D181" s="7" t="s">
        <v>8</v>
      </c>
      <c r="E181" s="8" t="s">
        <v>101</v>
      </c>
      <c r="F181" s="9">
        <v>0.46</v>
      </c>
      <c r="G181" s="10"/>
      <c r="H181" s="1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4">
        <v>181.0</v>
      </c>
      <c r="B182" s="5"/>
      <c r="C182" s="6" t="str">
        <f>HYPERLINK("https://leetcode.com/problems/employees-earning-more-than-their-managers", "Employees Earning More Than Their Managers")</f>
        <v>Employees Earning More Than Their Managers</v>
      </c>
      <c r="D182" s="7" t="s">
        <v>6</v>
      </c>
      <c r="E182" s="8" t="s">
        <v>101</v>
      </c>
      <c r="F182" s="9">
        <v>0.68</v>
      </c>
      <c r="G182" s="10"/>
      <c r="H182" s="1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4">
        <v>182.0</v>
      </c>
      <c r="B183" s="5"/>
      <c r="C183" s="6" t="str">
        <f>HYPERLINK("https://leetcode.com/problems/duplicate-emails", "Duplicate Emails")</f>
        <v>Duplicate Emails</v>
      </c>
      <c r="D183" s="7" t="s">
        <v>6</v>
      </c>
      <c r="E183" s="8" t="s">
        <v>101</v>
      </c>
      <c r="F183" s="9">
        <v>0.7</v>
      </c>
      <c r="G183" s="10"/>
      <c r="H183" s="1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4">
        <v>183.0</v>
      </c>
      <c r="B184" s="5"/>
      <c r="C184" s="6" t="str">
        <f>HYPERLINK("https://leetcode.com/problems/customers-who-never-order", "Customers Who Never Order")</f>
        <v>Customers Who Never Order</v>
      </c>
      <c r="D184" s="7" t="s">
        <v>6</v>
      </c>
      <c r="E184" s="8" t="s">
        <v>101</v>
      </c>
      <c r="F184" s="9">
        <v>0.68</v>
      </c>
      <c r="G184" s="10"/>
      <c r="H184" s="1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4">
        <v>184.0</v>
      </c>
      <c r="B185" s="5"/>
      <c r="C185" s="6" t="str">
        <f>HYPERLINK("https://leetcode.com/problems/department-highest-salary", "Department Highest Salary")</f>
        <v>Department Highest Salary</v>
      </c>
      <c r="D185" s="7" t="s">
        <v>8</v>
      </c>
      <c r="E185" s="8" t="s">
        <v>101</v>
      </c>
      <c r="F185" s="9">
        <v>0.49</v>
      </c>
      <c r="G185" s="10"/>
      <c r="H185" s="1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4">
        <v>185.0</v>
      </c>
      <c r="B186" s="5"/>
      <c r="C186" s="6" t="str">
        <f>HYPERLINK("https://leetcode.com/problems/department-top-three-salaries", "Department Top Three Salaries")</f>
        <v>Department Top Three Salaries</v>
      </c>
      <c r="D186" s="7" t="s">
        <v>11</v>
      </c>
      <c r="E186" s="8" t="s">
        <v>101</v>
      </c>
      <c r="F186" s="9">
        <v>0.5</v>
      </c>
      <c r="G186" s="10"/>
      <c r="H186" s="1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1">
        <v>186.0</v>
      </c>
      <c r="B187" s="5"/>
      <c r="C187" s="12" t="str">
        <f>HYPERLINK("https://leetcode.com/problems/reverse-words-in-a-string-ii", "Reverse Words in a String II")</f>
        <v>Reverse Words in a String II</v>
      </c>
      <c r="D187" s="7" t="s">
        <v>8</v>
      </c>
      <c r="E187" s="8" t="s">
        <v>75</v>
      </c>
      <c r="F187" s="9">
        <v>0.52</v>
      </c>
      <c r="G187" s="10"/>
      <c r="H187" s="1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4">
        <v>187.0</v>
      </c>
      <c r="B188" s="5"/>
      <c r="C188" s="6" t="str">
        <f>HYPERLINK("https://leetcode.com/problems/repeated-dna-sequences", "Repeated DNA Sequences")</f>
        <v>Repeated DNA Sequences</v>
      </c>
      <c r="D188" s="7" t="s">
        <v>8</v>
      </c>
      <c r="E188" s="8" t="s">
        <v>103</v>
      </c>
      <c r="F188" s="9">
        <v>0.46</v>
      </c>
      <c r="G188" s="10"/>
      <c r="H188" s="1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4">
        <v>188.0</v>
      </c>
      <c r="B189" s="5"/>
      <c r="C189" s="6" t="str">
        <f>HYPERLINK("https://leetcode.com/problems/best-time-to-buy-and-sell-stock-iv", "Best Time to Buy and Sell Stock IV")</f>
        <v>Best Time to Buy and Sell Stock IV</v>
      </c>
      <c r="D189" s="7" t="s">
        <v>11</v>
      </c>
      <c r="E189" s="8" t="s">
        <v>73</v>
      </c>
      <c r="F189" s="9">
        <v>0.38</v>
      </c>
      <c r="G189" s="10"/>
      <c r="H189" s="1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4">
        <v>189.0</v>
      </c>
      <c r="B190" s="5"/>
      <c r="C190" s="6" t="str">
        <f>HYPERLINK("https://leetcode.com/problems/rotate-array", "Rotate Array")</f>
        <v>Rotate Array</v>
      </c>
      <c r="D190" s="7" t="s">
        <v>8</v>
      </c>
      <c r="E190" s="8" t="s">
        <v>104</v>
      </c>
      <c r="F190" s="9">
        <v>0.39</v>
      </c>
      <c r="G190" s="10"/>
      <c r="H190" s="1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4">
        <v>190.0</v>
      </c>
      <c r="B191" s="5"/>
      <c r="C191" s="6" t="str">
        <f>HYPERLINK("https://leetcode.com/problems/reverse-bits", "Reverse Bits")</f>
        <v>Reverse Bits</v>
      </c>
      <c r="D191" s="7" t="s">
        <v>6</v>
      </c>
      <c r="E191" s="8" t="s">
        <v>105</v>
      </c>
      <c r="F191" s="9">
        <v>0.52</v>
      </c>
      <c r="G191" s="10"/>
      <c r="H191" s="1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4">
        <v>191.0</v>
      </c>
      <c r="B192" s="5"/>
      <c r="C192" s="6" t="str">
        <f>HYPERLINK("https://leetcode.com/problems/number-of-1-bits", "Number of 1 Bits")</f>
        <v>Number of 1 Bits</v>
      </c>
      <c r="D192" s="7" t="s">
        <v>6</v>
      </c>
      <c r="E192" s="8" t="s">
        <v>105</v>
      </c>
      <c r="F192" s="9">
        <v>0.65</v>
      </c>
      <c r="G192" s="10"/>
      <c r="H192" s="1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4">
        <v>192.0</v>
      </c>
      <c r="B193" s="5"/>
      <c r="C193" s="6" t="str">
        <f>HYPERLINK("https://leetcode.com/problems/word-frequency", "Word Frequency")</f>
        <v>Word Frequency</v>
      </c>
      <c r="D193" s="7" t="s">
        <v>8</v>
      </c>
      <c r="E193" s="8" t="s">
        <v>106</v>
      </c>
      <c r="F193" s="9">
        <v>0.25</v>
      </c>
      <c r="G193" s="10"/>
      <c r="H193" s="1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4">
        <v>193.0</v>
      </c>
      <c r="B194" s="5"/>
      <c r="C194" s="6" t="str">
        <f>HYPERLINK("https://leetcode.com/problems/valid-phone-numbers", "Valid Phone Numbers")</f>
        <v>Valid Phone Numbers</v>
      </c>
      <c r="D194" s="7" t="s">
        <v>6</v>
      </c>
      <c r="E194" s="8" t="s">
        <v>106</v>
      </c>
      <c r="F194" s="9">
        <v>0.26</v>
      </c>
      <c r="G194" s="10"/>
      <c r="H194" s="1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4">
        <v>194.0</v>
      </c>
      <c r="B195" s="5"/>
      <c r="C195" s="6" t="str">
        <f>HYPERLINK("https://leetcode.com/problems/transpose-file", "Transpose File")</f>
        <v>Transpose File</v>
      </c>
      <c r="D195" s="7" t="s">
        <v>8</v>
      </c>
      <c r="E195" s="8" t="s">
        <v>106</v>
      </c>
      <c r="F195" s="9">
        <v>0.25</v>
      </c>
      <c r="G195" s="10"/>
      <c r="H195" s="1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4">
        <v>195.0</v>
      </c>
      <c r="B196" s="5"/>
      <c r="C196" s="6" t="str">
        <f>HYPERLINK("https://leetcode.com/problems/tenth-line", "Tenth Line")</f>
        <v>Tenth Line</v>
      </c>
      <c r="D196" s="7" t="s">
        <v>6</v>
      </c>
      <c r="E196" s="8" t="s">
        <v>106</v>
      </c>
      <c r="F196" s="9">
        <v>0.32</v>
      </c>
      <c r="G196" s="10"/>
      <c r="H196" s="1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4">
        <v>196.0</v>
      </c>
      <c r="B197" s="5"/>
      <c r="C197" s="6" t="str">
        <f>HYPERLINK("https://leetcode.com/problems/delete-duplicate-emails", "Delete Duplicate Emails")</f>
        <v>Delete Duplicate Emails</v>
      </c>
      <c r="D197" s="7" t="s">
        <v>6</v>
      </c>
      <c r="E197" s="8" t="s">
        <v>101</v>
      </c>
      <c r="F197" s="9">
        <v>0.59</v>
      </c>
      <c r="G197" s="10"/>
      <c r="H197" s="1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4">
        <v>197.0</v>
      </c>
      <c r="B198" s="5"/>
      <c r="C198" s="6" t="str">
        <f>HYPERLINK("https://leetcode.com/problems/rising-temperature", "Rising Temperature")</f>
        <v>Rising Temperature</v>
      </c>
      <c r="D198" s="7" t="s">
        <v>6</v>
      </c>
      <c r="E198" s="8" t="s">
        <v>101</v>
      </c>
      <c r="F198" s="9">
        <v>0.44</v>
      </c>
      <c r="G198" s="10"/>
      <c r="H198" s="1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4">
        <v>198.0</v>
      </c>
      <c r="B199" s="5"/>
      <c r="C199" s="6" t="str">
        <f>HYPERLINK("https://leetcode.com/problems/house-robber", "House Robber")</f>
        <v>House Robber</v>
      </c>
      <c r="D199" s="7" t="s">
        <v>8</v>
      </c>
      <c r="E199" s="8" t="s">
        <v>73</v>
      </c>
      <c r="F199" s="9">
        <v>0.49</v>
      </c>
      <c r="G199" s="10"/>
      <c r="H199" s="1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4">
        <v>199.0</v>
      </c>
      <c r="B200" s="5"/>
      <c r="C200" s="6" t="str">
        <f>HYPERLINK("https://leetcode.com/problems/binary-tree-right-side-view", "Binary Tree Right Side View")</f>
        <v>Binary Tree Right Side View</v>
      </c>
      <c r="D200" s="7" t="s">
        <v>8</v>
      </c>
      <c r="E200" s="8" t="s">
        <v>64</v>
      </c>
      <c r="F200" s="9">
        <v>0.61</v>
      </c>
      <c r="G200" s="10"/>
      <c r="H200" s="1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4">
        <v>200.0</v>
      </c>
      <c r="B201" s="5"/>
      <c r="C201" s="6" t="str">
        <f>HYPERLINK("https://leetcode.com/problems/number-of-islands", "Number of Islands")</f>
        <v>Number of Islands</v>
      </c>
      <c r="D201" s="7" t="s">
        <v>8</v>
      </c>
      <c r="E201" s="8" t="s">
        <v>79</v>
      </c>
      <c r="F201" s="9">
        <v>0.56</v>
      </c>
      <c r="G201" s="10"/>
      <c r="H201" s="1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4">
        <v>201.0</v>
      </c>
      <c r="B202" s="5"/>
      <c r="C202" s="6" t="str">
        <f>HYPERLINK("https://leetcode.com/problems/bitwise-and-of-numbers-range", "Bitwise AND of Numbers Range")</f>
        <v>Bitwise AND of Numbers Range</v>
      </c>
      <c r="D202" s="7" t="s">
        <v>8</v>
      </c>
      <c r="E202" s="8" t="s">
        <v>107</v>
      </c>
      <c r="F202" s="9">
        <v>0.42</v>
      </c>
      <c r="G202" s="10"/>
      <c r="H202" s="1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4">
        <v>202.0</v>
      </c>
      <c r="B203" s="5"/>
      <c r="C203" s="6" t="str">
        <f>HYPERLINK("https://leetcode.com/problems/happy-number", "Happy Number")</f>
        <v>Happy Number</v>
      </c>
      <c r="D203" s="7" t="s">
        <v>6</v>
      </c>
      <c r="E203" s="8" t="s">
        <v>108</v>
      </c>
      <c r="F203" s="9">
        <v>0.54</v>
      </c>
      <c r="G203" s="10"/>
      <c r="H203" s="1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4">
        <v>203.0</v>
      </c>
      <c r="B204" s="5"/>
      <c r="C204" s="6" t="str">
        <f>HYPERLINK("https://leetcode.com/problems/remove-linked-list-elements", "Remove Linked List Elements")</f>
        <v>Remove Linked List Elements</v>
      </c>
      <c r="D204" s="7" t="s">
        <v>6</v>
      </c>
      <c r="E204" s="8" t="s">
        <v>23</v>
      </c>
      <c r="F204" s="9">
        <v>0.45</v>
      </c>
      <c r="G204" s="10"/>
      <c r="H204" s="1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4">
        <v>204.0</v>
      </c>
      <c r="B205" s="5"/>
      <c r="C205" s="6" t="str">
        <f>HYPERLINK("https://leetcode.com/problems/count-primes", "Count Primes")</f>
        <v>Count Primes</v>
      </c>
      <c r="D205" s="7" t="s">
        <v>8</v>
      </c>
      <c r="E205" s="8" t="s">
        <v>109</v>
      </c>
      <c r="F205" s="9">
        <v>0.33</v>
      </c>
      <c r="G205" s="10"/>
      <c r="H205" s="1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4">
        <v>205.0</v>
      </c>
      <c r="B206" s="5"/>
      <c r="C206" s="6" t="str">
        <f>HYPERLINK("https://leetcode.com/problems/isomorphic-strings", "Isomorphic Strings")</f>
        <v>Isomorphic Strings</v>
      </c>
      <c r="D206" s="7" t="s">
        <v>6</v>
      </c>
      <c r="E206" s="8" t="s">
        <v>110</v>
      </c>
      <c r="F206" s="9">
        <v>0.42</v>
      </c>
      <c r="G206" s="10"/>
      <c r="H206" s="1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4">
        <v>206.0</v>
      </c>
      <c r="B207" s="5"/>
      <c r="C207" s="6" t="str">
        <f>HYPERLINK("https://leetcode.com/problems/reverse-linked-list", "Reverse Linked List")</f>
        <v>Reverse Linked List</v>
      </c>
      <c r="D207" s="7" t="s">
        <v>6</v>
      </c>
      <c r="E207" s="8" t="s">
        <v>23</v>
      </c>
      <c r="F207" s="9">
        <v>0.72</v>
      </c>
      <c r="G207" s="10"/>
      <c r="H207" s="1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4">
        <v>207.0</v>
      </c>
      <c r="B208" s="5"/>
      <c r="C208" s="6" t="str">
        <f>HYPERLINK("https://leetcode.com/problems/course-schedule", "Course Schedule")</f>
        <v>Course Schedule</v>
      </c>
      <c r="D208" s="7" t="s">
        <v>8</v>
      </c>
      <c r="E208" s="8" t="s">
        <v>111</v>
      </c>
      <c r="F208" s="9">
        <v>0.45</v>
      </c>
      <c r="G208" s="10"/>
      <c r="H208" s="1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4">
        <v>208.0</v>
      </c>
      <c r="B209" s="5"/>
      <c r="C209" s="6" t="str">
        <f>HYPERLINK("https://leetcode.com/problems/implement-trie-prefix-tree", "Implement Trie (Prefix Tree)")</f>
        <v>Implement Trie (Prefix Tree)</v>
      </c>
      <c r="D209" s="7" t="s">
        <v>8</v>
      </c>
      <c r="E209" s="8" t="s">
        <v>112</v>
      </c>
      <c r="F209" s="9">
        <v>0.61</v>
      </c>
      <c r="G209" s="10"/>
      <c r="H209" s="1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4">
        <v>209.0</v>
      </c>
      <c r="B210" s="5"/>
      <c r="C210" s="6" t="str">
        <f>HYPERLINK("https://leetcode.com/problems/minimum-size-subarray-sum", "Minimum Size Subarray Sum")</f>
        <v>Minimum Size Subarray Sum</v>
      </c>
      <c r="D210" s="7" t="s">
        <v>8</v>
      </c>
      <c r="E210" s="8" t="s">
        <v>113</v>
      </c>
      <c r="F210" s="9">
        <v>0.44</v>
      </c>
      <c r="G210" s="10"/>
      <c r="H210" s="1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4">
        <v>210.0</v>
      </c>
      <c r="B211" s="5"/>
      <c r="C211" s="6" t="str">
        <f>HYPERLINK("https://leetcode.com/problems/course-schedule-ii", "Course Schedule II")</f>
        <v>Course Schedule II</v>
      </c>
      <c r="D211" s="7" t="s">
        <v>8</v>
      </c>
      <c r="E211" s="8" t="s">
        <v>111</v>
      </c>
      <c r="F211" s="9">
        <v>0.48</v>
      </c>
      <c r="G211" s="10"/>
      <c r="H211" s="1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4">
        <v>211.0</v>
      </c>
      <c r="B212" s="5"/>
      <c r="C212" s="6" t="str">
        <f>HYPERLINK("https://leetcode.com/problems/design-add-and-search-words-data-structure", "Design Add and Search Words Data Structure")</f>
        <v>Design Add and Search Words Data Structure</v>
      </c>
      <c r="D212" s="7" t="s">
        <v>8</v>
      </c>
      <c r="E212" s="8" t="s">
        <v>114</v>
      </c>
      <c r="F212" s="9">
        <v>0.42</v>
      </c>
      <c r="G212" s="10"/>
      <c r="H212" s="1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4">
        <v>212.0</v>
      </c>
      <c r="B213" s="5"/>
      <c r="C213" s="6" t="str">
        <f>HYPERLINK("https://leetcode.com/problems/word-search-ii", "Word Search II")</f>
        <v>Word Search II</v>
      </c>
      <c r="D213" s="7" t="s">
        <v>11</v>
      </c>
      <c r="E213" s="8" t="s">
        <v>115</v>
      </c>
      <c r="F213" s="9">
        <v>0.36</v>
      </c>
      <c r="G213" s="10"/>
      <c r="H213" s="1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4">
        <v>213.0</v>
      </c>
      <c r="B214" s="5"/>
      <c r="C214" s="6" t="str">
        <f>HYPERLINK("https://leetcode.com/problems/house-robber-ii", "House Robber II")</f>
        <v>House Robber II</v>
      </c>
      <c r="D214" s="7" t="s">
        <v>8</v>
      </c>
      <c r="E214" s="8" t="s">
        <v>73</v>
      </c>
      <c r="F214" s="9">
        <v>0.4</v>
      </c>
      <c r="G214" s="10"/>
      <c r="H214" s="1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4">
        <v>214.0</v>
      </c>
      <c r="B215" s="5"/>
      <c r="C215" s="6" t="str">
        <f>HYPERLINK("https://leetcode.com/problems/shortest-palindrome", "Shortest Palindrome")</f>
        <v>Shortest Palindrome</v>
      </c>
      <c r="D215" s="7" t="s">
        <v>11</v>
      </c>
      <c r="E215" s="8" t="s">
        <v>116</v>
      </c>
      <c r="F215" s="9">
        <v>0.32</v>
      </c>
      <c r="G215" s="10"/>
      <c r="H215" s="1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4">
        <v>215.0</v>
      </c>
      <c r="B216" s="5"/>
      <c r="C216" s="6" t="str">
        <f>HYPERLINK("https://leetcode.com/problems/kth-largest-element-in-an-array", "Kth Largest Element in an Array")</f>
        <v>Kth Largest Element in an Array</v>
      </c>
      <c r="D216" s="7" t="s">
        <v>8</v>
      </c>
      <c r="E216" s="8" t="s">
        <v>117</v>
      </c>
      <c r="F216" s="9">
        <v>0.65</v>
      </c>
      <c r="G216" s="10"/>
      <c r="H216" s="1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4">
        <v>216.0</v>
      </c>
      <c r="B217" s="5"/>
      <c r="C217" s="6" t="str">
        <f>HYPERLINK("https://leetcode.com/problems/combination-sum-iii", "Combination Sum III")</f>
        <v>Combination Sum III</v>
      </c>
      <c r="D217" s="7" t="s">
        <v>8</v>
      </c>
      <c r="E217" s="8" t="s">
        <v>33</v>
      </c>
      <c r="F217" s="9">
        <v>0.67</v>
      </c>
      <c r="G217" s="10"/>
      <c r="H217" s="1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4">
        <v>217.0</v>
      </c>
      <c r="B218" s="5"/>
      <c r="C218" s="6" t="str">
        <f>HYPERLINK("https://leetcode.com/problems/contains-duplicate", "Contains Duplicate")</f>
        <v>Contains Duplicate</v>
      </c>
      <c r="D218" s="7" t="s">
        <v>6</v>
      </c>
      <c r="E218" s="8" t="s">
        <v>118</v>
      </c>
      <c r="F218" s="9">
        <v>0.61</v>
      </c>
      <c r="G218" s="10"/>
      <c r="H218" s="1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4">
        <v>218.0</v>
      </c>
      <c r="B219" s="5"/>
      <c r="C219" s="6" t="str">
        <f>HYPERLINK("https://leetcode.com/problems/the-skyline-problem", "The Skyline Problem")</f>
        <v>The Skyline Problem</v>
      </c>
      <c r="D219" s="7" t="s">
        <v>11</v>
      </c>
      <c r="E219" s="8" t="s">
        <v>119</v>
      </c>
      <c r="F219" s="9">
        <v>0.41</v>
      </c>
      <c r="G219" s="10"/>
      <c r="H219" s="1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4">
        <v>219.0</v>
      </c>
      <c r="B220" s="5"/>
      <c r="C220" s="6" t="str">
        <f>HYPERLINK("https://leetcode.com/problems/contains-duplicate-ii", "Contains Duplicate II")</f>
        <v>Contains Duplicate II</v>
      </c>
      <c r="D220" s="7" t="s">
        <v>6</v>
      </c>
      <c r="E220" s="8" t="s">
        <v>120</v>
      </c>
      <c r="F220" s="9">
        <v>0.42</v>
      </c>
      <c r="G220" s="10"/>
      <c r="H220" s="1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4">
        <v>220.0</v>
      </c>
      <c r="B221" s="5"/>
      <c r="C221" s="6" t="str">
        <f>HYPERLINK("https://leetcode.com/problems/contains-duplicate-iii", "Contains Duplicate III")</f>
        <v>Contains Duplicate III</v>
      </c>
      <c r="D221" s="7" t="s">
        <v>11</v>
      </c>
      <c r="E221" s="8" t="s">
        <v>121</v>
      </c>
      <c r="F221" s="9">
        <v>0.22</v>
      </c>
      <c r="G221" s="10"/>
      <c r="H221" s="1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4">
        <v>221.0</v>
      </c>
      <c r="B222" s="5"/>
      <c r="C222" s="6" t="str">
        <f>HYPERLINK("https://leetcode.com/problems/maximal-square", "Maximal Square")</f>
        <v>Maximal Square</v>
      </c>
      <c r="D222" s="7" t="s">
        <v>8</v>
      </c>
      <c r="E222" s="8" t="s">
        <v>47</v>
      </c>
      <c r="F222" s="9">
        <v>0.44</v>
      </c>
      <c r="G222" s="10"/>
      <c r="H222" s="1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4">
        <v>222.0</v>
      </c>
      <c r="B223" s="5"/>
      <c r="C223" s="6" t="str">
        <f>HYPERLINK("https://leetcode.com/problems/count-complete-tree-nodes", "Count Complete Tree Nodes")</f>
        <v>Count Complete Tree Nodes</v>
      </c>
      <c r="D223" s="7" t="s">
        <v>8</v>
      </c>
      <c r="E223" s="8" t="s">
        <v>122</v>
      </c>
      <c r="F223" s="9">
        <v>0.59</v>
      </c>
      <c r="G223" s="10"/>
      <c r="H223" s="1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4">
        <v>223.0</v>
      </c>
      <c r="B224" s="5"/>
      <c r="C224" s="6" t="str">
        <f>HYPERLINK("https://leetcode.com/problems/rectangle-area", "Rectangle Area")</f>
        <v>Rectangle Area</v>
      </c>
      <c r="D224" s="7" t="s">
        <v>8</v>
      </c>
      <c r="E224" s="8" t="s">
        <v>123</v>
      </c>
      <c r="F224" s="9">
        <v>0.44</v>
      </c>
      <c r="G224" s="10"/>
      <c r="H224" s="1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4">
        <v>224.0</v>
      </c>
      <c r="B225" s="5"/>
      <c r="C225" s="6" t="str">
        <f>HYPERLINK("https://leetcode.com/problems/basic-calculator", "Basic Calculator")</f>
        <v>Basic Calculator</v>
      </c>
      <c r="D225" s="7" t="s">
        <v>11</v>
      </c>
      <c r="E225" s="8" t="s">
        <v>124</v>
      </c>
      <c r="F225" s="9">
        <v>0.42</v>
      </c>
      <c r="G225" s="10"/>
      <c r="H225" s="1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4">
        <v>225.0</v>
      </c>
      <c r="B226" s="5"/>
      <c r="C226" s="6" t="str">
        <f>HYPERLINK("https://leetcode.com/problems/implement-stack-using-queues", "Implement Stack using Queues")</f>
        <v>Implement Stack using Queues</v>
      </c>
      <c r="D226" s="7" t="s">
        <v>6</v>
      </c>
      <c r="E226" s="8" t="s">
        <v>125</v>
      </c>
      <c r="F226" s="9">
        <v>0.57</v>
      </c>
      <c r="G226" s="10"/>
      <c r="H226" s="1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4">
        <v>226.0</v>
      </c>
      <c r="B227" s="5"/>
      <c r="C227" s="6" t="str">
        <f>HYPERLINK("https://leetcode.com/problems/invert-binary-tree", "Invert Binary Tree")</f>
        <v>Invert Binary Tree</v>
      </c>
      <c r="D227" s="7" t="s">
        <v>6</v>
      </c>
      <c r="E227" s="8" t="s">
        <v>64</v>
      </c>
      <c r="F227" s="9">
        <v>0.73</v>
      </c>
      <c r="G227" s="10"/>
      <c r="H227" s="1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4">
        <v>227.0</v>
      </c>
      <c r="B228" s="5"/>
      <c r="C228" s="6" t="str">
        <f>HYPERLINK("https://leetcode.com/problems/basic-calculator-ii", "Basic Calculator II")</f>
        <v>Basic Calculator II</v>
      </c>
      <c r="D228" s="7" t="s">
        <v>8</v>
      </c>
      <c r="E228" s="8" t="s">
        <v>126</v>
      </c>
      <c r="F228" s="9">
        <v>0.42</v>
      </c>
      <c r="G228" s="10"/>
      <c r="H228" s="1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4">
        <v>228.0</v>
      </c>
      <c r="B229" s="5"/>
      <c r="C229" s="6" t="str">
        <f>HYPERLINK("https://leetcode.com/problems/summary-ranges", "Summary Ranges")</f>
        <v>Summary Ranges</v>
      </c>
      <c r="D229" s="7" t="s">
        <v>6</v>
      </c>
      <c r="E229" s="8" t="s">
        <v>45</v>
      </c>
      <c r="F229" s="9">
        <v>0.46</v>
      </c>
      <c r="G229" s="10"/>
      <c r="H229" s="1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4">
        <v>229.0</v>
      </c>
      <c r="B230" s="5"/>
      <c r="C230" s="6" t="str">
        <f>HYPERLINK("https://leetcode.com/problems/majority-element-ii", "Majority Element II")</f>
        <v>Majority Element II</v>
      </c>
      <c r="D230" s="7" t="s">
        <v>8</v>
      </c>
      <c r="E230" s="8" t="s">
        <v>127</v>
      </c>
      <c r="F230" s="9">
        <v>0.44</v>
      </c>
      <c r="G230" s="10"/>
      <c r="H230" s="1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4">
        <v>230.0</v>
      </c>
      <c r="B231" s="5"/>
      <c r="C231" s="6" t="str">
        <f>HYPERLINK("https://leetcode.com/problems/kth-smallest-element-in-a-bst", "Kth Smallest Element in a BST")</f>
        <v>Kth Smallest Element in a BST</v>
      </c>
      <c r="D231" s="7" t="s">
        <v>8</v>
      </c>
      <c r="E231" s="8" t="s">
        <v>63</v>
      </c>
      <c r="F231" s="9">
        <v>0.69</v>
      </c>
      <c r="G231" s="10"/>
      <c r="H231" s="1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4">
        <v>231.0</v>
      </c>
      <c r="B232" s="5"/>
      <c r="C232" s="6" t="str">
        <f>HYPERLINK("https://leetcode.com/problems/power-of-two", "Power of Two")</f>
        <v>Power of Two</v>
      </c>
      <c r="D232" s="7" t="s">
        <v>6</v>
      </c>
      <c r="E232" s="8" t="s">
        <v>128</v>
      </c>
      <c r="F232" s="9">
        <v>0.45</v>
      </c>
      <c r="G232" s="10"/>
      <c r="H232" s="1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4">
        <v>232.0</v>
      </c>
      <c r="B233" s="5"/>
      <c r="C233" s="6" t="str">
        <f>HYPERLINK("https://leetcode.com/problems/implement-queue-using-stacks", "Implement Queue using Stacks")</f>
        <v>Implement Queue using Stacks</v>
      </c>
      <c r="D233" s="7" t="s">
        <v>6</v>
      </c>
      <c r="E233" s="8" t="s">
        <v>125</v>
      </c>
      <c r="F233" s="9">
        <v>0.62</v>
      </c>
      <c r="G233" s="10"/>
      <c r="H233" s="1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4">
        <v>233.0</v>
      </c>
      <c r="B234" s="5"/>
      <c r="C234" s="6" t="str">
        <f>HYPERLINK("https://leetcode.com/problems/number-of-digit-one", "Number of Digit One")</f>
        <v>Number of Digit One</v>
      </c>
      <c r="D234" s="7" t="s">
        <v>11</v>
      </c>
      <c r="E234" s="8" t="s">
        <v>129</v>
      </c>
      <c r="F234" s="9">
        <v>0.34</v>
      </c>
      <c r="G234" s="10"/>
      <c r="H234" s="1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4">
        <v>234.0</v>
      </c>
      <c r="B235" s="5"/>
      <c r="C235" s="6" t="str">
        <f>HYPERLINK("https://leetcode.com/problems/palindrome-linked-list", "Palindrome Linked List")</f>
        <v>Palindrome Linked List</v>
      </c>
      <c r="D235" s="7" t="s">
        <v>6</v>
      </c>
      <c r="E235" s="8" t="s">
        <v>87</v>
      </c>
      <c r="F235" s="9">
        <v>0.49</v>
      </c>
      <c r="G235" s="10"/>
      <c r="H235" s="1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4">
        <v>235.0</v>
      </c>
      <c r="B236" s="5"/>
      <c r="C236" s="6" t="str">
        <f>HYPERLINK("https://leetcode.com/problems/lowest-common-ancestor-of-a-binary-search-tree", "Lowest Common Ancestor of a Binary Search Tree")</f>
        <v>Lowest Common Ancestor of a Binary Search Tree</v>
      </c>
      <c r="D236" s="7" t="s">
        <v>8</v>
      </c>
      <c r="E236" s="8" t="s">
        <v>63</v>
      </c>
      <c r="F236" s="9">
        <v>0.6</v>
      </c>
      <c r="G236" s="10"/>
      <c r="H236" s="1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4">
        <v>236.0</v>
      </c>
      <c r="B237" s="5"/>
      <c r="C237" s="6" t="str">
        <f>HYPERLINK("https://leetcode.com/problems/lowest-common-ancestor-of-a-binary-tree", "Lowest Common Ancestor of a Binary Tree")</f>
        <v>Lowest Common Ancestor of a Binary Tree</v>
      </c>
      <c r="D237" s="7" t="s">
        <v>8</v>
      </c>
      <c r="E237" s="8" t="s">
        <v>69</v>
      </c>
      <c r="F237" s="9">
        <v>0.58</v>
      </c>
      <c r="G237" s="10"/>
      <c r="H237" s="1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4">
        <v>237.0</v>
      </c>
      <c r="B238" s="5"/>
      <c r="C238" s="6" t="str">
        <f>HYPERLINK("https://leetcode.com/problems/delete-node-in-a-linked-list", "Delete Node in a Linked List")</f>
        <v>Delete Node in a Linked List</v>
      </c>
      <c r="D238" s="7" t="s">
        <v>8</v>
      </c>
      <c r="E238" s="8" t="s">
        <v>55</v>
      </c>
      <c r="F238" s="9">
        <v>0.75</v>
      </c>
      <c r="G238" s="10"/>
      <c r="H238" s="1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4">
        <v>238.0</v>
      </c>
      <c r="B239" s="5"/>
      <c r="C239" s="6" t="str">
        <f>HYPERLINK("https://leetcode.com/problems/product-of-array-except-self", "Product of Array Except Self")</f>
        <v>Product of Array Except Self</v>
      </c>
      <c r="D239" s="7" t="s">
        <v>8</v>
      </c>
      <c r="E239" s="8" t="s">
        <v>130</v>
      </c>
      <c r="F239" s="9">
        <v>0.64</v>
      </c>
      <c r="G239" s="10"/>
      <c r="H239" s="1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4">
        <v>239.0</v>
      </c>
      <c r="B240" s="5"/>
      <c r="C240" s="6" t="str">
        <f>HYPERLINK("https://leetcode.com/problems/sliding-window-maximum", "Sliding Window Maximum")</f>
        <v>Sliding Window Maximum</v>
      </c>
      <c r="D240" s="7" t="s">
        <v>11</v>
      </c>
      <c r="E240" s="8" t="s">
        <v>131</v>
      </c>
      <c r="F240" s="9">
        <v>0.46</v>
      </c>
      <c r="G240" s="10"/>
      <c r="H240" s="1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4">
        <v>240.0</v>
      </c>
      <c r="B241" s="5"/>
      <c r="C241" s="6" t="str">
        <f>HYPERLINK("https://leetcode.com/problems/search-a-2d-matrix-ii", "Search a 2D Matrix II")</f>
        <v>Search a 2D Matrix II</v>
      </c>
      <c r="D241" s="7" t="s">
        <v>8</v>
      </c>
      <c r="E241" s="8" t="s">
        <v>132</v>
      </c>
      <c r="F241" s="9">
        <v>0.5</v>
      </c>
      <c r="G241" s="10"/>
      <c r="H241" s="1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4">
        <v>241.0</v>
      </c>
      <c r="B242" s="5"/>
      <c r="C242" s="6" t="str">
        <f>HYPERLINK("https://leetcode.com/problems/different-ways-to-add-parentheses", "Different Ways to Add Parentheses")</f>
        <v>Different Ways to Add Parentheses</v>
      </c>
      <c r="D242" s="7" t="s">
        <v>8</v>
      </c>
      <c r="E242" s="8" t="s">
        <v>133</v>
      </c>
      <c r="F242" s="9">
        <v>0.63</v>
      </c>
      <c r="G242" s="10"/>
      <c r="H242" s="1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4">
        <v>242.0</v>
      </c>
      <c r="B243" s="5"/>
      <c r="C243" s="6" t="str">
        <f>HYPERLINK("https://leetcode.com/problems/valid-anagram", "Valid Anagram")</f>
        <v>Valid Anagram</v>
      </c>
      <c r="D243" s="7" t="s">
        <v>6</v>
      </c>
      <c r="E243" s="8" t="s">
        <v>134</v>
      </c>
      <c r="F243" s="9">
        <v>0.62</v>
      </c>
      <c r="G243" s="10"/>
      <c r="H243" s="1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1">
        <v>243.0</v>
      </c>
      <c r="B244" s="5"/>
      <c r="C244" s="12" t="str">
        <f>HYPERLINK("https://leetcode.com/problems/shortest-word-distance", "Shortest Word Distance")</f>
        <v>Shortest Word Distance</v>
      </c>
      <c r="D244" s="7" t="s">
        <v>6</v>
      </c>
      <c r="E244" s="8" t="s">
        <v>135</v>
      </c>
      <c r="F244" s="9">
        <v>0.64</v>
      </c>
      <c r="G244" s="10"/>
      <c r="H244" s="1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1">
        <v>244.0</v>
      </c>
      <c r="B245" s="5"/>
      <c r="C245" s="12" t="str">
        <f>HYPERLINK("https://leetcode.com/problems/shortest-word-distance-ii", "Shortest Word Distance II")</f>
        <v>Shortest Word Distance II</v>
      </c>
      <c r="D245" s="7" t="s">
        <v>8</v>
      </c>
      <c r="E245" s="8" t="s">
        <v>136</v>
      </c>
      <c r="F245" s="9">
        <v>0.6</v>
      </c>
      <c r="G245" s="10"/>
      <c r="H245" s="1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1">
        <v>245.0</v>
      </c>
      <c r="B246" s="5"/>
      <c r="C246" s="12" t="str">
        <f>HYPERLINK("https://leetcode.com/problems/shortest-word-distance-iii", "Shortest Word Distance III")</f>
        <v>Shortest Word Distance III</v>
      </c>
      <c r="D246" s="7" t="s">
        <v>8</v>
      </c>
      <c r="E246" s="8" t="s">
        <v>135</v>
      </c>
      <c r="F246" s="9">
        <v>0.57</v>
      </c>
      <c r="G246" s="10"/>
      <c r="H246" s="1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1">
        <v>246.0</v>
      </c>
      <c r="B247" s="5"/>
      <c r="C247" s="12" t="str">
        <f>HYPERLINK("https://leetcode.com/problems/strobogrammatic-number", "Strobogrammatic Number")</f>
        <v>Strobogrammatic Number</v>
      </c>
      <c r="D247" s="7" t="s">
        <v>6</v>
      </c>
      <c r="E247" s="8" t="s">
        <v>137</v>
      </c>
      <c r="F247" s="9">
        <v>0.47</v>
      </c>
      <c r="G247" s="10"/>
      <c r="H247" s="1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1">
        <v>247.0</v>
      </c>
      <c r="B248" s="5"/>
      <c r="C248" s="12" t="str">
        <f>HYPERLINK("https://leetcode.com/problems/strobogrammatic-number-ii", "Strobogrammatic Number II")</f>
        <v>Strobogrammatic Number II</v>
      </c>
      <c r="D248" s="7" t="s">
        <v>8</v>
      </c>
      <c r="E248" s="8" t="s">
        <v>138</v>
      </c>
      <c r="F248" s="9">
        <v>0.51</v>
      </c>
      <c r="G248" s="10"/>
      <c r="H248" s="1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1">
        <v>248.0</v>
      </c>
      <c r="B249" s="5"/>
      <c r="C249" s="12" t="str">
        <f>HYPERLINK("https://leetcode.com/problems/strobogrammatic-number-iii", "Strobogrammatic Number III")</f>
        <v>Strobogrammatic Number III</v>
      </c>
      <c r="D249" s="7" t="s">
        <v>11</v>
      </c>
      <c r="E249" s="8" t="s">
        <v>138</v>
      </c>
      <c r="F249" s="9">
        <v>0.41</v>
      </c>
      <c r="G249" s="10"/>
      <c r="H249" s="1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1">
        <v>249.0</v>
      </c>
      <c r="B250" s="5"/>
      <c r="C250" s="12" t="str">
        <f>HYPERLINK("https://leetcode.com/problems/group-shifted-strings", "Group Shifted Strings")</f>
        <v>Group Shifted Strings</v>
      </c>
      <c r="D250" s="7" t="s">
        <v>8</v>
      </c>
      <c r="E250" s="8" t="s">
        <v>139</v>
      </c>
      <c r="F250" s="9">
        <v>0.64</v>
      </c>
      <c r="G250" s="10"/>
      <c r="H250" s="1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1">
        <v>250.0</v>
      </c>
      <c r="B251" s="5"/>
      <c r="C251" s="12" t="str">
        <f>HYPERLINK("https://leetcode.com/problems/count-univalue-subtrees", "Count Univalue Subtrees")</f>
        <v>Count Univalue Subtrees</v>
      </c>
      <c r="D251" s="7" t="s">
        <v>8</v>
      </c>
      <c r="E251" s="8" t="s">
        <v>69</v>
      </c>
      <c r="F251" s="9">
        <v>0.55</v>
      </c>
      <c r="G251" s="10"/>
      <c r="H251" s="1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1">
        <v>251.0</v>
      </c>
      <c r="B252" s="5"/>
      <c r="C252" s="12" t="str">
        <f>HYPERLINK("https://leetcode.com/problems/flatten-2d-vector", "Flatten 2D Vector")</f>
        <v>Flatten 2D Vector</v>
      </c>
      <c r="D252" s="7" t="s">
        <v>8</v>
      </c>
      <c r="E252" s="8" t="s">
        <v>140</v>
      </c>
      <c r="F252" s="9">
        <v>0.49</v>
      </c>
      <c r="G252" s="10"/>
      <c r="H252" s="1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1">
        <v>252.0</v>
      </c>
      <c r="B253" s="5"/>
      <c r="C253" s="12" t="str">
        <f>HYPERLINK("https://leetcode.com/problems/meeting-rooms", "Meeting Rooms")</f>
        <v>Meeting Rooms</v>
      </c>
      <c r="D253" s="7" t="s">
        <v>6</v>
      </c>
      <c r="E253" s="8" t="s">
        <v>44</v>
      </c>
      <c r="F253" s="9">
        <v>0.57</v>
      </c>
      <c r="G253" s="10"/>
      <c r="H253" s="1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1">
        <v>253.0</v>
      </c>
      <c r="B254" s="5"/>
      <c r="C254" s="12" t="str">
        <f>HYPERLINK("https://leetcode.com/problems/meeting-rooms-ii", "Meeting Rooms II")</f>
        <v>Meeting Rooms II</v>
      </c>
      <c r="D254" s="7" t="s">
        <v>8</v>
      </c>
      <c r="E254" s="8" t="s">
        <v>141</v>
      </c>
      <c r="F254" s="9">
        <v>0.5</v>
      </c>
      <c r="G254" s="10"/>
      <c r="H254" s="1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1">
        <v>254.0</v>
      </c>
      <c r="B255" s="5"/>
      <c r="C255" s="12" t="str">
        <f>HYPERLINK("https://leetcode.com/problems/factor-combinations", "Factor Combinations")</f>
        <v>Factor Combinations</v>
      </c>
      <c r="D255" s="7" t="s">
        <v>8</v>
      </c>
      <c r="E255" s="8" t="s">
        <v>33</v>
      </c>
      <c r="F255" s="9">
        <v>0.48</v>
      </c>
      <c r="G255" s="10"/>
      <c r="H255" s="1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1">
        <v>255.0</v>
      </c>
      <c r="B256" s="5"/>
      <c r="C256" s="12" t="str">
        <f>HYPERLINK("https://leetcode.com/problems/verify-preorder-sequence-in-binary-search-tree", "Verify Preorder Sequence in Binary Search Tree")</f>
        <v>Verify Preorder Sequence in Binary Search Tree</v>
      </c>
      <c r="D256" s="7" t="s">
        <v>8</v>
      </c>
      <c r="E256" s="8" t="s">
        <v>142</v>
      </c>
      <c r="F256" s="9">
        <v>0.48</v>
      </c>
      <c r="G256" s="10"/>
      <c r="H256" s="1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1">
        <v>256.0</v>
      </c>
      <c r="B257" s="5"/>
      <c r="C257" s="12" t="str">
        <f>HYPERLINK("https://leetcode.com/problems/paint-house", "Paint House")</f>
        <v>Paint House</v>
      </c>
      <c r="D257" s="7" t="s">
        <v>8</v>
      </c>
      <c r="E257" s="8" t="s">
        <v>73</v>
      </c>
      <c r="F257" s="9">
        <v>0.6</v>
      </c>
      <c r="G257" s="10"/>
      <c r="H257" s="1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4">
        <v>257.0</v>
      </c>
      <c r="B258" s="5"/>
      <c r="C258" s="6" t="str">
        <f>HYPERLINK("https://leetcode.com/problems/binary-tree-paths", "Binary Tree Paths")</f>
        <v>Binary Tree Paths</v>
      </c>
      <c r="D258" s="7" t="s">
        <v>6</v>
      </c>
      <c r="E258" s="8" t="s">
        <v>143</v>
      </c>
      <c r="F258" s="9">
        <v>0.6</v>
      </c>
      <c r="G258" s="10"/>
      <c r="H258" s="1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4">
        <v>258.0</v>
      </c>
      <c r="B259" s="5"/>
      <c r="C259" s="6" t="str">
        <f>HYPERLINK("https://leetcode.com/problems/add-digits", "Add Digits")</f>
        <v>Add Digits</v>
      </c>
      <c r="D259" s="7" t="s">
        <v>6</v>
      </c>
      <c r="E259" s="8" t="s">
        <v>144</v>
      </c>
      <c r="F259" s="9">
        <v>0.63</v>
      </c>
      <c r="G259" s="10"/>
      <c r="H259" s="1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1">
        <v>259.0</v>
      </c>
      <c r="B260" s="5"/>
      <c r="C260" s="12" t="str">
        <f>HYPERLINK("https://leetcode.com/problems/3sum-smaller", "3Sum Smaller")</f>
        <v>3Sum Smaller</v>
      </c>
      <c r="D260" s="7" t="s">
        <v>8</v>
      </c>
      <c r="E260" s="8" t="s">
        <v>145</v>
      </c>
      <c r="F260" s="9">
        <v>0.5</v>
      </c>
      <c r="G260" s="10"/>
      <c r="H260" s="1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4">
        <v>260.0</v>
      </c>
      <c r="B261" s="5"/>
      <c r="C261" s="6" t="str">
        <f>HYPERLINK("https://leetcode.com/problems/single-number-iii", "Single Number III")</f>
        <v>Single Number III</v>
      </c>
      <c r="D261" s="7" t="s">
        <v>8</v>
      </c>
      <c r="E261" s="8" t="s">
        <v>82</v>
      </c>
      <c r="F261" s="9">
        <v>0.67</v>
      </c>
      <c r="G261" s="10"/>
      <c r="H261" s="1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1">
        <v>261.0</v>
      </c>
      <c r="B262" s="5"/>
      <c r="C262" s="12" t="str">
        <f>HYPERLINK("https://leetcode.com/problems/graph-valid-tree", "Graph Valid Tree")</f>
        <v>Graph Valid Tree</v>
      </c>
      <c r="D262" s="7" t="s">
        <v>8</v>
      </c>
      <c r="E262" s="8" t="s">
        <v>146</v>
      </c>
      <c r="F262" s="9">
        <v>0.46</v>
      </c>
      <c r="G262" s="10"/>
      <c r="H262" s="1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4">
        <v>262.0</v>
      </c>
      <c r="B263" s="5"/>
      <c r="C263" s="6" t="str">
        <f>HYPERLINK("https://leetcode.com/problems/trips-and-users", "Trips and Users")</f>
        <v>Trips and Users</v>
      </c>
      <c r="D263" s="7" t="s">
        <v>11</v>
      </c>
      <c r="E263" s="8" t="s">
        <v>101</v>
      </c>
      <c r="F263" s="9">
        <v>0.38</v>
      </c>
      <c r="G263" s="10"/>
      <c r="H263" s="1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4">
        <v>263.0</v>
      </c>
      <c r="B264" s="5"/>
      <c r="C264" s="6" t="str">
        <f>HYPERLINK("https://leetcode.com/problems/ugly-number", "Ugly Number")</f>
        <v>Ugly Number</v>
      </c>
      <c r="D264" s="7" t="s">
        <v>6</v>
      </c>
      <c r="E264" s="8" t="s">
        <v>15</v>
      </c>
      <c r="F264" s="9">
        <v>0.42</v>
      </c>
      <c r="G264" s="10"/>
      <c r="H264" s="1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4">
        <v>264.0</v>
      </c>
      <c r="B265" s="5"/>
      <c r="C265" s="6" t="str">
        <f>HYPERLINK("https://leetcode.com/problems/ugly-number-ii", "Ugly Number II")</f>
        <v>Ugly Number II</v>
      </c>
      <c r="D265" s="7" t="s">
        <v>8</v>
      </c>
      <c r="E265" s="8" t="s">
        <v>147</v>
      </c>
      <c r="F265" s="9">
        <v>0.46</v>
      </c>
      <c r="G265" s="10"/>
      <c r="H265" s="1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1">
        <v>265.0</v>
      </c>
      <c r="B266" s="5"/>
      <c r="C266" s="12" t="str">
        <f>HYPERLINK("https://leetcode.com/problems/paint-house-ii", "Paint House II")</f>
        <v>Paint House II</v>
      </c>
      <c r="D266" s="7" t="s">
        <v>11</v>
      </c>
      <c r="E266" s="8" t="s">
        <v>73</v>
      </c>
      <c r="F266" s="9">
        <v>0.52</v>
      </c>
      <c r="G266" s="10"/>
      <c r="H266" s="1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1">
        <v>266.0</v>
      </c>
      <c r="B267" s="5"/>
      <c r="C267" s="12" t="str">
        <f>HYPERLINK("https://leetcode.com/problems/palindrome-permutation", "Palindrome Permutation")</f>
        <v>Palindrome Permutation</v>
      </c>
      <c r="D267" s="7" t="s">
        <v>6</v>
      </c>
      <c r="E267" s="8" t="s">
        <v>148</v>
      </c>
      <c r="F267" s="9">
        <v>0.65</v>
      </c>
      <c r="G267" s="10"/>
      <c r="H267" s="1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1">
        <v>267.0</v>
      </c>
      <c r="B268" s="5"/>
      <c r="C268" s="12" t="str">
        <f>HYPERLINK("https://leetcode.com/problems/palindrome-permutation-ii", "Palindrome Permutation II")</f>
        <v>Palindrome Permutation II</v>
      </c>
      <c r="D268" s="7" t="s">
        <v>8</v>
      </c>
      <c r="E268" s="8" t="s">
        <v>20</v>
      </c>
      <c r="F268" s="9">
        <v>0.4</v>
      </c>
      <c r="G268" s="10"/>
      <c r="H268" s="1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4">
        <v>268.0</v>
      </c>
      <c r="B269" s="5"/>
      <c r="C269" s="6" t="str">
        <f>HYPERLINK("https://leetcode.com/problems/missing-number", "Missing Number")</f>
        <v>Missing Number</v>
      </c>
      <c r="D269" s="7" t="s">
        <v>6</v>
      </c>
      <c r="E269" s="8" t="s">
        <v>149</v>
      </c>
      <c r="F269" s="9">
        <v>0.61</v>
      </c>
      <c r="G269" s="10"/>
      <c r="H269" s="1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1">
        <v>269.0</v>
      </c>
      <c r="B270" s="5"/>
      <c r="C270" s="12" t="str">
        <f>HYPERLINK("https://leetcode.com/problems/alien-dictionary", "Alien Dictionary")</f>
        <v>Alien Dictionary</v>
      </c>
      <c r="D270" s="7" t="s">
        <v>11</v>
      </c>
      <c r="E270" s="8" t="s">
        <v>150</v>
      </c>
      <c r="F270" s="9">
        <v>0.35</v>
      </c>
      <c r="G270" s="10"/>
      <c r="H270" s="1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1">
        <v>270.0</v>
      </c>
      <c r="B271" s="5"/>
      <c r="C271" s="12" t="str">
        <f>HYPERLINK("https://leetcode.com/problems/closest-binary-search-tree-value", "Closest Binary Search Tree Value")</f>
        <v>Closest Binary Search Tree Value</v>
      </c>
      <c r="D271" s="7" t="s">
        <v>6</v>
      </c>
      <c r="E271" s="8" t="s">
        <v>151</v>
      </c>
      <c r="F271" s="9">
        <v>0.54</v>
      </c>
      <c r="G271" s="10"/>
      <c r="H271" s="1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1">
        <v>271.0</v>
      </c>
      <c r="B272" s="5"/>
      <c r="C272" s="12" t="str">
        <f>HYPERLINK("https://leetcode.com/problems/encode-and-decode-strings", "Encode and Decode Strings")</f>
        <v>Encode and Decode Strings</v>
      </c>
      <c r="D272" s="7" t="s">
        <v>8</v>
      </c>
      <c r="E272" s="8" t="s">
        <v>152</v>
      </c>
      <c r="F272" s="9">
        <v>0.41</v>
      </c>
      <c r="G272" s="10"/>
      <c r="H272" s="1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1">
        <v>272.0</v>
      </c>
      <c r="B273" s="5"/>
      <c r="C273" s="12" t="str">
        <f>HYPERLINK("https://leetcode.com/problems/closest-binary-search-tree-value-ii", "Closest Binary Search Tree Value II")</f>
        <v>Closest Binary Search Tree Value II</v>
      </c>
      <c r="D273" s="7" t="s">
        <v>11</v>
      </c>
      <c r="E273" s="8" t="s">
        <v>153</v>
      </c>
      <c r="F273" s="9">
        <v>0.58</v>
      </c>
      <c r="G273" s="10"/>
      <c r="H273" s="1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4">
        <v>273.0</v>
      </c>
      <c r="B274" s="5"/>
      <c r="C274" s="6" t="str">
        <f>HYPERLINK("https://leetcode.com/problems/integer-to-english-words", "Integer to English Words")</f>
        <v>Integer to English Words</v>
      </c>
      <c r="D274" s="7" t="s">
        <v>11</v>
      </c>
      <c r="E274" s="8" t="s">
        <v>154</v>
      </c>
      <c r="F274" s="9">
        <v>0.29</v>
      </c>
      <c r="G274" s="10"/>
      <c r="H274" s="1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4">
        <v>274.0</v>
      </c>
      <c r="B275" s="5"/>
      <c r="C275" s="6" t="str">
        <f>HYPERLINK("https://leetcode.com/problems/h-index", "H-Index")</f>
        <v>H-Index</v>
      </c>
      <c r="D275" s="7" t="s">
        <v>8</v>
      </c>
      <c r="E275" s="8" t="s">
        <v>155</v>
      </c>
      <c r="F275" s="9">
        <v>0.38</v>
      </c>
      <c r="G275" s="10"/>
      <c r="H275" s="1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4">
        <v>275.0</v>
      </c>
      <c r="B276" s="5"/>
      <c r="C276" s="6" t="str">
        <f>HYPERLINK("https://leetcode.com/problems/h-index-ii", "H-Index II")</f>
        <v>H-Index II</v>
      </c>
      <c r="D276" s="7" t="s">
        <v>8</v>
      </c>
      <c r="E276" s="8" t="s">
        <v>30</v>
      </c>
      <c r="F276" s="9">
        <v>0.37</v>
      </c>
      <c r="G276" s="10"/>
      <c r="H276" s="1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1">
        <v>276.0</v>
      </c>
      <c r="B277" s="5"/>
      <c r="C277" s="12" t="str">
        <f>HYPERLINK("https://leetcode.com/problems/paint-fence", "Paint Fence")</f>
        <v>Paint Fence</v>
      </c>
      <c r="D277" s="7" t="s">
        <v>8</v>
      </c>
      <c r="E277" s="8" t="s">
        <v>156</v>
      </c>
      <c r="F277" s="9">
        <v>0.44</v>
      </c>
      <c r="G277" s="10"/>
      <c r="H277" s="1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1">
        <v>277.0</v>
      </c>
      <c r="B278" s="5"/>
      <c r="C278" s="12" t="str">
        <f>HYPERLINK("https://leetcode.com/problems/find-the-celebrity", "Find the Celebrity")</f>
        <v>Find the Celebrity</v>
      </c>
      <c r="D278" s="7" t="s">
        <v>8</v>
      </c>
      <c r="E278" s="8" t="s">
        <v>157</v>
      </c>
      <c r="F278" s="9">
        <v>0.46</v>
      </c>
      <c r="G278" s="10"/>
      <c r="H278" s="1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4">
        <v>278.0</v>
      </c>
      <c r="B279" s="5"/>
      <c r="C279" s="6" t="str">
        <f>HYPERLINK("https://leetcode.com/problems/first-bad-version", "First Bad Version")</f>
        <v>First Bad Version</v>
      </c>
      <c r="D279" s="7" t="s">
        <v>6</v>
      </c>
      <c r="E279" s="8" t="s">
        <v>158</v>
      </c>
      <c r="F279" s="9">
        <v>0.43</v>
      </c>
      <c r="G279" s="10"/>
      <c r="H279" s="1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4">
        <v>279.0</v>
      </c>
      <c r="B280" s="5"/>
      <c r="C280" s="6" t="str">
        <f>HYPERLINK("https://leetcode.com/problems/perfect-squares", "Perfect Squares")</f>
        <v>Perfect Squares</v>
      </c>
      <c r="D280" s="7" t="s">
        <v>8</v>
      </c>
      <c r="E280" s="8" t="s">
        <v>159</v>
      </c>
      <c r="F280" s="9">
        <v>0.52</v>
      </c>
      <c r="G280" s="10"/>
      <c r="H280" s="1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1">
        <v>280.0</v>
      </c>
      <c r="B281" s="5"/>
      <c r="C281" s="12" t="str">
        <f>HYPERLINK("https://leetcode.com/problems/wiggle-sort", "Wiggle Sort")</f>
        <v>Wiggle Sort</v>
      </c>
      <c r="D281" s="7" t="s">
        <v>8</v>
      </c>
      <c r="E281" s="8" t="s">
        <v>160</v>
      </c>
      <c r="F281" s="9">
        <v>0.66</v>
      </c>
      <c r="G281" s="10"/>
      <c r="H281" s="1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1">
        <v>281.0</v>
      </c>
      <c r="B282" s="5"/>
      <c r="C282" s="12" t="str">
        <f>HYPERLINK("https://leetcode.com/problems/zigzag-iterator", "Zigzag Iterator")</f>
        <v>Zigzag Iterator</v>
      </c>
      <c r="D282" s="7" t="s">
        <v>8</v>
      </c>
      <c r="E282" s="8" t="s">
        <v>161</v>
      </c>
      <c r="F282" s="9">
        <v>0.62</v>
      </c>
      <c r="G282" s="10"/>
      <c r="H282" s="1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4">
        <v>282.0</v>
      </c>
      <c r="B283" s="5"/>
      <c r="C283" s="6" t="str">
        <f>HYPERLINK("https://leetcode.com/problems/expression-add-operators", "Expression Add Operators")</f>
        <v>Expression Add Operators</v>
      </c>
      <c r="D283" s="7" t="s">
        <v>11</v>
      </c>
      <c r="E283" s="8" t="s">
        <v>162</v>
      </c>
      <c r="F283" s="9">
        <v>0.39</v>
      </c>
      <c r="G283" s="10"/>
      <c r="H283" s="1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4">
        <v>283.0</v>
      </c>
      <c r="B284" s="5"/>
      <c r="C284" s="6" t="str">
        <f>HYPERLINK("https://leetcode.com/problems/move-zeroes", "Move Zeroes")</f>
        <v>Move Zeroes</v>
      </c>
      <c r="D284" s="7" t="s">
        <v>6</v>
      </c>
      <c r="E284" s="8" t="s">
        <v>26</v>
      </c>
      <c r="F284" s="9">
        <v>0.61</v>
      </c>
      <c r="G284" s="10"/>
      <c r="H284" s="1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4">
        <v>284.0</v>
      </c>
      <c r="B285" s="5"/>
      <c r="C285" s="6" t="str">
        <f>HYPERLINK("https://leetcode.com/problems/peeking-iterator", "Peeking Iterator")</f>
        <v>Peeking Iterator</v>
      </c>
      <c r="D285" s="7" t="s">
        <v>8</v>
      </c>
      <c r="E285" s="8" t="s">
        <v>163</v>
      </c>
      <c r="F285" s="9">
        <v>0.58</v>
      </c>
      <c r="G285" s="10"/>
      <c r="H285" s="1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1">
        <v>285.0</v>
      </c>
      <c r="B286" s="5"/>
      <c r="C286" s="12" t="str">
        <f>HYPERLINK("https://leetcode.com/problems/inorder-successor-in-bst", "Inorder Successor in BST")</f>
        <v>Inorder Successor in BST</v>
      </c>
      <c r="D286" s="7" t="s">
        <v>8</v>
      </c>
      <c r="E286" s="8" t="s">
        <v>63</v>
      </c>
      <c r="F286" s="9">
        <v>0.48</v>
      </c>
      <c r="G286" s="10"/>
      <c r="H286" s="1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1">
        <v>286.0</v>
      </c>
      <c r="B287" s="5"/>
      <c r="C287" s="12" t="str">
        <f>HYPERLINK("https://leetcode.com/problems/walls-and-gates", "Walls and Gates")</f>
        <v>Walls and Gates</v>
      </c>
      <c r="D287" s="7" t="s">
        <v>8</v>
      </c>
      <c r="E287" s="8" t="s">
        <v>164</v>
      </c>
      <c r="F287" s="9">
        <v>0.6</v>
      </c>
      <c r="G287" s="10"/>
      <c r="H287" s="1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4">
        <v>287.0</v>
      </c>
      <c r="B288" s="5"/>
      <c r="C288" s="6" t="str">
        <f>HYPERLINK("https://leetcode.com/problems/find-the-duplicate-number", "Find the Duplicate Number")</f>
        <v>Find the Duplicate Number</v>
      </c>
      <c r="D288" s="7" t="s">
        <v>8</v>
      </c>
      <c r="E288" s="8" t="s">
        <v>165</v>
      </c>
      <c r="F288" s="9">
        <v>0.59</v>
      </c>
      <c r="G288" s="10"/>
      <c r="H288" s="1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1">
        <v>288.0</v>
      </c>
      <c r="B289" s="5"/>
      <c r="C289" s="12" t="str">
        <f>HYPERLINK("https://leetcode.com/problems/unique-word-abbreviation", "Unique Word Abbreviation")</f>
        <v>Unique Word Abbreviation</v>
      </c>
      <c r="D289" s="7" t="s">
        <v>8</v>
      </c>
      <c r="E289" s="8" t="s">
        <v>166</v>
      </c>
      <c r="F289" s="9">
        <v>0.25</v>
      </c>
      <c r="G289" s="10"/>
      <c r="H289" s="1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4">
        <v>289.0</v>
      </c>
      <c r="B290" s="5"/>
      <c r="C290" s="6" t="str">
        <f>HYPERLINK("https://leetcode.com/problems/game-of-life", "Game of Life")</f>
        <v>Game of Life</v>
      </c>
      <c r="D290" s="7" t="s">
        <v>8</v>
      </c>
      <c r="E290" s="8" t="s">
        <v>43</v>
      </c>
      <c r="F290" s="9">
        <v>0.66</v>
      </c>
      <c r="G290" s="10"/>
      <c r="H290" s="1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4">
        <v>290.0</v>
      </c>
      <c r="B291" s="5"/>
      <c r="C291" s="6" t="str">
        <f>HYPERLINK("https://leetcode.com/problems/word-pattern", "Word Pattern")</f>
        <v>Word Pattern</v>
      </c>
      <c r="D291" s="7" t="s">
        <v>6</v>
      </c>
      <c r="E291" s="8" t="s">
        <v>110</v>
      </c>
      <c r="F291" s="9">
        <v>0.4</v>
      </c>
      <c r="G291" s="10"/>
      <c r="H291" s="1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1">
        <v>291.0</v>
      </c>
      <c r="B292" s="5"/>
      <c r="C292" s="12" t="str">
        <f>HYPERLINK("https://leetcode.com/problems/word-pattern-ii", "Word Pattern II")</f>
        <v>Word Pattern II</v>
      </c>
      <c r="D292" s="7" t="s">
        <v>8</v>
      </c>
      <c r="E292" s="8" t="s">
        <v>20</v>
      </c>
      <c r="F292" s="9">
        <v>0.46</v>
      </c>
      <c r="G292" s="10"/>
      <c r="H292" s="1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4">
        <v>292.0</v>
      </c>
      <c r="B293" s="5"/>
      <c r="C293" s="6" t="str">
        <f>HYPERLINK("https://leetcode.com/problems/nim-game", "Nim Game")</f>
        <v>Nim Game</v>
      </c>
      <c r="D293" s="7" t="s">
        <v>6</v>
      </c>
      <c r="E293" s="8" t="s">
        <v>167</v>
      </c>
      <c r="F293" s="9">
        <v>0.55</v>
      </c>
      <c r="G293" s="10"/>
      <c r="H293" s="1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1">
        <v>293.0</v>
      </c>
      <c r="B294" s="5"/>
      <c r="C294" s="12" t="str">
        <f>HYPERLINK("https://leetcode.com/problems/flip-game", "Flip Game")</f>
        <v>Flip Game</v>
      </c>
      <c r="D294" s="7" t="s">
        <v>6</v>
      </c>
      <c r="E294" s="8" t="s">
        <v>14</v>
      </c>
      <c r="F294" s="9">
        <v>0.63</v>
      </c>
      <c r="G294" s="10"/>
      <c r="H294" s="1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1">
        <v>294.0</v>
      </c>
      <c r="B295" s="5"/>
      <c r="C295" s="12" t="str">
        <f>HYPERLINK("https://leetcode.com/problems/flip-game-ii", "Flip Game II")</f>
        <v>Flip Game II</v>
      </c>
      <c r="D295" s="7" t="s">
        <v>8</v>
      </c>
      <c r="E295" s="8" t="s">
        <v>168</v>
      </c>
      <c r="F295" s="9">
        <v>0.51</v>
      </c>
      <c r="G295" s="10"/>
      <c r="H295" s="1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4">
        <v>295.0</v>
      </c>
      <c r="B296" s="5"/>
      <c r="C296" s="6" t="str">
        <f>HYPERLINK("https://leetcode.com/problems/find-median-from-data-stream", "Find Median from Data Stream")</f>
        <v>Find Median from Data Stream</v>
      </c>
      <c r="D296" s="7" t="s">
        <v>11</v>
      </c>
      <c r="E296" s="8" t="s">
        <v>169</v>
      </c>
      <c r="F296" s="9">
        <v>0.51</v>
      </c>
      <c r="G296" s="10"/>
      <c r="H296" s="1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1">
        <v>296.0</v>
      </c>
      <c r="B297" s="5"/>
      <c r="C297" s="12" t="str">
        <f>HYPERLINK("https://leetcode.com/problems/best-meeting-point", "Best Meeting Point")</f>
        <v>Best Meeting Point</v>
      </c>
      <c r="D297" s="7" t="s">
        <v>11</v>
      </c>
      <c r="E297" s="8" t="s">
        <v>170</v>
      </c>
      <c r="F297" s="9">
        <v>0.6</v>
      </c>
      <c r="G297" s="10"/>
      <c r="H297" s="1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4">
        <v>297.0</v>
      </c>
      <c r="B298" s="5"/>
      <c r="C298" s="6" t="str">
        <f>HYPERLINK("https://leetcode.com/problems/serialize-and-deserialize-binary-tree", "Serialize and Deserialize Binary Tree")</f>
        <v>Serialize and Deserialize Binary Tree</v>
      </c>
      <c r="D298" s="7" t="s">
        <v>11</v>
      </c>
      <c r="E298" s="8" t="s">
        <v>171</v>
      </c>
      <c r="F298" s="9">
        <v>0.55</v>
      </c>
      <c r="G298" s="10"/>
      <c r="H298" s="1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1">
        <v>298.0</v>
      </c>
      <c r="B299" s="5"/>
      <c r="C299" s="12" t="str">
        <f>HYPERLINK("https://leetcode.com/problems/binary-tree-longest-consecutive-sequence", "Binary Tree Longest Consecutive Sequence")</f>
        <v>Binary Tree Longest Consecutive Sequence</v>
      </c>
      <c r="D299" s="7" t="s">
        <v>8</v>
      </c>
      <c r="E299" s="8" t="s">
        <v>69</v>
      </c>
      <c r="F299" s="9">
        <v>0.52</v>
      </c>
      <c r="G299" s="10"/>
      <c r="H299" s="1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4">
        <v>299.0</v>
      </c>
      <c r="B300" s="5"/>
      <c r="C300" s="6" t="str">
        <f>HYPERLINK("https://leetcode.com/problems/bulls-and-cows", "Bulls and Cows")</f>
        <v>Bulls and Cows</v>
      </c>
      <c r="D300" s="7" t="s">
        <v>8</v>
      </c>
      <c r="E300" s="8" t="s">
        <v>172</v>
      </c>
      <c r="F300" s="9">
        <v>0.48</v>
      </c>
      <c r="G300" s="10"/>
      <c r="H300" s="1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4">
        <v>300.0</v>
      </c>
      <c r="B301" s="5"/>
      <c r="C301" s="6" t="str">
        <f>HYPERLINK("https://leetcode.com/problems/longest-increasing-subsequence", "Longest Increasing Subsequence")</f>
        <v>Longest Increasing Subsequence</v>
      </c>
      <c r="D301" s="7" t="s">
        <v>8</v>
      </c>
      <c r="E301" s="8" t="s">
        <v>173</v>
      </c>
      <c r="F301" s="9">
        <v>0.51</v>
      </c>
      <c r="G301" s="10"/>
      <c r="H301" s="1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4">
        <v>301.0</v>
      </c>
      <c r="B302" s="5"/>
      <c r="C302" s="6" t="str">
        <f>HYPERLINK("https://leetcode.com/problems/remove-invalid-parentheses", "Remove Invalid Parentheses")</f>
        <v>Remove Invalid Parentheses</v>
      </c>
      <c r="D302" s="7" t="s">
        <v>11</v>
      </c>
      <c r="E302" s="8" t="s">
        <v>174</v>
      </c>
      <c r="F302" s="9">
        <v>0.47</v>
      </c>
      <c r="G302" s="10"/>
      <c r="H302" s="1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1">
        <v>302.0</v>
      </c>
      <c r="B303" s="5"/>
      <c r="C303" s="12" t="str">
        <f>HYPERLINK("https://leetcode.com/problems/smallest-rectangle-enclosing-black-pixels", "Smallest Rectangle Enclosing Black Pixels")</f>
        <v>Smallest Rectangle Enclosing Black Pixels</v>
      </c>
      <c r="D303" s="7" t="s">
        <v>11</v>
      </c>
      <c r="E303" s="8" t="s">
        <v>175</v>
      </c>
      <c r="F303" s="9">
        <v>0.58</v>
      </c>
      <c r="G303" s="10"/>
      <c r="H303" s="1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4">
        <v>303.0</v>
      </c>
      <c r="B304" s="5"/>
      <c r="C304" s="6" t="str">
        <f>HYPERLINK("https://leetcode.com/problems/range-sum-query-immutable", "Range Sum Query - Immutable")</f>
        <v>Range Sum Query - Immutable</v>
      </c>
      <c r="D304" s="7" t="s">
        <v>6</v>
      </c>
      <c r="E304" s="8" t="s">
        <v>176</v>
      </c>
      <c r="F304" s="9">
        <v>0.58</v>
      </c>
      <c r="G304" s="10"/>
      <c r="H304" s="1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4">
        <v>304.0</v>
      </c>
      <c r="B305" s="5"/>
      <c r="C305" s="6" t="str">
        <f>HYPERLINK("https://leetcode.com/problems/range-sum-query-2d-immutable", "Range Sum Query 2D - Immutable")</f>
        <v>Range Sum Query 2D - Immutable</v>
      </c>
      <c r="D305" s="7" t="s">
        <v>8</v>
      </c>
      <c r="E305" s="8" t="s">
        <v>177</v>
      </c>
      <c r="F305" s="9">
        <v>0.52</v>
      </c>
      <c r="G305" s="10"/>
      <c r="H305" s="1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1">
        <v>305.0</v>
      </c>
      <c r="B306" s="5"/>
      <c r="C306" s="12" t="str">
        <f>HYPERLINK("https://leetcode.com/problems/number-of-islands-ii", "Number of Islands II")</f>
        <v>Number of Islands II</v>
      </c>
      <c r="D306" s="7" t="s">
        <v>11</v>
      </c>
      <c r="E306" s="8" t="s">
        <v>178</v>
      </c>
      <c r="F306" s="9">
        <v>0.39</v>
      </c>
      <c r="G306" s="10"/>
      <c r="H306" s="1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4">
        <v>306.0</v>
      </c>
      <c r="B307" s="5"/>
      <c r="C307" s="6" t="str">
        <f>HYPERLINK("https://leetcode.com/problems/additive-number", "Additive Number")</f>
        <v>Additive Number</v>
      </c>
      <c r="D307" s="7" t="s">
        <v>8</v>
      </c>
      <c r="E307" s="8" t="s">
        <v>59</v>
      </c>
      <c r="F307" s="9">
        <v>0.3</v>
      </c>
      <c r="G307" s="10"/>
      <c r="H307" s="1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4">
        <v>307.0</v>
      </c>
      <c r="B308" s="5"/>
      <c r="C308" s="6" t="str">
        <f>HYPERLINK("https://leetcode.com/problems/range-sum-query-mutable", "Range Sum Query - Mutable")</f>
        <v>Range Sum Query - Mutable</v>
      </c>
      <c r="D308" s="7" t="s">
        <v>8</v>
      </c>
      <c r="E308" s="8" t="s">
        <v>179</v>
      </c>
      <c r="F308" s="9">
        <v>0.4</v>
      </c>
      <c r="G308" s="10"/>
      <c r="H308" s="1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1">
        <v>308.0</v>
      </c>
      <c r="B309" s="5"/>
      <c r="C309" s="12" t="str">
        <f>HYPERLINK("https://leetcode.com/problems/range-sum-query-2d-mutable", "Range Sum Query 2D - Mutable")</f>
        <v>Range Sum Query 2D - Mutable</v>
      </c>
      <c r="D309" s="7" t="s">
        <v>11</v>
      </c>
      <c r="E309" s="8" t="s">
        <v>180</v>
      </c>
      <c r="F309" s="9">
        <v>0.42</v>
      </c>
      <c r="G309" s="10"/>
      <c r="H309" s="1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4">
        <v>309.0</v>
      </c>
      <c r="B310" s="5"/>
      <c r="C310" s="6" t="str">
        <f>HYPERLINK("https://leetcode.com/problems/best-time-to-buy-and-sell-stock-with-cooldown", "Best Time to Buy and Sell Stock with Cooldown")</f>
        <v>Best Time to Buy and Sell Stock with Cooldown</v>
      </c>
      <c r="D310" s="7" t="s">
        <v>8</v>
      </c>
      <c r="E310" s="8" t="s">
        <v>73</v>
      </c>
      <c r="F310" s="9">
        <v>0.54</v>
      </c>
      <c r="G310" s="10"/>
      <c r="H310" s="1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4">
        <v>310.0</v>
      </c>
      <c r="B311" s="5"/>
      <c r="C311" s="6" t="str">
        <f>HYPERLINK("https://leetcode.com/problems/minimum-height-trees", "Minimum Height Trees")</f>
        <v>Minimum Height Trees</v>
      </c>
      <c r="D311" s="7" t="s">
        <v>8</v>
      </c>
      <c r="E311" s="8" t="s">
        <v>111</v>
      </c>
      <c r="F311" s="9">
        <v>0.38</v>
      </c>
      <c r="G311" s="10"/>
      <c r="H311" s="1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1">
        <v>311.0</v>
      </c>
      <c r="B312" s="5"/>
      <c r="C312" s="12" t="str">
        <f>HYPERLINK("https://leetcode.com/problems/sparse-matrix-multiplication", "Sparse Matrix Multiplication")</f>
        <v>Sparse Matrix Multiplication</v>
      </c>
      <c r="D312" s="7" t="s">
        <v>8</v>
      </c>
      <c r="E312" s="8" t="s">
        <v>31</v>
      </c>
      <c r="F312" s="9">
        <v>0.67</v>
      </c>
      <c r="G312" s="10"/>
      <c r="H312" s="1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4">
        <v>312.0</v>
      </c>
      <c r="B313" s="5"/>
      <c r="C313" s="6" t="str">
        <f>HYPERLINK("https://leetcode.com/problems/burst-balloons", "Burst Balloons")</f>
        <v>Burst Balloons</v>
      </c>
      <c r="D313" s="7" t="s">
        <v>11</v>
      </c>
      <c r="E313" s="8" t="s">
        <v>73</v>
      </c>
      <c r="F313" s="9">
        <v>0.56</v>
      </c>
      <c r="G313" s="10"/>
      <c r="H313" s="1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4">
        <v>313.0</v>
      </c>
      <c r="B314" s="5"/>
      <c r="C314" s="6" t="str">
        <f>HYPERLINK("https://leetcode.com/problems/super-ugly-number", "Super Ugly Number")</f>
        <v>Super Ugly Number</v>
      </c>
      <c r="D314" s="7" t="s">
        <v>8</v>
      </c>
      <c r="E314" s="8" t="s">
        <v>181</v>
      </c>
      <c r="F314" s="9">
        <v>0.45</v>
      </c>
      <c r="G314" s="10"/>
      <c r="H314" s="1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1">
        <v>314.0</v>
      </c>
      <c r="B315" s="5"/>
      <c r="C315" s="12" t="str">
        <f>HYPERLINK("https://leetcode.com/problems/binary-tree-vertical-order-traversal", "Binary Tree Vertical Order Traversal")</f>
        <v>Binary Tree Vertical Order Traversal</v>
      </c>
      <c r="D315" s="7" t="s">
        <v>8</v>
      </c>
      <c r="E315" s="8" t="s">
        <v>182</v>
      </c>
      <c r="F315" s="9">
        <v>0.52</v>
      </c>
      <c r="G315" s="10"/>
      <c r="H315" s="1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4">
        <v>315.0</v>
      </c>
      <c r="B316" s="5"/>
      <c r="C316" s="6" t="str">
        <f>HYPERLINK("https://leetcode.com/problems/count-of-smaller-numbers-after-self", "Count of Smaller Numbers After Self")</f>
        <v>Count of Smaller Numbers After Self</v>
      </c>
      <c r="D316" s="7" t="s">
        <v>11</v>
      </c>
      <c r="E316" s="8" t="s">
        <v>183</v>
      </c>
      <c r="F316" s="9">
        <v>0.42</v>
      </c>
      <c r="G316" s="10"/>
      <c r="H316" s="1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4">
        <v>316.0</v>
      </c>
      <c r="B317" s="5"/>
      <c r="C317" s="6" t="str">
        <f>HYPERLINK("https://leetcode.com/problems/remove-duplicate-letters", "Remove Duplicate Letters")</f>
        <v>Remove Duplicate Letters</v>
      </c>
      <c r="D317" s="7" t="s">
        <v>8</v>
      </c>
      <c r="E317" s="8" t="s">
        <v>184</v>
      </c>
      <c r="F317" s="9">
        <v>0.44</v>
      </c>
      <c r="G317" s="10"/>
      <c r="H317" s="1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1">
        <v>317.0</v>
      </c>
      <c r="B318" s="5"/>
      <c r="C318" s="12" t="str">
        <f>HYPERLINK("https://leetcode.com/problems/shortest-distance-from-all-buildings", "Shortest Distance from All Buildings")</f>
        <v>Shortest Distance from All Buildings</v>
      </c>
      <c r="D318" s="7" t="s">
        <v>11</v>
      </c>
      <c r="E318" s="8" t="s">
        <v>164</v>
      </c>
      <c r="F318" s="9">
        <v>0.42</v>
      </c>
      <c r="G318" s="10"/>
      <c r="H318" s="1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4">
        <v>318.0</v>
      </c>
      <c r="B319" s="5"/>
      <c r="C319" s="6" t="str">
        <f>HYPERLINK("https://leetcode.com/problems/maximum-product-of-word-lengths", "Maximum Product of Word Lengths")</f>
        <v>Maximum Product of Word Lengths</v>
      </c>
      <c r="D319" s="7" t="s">
        <v>8</v>
      </c>
      <c r="E319" s="8" t="s">
        <v>185</v>
      </c>
      <c r="F319" s="9">
        <v>0.6</v>
      </c>
      <c r="G319" s="10"/>
      <c r="H319" s="1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4">
        <v>319.0</v>
      </c>
      <c r="B320" s="5"/>
      <c r="C320" s="6" t="str">
        <f>HYPERLINK("https://leetcode.com/problems/bulb-switcher", "Bulb Switcher")</f>
        <v>Bulb Switcher</v>
      </c>
      <c r="D320" s="7" t="s">
        <v>8</v>
      </c>
      <c r="E320" s="8" t="s">
        <v>186</v>
      </c>
      <c r="F320" s="9">
        <v>0.48</v>
      </c>
      <c r="G320" s="10"/>
      <c r="H320" s="1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1">
        <v>320.0</v>
      </c>
      <c r="B321" s="5"/>
      <c r="C321" s="12" t="str">
        <f>HYPERLINK("https://leetcode.com/problems/generalized-abbreviation", "Generalized Abbreviation")</f>
        <v>Generalized Abbreviation</v>
      </c>
      <c r="D321" s="7" t="s">
        <v>8</v>
      </c>
      <c r="E321" s="8" t="s">
        <v>187</v>
      </c>
      <c r="F321" s="9">
        <v>0.57</v>
      </c>
      <c r="G321" s="10"/>
      <c r="H321" s="1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4">
        <v>321.0</v>
      </c>
      <c r="B322" s="5"/>
      <c r="C322" s="6" t="str">
        <f>HYPERLINK("https://leetcode.com/problems/create-maximum-number", "Create Maximum Number")</f>
        <v>Create Maximum Number</v>
      </c>
      <c r="D322" s="7" t="s">
        <v>11</v>
      </c>
      <c r="E322" s="8" t="s">
        <v>188</v>
      </c>
      <c r="F322" s="9">
        <v>0.28</v>
      </c>
      <c r="G322" s="10"/>
      <c r="H322" s="1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4">
        <v>322.0</v>
      </c>
      <c r="B323" s="5"/>
      <c r="C323" s="6" t="str">
        <f>HYPERLINK("https://leetcode.com/problems/coin-change", "Coin Change")</f>
        <v>Coin Change</v>
      </c>
      <c r="D323" s="7" t="s">
        <v>8</v>
      </c>
      <c r="E323" s="8" t="s">
        <v>189</v>
      </c>
      <c r="F323" s="9">
        <v>0.41</v>
      </c>
      <c r="G323" s="10"/>
      <c r="H323" s="1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1">
        <v>323.0</v>
      </c>
      <c r="B324" s="5"/>
      <c r="C324" s="12" t="str">
        <f>HYPERLINK("https://leetcode.com/problems/number-of-connected-components-in-an-undirected-graph", "Number of Connected Components in an Undirected Graph")</f>
        <v>Number of Connected Components in an Undirected Graph</v>
      </c>
      <c r="D324" s="7" t="s">
        <v>8</v>
      </c>
      <c r="E324" s="8" t="s">
        <v>146</v>
      </c>
      <c r="F324" s="9">
        <v>0.62</v>
      </c>
      <c r="G324" s="10"/>
      <c r="H324" s="1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4">
        <v>324.0</v>
      </c>
      <c r="B325" s="5"/>
      <c r="C325" s="6" t="str">
        <f>HYPERLINK("https://leetcode.com/problems/wiggle-sort-ii", "Wiggle Sort II")</f>
        <v>Wiggle Sort II</v>
      </c>
      <c r="D325" s="7" t="s">
        <v>8</v>
      </c>
      <c r="E325" s="8" t="s">
        <v>190</v>
      </c>
      <c r="F325" s="9">
        <v>0.33</v>
      </c>
      <c r="G325" s="10"/>
      <c r="H325" s="1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1">
        <v>325.0</v>
      </c>
      <c r="B326" s="5"/>
      <c r="C326" s="12" t="str">
        <f>HYPERLINK("https://leetcode.com/problems/maximum-size-subarray-sum-equals-k", "Maximum Size Subarray Sum Equals k")</f>
        <v>Maximum Size Subarray Sum Equals k</v>
      </c>
      <c r="D326" s="7" t="s">
        <v>8</v>
      </c>
      <c r="E326" s="8" t="s">
        <v>191</v>
      </c>
      <c r="F326" s="9">
        <v>0.49</v>
      </c>
      <c r="G326" s="10"/>
      <c r="H326" s="1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4">
        <v>326.0</v>
      </c>
      <c r="B327" s="5"/>
      <c r="C327" s="6" t="str">
        <f>HYPERLINK("https://leetcode.com/problems/power-of-three", "Power of Three")</f>
        <v>Power of Three</v>
      </c>
      <c r="D327" s="7" t="s">
        <v>6</v>
      </c>
      <c r="E327" s="8" t="s">
        <v>40</v>
      </c>
      <c r="F327" s="9">
        <v>0.45</v>
      </c>
      <c r="G327" s="10"/>
      <c r="H327" s="1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4">
        <v>327.0</v>
      </c>
      <c r="B328" s="5"/>
      <c r="C328" s="6" t="str">
        <f>HYPERLINK("https://leetcode.com/problems/count-of-range-sum", "Count of Range Sum")</f>
        <v>Count of Range Sum</v>
      </c>
      <c r="D328" s="7" t="s">
        <v>11</v>
      </c>
      <c r="E328" s="8" t="s">
        <v>183</v>
      </c>
      <c r="F328" s="9">
        <v>0.36</v>
      </c>
      <c r="G328" s="10"/>
      <c r="H328" s="1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4">
        <v>328.0</v>
      </c>
      <c r="B329" s="5"/>
      <c r="C329" s="6" t="str">
        <f>HYPERLINK("https://leetcode.com/problems/odd-even-linked-list", "Odd Even Linked List")</f>
        <v>Odd Even Linked List</v>
      </c>
      <c r="D329" s="7" t="s">
        <v>8</v>
      </c>
      <c r="E329" s="8" t="s">
        <v>55</v>
      </c>
      <c r="F329" s="9">
        <v>0.61</v>
      </c>
      <c r="G329" s="10"/>
      <c r="H329" s="1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4">
        <v>329.0</v>
      </c>
      <c r="B330" s="5"/>
      <c r="C330" s="6" t="str">
        <f>HYPERLINK("https://leetcode.com/problems/longest-increasing-path-in-a-matrix", "Longest Increasing Path in a Matrix")</f>
        <v>Longest Increasing Path in a Matrix</v>
      </c>
      <c r="D330" s="7" t="s">
        <v>11</v>
      </c>
      <c r="E330" s="8" t="s">
        <v>192</v>
      </c>
      <c r="F330" s="9">
        <v>0.52</v>
      </c>
      <c r="G330" s="10"/>
      <c r="H330" s="1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4">
        <v>330.0</v>
      </c>
      <c r="B331" s="5"/>
      <c r="C331" s="6" t="str">
        <f>HYPERLINK("https://leetcode.com/problems/patching-array", "Patching Array")</f>
        <v>Patching Array</v>
      </c>
      <c r="D331" s="7" t="s">
        <v>11</v>
      </c>
      <c r="E331" s="8" t="s">
        <v>81</v>
      </c>
      <c r="F331" s="9">
        <v>0.4</v>
      </c>
      <c r="G331" s="10"/>
      <c r="H331" s="1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4">
        <v>331.0</v>
      </c>
      <c r="B332" s="5"/>
      <c r="C332" s="6" t="str">
        <f>HYPERLINK("https://leetcode.com/problems/verify-preorder-serialization-of-a-binary-tree", "Verify Preorder Serialization of a Binary Tree")</f>
        <v>Verify Preorder Serialization of a Binary Tree</v>
      </c>
      <c r="D332" s="7" t="s">
        <v>8</v>
      </c>
      <c r="E332" s="8" t="s">
        <v>193</v>
      </c>
      <c r="F332" s="9">
        <v>0.44</v>
      </c>
      <c r="G332" s="10"/>
      <c r="H332" s="1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4">
        <v>332.0</v>
      </c>
      <c r="B333" s="5"/>
      <c r="C333" s="6" t="str">
        <f>HYPERLINK("https://leetcode.com/problems/reconstruct-itinerary", "Reconstruct Itinerary")</f>
        <v>Reconstruct Itinerary</v>
      </c>
      <c r="D333" s="7" t="s">
        <v>11</v>
      </c>
      <c r="E333" s="8" t="s">
        <v>194</v>
      </c>
      <c r="F333" s="9">
        <v>0.41</v>
      </c>
      <c r="G333" s="10"/>
      <c r="H333" s="1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1">
        <v>333.0</v>
      </c>
      <c r="B334" s="5"/>
      <c r="C334" s="12" t="str">
        <f>HYPERLINK("https://leetcode.com/problems/largest-bst-subtree", "Largest BST Subtree")</f>
        <v>Largest BST Subtree</v>
      </c>
      <c r="D334" s="7" t="s">
        <v>8</v>
      </c>
      <c r="E334" s="8" t="s">
        <v>195</v>
      </c>
      <c r="F334" s="9">
        <v>0.42</v>
      </c>
      <c r="G334" s="10"/>
      <c r="H334" s="1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4">
        <v>334.0</v>
      </c>
      <c r="B335" s="5"/>
      <c r="C335" s="6" t="str">
        <f>HYPERLINK("https://leetcode.com/problems/increasing-triplet-subsequence", "Increasing Triplet Subsequence")</f>
        <v>Increasing Triplet Subsequence</v>
      </c>
      <c r="D335" s="7" t="s">
        <v>8</v>
      </c>
      <c r="E335" s="8" t="s">
        <v>81</v>
      </c>
      <c r="F335" s="9">
        <v>0.42</v>
      </c>
      <c r="G335" s="10"/>
      <c r="H335" s="1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4">
        <v>335.0</v>
      </c>
      <c r="B336" s="5"/>
      <c r="C336" s="6" t="str">
        <f>HYPERLINK("https://leetcode.com/problems/self-crossing", "Self Crossing")</f>
        <v>Self Crossing</v>
      </c>
      <c r="D336" s="7" t="s">
        <v>11</v>
      </c>
      <c r="E336" s="8" t="s">
        <v>196</v>
      </c>
      <c r="F336" s="9">
        <v>0.29</v>
      </c>
      <c r="G336" s="10"/>
      <c r="H336" s="1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4">
        <v>336.0</v>
      </c>
      <c r="B337" s="5"/>
      <c r="C337" s="6" t="str">
        <f>HYPERLINK("https://leetcode.com/problems/palindrome-pairs", "Palindrome Pairs")</f>
        <v>Palindrome Pairs</v>
      </c>
      <c r="D337" s="7" t="s">
        <v>11</v>
      </c>
      <c r="E337" s="8" t="s">
        <v>197</v>
      </c>
      <c r="F337" s="9">
        <v>0.35</v>
      </c>
      <c r="G337" s="10"/>
      <c r="H337" s="1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4">
        <v>337.0</v>
      </c>
      <c r="B338" s="5"/>
      <c r="C338" s="6" t="str">
        <f>HYPERLINK("https://leetcode.com/problems/house-robber-iii", "House Robber III")</f>
        <v>House Robber III</v>
      </c>
      <c r="D338" s="7" t="s">
        <v>8</v>
      </c>
      <c r="E338" s="8" t="s">
        <v>74</v>
      </c>
      <c r="F338" s="9">
        <v>0.53</v>
      </c>
      <c r="G338" s="10"/>
      <c r="H338" s="1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4">
        <v>338.0</v>
      </c>
      <c r="B339" s="5"/>
      <c r="C339" s="6" t="str">
        <f>HYPERLINK("https://leetcode.com/problems/counting-bits", "Counting Bits")</f>
        <v>Counting Bits</v>
      </c>
      <c r="D339" s="7" t="s">
        <v>6</v>
      </c>
      <c r="E339" s="8" t="s">
        <v>198</v>
      </c>
      <c r="F339" s="9">
        <v>0.75</v>
      </c>
      <c r="G339" s="10"/>
      <c r="H339" s="1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1">
        <v>339.0</v>
      </c>
      <c r="B340" s="5"/>
      <c r="C340" s="12" t="str">
        <f>HYPERLINK("https://leetcode.com/problems/nested-list-weight-sum", "Nested List Weight Sum")</f>
        <v>Nested List Weight Sum</v>
      </c>
      <c r="D340" s="7" t="s">
        <v>8</v>
      </c>
      <c r="E340" s="8" t="s">
        <v>199</v>
      </c>
      <c r="F340" s="9">
        <v>0.82</v>
      </c>
      <c r="G340" s="10"/>
      <c r="H340" s="1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1">
        <v>340.0</v>
      </c>
      <c r="B341" s="5"/>
      <c r="C341" s="12" t="str">
        <f>HYPERLINK("https://leetcode.com/problems/longest-substring-with-at-most-k-distinct-characters", "Longest Substring with At Most K Distinct Characters")</f>
        <v>Longest Substring with At Most K Distinct Characters</v>
      </c>
      <c r="D341" s="7" t="s">
        <v>8</v>
      </c>
      <c r="E341" s="8" t="s">
        <v>10</v>
      </c>
      <c r="F341" s="9">
        <v>0.47</v>
      </c>
      <c r="G341" s="10"/>
      <c r="H341" s="1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4">
        <v>341.0</v>
      </c>
      <c r="B342" s="5"/>
      <c r="C342" s="6" t="str">
        <f>HYPERLINK("https://leetcode.com/problems/flatten-nested-list-iterator", "Flatten Nested List Iterator")</f>
        <v>Flatten Nested List Iterator</v>
      </c>
      <c r="D342" s="7" t="s">
        <v>8</v>
      </c>
      <c r="E342" s="8" t="s">
        <v>200</v>
      </c>
      <c r="F342" s="9">
        <v>0.61</v>
      </c>
      <c r="G342" s="10"/>
      <c r="H342" s="1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4">
        <v>342.0</v>
      </c>
      <c r="B343" s="5"/>
      <c r="C343" s="6" t="str">
        <f>HYPERLINK("https://leetcode.com/problems/power-of-four", "Power of Four")</f>
        <v>Power of Four</v>
      </c>
      <c r="D343" s="7" t="s">
        <v>6</v>
      </c>
      <c r="E343" s="8" t="s">
        <v>128</v>
      </c>
      <c r="F343" s="9">
        <v>0.45</v>
      </c>
      <c r="G343" s="10"/>
      <c r="H343" s="1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4">
        <v>343.0</v>
      </c>
      <c r="B344" s="5"/>
      <c r="C344" s="6" t="str">
        <f>HYPERLINK("https://leetcode.com/problems/integer-break", "Integer Break")</f>
        <v>Integer Break</v>
      </c>
      <c r="D344" s="7" t="s">
        <v>8</v>
      </c>
      <c r="E344" s="8" t="s">
        <v>201</v>
      </c>
      <c r="F344" s="9">
        <v>0.55</v>
      </c>
      <c r="G344" s="10"/>
      <c r="H344" s="1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4">
        <v>344.0</v>
      </c>
      <c r="B345" s="5"/>
      <c r="C345" s="6" t="str">
        <f>HYPERLINK("https://leetcode.com/problems/reverse-string", "Reverse String")</f>
        <v>Reverse String</v>
      </c>
      <c r="D345" s="7" t="s">
        <v>6</v>
      </c>
      <c r="E345" s="8" t="s">
        <v>75</v>
      </c>
      <c r="F345" s="9">
        <v>0.76</v>
      </c>
      <c r="G345" s="10"/>
      <c r="H345" s="1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4">
        <v>345.0</v>
      </c>
      <c r="B346" s="5"/>
      <c r="C346" s="6" t="str">
        <f>HYPERLINK("https://leetcode.com/problems/reverse-vowels-of-a-string", "Reverse Vowels of a String")</f>
        <v>Reverse Vowels of a String</v>
      </c>
      <c r="D346" s="7" t="s">
        <v>6</v>
      </c>
      <c r="E346" s="8" t="s">
        <v>75</v>
      </c>
      <c r="F346" s="9">
        <v>0.49</v>
      </c>
      <c r="G346" s="10"/>
      <c r="H346" s="1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1">
        <v>346.0</v>
      </c>
      <c r="B347" s="5"/>
      <c r="C347" s="12" t="str">
        <f>HYPERLINK("https://leetcode.com/problems/moving-average-from-data-stream", "Moving Average from Data Stream")</f>
        <v>Moving Average from Data Stream</v>
      </c>
      <c r="D347" s="7" t="s">
        <v>6</v>
      </c>
      <c r="E347" s="8" t="s">
        <v>202</v>
      </c>
      <c r="F347" s="9">
        <v>0.77</v>
      </c>
      <c r="G347" s="10"/>
      <c r="H347" s="1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4">
        <v>347.0</v>
      </c>
      <c r="B348" s="5"/>
      <c r="C348" s="6" t="str">
        <f>HYPERLINK("https://leetcode.com/problems/top-k-frequent-elements", "Top K Frequent Elements")</f>
        <v>Top K Frequent Elements</v>
      </c>
      <c r="D348" s="7" t="s">
        <v>8</v>
      </c>
      <c r="E348" s="8" t="s">
        <v>203</v>
      </c>
      <c r="F348" s="9">
        <v>0.64</v>
      </c>
      <c r="G348" s="10"/>
      <c r="H348" s="1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1">
        <v>348.0</v>
      </c>
      <c r="B349" s="5"/>
      <c r="C349" s="12" t="str">
        <f>HYPERLINK("https://leetcode.com/problems/design-tic-tac-toe", "Design Tic-Tac-Toe")</f>
        <v>Design Tic-Tac-Toe</v>
      </c>
      <c r="D349" s="7" t="s">
        <v>8</v>
      </c>
      <c r="E349" s="8" t="s">
        <v>204</v>
      </c>
      <c r="F349" s="9">
        <v>0.57</v>
      </c>
      <c r="G349" s="10"/>
      <c r="H349" s="1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4">
        <v>349.0</v>
      </c>
      <c r="B350" s="5"/>
      <c r="C350" s="6" t="str">
        <f>HYPERLINK("https://leetcode.com/problems/intersection-of-two-arrays", "Intersection of Two Arrays")</f>
        <v>Intersection of Two Arrays</v>
      </c>
      <c r="D350" s="7" t="s">
        <v>6</v>
      </c>
      <c r="E350" s="8" t="s">
        <v>205</v>
      </c>
      <c r="F350" s="9">
        <v>0.7</v>
      </c>
      <c r="G350" s="10"/>
      <c r="H350" s="1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4">
        <v>350.0</v>
      </c>
      <c r="B351" s="5"/>
      <c r="C351" s="6" t="str">
        <f>HYPERLINK("https://leetcode.com/problems/intersection-of-two-arrays-ii", "Intersection of Two Arrays II")</f>
        <v>Intersection of Two Arrays II</v>
      </c>
      <c r="D351" s="7" t="s">
        <v>6</v>
      </c>
      <c r="E351" s="8" t="s">
        <v>205</v>
      </c>
      <c r="F351" s="9">
        <v>0.55</v>
      </c>
      <c r="G351" s="10"/>
      <c r="H351" s="1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1">
        <v>351.0</v>
      </c>
      <c r="B352" s="5"/>
      <c r="C352" s="12" t="str">
        <f>HYPERLINK("https://leetcode.com/problems/android-unlock-patterns", "Android Unlock Patterns")</f>
        <v>Android Unlock Patterns</v>
      </c>
      <c r="D352" s="7" t="s">
        <v>8</v>
      </c>
      <c r="E352" s="8" t="s">
        <v>206</v>
      </c>
      <c r="F352" s="9">
        <v>0.51</v>
      </c>
      <c r="G352" s="10"/>
      <c r="H352" s="1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4">
        <v>352.0</v>
      </c>
      <c r="B353" s="5"/>
      <c r="C353" s="6" t="str">
        <f>HYPERLINK("https://leetcode.com/problems/data-stream-as-disjoint-intervals", "Data Stream as Disjoint Intervals")</f>
        <v>Data Stream as Disjoint Intervals</v>
      </c>
      <c r="D353" s="7" t="s">
        <v>11</v>
      </c>
      <c r="E353" s="8" t="s">
        <v>207</v>
      </c>
      <c r="F353" s="9">
        <v>0.51</v>
      </c>
      <c r="G353" s="10"/>
      <c r="H353" s="1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1">
        <v>353.0</v>
      </c>
      <c r="B354" s="5"/>
      <c r="C354" s="12" t="str">
        <f>HYPERLINK("https://leetcode.com/problems/design-snake-game", "Design Snake Game")</f>
        <v>Design Snake Game</v>
      </c>
      <c r="D354" s="7" t="s">
        <v>8</v>
      </c>
      <c r="E354" s="8" t="s">
        <v>208</v>
      </c>
      <c r="F354" s="9">
        <v>0.39</v>
      </c>
      <c r="G354" s="10"/>
      <c r="H354" s="1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4">
        <v>354.0</v>
      </c>
      <c r="B355" s="5"/>
      <c r="C355" s="6" t="str">
        <f>HYPERLINK("https://leetcode.com/problems/russian-doll-envelopes", "Russian Doll Envelopes")</f>
        <v>Russian Doll Envelopes</v>
      </c>
      <c r="D355" s="7" t="s">
        <v>11</v>
      </c>
      <c r="E355" s="8" t="s">
        <v>209</v>
      </c>
      <c r="F355" s="9">
        <v>0.38</v>
      </c>
      <c r="G355" s="10"/>
      <c r="H355" s="1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4">
        <v>355.0</v>
      </c>
      <c r="B356" s="5"/>
      <c r="C356" s="6" t="str">
        <f>HYPERLINK("https://leetcode.com/problems/design-twitter", "Design Twitter")</f>
        <v>Design Twitter</v>
      </c>
      <c r="D356" s="7" t="s">
        <v>8</v>
      </c>
      <c r="E356" s="8" t="s">
        <v>210</v>
      </c>
      <c r="F356" s="9">
        <v>0.36</v>
      </c>
      <c r="G356" s="10"/>
      <c r="H356" s="1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1">
        <v>356.0</v>
      </c>
      <c r="B357" s="5"/>
      <c r="C357" s="12" t="str">
        <f>HYPERLINK("https://leetcode.com/problems/line-reflection", "Line Reflection")</f>
        <v>Line Reflection</v>
      </c>
      <c r="D357" s="7" t="s">
        <v>8</v>
      </c>
      <c r="E357" s="8" t="s">
        <v>211</v>
      </c>
      <c r="F357" s="9">
        <v>0.34</v>
      </c>
      <c r="G357" s="10"/>
      <c r="H357" s="1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4">
        <v>357.0</v>
      </c>
      <c r="B358" s="5"/>
      <c r="C358" s="6" t="str">
        <f>HYPERLINK("https://leetcode.com/problems/count-numbers-with-unique-digits", "Count Numbers with Unique Digits")</f>
        <v>Count Numbers with Unique Digits</v>
      </c>
      <c r="D358" s="7" t="s">
        <v>8</v>
      </c>
      <c r="E358" s="8" t="s">
        <v>212</v>
      </c>
      <c r="F358" s="9">
        <v>0.51</v>
      </c>
      <c r="G358" s="10"/>
      <c r="H358" s="1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1">
        <v>358.0</v>
      </c>
      <c r="B359" s="5"/>
      <c r="C359" s="12" t="str">
        <f>HYPERLINK("https://leetcode.com/problems/rearrange-string-k-distance-apart", "Rearrange String k Distance Apart")</f>
        <v>Rearrange String k Distance Apart</v>
      </c>
      <c r="D359" s="7" t="s">
        <v>11</v>
      </c>
      <c r="E359" s="8" t="s">
        <v>213</v>
      </c>
      <c r="F359" s="9">
        <v>0.37</v>
      </c>
      <c r="G359" s="10"/>
      <c r="H359" s="1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1">
        <v>359.0</v>
      </c>
      <c r="B360" s="5"/>
      <c r="C360" s="12" t="str">
        <f>HYPERLINK("https://leetcode.com/problems/logger-rate-limiter", "Logger Rate Limiter")</f>
        <v>Logger Rate Limiter</v>
      </c>
      <c r="D360" s="7" t="s">
        <v>6</v>
      </c>
      <c r="E360" s="8" t="s">
        <v>214</v>
      </c>
      <c r="F360" s="9">
        <v>0.75</v>
      </c>
      <c r="G360" s="10"/>
      <c r="H360" s="1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1">
        <v>360.0</v>
      </c>
      <c r="B361" s="5"/>
      <c r="C361" s="12" t="str">
        <f>HYPERLINK("https://leetcode.com/problems/sort-transformed-array", "Sort Transformed Array")</f>
        <v>Sort Transformed Array</v>
      </c>
      <c r="D361" s="7" t="s">
        <v>8</v>
      </c>
      <c r="E361" s="8" t="s">
        <v>215</v>
      </c>
      <c r="F361" s="9">
        <v>0.54</v>
      </c>
      <c r="G361" s="10"/>
      <c r="H361" s="1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1">
        <v>361.0</v>
      </c>
      <c r="B362" s="5"/>
      <c r="C362" s="12" t="str">
        <f>HYPERLINK("https://leetcode.com/problems/bomb-enemy", "Bomb Enemy")</f>
        <v>Bomb Enemy</v>
      </c>
      <c r="D362" s="7" t="s">
        <v>8</v>
      </c>
      <c r="E362" s="8" t="s">
        <v>47</v>
      </c>
      <c r="F362" s="9">
        <v>0.51</v>
      </c>
      <c r="G362" s="10"/>
      <c r="H362" s="1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1">
        <v>362.0</v>
      </c>
      <c r="B363" s="5"/>
      <c r="C363" s="12" t="str">
        <f>HYPERLINK("https://leetcode.com/problems/design-hit-counter", "Design Hit Counter")</f>
        <v>Design Hit Counter</v>
      </c>
      <c r="D363" s="7" t="s">
        <v>8</v>
      </c>
      <c r="E363" s="8" t="s">
        <v>216</v>
      </c>
      <c r="F363" s="9">
        <v>0.68</v>
      </c>
      <c r="G363" s="10"/>
      <c r="H363" s="1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4">
        <v>363.0</v>
      </c>
      <c r="B364" s="5"/>
      <c r="C364" s="6" t="str">
        <f>HYPERLINK("https://leetcode.com/problems/max-sum-of-rectangle-no-larger-than-k", "Max Sum of Rectangle No Larger Than K")</f>
        <v>Max Sum of Rectangle No Larger Than K</v>
      </c>
      <c r="D364" s="7" t="s">
        <v>11</v>
      </c>
      <c r="E364" s="8" t="s">
        <v>217</v>
      </c>
      <c r="F364" s="9">
        <v>0.44</v>
      </c>
      <c r="G364" s="10"/>
      <c r="H364" s="1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1">
        <v>364.0</v>
      </c>
      <c r="B365" s="5"/>
      <c r="C365" s="12" t="str">
        <f>HYPERLINK("https://leetcode.com/problems/nested-list-weight-sum-ii", "Nested List Weight Sum II")</f>
        <v>Nested List Weight Sum II</v>
      </c>
      <c r="D365" s="7" t="s">
        <v>8</v>
      </c>
      <c r="E365" s="8" t="s">
        <v>218</v>
      </c>
      <c r="F365" s="9">
        <v>0.66</v>
      </c>
      <c r="G365" s="10"/>
      <c r="H365" s="1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4">
        <v>365.0</v>
      </c>
      <c r="B366" s="5"/>
      <c r="C366" s="6" t="str">
        <f>HYPERLINK("https://leetcode.com/problems/water-and-jug-problem", "Water and Jug Problem")</f>
        <v>Water and Jug Problem</v>
      </c>
      <c r="D366" s="7" t="s">
        <v>8</v>
      </c>
      <c r="E366" s="8" t="s">
        <v>219</v>
      </c>
      <c r="F366" s="9">
        <v>0.36</v>
      </c>
      <c r="G366" s="10"/>
      <c r="H366" s="1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1">
        <v>366.0</v>
      </c>
      <c r="B367" s="5"/>
      <c r="C367" s="12" t="str">
        <f>HYPERLINK("https://leetcode.com/problems/find-leaves-of-binary-tree", "Find Leaves of Binary Tree")</f>
        <v>Find Leaves of Binary Tree</v>
      </c>
      <c r="D367" s="7" t="s">
        <v>8</v>
      </c>
      <c r="E367" s="8" t="s">
        <v>69</v>
      </c>
      <c r="F367" s="9">
        <v>0.8</v>
      </c>
      <c r="G367" s="10"/>
      <c r="H367" s="1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4">
        <v>367.0</v>
      </c>
      <c r="B368" s="5"/>
      <c r="C368" s="6" t="str">
        <f>HYPERLINK("https://leetcode.com/problems/valid-perfect-square", "Valid Perfect Square")</f>
        <v>Valid Perfect Square</v>
      </c>
      <c r="D368" s="7" t="s">
        <v>6</v>
      </c>
      <c r="E368" s="8" t="s">
        <v>51</v>
      </c>
      <c r="F368" s="9">
        <v>0.43</v>
      </c>
      <c r="G368" s="10"/>
      <c r="H368" s="1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4">
        <v>368.0</v>
      </c>
      <c r="B369" s="5"/>
      <c r="C369" s="6" t="str">
        <f>HYPERLINK("https://leetcode.com/problems/largest-divisible-subset", "Largest Divisible Subset")</f>
        <v>Largest Divisible Subset</v>
      </c>
      <c r="D369" s="7" t="s">
        <v>8</v>
      </c>
      <c r="E369" s="8" t="s">
        <v>220</v>
      </c>
      <c r="F369" s="9">
        <v>0.41</v>
      </c>
      <c r="G369" s="10"/>
      <c r="H369" s="1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1">
        <v>369.0</v>
      </c>
      <c r="B370" s="5"/>
      <c r="C370" s="12" t="str">
        <f>HYPERLINK("https://leetcode.com/problems/plus-one-linked-list", "Plus One Linked List")</f>
        <v>Plus One Linked List</v>
      </c>
      <c r="D370" s="7" t="s">
        <v>8</v>
      </c>
      <c r="E370" s="8" t="s">
        <v>221</v>
      </c>
      <c r="F370" s="9">
        <v>0.6</v>
      </c>
      <c r="G370" s="10"/>
      <c r="H370" s="1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1">
        <v>370.0</v>
      </c>
      <c r="B371" s="5"/>
      <c r="C371" s="12" t="str">
        <f>HYPERLINK("https://leetcode.com/problems/range-addition", "Range Addition")</f>
        <v>Range Addition</v>
      </c>
      <c r="D371" s="7" t="s">
        <v>8</v>
      </c>
      <c r="E371" s="8" t="s">
        <v>130</v>
      </c>
      <c r="F371" s="9">
        <v>0.7</v>
      </c>
      <c r="G371" s="10"/>
      <c r="H371" s="1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4">
        <v>371.0</v>
      </c>
      <c r="B372" s="5"/>
      <c r="C372" s="6" t="str">
        <f>HYPERLINK("https://leetcode.com/problems/sum-of-two-integers", "Sum of Two Integers")</f>
        <v>Sum of Two Integers</v>
      </c>
      <c r="D372" s="7" t="s">
        <v>8</v>
      </c>
      <c r="E372" s="8" t="s">
        <v>28</v>
      </c>
      <c r="F372" s="9">
        <v>0.5</v>
      </c>
      <c r="G372" s="10"/>
      <c r="H372" s="1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4">
        <v>372.0</v>
      </c>
      <c r="B373" s="5"/>
      <c r="C373" s="6" t="str">
        <f>HYPERLINK("https://leetcode.com/problems/super-pow", "Super Pow")</f>
        <v>Super Pow</v>
      </c>
      <c r="D373" s="7" t="s">
        <v>8</v>
      </c>
      <c r="E373" s="8" t="s">
        <v>222</v>
      </c>
      <c r="F373" s="9">
        <v>0.36</v>
      </c>
      <c r="G373" s="10"/>
      <c r="H373" s="1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4">
        <v>373.0</v>
      </c>
      <c r="B374" s="5"/>
      <c r="C374" s="6" t="str">
        <f>HYPERLINK("https://leetcode.com/problems/find-k-pairs-with-smallest-sums", "Find K Pairs with Smallest Sums")</f>
        <v>Find K Pairs with Smallest Sums</v>
      </c>
      <c r="D374" s="7" t="s">
        <v>8</v>
      </c>
      <c r="E374" s="8" t="s">
        <v>223</v>
      </c>
      <c r="F374" s="9">
        <v>0.38</v>
      </c>
      <c r="G374" s="10"/>
      <c r="H374" s="1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4">
        <v>374.0</v>
      </c>
      <c r="B375" s="5"/>
      <c r="C375" s="6" t="str">
        <f>HYPERLINK("https://leetcode.com/problems/guess-number-higher-or-lower", "Guess Number Higher or Lower")</f>
        <v>Guess Number Higher or Lower</v>
      </c>
      <c r="D375" s="7" t="s">
        <v>6</v>
      </c>
      <c r="E375" s="8" t="s">
        <v>158</v>
      </c>
      <c r="F375" s="9">
        <v>0.51</v>
      </c>
      <c r="G375" s="10"/>
      <c r="H375" s="1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4">
        <v>375.0</v>
      </c>
      <c r="B376" s="5"/>
      <c r="C376" s="6" t="str">
        <f>HYPERLINK("https://leetcode.com/problems/guess-number-higher-or-lower-ii", "Guess Number Higher or Lower II")</f>
        <v>Guess Number Higher or Lower II</v>
      </c>
      <c r="D376" s="7" t="s">
        <v>8</v>
      </c>
      <c r="E376" s="8" t="s">
        <v>224</v>
      </c>
      <c r="F376" s="9">
        <v>0.46</v>
      </c>
      <c r="G376" s="10"/>
      <c r="H376" s="1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4">
        <v>376.0</v>
      </c>
      <c r="B377" s="5"/>
      <c r="C377" s="6" t="str">
        <f>HYPERLINK("https://leetcode.com/problems/wiggle-subsequence", "Wiggle Subsequence")</f>
        <v>Wiggle Subsequence</v>
      </c>
      <c r="D377" s="7" t="s">
        <v>8</v>
      </c>
      <c r="E377" s="8" t="s">
        <v>37</v>
      </c>
      <c r="F377" s="9">
        <v>0.48</v>
      </c>
      <c r="G377" s="10"/>
      <c r="H377" s="1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4">
        <v>377.0</v>
      </c>
      <c r="B378" s="5"/>
      <c r="C378" s="6" t="str">
        <f>HYPERLINK("https://leetcode.com/problems/combination-sum-iv", "Combination Sum IV")</f>
        <v>Combination Sum IV</v>
      </c>
      <c r="D378" s="7" t="s">
        <v>8</v>
      </c>
      <c r="E378" s="8" t="s">
        <v>73</v>
      </c>
      <c r="F378" s="9">
        <v>0.52</v>
      </c>
      <c r="G378" s="10"/>
      <c r="H378" s="1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4">
        <v>378.0</v>
      </c>
      <c r="B379" s="5"/>
      <c r="C379" s="6" t="str">
        <f>HYPERLINK("https://leetcode.com/problems/kth-smallest-element-in-a-sorted-matrix", "Kth Smallest Element in a Sorted Matrix")</f>
        <v>Kth Smallest Element in a Sorted Matrix</v>
      </c>
      <c r="D379" s="7" t="s">
        <v>8</v>
      </c>
      <c r="E379" s="8" t="s">
        <v>225</v>
      </c>
      <c r="F379" s="9">
        <v>0.61</v>
      </c>
      <c r="G379" s="10"/>
      <c r="H379" s="1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1">
        <v>379.0</v>
      </c>
      <c r="B380" s="5"/>
      <c r="C380" s="12" t="str">
        <f>HYPERLINK("https://leetcode.com/problems/design-phone-directory", "Design Phone Directory")</f>
        <v>Design Phone Directory</v>
      </c>
      <c r="D380" s="7" t="s">
        <v>8</v>
      </c>
      <c r="E380" s="8" t="s">
        <v>226</v>
      </c>
      <c r="F380" s="9">
        <v>0.51</v>
      </c>
      <c r="G380" s="10"/>
      <c r="H380" s="1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4">
        <v>380.0</v>
      </c>
      <c r="B381" s="5"/>
      <c r="C381" s="6" t="str">
        <f>HYPERLINK("https://leetcode.com/problems/insert-delete-getrandom-o1", "Insert Delete GetRandom O(1)")</f>
        <v>Insert Delete GetRandom O(1)</v>
      </c>
      <c r="D381" s="7" t="s">
        <v>8</v>
      </c>
      <c r="E381" s="8" t="s">
        <v>227</v>
      </c>
      <c r="F381" s="9">
        <v>0.52</v>
      </c>
      <c r="G381" s="10"/>
      <c r="H381" s="1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4">
        <v>381.0</v>
      </c>
      <c r="B382" s="5"/>
      <c r="C382" s="6" t="str">
        <f>HYPERLINK("https://leetcode.com/problems/insert-delete-getrandom-o1-duplicates-allowed", "Insert Delete GetRandom O(1) - Duplicates allowed")</f>
        <v>Insert Delete GetRandom O(1) - Duplicates allowed</v>
      </c>
      <c r="D382" s="7" t="s">
        <v>11</v>
      </c>
      <c r="E382" s="8" t="s">
        <v>227</v>
      </c>
      <c r="F382" s="9">
        <v>0.35</v>
      </c>
      <c r="G382" s="10"/>
      <c r="H382" s="1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4">
        <v>382.0</v>
      </c>
      <c r="B383" s="5"/>
      <c r="C383" s="6" t="str">
        <f>HYPERLINK("https://leetcode.com/problems/linked-list-random-node", "Linked List Random Node")</f>
        <v>Linked List Random Node</v>
      </c>
      <c r="D383" s="7" t="s">
        <v>8</v>
      </c>
      <c r="E383" s="8" t="s">
        <v>228</v>
      </c>
      <c r="F383" s="9">
        <v>0.59</v>
      </c>
      <c r="G383" s="10"/>
      <c r="H383" s="1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4">
        <v>383.0</v>
      </c>
      <c r="B384" s="5"/>
      <c r="C384" s="6" t="str">
        <f>HYPERLINK("https://leetcode.com/problems/ransom-note", "Ransom Note")</f>
        <v>Ransom Note</v>
      </c>
      <c r="D384" s="7" t="s">
        <v>6</v>
      </c>
      <c r="E384" s="8" t="s">
        <v>172</v>
      </c>
      <c r="F384" s="9">
        <v>0.57</v>
      </c>
      <c r="G384" s="10"/>
      <c r="H384" s="1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4">
        <v>384.0</v>
      </c>
      <c r="B385" s="5"/>
      <c r="C385" s="6" t="str">
        <f>HYPERLINK("https://leetcode.com/problems/shuffle-an-array", "Shuffle an Array")</f>
        <v>Shuffle an Array</v>
      </c>
      <c r="D385" s="7" t="s">
        <v>8</v>
      </c>
      <c r="E385" s="8" t="s">
        <v>229</v>
      </c>
      <c r="F385" s="9">
        <v>0.57</v>
      </c>
      <c r="G385" s="10"/>
      <c r="H385" s="1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4">
        <v>385.0</v>
      </c>
      <c r="B386" s="5"/>
      <c r="C386" s="6" t="str">
        <f>HYPERLINK("https://leetcode.com/problems/mini-parser", "Mini Parser")</f>
        <v>Mini Parser</v>
      </c>
      <c r="D386" s="7" t="s">
        <v>8</v>
      </c>
      <c r="E386" s="8" t="s">
        <v>230</v>
      </c>
      <c r="F386" s="9">
        <v>0.36</v>
      </c>
      <c r="G386" s="10"/>
      <c r="H386" s="1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4">
        <v>386.0</v>
      </c>
      <c r="B387" s="5"/>
      <c r="C387" s="6" t="str">
        <f>HYPERLINK("https://leetcode.com/problems/lexicographical-numbers", "Lexicographical Numbers")</f>
        <v>Lexicographical Numbers</v>
      </c>
      <c r="D387" s="7" t="s">
        <v>8</v>
      </c>
      <c r="E387" s="8" t="s">
        <v>231</v>
      </c>
      <c r="F387" s="9">
        <v>0.6</v>
      </c>
      <c r="G387" s="10"/>
      <c r="H387" s="1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4">
        <v>387.0</v>
      </c>
      <c r="B388" s="5"/>
      <c r="C388" s="6" t="str">
        <f>HYPERLINK("https://leetcode.com/problems/first-unique-character-in-a-string", "First Unique Character in a String")</f>
        <v>First Unique Character in a String</v>
      </c>
      <c r="D388" s="7" t="s">
        <v>6</v>
      </c>
      <c r="E388" s="8" t="s">
        <v>232</v>
      </c>
      <c r="F388" s="9">
        <v>0.59</v>
      </c>
      <c r="G388" s="10"/>
      <c r="H388" s="1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4">
        <v>388.0</v>
      </c>
      <c r="B389" s="5"/>
      <c r="C389" s="6" t="str">
        <f>HYPERLINK("https://leetcode.com/problems/longest-absolute-file-path", "Longest Absolute File Path")</f>
        <v>Longest Absolute File Path</v>
      </c>
      <c r="D389" s="7" t="s">
        <v>8</v>
      </c>
      <c r="E389" s="8" t="s">
        <v>230</v>
      </c>
      <c r="F389" s="9">
        <v>0.46</v>
      </c>
      <c r="G389" s="10"/>
      <c r="H389" s="1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4">
        <v>389.0</v>
      </c>
      <c r="B390" s="5"/>
      <c r="C390" s="6" t="str">
        <f>HYPERLINK("https://leetcode.com/problems/find-the-difference", "Find the Difference")</f>
        <v>Find the Difference</v>
      </c>
      <c r="D390" s="7" t="s">
        <v>6</v>
      </c>
      <c r="E390" s="8" t="s">
        <v>233</v>
      </c>
      <c r="F390" s="9">
        <v>0.6</v>
      </c>
      <c r="G390" s="10"/>
      <c r="H390" s="1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4">
        <v>390.0</v>
      </c>
      <c r="B391" s="5"/>
      <c r="C391" s="6" t="str">
        <f>HYPERLINK("https://leetcode.com/problems/elimination-game", "Elimination Game")</f>
        <v>Elimination Game</v>
      </c>
      <c r="D391" s="7" t="s">
        <v>8</v>
      </c>
      <c r="E391" s="8" t="s">
        <v>40</v>
      </c>
      <c r="F391" s="9">
        <v>0.46</v>
      </c>
      <c r="G391" s="10"/>
      <c r="H391" s="1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4">
        <v>391.0</v>
      </c>
      <c r="B392" s="5"/>
      <c r="C392" s="6" t="str">
        <f>HYPERLINK("https://leetcode.com/problems/perfect-rectangle", "Perfect Rectangle")</f>
        <v>Perfect Rectangle</v>
      </c>
      <c r="D392" s="7" t="s">
        <v>11</v>
      </c>
      <c r="E392" s="8" t="s">
        <v>234</v>
      </c>
      <c r="F392" s="9">
        <v>0.32</v>
      </c>
      <c r="G392" s="10"/>
      <c r="H392" s="1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4">
        <v>392.0</v>
      </c>
      <c r="B393" s="5"/>
      <c r="C393" s="6" t="str">
        <f>HYPERLINK("https://leetcode.com/problems/is-subsequence", "Is Subsequence")</f>
        <v>Is Subsequence</v>
      </c>
      <c r="D393" s="7" t="s">
        <v>6</v>
      </c>
      <c r="E393" s="8" t="s">
        <v>235</v>
      </c>
      <c r="F393" s="9">
        <v>0.48</v>
      </c>
      <c r="G393" s="10"/>
      <c r="H393" s="1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4">
        <v>393.0</v>
      </c>
      <c r="B394" s="5"/>
      <c r="C394" s="6" t="str">
        <f>HYPERLINK("https://leetcode.com/problems/utf-8-validation", "UTF-8 Validation")</f>
        <v>UTF-8 Validation</v>
      </c>
      <c r="D394" s="7" t="s">
        <v>8</v>
      </c>
      <c r="E394" s="8" t="s">
        <v>82</v>
      </c>
      <c r="F394" s="9">
        <v>0.45</v>
      </c>
      <c r="G394" s="10"/>
      <c r="H394" s="1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4">
        <v>394.0</v>
      </c>
      <c r="B395" s="5"/>
      <c r="C395" s="6" t="str">
        <f>HYPERLINK("https://leetcode.com/problems/decode-string", "Decode String")</f>
        <v>Decode String</v>
      </c>
      <c r="D395" s="7" t="s">
        <v>8</v>
      </c>
      <c r="E395" s="8" t="s">
        <v>236</v>
      </c>
      <c r="F395" s="9">
        <v>0.57</v>
      </c>
      <c r="G395" s="10"/>
      <c r="H395" s="1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4">
        <v>395.0</v>
      </c>
      <c r="B396" s="5"/>
      <c r="C396" s="6" t="str">
        <f>HYPERLINK("https://leetcode.com/problems/longest-substring-with-at-least-k-repeating-characters", "Longest Substring with At Least K Repeating Characters")</f>
        <v>Longest Substring with At Least K Repeating Characters</v>
      </c>
      <c r="D396" s="7" t="s">
        <v>8</v>
      </c>
      <c r="E396" s="8" t="s">
        <v>237</v>
      </c>
      <c r="F396" s="9">
        <v>0.44</v>
      </c>
      <c r="G396" s="10"/>
      <c r="H396" s="1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4">
        <v>396.0</v>
      </c>
      <c r="B397" s="5"/>
      <c r="C397" s="6" t="str">
        <f>HYPERLINK("https://leetcode.com/problems/rotate-function", "Rotate Function")</f>
        <v>Rotate Function</v>
      </c>
      <c r="D397" s="7" t="s">
        <v>8</v>
      </c>
      <c r="E397" s="8" t="s">
        <v>181</v>
      </c>
      <c r="F397" s="9">
        <v>0.4</v>
      </c>
      <c r="G397" s="10"/>
      <c r="H397" s="1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4">
        <v>397.0</v>
      </c>
      <c r="B398" s="5"/>
      <c r="C398" s="6" t="str">
        <f>HYPERLINK("https://leetcode.com/problems/integer-replacement", "Integer Replacement")</f>
        <v>Integer Replacement</v>
      </c>
      <c r="D398" s="7" t="s">
        <v>8</v>
      </c>
      <c r="E398" s="8" t="s">
        <v>238</v>
      </c>
      <c r="F398" s="9">
        <v>0.35</v>
      </c>
      <c r="G398" s="10"/>
      <c r="H398" s="1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4">
        <v>398.0</v>
      </c>
      <c r="B399" s="5"/>
      <c r="C399" s="6" t="str">
        <f>HYPERLINK("https://leetcode.com/problems/random-pick-index", "Random Pick Index")</f>
        <v>Random Pick Index</v>
      </c>
      <c r="D399" s="7" t="s">
        <v>8</v>
      </c>
      <c r="E399" s="8" t="s">
        <v>239</v>
      </c>
      <c r="F399" s="9">
        <v>0.62</v>
      </c>
      <c r="G399" s="10"/>
      <c r="H399" s="1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4">
        <v>399.0</v>
      </c>
      <c r="B400" s="5"/>
      <c r="C400" s="6" t="str">
        <f>HYPERLINK("https://leetcode.com/problems/evaluate-division", "Evaluate Division")</f>
        <v>Evaluate Division</v>
      </c>
      <c r="D400" s="7" t="s">
        <v>8</v>
      </c>
      <c r="E400" s="8" t="s">
        <v>240</v>
      </c>
      <c r="F400" s="9">
        <v>0.59</v>
      </c>
      <c r="G400" s="10"/>
      <c r="H400" s="1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4">
        <v>400.0</v>
      </c>
      <c r="B401" s="5"/>
      <c r="C401" s="6" t="str">
        <f>HYPERLINK("https://leetcode.com/problems/nth-digit", "Nth Digit")</f>
        <v>Nth Digit</v>
      </c>
      <c r="D401" s="7" t="s">
        <v>8</v>
      </c>
      <c r="E401" s="8" t="s">
        <v>51</v>
      </c>
      <c r="F401" s="9">
        <v>0.34</v>
      </c>
      <c r="G401" s="10"/>
      <c r="H401" s="1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4">
        <v>401.0</v>
      </c>
      <c r="B402" s="5"/>
      <c r="C402" s="6" t="str">
        <f>HYPERLINK("https://leetcode.com/problems/binary-watch", "Binary Watch")</f>
        <v>Binary Watch</v>
      </c>
      <c r="D402" s="7" t="s">
        <v>6</v>
      </c>
      <c r="E402" s="8" t="s">
        <v>241</v>
      </c>
      <c r="F402" s="9">
        <v>0.51</v>
      </c>
      <c r="G402" s="10"/>
      <c r="H402" s="1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4">
        <v>402.0</v>
      </c>
      <c r="B403" s="5"/>
      <c r="C403" s="6" t="str">
        <f>HYPERLINK("https://leetcode.com/problems/remove-k-digits", "Remove K Digits")</f>
        <v>Remove K Digits</v>
      </c>
      <c r="D403" s="7" t="s">
        <v>8</v>
      </c>
      <c r="E403" s="8" t="s">
        <v>184</v>
      </c>
      <c r="F403" s="9">
        <v>0.3</v>
      </c>
      <c r="G403" s="10"/>
      <c r="H403" s="1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4">
        <v>403.0</v>
      </c>
      <c r="B404" s="5"/>
      <c r="C404" s="6" t="str">
        <f>HYPERLINK("https://leetcode.com/problems/frog-jump", "Frog Jump")</f>
        <v>Frog Jump</v>
      </c>
      <c r="D404" s="7" t="s">
        <v>11</v>
      </c>
      <c r="E404" s="8" t="s">
        <v>73</v>
      </c>
      <c r="F404" s="9">
        <v>0.43</v>
      </c>
      <c r="G404" s="10"/>
      <c r="H404" s="1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4">
        <v>404.0</v>
      </c>
      <c r="B405" s="5"/>
      <c r="C405" s="6" t="str">
        <f>HYPERLINK("https://leetcode.com/problems/sum-of-left-leaves", "Sum of Left Leaves")</f>
        <v>Sum of Left Leaves</v>
      </c>
      <c r="D405" s="7" t="s">
        <v>6</v>
      </c>
      <c r="E405" s="8" t="s">
        <v>64</v>
      </c>
      <c r="F405" s="9">
        <v>0.56</v>
      </c>
      <c r="G405" s="10"/>
      <c r="H405" s="1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4">
        <v>405.0</v>
      </c>
      <c r="B406" s="5"/>
      <c r="C406" s="6" t="str">
        <f>HYPERLINK("https://leetcode.com/problems/convert-a-number-to-hexadecimal", "Convert a Number to Hexadecimal")</f>
        <v>Convert a Number to Hexadecimal</v>
      </c>
      <c r="D406" s="7" t="s">
        <v>6</v>
      </c>
      <c r="E406" s="8" t="s">
        <v>28</v>
      </c>
      <c r="F406" s="9">
        <v>0.46</v>
      </c>
      <c r="G406" s="10"/>
      <c r="H406" s="1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4">
        <v>406.0</v>
      </c>
      <c r="B407" s="5"/>
      <c r="C407" s="6" t="str">
        <f>HYPERLINK("https://leetcode.com/problems/queue-reconstruction-by-height", "Queue Reconstruction by Height")</f>
        <v>Queue Reconstruction by Height</v>
      </c>
      <c r="D407" s="7" t="s">
        <v>8</v>
      </c>
      <c r="E407" s="8" t="s">
        <v>242</v>
      </c>
      <c r="F407" s="9">
        <v>0.72</v>
      </c>
      <c r="G407" s="10"/>
      <c r="H407" s="1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4">
        <v>407.0</v>
      </c>
      <c r="B408" s="5"/>
      <c r="C408" s="6" t="str">
        <f>HYPERLINK("https://leetcode.com/problems/trapping-rain-water-ii", "Trapping Rain Water II")</f>
        <v>Trapping Rain Water II</v>
      </c>
      <c r="D408" s="7" t="s">
        <v>11</v>
      </c>
      <c r="E408" s="8" t="s">
        <v>243</v>
      </c>
      <c r="F408" s="9">
        <v>0.47</v>
      </c>
      <c r="G408" s="10"/>
      <c r="H408" s="1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1">
        <v>408.0</v>
      </c>
      <c r="B409" s="5"/>
      <c r="C409" s="12" t="str">
        <f>HYPERLINK("https://leetcode.com/problems/valid-word-abbreviation", "Valid Word Abbreviation")</f>
        <v>Valid Word Abbreviation</v>
      </c>
      <c r="D409" s="7" t="s">
        <v>6</v>
      </c>
      <c r="E409" s="8" t="s">
        <v>75</v>
      </c>
      <c r="F409" s="9">
        <v>0.34</v>
      </c>
      <c r="G409" s="10"/>
      <c r="H409" s="1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4">
        <v>409.0</v>
      </c>
      <c r="B410" s="5"/>
      <c r="C410" s="6" t="str">
        <f>HYPERLINK("https://leetcode.com/problems/longest-palindrome", "Longest Palindrome")</f>
        <v>Longest Palindrome</v>
      </c>
      <c r="D410" s="7" t="s">
        <v>6</v>
      </c>
      <c r="E410" s="8" t="s">
        <v>244</v>
      </c>
      <c r="F410" s="9">
        <v>0.54</v>
      </c>
      <c r="G410" s="10"/>
      <c r="H410" s="1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4">
        <v>410.0</v>
      </c>
      <c r="B411" s="5"/>
      <c r="C411" s="6" t="str">
        <f>HYPERLINK("https://leetcode.com/problems/split-array-largest-sum", "Split Array Largest Sum")</f>
        <v>Split Array Largest Sum</v>
      </c>
      <c r="D411" s="7" t="s">
        <v>11</v>
      </c>
      <c r="E411" s="8" t="s">
        <v>245</v>
      </c>
      <c r="F411" s="9">
        <v>0.53</v>
      </c>
      <c r="G411" s="10"/>
      <c r="H411" s="1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1">
        <v>411.0</v>
      </c>
      <c r="B412" s="5"/>
      <c r="C412" s="12" t="str">
        <f>HYPERLINK("https://leetcode.com/problems/minimum-unique-word-abbreviation", "Minimum Unique Word Abbreviation")</f>
        <v>Minimum Unique Word Abbreviation</v>
      </c>
      <c r="D412" s="7" t="s">
        <v>11</v>
      </c>
      <c r="E412" s="8" t="s">
        <v>187</v>
      </c>
      <c r="F412" s="9">
        <v>0.39</v>
      </c>
      <c r="G412" s="10"/>
      <c r="H412" s="1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4">
        <v>412.0</v>
      </c>
      <c r="B413" s="5"/>
      <c r="C413" s="6" t="str">
        <f>HYPERLINK("https://leetcode.com/problems/fizz-buzz", "Fizz Buzz")</f>
        <v>Fizz Buzz</v>
      </c>
      <c r="D413" s="7" t="s">
        <v>6</v>
      </c>
      <c r="E413" s="8" t="s">
        <v>35</v>
      </c>
      <c r="F413" s="9">
        <v>0.69</v>
      </c>
      <c r="G413" s="10"/>
      <c r="H413" s="1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4">
        <v>413.0</v>
      </c>
      <c r="B414" s="5"/>
      <c r="C414" s="6" t="str">
        <f>HYPERLINK("https://leetcode.com/problems/arithmetic-slices", "Arithmetic Slices")</f>
        <v>Arithmetic Slices</v>
      </c>
      <c r="D414" s="7" t="s">
        <v>8</v>
      </c>
      <c r="E414" s="8" t="s">
        <v>73</v>
      </c>
      <c r="F414" s="9">
        <v>0.65</v>
      </c>
      <c r="G414" s="10"/>
      <c r="H414" s="1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4">
        <v>414.0</v>
      </c>
      <c r="B415" s="5"/>
      <c r="C415" s="6" t="str">
        <f>HYPERLINK("https://leetcode.com/problems/third-maximum-number", "Third Maximum Number")</f>
        <v>Third Maximum Number</v>
      </c>
      <c r="D415" s="7" t="s">
        <v>6</v>
      </c>
      <c r="E415" s="8" t="s">
        <v>44</v>
      </c>
      <c r="F415" s="9">
        <v>0.32</v>
      </c>
      <c r="G415" s="10"/>
      <c r="H415" s="1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4">
        <v>415.0</v>
      </c>
      <c r="B416" s="5"/>
      <c r="C416" s="6" t="str">
        <f>HYPERLINK("https://leetcode.com/problems/add-strings", "Add Strings")</f>
        <v>Add Strings</v>
      </c>
      <c r="D416" s="7" t="s">
        <v>6</v>
      </c>
      <c r="E416" s="8" t="s">
        <v>35</v>
      </c>
      <c r="F416" s="9">
        <v>0.52</v>
      </c>
      <c r="G416" s="10"/>
      <c r="H416" s="1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4">
        <v>416.0</v>
      </c>
      <c r="B417" s="5"/>
      <c r="C417" s="6" t="str">
        <f>HYPERLINK("https://leetcode.com/problems/partition-equal-subset-sum", "Partition Equal Subset Sum")</f>
        <v>Partition Equal Subset Sum</v>
      </c>
      <c r="D417" s="7" t="s">
        <v>8</v>
      </c>
      <c r="E417" s="8" t="s">
        <v>73</v>
      </c>
      <c r="F417" s="9">
        <v>0.46</v>
      </c>
      <c r="G417" s="10"/>
      <c r="H417" s="1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4">
        <v>417.0</v>
      </c>
      <c r="B418" s="5"/>
      <c r="C418" s="6" t="str">
        <f>HYPERLINK("https://leetcode.com/problems/pacific-atlantic-water-flow", "Pacific Atlantic Water Flow")</f>
        <v>Pacific Atlantic Water Flow</v>
      </c>
      <c r="D418" s="7" t="s">
        <v>8</v>
      </c>
      <c r="E418" s="8" t="s">
        <v>246</v>
      </c>
      <c r="F418" s="9">
        <v>0.54</v>
      </c>
      <c r="G418" s="10"/>
      <c r="H418" s="1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1">
        <v>418.0</v>
      </c>
      <c r="B419" s="5"/>
      <c r="C419" s="12" t="str">
        <f>HYPERLINK("https://leetcode.com/problems/sentence-screen-fitting", "Sentence Screen Fitting")</f>
        <v>Sentence Screen Fitting</v>
      </c>
      <c r="D419" s="7" t="s">
        <v>8</v>
      </c>
      <c r="E419" s="8" t="s">
        <v>247</v>
      </c>
      <c r="F419" s="9">
        <v>0.35</v>
      </c>
      <c r="G419" s="10"/>
      <c r="H419" s="1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4">
        <v>419.0</v>
      </c>
      <c r="B420" s="5"/>
      <c r="C420" s="6" t="str">
        <f>HYPERLINK("https://leetcode.com/problems/battleships-in-a-board", "Battleships in a Board")</f>
        <v>Battleships in a Board</v>
      </c>
      <c r="D420" s="7" t="s">
        <v>8</v>
      </c>
      <c r="E420" s="8" t="s">
        <v>248</v>
      </c>
      <c r="F420" s="9">
        <v>0.74</v>
      </c>
      <c r="G420" s="10"/>
      <c r="H420" s="1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4">
        <v>420.0</v>
      </c>
      <c r="B421" s="5"/>
      <c r="C421" s="6" t="str">
        <f>HYPERLINK("https://leetcode.com/problems/strong-password-checker", "Strong Password Checker")</f>
        <v>Strong Password Checker</v>
      </c>
      <c r="D421" s="7" t="s">
        <v>11</v>
      </c>
      <c r="E421" s="8" t="s">
        <v>249</v>
      </c>
      <c r="F421" s="9">
        <v>0.14</v>
      </c>
      <c r="G421" s="10"/>
      <c r="H421" s="1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4">
        <v>421.0</v>
      </c>
      <c r="B422" s="5"/>
      <c r="C422" s="6" t="str">
        <f>HYPERLINK("https://leetcode.com/problems/maximum-xor-of-two-numbers-in-an-array", "Maximum XOR of Two Numbers in an Array")</f>
        <v>Maximum XOR of Two Numbers in an Array</v>
      </c>
      <c r="D422" s="7" t="s">
        <v>8</v>
      </c>
      <c r="E422" s="8" t="s">
        <v>250</v>
      </c>
      <c r="F422" s="9">
        <v>0.54</v>
      </c>
      <c r="G422" s="10"/>
      <c r="H422" s="1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1">
        <v>422.0</v>
      </c>
      <c r="B423" s="5"/>
      <c r="C423" s="12" t="str">
        <f>HYPERLINK("https://leetcode.com/problems/valid-word-square", "Valid Word Square")</f>
        <v>Valid Word Square</v>
      </c>
      <c r="D423" s="7" t="s">
        <v>6</v>
      </c>
      <c r="E423" s="8" t="s">
        <v>251</v>
      </c>
      <c r="F423" s="9">
        <v>0.38</v>
      </c>
      <c r="G423" s="10"/>
      <c r="H423" s="1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4">
        <v>423.0</v>
      </c>
      <c r="B424" s="5"/>
      <c r="C424" s="6" t="str">
        <f>HYPERLINK("https://leetcode.com/problems/reconstruct-original-digits-from-english", "Reconstruct Original Digits from English")</f>
        <v>Reconstruct Original Digits from English</v>
      </c>
      <c r="D424" s="7" t="s">
        <v>8</v>
      </c>
      <c r="E424" s="8" t="s">
        <v>18</v>
      </c>
      <c r="F424" s="9">
        <v>0.51</v>
      </c>
      <c r="G424" s="10"/>
      <c r="H424" s="1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4">
        <v>424.0</v>
      </c>
      <c r="B425" s="5"/>
      <c r="C425" s="6" t="str">
        <f>HYPERLINK("https://leetcode.com/problems/longest-repeating-character-replacement", "Longest Repeating Character Replacement")</f>
        <v>Longest Repeating Character Replacement</v>
      </c>
      <c r="D425" s="7" t="s">
        <v>8</v>
      </c>
      <c r="E425" s="8" t="s">
        <v>10</v>
      </c>
      <c r="F425" s="9">
        <v>0.51</v>
      </c>
      <c r="G425" s="10"/>
      <c r="H425" s="1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1">
        <v>425.0</v>
      </c>
      <c r="B426" s="5"/>
      <c r="C426" s="12" t="str">
        <f>HYPERLINK("https://leetcode.com/problems/word-squares", "Word Squares")</f>
        <v>Word Squares</v>
      </c>
      <c r="D426" s="7" t="s">
        <v>11</v>
      </c>
      <c r="E426" s="8" t="s">
        <v>252</v>
      </c>
      <c r="F426" s="9">
        <v>0.52</v>
      </c>
      <c r="G426" s="10"/>
      <c r="H426" s="1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1">
        <v>426.0</v>
      </c>
      <c r="B427" s="5"/>
      <c r="C427" s="12" t="str">
        <f>HYPERLINK("https://leetcode.com/problems/convert-binary-search-tree-to-sorted-doubly-linked-list", "Convert Binary Search Tree to Sorted Doubly Linked List")</f>
        <v>Convert Binary Search Tree to Sorted Doubly Linked List</v>
      </c>
      <c r="D427" s="7" t="s">
        <v>8</v>
      </c>
      <c r="E427" s="8" t="s">
        <v>253</v>
      </c>
      <c r="F427" s="9">
        <v>0.64</v>
      </c>
      <c r="G427" s="10"/>
      <c r="H427" s="1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4">
        <v>427.0</v>
      </c>
      <c r="B428" s="5"/>
      <c r="C428" s="6" t="str">
        <f>HYPERLINK("https://leetcode.com/problems/construct-quad-tree", "Construct Quad Tree")</f>
        <v>Construct Quad Tree</v>
      </c>
      <c r="D428" s="7" t="s">
        <v>8</v>
      </c>
      <c r="E428" s="8" t="s">
        <v>254</v>
      </c>
      <c r="F428" s="9">
        <v>0.66</v>
      </c>
      <c r="G428" s="10"/>
      <c r="H428" s="1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1">
        <v>428.0</v>
      </c>
      <c r="B429" s="5"/>
      <c r="C429" s="12" t="str">
        <f>HYPERLINK("https://leetcode.com/problems/serialize-and-deserialize-n-ary-tree", "Serialize and Deserialize N-ary Tree")</f>
        <v>Serialize and Deserialize N-ary Tree</v>
      </c>
      <c r="D429" s="7" t="s">
        <v>11</v>
      </c>
      <c r="E429" s="8" t="s">
        <v>255</v>
      </c>
      <c r="F429" s="9">
        <v>0.65</v>
      </c>
      <c r="G429" s="10"/>
      <c r="H429" s="1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4">
        <v>429.0</v>
      </c>
      <c r="B430" s="5"/>
      <c r="C430" s="6" t="str">
        <f>HYPERLINK("https://leetcode.com/problems/n-ary-tree-level-order-traversal", "N-ary Tree Level Order Traversal")</f>
        <v>N-ary Tree Level Order Traversal</v>
      </c>
      <c r="D430" s="7" t="s">
        <v>8</v>
      </c>
      <c r="E430" s="8" t="s">
        <v>256</v>
      </c>
      <c r="F430" s="9">
        <v>0.7</v>
      </c>
      <c r="G430" s="10"/>
      <c r="H430" s="1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4">
        <v>430.0</v>
      </c>
      <c r="B431" s="5"/>
      <c r="C431" s="6" t="str">
        <f>HYPERLINK("https://leetcode.com/problems/flatten-a-multilevel-doubly-linked-list", "Flatten a Multilevel Doubly Linked List")</f>
        <v>Flatten a Multilevel Doubly Linked List</v>
      </c>
      <c r="D431" s="7" t="s">
        <v>8</v>
      </c>
      <c r="E431" s="8" t="s">
        <v>257</v>
      </c>
      <c r="F431" s="9">
        <v>0.59</v>
      </c>
      <c r="G431" s="10"/>
      <c r="H431" s="1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1">
        <v>431.0</v>
      </c>
      <c r="B432" s="5"/>
      <c r="C432" s="12" t="str">
        <f>HYPERLINK("https://leetcode.com/problems/encode-n-ary-tree-to-binary-tree", "Encode N-ary Tree to Binary Tree")</f>
        <v>Encode N-ary Tree to Binary Tree</v>
      </c>
      <c r="D432" s="7" t="s">
        <v>11</v>
      </c>
      <c r="E432" s="8" t="s">
        <v>258</v>
      </c>
      <c r="F432" s="9">
        <v>0.78</v>
      </c>
      <c r="G432" s="10"/>
      <c r="H432" s="1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4">
        <v>432.0</v>
      </c>
      <c r="B433" s="5"/>
      <c r="C433" s="6" t="str">
        <f>HYPERLINK("https://leetcode.com/problems/all-oone-data-structure", "All O`one Data Structure")</f>
        <v>All O`one Data Structure</v>
      </c>
      <c r="D433" s="7" t="s">
        <v>11</v>
      </c>
      <c r="E433" s="8" t="s">
        <v>88</v>
      </c>
      <c r="F433" s="9">
        <v>0.36</v>
      </c>
      <c r="G433" s="10"/>
      <c r="H433" s="1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4">
        <v>433.0</v>
      </c>
      <c r="B434" s="5"/>
      <c r="C434" s="6" t="str">
        <f>HYPERLINK("https://leetcode.com/problems/minimum-genetic-mutation", "Minimum Genetic Mutation")</f>
        <v>Minimum Genetic Mutation</v>
      </c>
      <c r="D434" s="7" t="s">
        <v>8</v>
      </c>
      <c r="E434" s="8" t="s">
        <v>77</v>
      </c>
      <c r="F434" s="9">
        <v>0.52</v>
      </c>
      <c r="G434" s="10"/>
      <c r="H434" s="1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4">
        <v>434.0</v>
      </c>
      <c r="B435" s="5"/>
      <c r="C435" s="6" t="str">
        <f>HYPERLINK("https://leetcode.com/problems/number-of-segments-in-a-string", "Number of Segments in a String")</f>
        <v>Number of Segments in a String</v>
      </c>
      <c r="D435" s="7" t="s">
        <v>6</v>
      </c>
      <c r="E435" s="8" t="s">
        <v>14</v>
      </c>
      <c r="F435" s="9">
        <v>0.37</v>
      </c>
      <c r="G435" s="10"/>
      <c r="H435" s="1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4">
        <v>435.0</v>
      </c>
      <c r="B436" s="5"/>
      <c r="C436" s="6" t="str">
        <f>HYPERLINK("https://leetcode.com/problems/non-overlapping-intervals", "Non-overlapping Intervals")</f>
        <v>Non-overlapping Intervals</v>
      </c>
      <c r="D436" s="7" t="s">
        <v>8</v>
      </c>
      <c r="E436" s="8" t="s">
        <v>259</v>
      </c>
      <c r="F436" s="9">
        <v>0.49</v>
      </c>
      <c r="G436" s="10"/>
      <c r="H436" s="1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4">
        <v>436.0</v>
      </c>
      <c r="B437" s="5"/>
      <c r="C437" s="6" t="str">
        <f>HYPERLINK("https://leetcode.com/problems/find-right-interval", "Find Right Interval")</f>
        <v>Find Right Interval</v>
      </c>
      <c r="D437" s="7" t="s">
        <v>8</v>
      </c>
      <c r="E437" s="8" t="s">
        <v>260</v>
      </c>
      <c r="F437" s="9">
        <v>0.5</v>
      </c>
      <c r="G437" s="10"/>
      <c r="H437" s="1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4">
        <v>437.0</v>
      </c>
      <c r="B438" s="5"/>
      <c r="C438" s="6" t="str">
        <f>HYPERLINK("https://leetcode.com/problems/path-sum-iii", "Path Sum III")</f>
        <v>Path Sum III</v>
      </c>
      <c r="D438" s="7" t="s">
        <v>8</v>
      </c>
      <c r="E438" s="8" t="s">
        <v>69</v>
      </c>
      <c r="F438" s="9">
        <v>0.48</v>
      </c>
      <c r="G438" s="10"/>
      <c r="H438" s="1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4">
        <v>438.0</v>
      </c>
      <c r="B439" s="5"/>
      <c r="C439" s="6" t="str">
        <f>HYPERLINK("https://leetcode.com/problems/find-all-anagrams-in-a-string", "Find All Anagrams in a String")</f>
        <v>Find All Anagrams in a String</v>
      </c>
      <c r="D439" s="7" t="s">
        <v>8</v>
      </c>
      <c r="E439" s="8" t="s">
        <v>10</v>
      </c>
      <c r="F439" s="9">
        <v>0.49</v>
      </c>
      <c r="G439" s="10"/>
      <c r="H439" s="1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1">
        <v>439.0</v>
      </c>
      <c r="B440" s="5"/>
      <c r="C440" s="12" t="str">
        <f>HYPERLINK("https://leetcode.com/problems/ternary-expression-parser", "Ternary Expression Parser")</f>
        <v>Ternary Expression Parser</v>
      </c>
      <c r="D440" s="7" t="s">
        <v>8</v>
      </c>
      <c r="E440" s="8" t="s">
        <v>236</v>
      </c>
      <c r="F440" s="9">
        <v>0.58</v>
      </c>
      <c r="G440" s="10"/>
      <c r="H440" s="1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4">
        <v>440.0</v>
      </c>
      <c r="B441" s="5"/>
      <c r="C441" s="6" t="str">
        <f>HYPERLINK("https://leetcode.com/problems/k-th-smallest-in-lexicographical-order", "K-th Smallest in Lexicographical Order")</f>
        <v>K-th Smallest in Lexicographical Order</v>
      </c>
      <c r="D441" s="7" t="s">
        <v>11</v>
      </c>
      <c r="E441" s="8" t="s">
        <v>261</v>
      </c>
      <c r="F441" s="9">
        <v>0.3</v>
      </c>
      <c r="G441" s="10"/>
      <c r="H441" s="1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4">
        <v>441.0</v>
      </c>
      <c r="B442" s="5"/>
      <c r="C442" s="6" t="str">
        <f>HYPERLINK("https://leetcode.com/problems/arranging-coins", "Arranging Coins")</f>
        <v>Arranging Coins</v>
      </c>
      <c r="D442" s="7" t="s">
        <v>6</v>
      </c>
      <c r="E442" s="8" t="s">
        <v>51</v>
      </c>
      <c r="F442" s="9">
        <v>0.46</v>
      </c>
      <c r="G442" s="10"/>
      <c r="H442" s="1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4">
        <v>442.0</v>
      </c>
      <c r="B443" s="5"/>
      <c r="C443" s="6" t="str">
        <f>HYPERLINK("https://leetcode.com/problems/find-all-duplicates-in-an-array", "Find All Duplicates in an Array")</f>
        <v>Find All Duplicates in an Array</v>
      </c>
      <c r="D443" s="7" t="s">
        <v>8</v>
      </c>
      <c r="E443" s="8" t="s">
        <v>7</v>
      </c>
      <c r="F443" s="9">
        <v>0.73</v>
      </c>
      <c r="G443" s="10"/>
      <c r="H443" s="1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4">
        <v>443.0</v>
      </c>
      <c r="B444" s="5"/>
      <c r="C444" s="6" t="str">
        <f>HYPERLINK("https://leetcode.com/problems/string-compression", "String Compression")</f>
        <v>String Compression</v>
      </c>
      <c r="D444" s="7" t="s">
        <v>8</v>
      </c>
      <c r="E444" s="8" t="s">
        <v>75</v>
      </c>
      <c r="F444" s="9">
        <v>0.48</v>
      </c>
      <c r="G444" s="10"/>
      <c r="H444" s="1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1">
        <v>444.0</v>
      </c>
      <c r="B445" s="5"/>
      <c r="C445" s="12" t="str">
        <f>HYPERLINK("https://leetcode.com/problems/sequence-reconstruction", "Sequence Reconstruction")</f>
        <v>Sequence Reconstruction</v>
      </c>
      <c r="D445" s="7" t="s">
        <v>8</v>
      </c>
      <c r="E445" s="8" t="s">
        <v>262</v>
      </c>
      <c r="F445" s="9">
        <v>0.26</v>
      </c>
      <c r="G445" s="10"/>
      <c r="H445" s="1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4">
        <v>445.0</v>
      </c>
      <c r="B446" s="5"/>
      <c r="C446" s="6" t="str">
        <f>HYPERLINK("https://leetcode.com/problems/add-two-numbers-ii", "Add Two Numbers II")</f>
        <v>Add Two Numbers II</v>
      </c>
      <c r="D446" s="7" t="s">
        <v>8</v>
      </c>
      <c r="E446" s="8" t="s">
        <v>263</v>
      </c>
      <c r="F446" s="9">
        <v>0.59</v>
      </c>
      <c r="G446" s="10"/>
      <c r="H446" s="1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4">
        <v>446.0</v>
      </c>
      <c r="B447" s="5"/>
      <c r="C447" s="6" t="str">
        <f>HYPERLINK("https://leetcode.com/problems/arithmetic-slices-ii-subsequence", "Arithmetic Slices II - Subsequence")</f>
        <v>Arithmetic Slices II - Subsequence</v>
      </c>
      <c r="D447" s="7" t="s">
        <v>11</v>
      </c>
      <c r="E447" s="8" t="s">
        <v>73</v>
      </c>
      <c r="F447" s="9">
        <v>0.46</v>
      </c>
      <c r="G447" s="10"/>
      <c r="H447" s="1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4">
        <v>447.0</v>
      </c>
      <c r="B448" s="5"/>
      <c r="C448" s="6" t="str">
        <f>HYPERLINK("https://leetcode.com/problems/number-of-boomerangs", "Number of Boomerangs")</f>
        <v>Number of Boomerangs</v>
      </c>
      <c r="D448" s="7" t="s">
        <v>8</v>
      </c>
      <c r="E448" s="8" t="s">
        <v>211</v>
      </c>
      <c r="F448" s="9">
        <v>0.54</v>
      </c>
      <c r="G448" s="10"/>
      <c r="H448" s="1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4">
        <v>448.0</v>
      </c>
      <c r="B449" s="5"/>
      <c r="C449" s="6" t="str">
        <f>HYPERLINK("https://leetcode.com/problems/find-all-numbers-disappeared-in-an-array", "Find All Numbers Disappeared in an Array")</f>
        <v>Find All Numbers Disappeared in an Array</v>
      </c>
      <c r="D449" s="7" t="s">
        <v>6</v>
      </c>
      <c r="E449" s="8" t="s">
        <v>7</v>
      </c>
      <c r="F449" s="9">
        <v>0.59</v>
      </c>
      <c r="G449" s="10"/>
      <c r="H449" s="1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4">
        <v>449.0</v>
      </c>
      <c r="B450" s="5"/>
      <c r="C450" s="6" t="str">
        <f>HYPERLINK("https://leetcode.com/problems/serialize-and-deserialize-bst", "Serialize and Deserialize BST")</f>
        <v>Serialize and Deserialize BST</v>
      </c>
      <c r="D450" s="7" t="s">
        <v>8</v>
      </c>
      <c r="E450" s="8" t="s">
        <v>264</v>
      </c>
      <c r="F450" s="9">
        <v>0.56</v>
      </c>
      <c r="G450" s="10"/>
      <c r="H450" s="1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4">
        <v>450.0</v>
      </c>
      <c r="B451" s="5"/>
      <c r="C451" s="6" t="str">
        <f>HYPERLINK("https://leetcode.com/problems/delete-node-in-a-bst", "Delete Node in a BST")</f>
        <v>Delete Node in a BST</v>
      </c>
      <c r="D451" s="7" t="s">
        <v>8</v>
      </c>
      <c r="E451" s="8" t="s">
        <v>265</v>
      </c>
      <c r="F451" s="9">
        <v>0.5</v>
      </c>
      <c r="G451" s="10"/>
      <c r="H451" s="1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4">
        <v>451.0</v>
      </c>
      <c r="B452" s="5"/>
      <c r="C452" s="6" t="str">
        <f>HYPERLINK("https://leetcode.com/problems/sort-characters-by-frequency", "Sort Characters By Frequency")</f>
        <v>Sort Characters By Frequency</v>
      </c>
      <c r="D452" s="7" t="s">
        <v>8</v>
      </c>
      <c r="E452" s="8" t="s">
        <v>266</v>
      </c>
      <c r="F452" s="9">
        <v>0.69</v>
      </c>
      <c r="G452" s="10"/>
      <c r="H452" s="1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4">
        <v>452.0</v>
      </c>
      <c r="B453" s="5"/>
      <c r="C453" s="6" t="str">
        <f>HYPERLINK("https://leetcode.com/problems/minimum-number-of-arrows-to-burst-balloons", "Minimum Number of Arrows to Burst Balloons")</f>
        <v>Minimum Number of Arrows to Burst Balloons</v>
      </c>
      <c r="D453" s="7" t="s">
        <v>8</v>
      </c>
      <c r="E453" s="8" t="s">
        <v>160</v>
      </c>
      <c r="F453" s="9">
        <v>0.53</v>
      </c>
      <c r="G453" s="10"/>
      <c r="H453" s="1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4">
        <v>453.0</v>
      </c>
      <c r="B454" s="5"/>
      <c r="C454" s="6" t="str">
        <f>HYPERLINK("https://leetcode.com/problems/minimum-moves-to-equal-array-elements", "Minimum Moves to Equal Array Elements")</f>
        <v>Minimum Moves to Equal Array Elements</v>
      </c>
      <c r="D454" s="7" t="s">
        <v>8</v>
      </c>
      <c r="E454" s="8" t="s">
        <v>48</v>
      </c>
      <c r="F454" s="9">
        <v>0.55</v>
      </c>
      <c r="G454" s="10"/>
      <c r="H454" s="1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4">
        <v>454.0</v>
      </c>
      <c r="B455" s="5"/>
      <c r="C455" s="6" t="str">
        <f>HYPERLINK("https://leetcode.com/problems/4sum-ii", "4Sum II")</f>
        <v>4Sum II</v>
      </c>
      <c r="D455" s="7" t="s">
        <v>8</v>
      </c>
      <c r="E455" s="8" t="s">
        <v>7</v>
      </c>
      <c r="F455" s="9">
        <v>0.57</v>
      </c>
      <c r="G455" s="10"/>
      <c r="H455" s="1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4">
        <v>455.0</v>
      </c>
      <c r="B456" s="5"/>
      <c r="C456" s="6" t="str">
        <f>HYPERLINK("https://leetcode.com/problems/assign-cookies", "Assign Cookies")</f>
        <v>Assign Cookies</v>
      </c>
      <c r="D456" s="7" t="s">
        <v>6</v>
      </c>
      <c r="E456" s="8" t="s">
        <v>267</v>
      </c>
      <c r="F456" s="9">
        <v>0.5</v>
      </c>
      <c r="G456" s="10"/>
      <c r="H456" s="1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4">
        <v>456.0</v>
      </c>
      <c r="B457" s="5"/>
      <c r="C457" s="6" t="str">
        <f>HYPERLINK("https://leetcode.com/problems/132-pattern", "132 Pattern")</f>
        <v>132 Pattern</v>
      </c>
      <c r="D457" s="7" t="s">
        <v>8</v>
      </c>
      <c r="E457" s="8" t="s">
        <v>268</v>
      </c>
      <c r="F457" s="9">
        <v>0.32</v>
      </c>
      <c r="G457" s="10"/>
      <c r="H457" s="1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4">
        <v>457.0</v>
      </c>
      <c r="B458" s="5"/>
      <c r="C458" s="6" t="str">
        <f>HYPERLINK("https://leetcode.com/problems/circular-array-loop", "Circular Array Loop")</f>
        <v>Circular Array Loop</v>
      </c>
      <c r="D458" s="7" t="s">
        <v>8</v>
      </c>
      <c r="E458" s="8" t="s">
        <v>269</v>
      </c>
      <c r="F458" s="9">
        <v>0.32</v>
      </c>
      <c r="G458" s="10"/>
      <c r="H458" s="1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4">
        <v>458.0</v>
      </c>
      <c r="B459" s="5"/>
      <c r="C459" s="6" t="str">
        <f>HYPERLINK("https://leetcode.com/problems/poor-pigs", "Poor Pigs")</f>
        <v>Poor Pigs</v>
      </c>
      <c r="D459" s="7" t="s">
        <v>11</v>
      </c>
      <c r="E459" s="8" t="s">
        <v>46</v>
      </c>
      <c r="F459" s="9">
        <v>0.63</v>
      </c>
      <c r="G459" s="10"/>
      <c r="H459" s="1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4">
        <v>459.0</v>
      </c>
      <c r="B460" s="5"/>
      <c r="C460" s="6" t="str">
        <f>HYPERLINK("https://leetcode.com/problems/repeated-substring-pattern", "Repeated Substring Pattern")</f>
        <v>Repeated Substring Pattern</v>
      </c>
      <c r="D460" s="7" t="s">
        <v>6</v>
      </c>
      <c r="E460" s="8" t="s">
        <v>270</v>
      </c>
      <c r="F460" s="9">
        <v>0.43</v>
      </c>
      <c r="G460" s="10"/>
      <c r="H460" s="1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4">
        <v>460.0</v>
      </c>
      <c r="B461" s="5"/>
      <c r="C461" s="6" t="str">
        <f>HYPERLINK("https://leetcode.com/problems/lfu-cache", "LFU Cache")</f>
        <v>LFU Cache</v>
      </c>
      <c r="D461" s="7" t="s">
        <v>11</v>
      </c>
      <c r="E461" s="8" t="s">
        <v>88</v>
      </c>
      <c r="F461" s="9">
        <v>0.4</v>
      </c>
      <c r="G461" s="10"/>
      <c r="H461" s="1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4">
        <v>461.0</v>
      </c>
      <c r="B462" s="5"/>
      <c r="C462" s="6" t="str">
        <f>HYPERLINK("https://leetcode.com/problems/hamming-distance", "Hamming Distance")</f>
        <v>Hamming Distance</v>
      </c>
      <c r="D462" s="7" t="s">
        <v>6</v>
      </c>
      <c r="E462" s="8" t="s">
        <v>107</v>
      </c>
      <c r="F462" s="9">
        <v>0.74</v>
      </c>
      <c r="G462" s="10"/>
      <c r="H462" s="1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4">
        <v>462.0</v>
      </c>
      <c r="B463" s="5"/>
      <c r="C463" s="6" t="str">
        <f>HYPERLINK("https://leetcode.com/problems/minimum-moves-to-equal-array-elements-ii", "Minimum Moves to Equal Array Elements II")</f>
        <v>Minimum Moves to Equal Array Elements II</v>
      </c>
      <c r="D463" s="7" t="s">
        <v>8</v>
      </c>
      <c r="E463" s="8" t="s">
        <v>271</v>
      </c>
      <c r="F463" s="9">
        <v>0.6</v>
      </c>
      <c r="G463" s="10"/>
      <c r="H463" s="1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4">
        <v>463.0</v>
      </c>
      <c r="B464" s="5"/>
      <c r="C464" s="6" t="str">
        <f>HYPERLINK("https://leetcode.com/problems/island-perimeter", "Island Perimeter")</f>
        <v>Island Perimeter</v>
      </c>
      <c r="D464" s="7" t="s">
        <v>6</v>
      </c>
      <c r="E464" s="8" t="s">
        <v>246</v>
      </c>
      <c r="F464" s="9">
        <v>0.69</v>
      </c>
      <c r="G464" s="10"/>
      <c r="H464" s="1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4">
        <v>464.0</v>
      </c>
      <c r="B465" s="5"/>
      <c r="C465" s="6" t="str">
        <f>HYPERLINK("https://leetcode.com/problems/can-i-win", "Can I Win")</f>
        <v>Can I Win</v>
      </c>
      <c r="D465" s="7" t="s">
        <v>8</v>
      </c>
      <c r="E465" s="8" t="s">
        <v>272</v>
      </c>
      <c r="F465" s="9">
        <v>0.29</v>
      </c>
      <c r="G465" s="10"/>
      <c r="H465" s="1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1">
        <v>465.0</v>
      </c>
      <c r="B466" s="5"/>
      <c r="C466" s="12" t="str">
        <f>HYPERLINK("https://leetcode.com/problems/optimal-account-balancing", "Optimal Account Balancing")</f>
        <v>Optimal Account Balancing</v>
      </c>
      <c r="D466" s="7" t="s">
        <v>11</v>
      </c>
      <c r="E466" s="8" t="s">
        <v>273</v>
      </c>
      <c r="F466" s="9">
        <v>0.49</v>
      </c>
      <c r="G466" s="10"/>
      <c r="H466" s="1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4">
        <v>466.0</v>
      </c>
      <c r="B467" s="5"/>
      <c r="C467" s="6" t="str">
        <f>HYPERLINK("https://leetcode.com/problems/count-the-repetitions", "Count The Repetitions")</f>
        <v>Count The Repetitions</v>
      </c>
      <c r="D467" s="7" t="s">
        <v>11</v>
      </c>
      <c r="E467" s="8" t="s">
        <v>13</v>
      </c>
      <c r="F467" s="9">
        <v>0.29</v>
      </c>
      <c r="G467" s="10"/>
      <c r="H467" s="1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4">
        <v>467.0</v>
      </c>
      <c r="B468" s="5"/>
      <c r="C468" s="6" t="str">
        <f>HYPERLINK("https://leetcode.com/problems/unique-substrings-in-wraparound-string", "Unique Substrings in Wraparound String")</f>
        <v>Unique Substrings in Wraparound String</v>
      </c>
      <c r="D468" s="7" t="s">
        <v>8</v>
      </c>
      <c r="E468" s="8" t="s">
        <v>13</v>
      </c>
      <c r="F468" s="9">
        <v>0.38</v>
      </c>
      <c r="G468" s="10"/>
      <c r="H468" s="1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4">
        <v>468.0</v>
      </c>
      <c r="B469" s="5"/>
      <c r="C469" s="6" t="str">
        <f>HYPERLINK("https://leetcode.com/problems/validate-ip-address", "Validate IP Address")</f>
        <v>Validate IP Address</v>
      </c>
      <c r="D469" s="7" t="s">
        <v>8</v>
      </c>
      <c r="E469" s="8" t="s">
        <v>14</v>
      </c>
      <c r="F469" s="9">
        <v>0.26</v>
      </c>
      <c r="G469" s="10"/>
      <c r="H469" s="1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1">
        <v>469.0</v>
      </c>
      <c r="B470" s="5"/>
      <c r="C470" s="12" t="str">
        <f>HYPERLINK("https://leetcode.com/problems/convex-polygon", "Convex Polygon")</f>
        <v>Convex Polygon</v>
      </c>
      <c r="D470" s="7" t="s">
        <v>8</v>
      </c>
      <c r="E470" s="8" t="s">
        <v>123</v>
      </c>
      <c r="F470" s="9">
        <v>0.38</v>
      </c>
      <c r="G470" s="10"/>
      <c r="H470" s="1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4">
        <v>470.0</v>
      </c>
      <c r="B471" s="5"/>
      <c r="C471" s="6" t="str">
        <f>HYPERLINK("https://leetcode.com/problems/implement-rand10-using-rand7", "Implement Rand10() Using Rand7()")</f>
        <v>Implement Rand10() Using Rand7()</v>
      </c>
      <c r="D471" s="7" t="s">
        <v>8</v>
      </c>
      <c r="E471" s="8" t="s">
        <v>274</v>
      </c>
      <c r="F471" s="9">
        <v>0.46</v>
      </c>
      <c r="G471" s="10"/>
      <c r="H471" s="1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1">
        <v>471.0</v>
      </c>
      <c r="B472" s="5"/>
      <c r="C472" s="12" t="str">
        <f>HYPERLINK("https://leetcode.com/problems/encode-string-with-shortest-length", "Encode String with Shortest Length")</f>
        <v>Encode String with Shortest Length</v>
      </c>
      <c r="D472" s="7" t="s">
        <v>11</v>
      </c>
      <c r="E472" s="8" t="s">
        <v>13</v>
      </c>
      <c r="F472" s="9">
        <v>0.5</v>
      </c>
      <c r="G472" s="10"/>
      <c r="H472" s="1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4">
        <v>472.0</v>
      </c>
      <c r="B473" s="5"/>
      <c r="C473" s="6" t="str">
        <f>HYPERLINK("https://leetcode.com/problems/concatenated-words", "Concatenated Words")</f>
        <v>Concatenated Words</v>
      </c>
      <c r="D473" s="7" t="s">
        <v>11</v>
      </c>
      <c r="E473" s="8" t="s">
        <v>275</v>
      </c>
      <c r="F473" s="9">
        <v>0.45</v>
      </c>
      <c r="G473" s="10"/>
      <c r="H473" s="1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4">
        <v>473.0</v>
      </c>
      <c r="B474" s="5"/>
      <c r="C474" s="6" t="str">
        <f>HYPERLINK("https://leetcode.com/problems/matchsticks-to-square", "Matchsticks to Square")</f>
        <v>Matchsticks to Square</v>
      </c>
      <c r="D474" s="7" t="s">
        <v>8</v>
      </c>
      <c r="E474" s="8" t="s">
        <v>273</v>
      </c>
      <c r="F474" s="9">
        <v>0.4</v>
      </c>
      <c r="G474" s="10"/>
      <c r="H474" s="1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4">
        <v>474.0</v>
      </c>
      <c r="B475" s="5"/>
      <c r="C475" s="6" t="str">
        <f>HYPERLINK("https://leetcode.com/problems/ones-and-zeroes", "Ones and Zeroes")</f>
        <v>Ones and Zeroes</v>
      </c>
      <c r="D475" s="7" t="s">
        <v>8</v>
      </c>
      <c r="E475" s="8" t="s">
        <v>276</v>
      </c>
      <c r="F475" s="9">
        <v>0.46</v>
      </c>
      <c r="G475" s="10"/>
      <c r="H475" s="1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4">
        <v>475.0</v>
      </c>
      <c r="B476" s="5"/>
      <c r="C476" s="6" t="str">
        <f>HYPERLINK("https://leetcode.com/problems/heaters", "Heaters")</f>
        <v>Heaters</v>
      </c>
      <c r="D476" s="7" t="s">
        <v>8</v>
      </c>
      <c r="E476" s="8" t="s">
        <v>145</v>
      </c>
      <c r="F476" s="9">
        <v>0.36</v>
      </c>
      <c r="G476" s="10"/>
      <c r="H476" s="1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4">
        <v>476.0</v>
      </c>
      <c r="B477" s="5"/>
      <c r="C477" s="6" t="str">
        <f>HYPERLINK("https://leetcode.com/problems/number-complement", "Number Complement")</f>
        <v>Number Complement</v>
      </c>
      <c r="D477" s="7" t="s">
        <v>6</v>
      </c>
      <c r="E477" s="8" t="s">
        <v>107</v>
      </c>
      <c r="F477" s="9">
        <v>0.67</v>
      </c>
      <c r="G477" s="10"/>
      <c r="H477" s="1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4">
        <v>477.0</v>
      </c>
      <c r="B478" s="5"/>
      <c r="C478" s="6" t="str">
        <f>HYPERLINK("https://leetcode.com/problems/total-hamming-distance", "Total Hamming Distance")</f>
        <v>Total Hamming Distance</v>
      </c>
      <c r="D478" s="7" t="s">
        <v>8</v>
      </c>
      <c r="E478" s="8" t="s">
        <v>277</v>
      </c>
      <c r="F478" s="9">
        <v>0.52</v>
      </c>
      <c r="G478" s="10"/>
      <c r="H478" s="1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4">
        <v>478.0</v>
      </c>
      <c r="B479" s="5"/>
      <c r="C479" s="6" t="str">
        <f>HYPERLINK("https://leetcode.com/problems/generate-random-point-in-a-circle", "Generate Random Point in a Circle")</f>
        <v>Generate Random Point in a Circle</v>
      </c>
      <c r="D479" s="7" t="s">
        <v>8</v>
      </c>
      <c r="E479" s="8" t="s">
        <v>278</v>
      </c>
      <c r="F479" s="9">
        <v>0.39</v>
      </c>
      <c r="G479" s="10"/>
      <c r="H479" s="1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4">
        <v>479.0</v>
      </c>
      <c r="B480" s="5"/>
      <c r="C480" s="6" t="str">
        <f>HYPERLINK("https://leetcode.com/problems/largest-palindrome-product", "Largest Palindrome Product")</f>
        <v>Largest Palindrome Product</v>
      </c>
      <c r="D480" s="7" t="s">
        <v>11</v>
      </c>
      <c r="E480" s="8" t="s">
        <v>15</v>
      </c>
      <c r="F480" s="9">
        <v>0.31</v>
      </c>
      <c r="G480" s="10"/>
      <c r="H480" s="1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4">
        <v>480.0</v>
      </c>
      <c r="B481" s="5"/>
      <c r="C481" s="6" t="str">
        <f>HYPERLINK("https://leetcode.com/problems/sliding-window-median", "Sliding Window Median")</f>
        <v>Sliding Window Median</v>
      </c>
      <c r="D481" s="7" t="s">
        <v>11</v>
      </c>
      <c r="E481" s="8" t="s">
        <v>279</v>
      </c>
      <c r="F481" s="9">
        <v>0.41</v>
      </c>
      <c r="G481" s="10"/>
      <c r="H481" s="1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4">
        <v>481.0</v>
      </c>
      <c r="B482" s="5"/>
      <c r="C482" s="6" t="str">
        <f>HYPERLINK("https://leetcode.com/problems/magical-string", "Magical String")</f>
        <v>Magical String</v>
      </c>
      <c r="D482" s="7" t="s">
        <v>8</v>
      </c>
      <c r="E482" s="8" t="s">
        <v>75</v>
      </c>
      <c r="F482" s="9">
        <v>0.5</v>
      </c>
      <c r="G482" s="10"/>
      <c r="H482" s="1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4">
        <v>482.0</v>
      </c>
      <c r="B483" s="5"/>
      <c r="C483" s="6" t="str">
        <f>HYPERLINK("https://leetcode.com/problems/license-key-formatting", "License Key Formatting")</f>
        <v>License Key Formatting</v>
      </c>
      <c r="D483" s="7" t="s">
        <v>6</v>
      </c>
      <c r="E483" s="8" t="s">
        <v>14</v>
      </c>
      <c r="F483" s="9">
        <v>0.43</v>
      </c>
      <c r="G483" s="10"/>
      <c r="H483" s="1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4">
        <v>483.0</v>
      </c>
      <c r="B484" s="5"/>
      <c r="C484" s="6" t="str">
        <f>HYPERLINK("https://leetcode.com/problems/smallest-good-base", "Smallest Good Base")</f>
        <v>Smallest Good Base</v>
      </c>
      <c r="D484" s="7" t="s">
        <v>11</v>
      </c>
      <c r="E484" s="8" t="s">
        <v>51</v>
      </c>
      <c r="F484" s="9">
        <v>0.38</v>
      </c>
      <c r="G484" s="10"/>
      <c r="H484" s="1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1">
        <v>484.0</v>
      </c>
      <c r="B485" s="5"/>
      <c r="C485" s="12" t="str">
        <f>HYPERLINK("https://leetcode.com/problems/find-permutation", "Find Permutation")</f>
        <v>Find Permutation</v>
      </c>
      <c r="D485" s="7" t="s">
        <v>8</v>
      </c>
      <c r="E485" s="8" t="s">
        <v>280</v>
      </c>
      <c r="F485" s="9">
        <v>0.66</v>
      </c>
      <c r="G485" s="10"/>
      <c r="H485" s="1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4">
        <v>485.0</v>
      </c>
      <c r="B486" s="5"/>
      <c r="C486" s="6" t="str">
        <f>HYPERLINK("https://leetcode.com/problems/max-consecutive-ones", "Max Consecutive Ones")</f>
        <v>Max Consecutive Ones</v>
      </c>
      <c r="D486" s="7" t="s">
        <v>6</v>
      </c>
      <c r="E486" s="8" t="s">
        <v>45</v>
      </c>
      <c r="F486" s="9">
        <v>0.56</v>
      </c>
      <c r="G486" s="10"/>
      <c r="H486" s="1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4">
        <v>486.0</v>
      </c>
      <c r="B487" s="5"/>
      <c r="C487" s="6" t="str">
        <f>HYPERLINK("https://leetcode.com/problems/predict-the-winner", "Predict the Winner")</f>
        <v>Predict the Winner</v>
      </c>
      <c r="D487" s="7" t="s">
        <v>8</v>
      </c>
      <c r="E487" s="8" t="s">
        <v>281</v>
      </c>
      <c r="F487" s="9">
        <v>0.5</v>
      </c>
      <c r="G487" s="10"/>
      <c r="H487" s="1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1">
        <v>487.0</v>
      </c>
      <c r="B488" s="5"/>
      <c r="C488" s="12" t="str">
        <f>HYPERLINK("https://leetcode.com/problems/max-consecutive-ones-ii", "Max Consecutive Ones II")</f>
        <v>Max Consecutive Ones II</v>
      </c>
      <c r="D488" s="7" t="s">
        <v>8</v>
      </c>
      <c r="E488" s="8" t="s">
        <v>282</v>
      </c>
      <c r="F488" s="9">
        <v>0.49</v>
      </c>
      <c r="G488" s="10"/>
      <c r="H488" s="1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4">
        <v>488.0</v>
      </c>
      <c r="B489" s="5"/>
      <c r="C489" s="6" t="str">
        <f>HYPERLINK("https://leetcode.com/problems/zuma-game", "Zuma Game")</f>
        <v>Zuma Game</v>
      </c>
      <c r="D489" s="7" t="s">
        <v>11</v>
      </c>
      <c r="E489" s="8" t="s">
        <v>283</v>
      </c>
      <c r="F489" s="9">
        <v>0.34</v>
      </c>
      <c r="G489" s="10"/>
      <c r="H489" s="1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1">
        <v>489.0</v>
      </c>
      <c r="B490" s="5"/>
      <c r="C490" s="12" t="str">
        <f>HYPERLINK("https://leetcode.com/problems/robot-room-cleaner", "Robot Room Cleaner")</f>
        <v>Robot Room Cleaner</v>
      </c>
      <c r="D490" s="7" t="s">
        <v>11</v>
      </c>
      <c r="E490" s="8" t="s">
        <v>284</v>
      </c>
      <c r="F490" s="9">
        <v>0.76</v>
      </c>
      <c r="G490" s="10"/>
      <c r="H490" s="1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1">
        <v>490.0</v>
      </c>
      <c r="B491" s="5"/>
      <c r="C491" s="12" t="str">
        <f>HYPERLINK("https://leetcode.com/problems/the-maze", "The Maze")</f>
        <v>The Maze</v>
      </c>
      <c r="D491" s="7" t="s">
        <v>8</v>
      </c>
      <c r="E491" s="8" t="s">
        <v>285</v>
      </c>
      <c r="F491" s="9">
        <v>0.55</v>
      </c>
      <c r="G491" s="10"/>
      <c r="H491" s="1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4">
        <v>491.0</v>
      </c>
      <c r="B492" s="5"/>
      <c r="C492" s="6" t="str">
        <f>HYPERLINK("https://leetcode.com/problems/increasing-subsequences", "Increasing Subsequences")</f>
        <v>Increasing Subsequences</v>
      </c>
      <c r="D492" s="7" t="s">
        <v>8</v>
      </c>
      <c r="E492" s="8" t="s">
        <v>286</v>
      </c>
      <c r="F492" s="9">
        <v>0.52</v>
      </c>
      <c r="G492" s="10"/>
      <c r="H492" s="1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4">
        <v>492.0</v>
      </c>
      <c r="B493" s="5"/>
      <c r="C493" s="6" t="str">
        <f>HYPERLINK("https://leetcode.com/problems/construct-the-rectangle", "Construct the Rectangle")</f>
        <v>Construct the Rectangle</v>
      </c>
      <c r="D493" s="7" t="s">
        <v>6</v>
      </c>
      <c r="E493" s="8" t="s">
        <v>15</v>
      </c>
      <c r="F493" s="9">
        <v>0.53</v>
      </c>
      <c r="G493" s="10"/>
      <c r="H493" s="1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4">
        <v>493.0</v>
      </c>
      <c r="B494" s="5"/>
      <c r="C494" s="6" t="str">
        <f>HYPERLINK("https://leetcode.com/problems/reverse-pairs", "Reverse Pairs")</f>
        <v>Reverse Pairs</v>
      </c>
      <c r="D494" s="7" t="s">
        <v>11</v>
      </c>
      <c r="E494" s="8" t="s">
        <v>183</v>
      </c>
      <c r="F494" s="9">
        <v>0.3</v>
      </c>
      <c r="G494" s="10"/>
      <c r="H494" s="1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4">
        <v>494.0</v>
      </c>
      <c r="B495" s="5"/>
      <c r="C495" s="6" t="str">
        <f>HYPERLINK("https://leetcode.com/problems/target-sum", "Target Sum")</f>
        <v>Target Sum</v>
      </c>
      <c r="D495" s="7" t="s">
        <v>8</v>
      </c>
      <c r="E495" s="8" t="s">
        <v>287</v>
      </c>
      <c r="F495" s="9">
        <v>0.45</v>
      </c>
      <c r="G495" s="10"/>
      <c r="H495" s="1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4">
        <v>495.0</v>
      </c>
      <c r="B496" s="5"/>
      <c r="C496" s="6" t="str">
        <f>HYPERLINK("https://leetcode.com/problems/teemo-attacking", "Teemo Attacking")</f>
        <v>Teemo Attacking</v>
      </c>
      <c r="D496" s="7" t="s">
        <v>6</v>
      </c>
      <c r="E496" s="8" t="s">
        <v>288</v>
      </c>
      <c r="F496" s="9">
        <v>0.56</v>
      </c>
      <c r="G496" s="10"/>
      <c r="H496" s="1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4">
        <v>496.0</v>
      </c>
      <c r="B497" s="5"/>
      <c r="C497" s="6" t="str">
        <f>HYPERLINK("https://leetcode.com/problems/next-greater-element-i", "Next Greater Element I")</f>
        <v>Next Greater Element I</v>
      </c>
      <c r="D497" s="7" t="s">
        <v>6</v>
      </c>
      <c r="E497" s="8" t="s">
        <v>289</v>
      </c>
      <c r="F497" s="9">
        <v>0.71</v>
      </c>
      <c r="G497" s="10"/>
      <c r="H497" s="1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4">
        <v>497.0</v>
      </c>
      <c r="B498" s="5"/>
      <c r="C498" s="6" t="str">
        <f>HYPERLINK("https://leetcode.com/problems/random-point-in-non-overlapping-rectangles", "Random Point in Non-overlapping Rectangles")</f>
        <v>Random Point in Non-overlapping Rectangles</v>
      </c>
      <c r="D498" s="7" t="s">
        <v>8</v>
      </c>
      <c r="E498" s="8" t="s">
        <v>290</v>
      </c>
      <c r="F498" s="9">
        <v>0.39</v>
      </c>
      <c r="G498" s="10"/>
      <c r="H498" s="1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4">
        <v>498.0</v>
      </c>
      <c r="B499" s="5"/>
      <c r="C499" s="6" t="str">
        <f>HYPERLINK("https://leetcode.com/problems/diagonal-traverse", "Diagonal Traverse")</f>
        <v>Diagonal Traverse</v>
      </c>
      <c r="D499" s="7" t="s">
        <v>8</v>
      </c>
      <c r="E499" s="8" t="s">
        <v>43</v>
      </c>
      <c r="F499" s="9">
        <v>0.58</v>
      </c>
      <c r="G499" s="10"/>
      <c r="H499" s="1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1">
        <v>499.0</v>
      </c>
      <c r="B500" s="5"/>
      <c r="C500" s="12" t="str">
        <f>HYPERLINK("https://leetcode.com/problems/the-maze-iii", "The Maze III")</f>
        <v>The Maze III</v>
      </c>
      <c r="D500" s="7" t="s">
        <v>11</v>
      </c>
      <c r="E500" s="8" t="s">
        <v>291</v>
      </c>
      <c r="F500" s="9">
        <v>0.47</v>
      </c>
      <c r="G500" s="10"/>
      <c r="H500" s="1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4">
        <v>500.0</v>
      </c>
      <c r="B501" s="5"/>
      <c r="C501" s="6" t="str">
        <f>HYPERLINK("https://leetcode.com/problems/keyboard-row", "Keyboard Row")</f>
        <v>Keyboard Row</v>
      </c>
      <c r="D501" s="7" t="s">
        <v>6</v>
      </c>
      <c r="E501" s="8" t="s">
        <v>139</v>
      </c>
      <c r="F501" s="9">
        <v>0.69</v>
      </c>
      <c r="G501" s="10"/>
      <c r="H501" s="1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4">
        <v>501.0</v>
      </c>
      <c r="B502" s="5"/>
      <c r="C502" s="6" t="str">
        <f>HYPERLINK("https://leetcode.com/problems/find-mode-in-binary-search-tree", "Find Mode in Binary Search Tree")</f>
        <v>Find Mode in Binary Search Tree</v>
      </c>
      <c r="D502" s="7" t="s">
        <v>6</v>
      </c>
      <c r="E502" s="8" t="s">
        <v>63</v>
      </c>
      <c r="F502" s="9">
        <v>0.48</v>
      </c>
      <c r="G502" s="10"/>
      <c r="H502" s="1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4">
        <v>502.0</v>
      </c>
      <c r="B503" s="5"/>
      <c r="C503" s="6" t="str">
        <f>HYPERLINK("https://leetcode.com/problems/ipo", "IPO")</f>
        <v>IPO</v>
      </c>
      <c r="D503" s="7" t="s">
        <v>11</v>
      </c>
      <c r="E503" s="8" t="s">
        <v>292</v>
      </c>
      <c r="F503" s="9">
        <v>0.44</v>
      </c>
      <c r="G503" s="10"/>
      <c r="H503" s="1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4">
        <v>503.0</v>
      </c>
      <c r="B504" s="5"/>
      <c r="C504" s="6" t="str">
        <f>HYPERLINK("https://leetcode.com/problems/next-greater-element-ii", "Next Greater Element II")</f>
        <v>Next Greater Element II</v>
      </c>
      <c r="D504" s="7" t="s">
        <v>8</v>
      </c>
      <c r="E504" s="8" t="s">
        <v>56</v>
      </c>
      <c r="F504" s="9">
        <v>0.63</v>
      </c>
      <c r="G504" s="10"/>
      <c r="H504" s="1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4">
        <v>504.0</v>
      </c>
      <c r="B505" s="5"/>
      <c r="C505" s="6" t="str">
        <f>HYPERLINK("https://leetcode.com/problems/base-7", "Base 7")</f>
        <v>Base 7</v>
      </c>
      <c r="D505" s="7" t="s">
        <v>6</v>
      </c>
      <c r="E505" s="8" t="s">
        <v>15</v>
      </c>
      <c r="F505" s="9">
        <v>0.48</v>
      </c>
      <c r="G505" s="10"/>
      <c r="H505" s="1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1">
        <v>505.0</v>
      </c>
      <c r="B506" s="5"/>
      <c r="C506" s="12" t="str">
        <f>HYPERLINK("https://leetcode.com/problems/the-maze-ii", "The Maze II")</f>
        <v>The Maze II</v>
      </c>
      <c r="D506" s="7" t="s">
        <v>8</v>
      </c>
      <c r="E506" s="8" t="s">
        <v>291</v>
      </c>
      <c r="F506" s="9">
        <v>0.52</v>
      </c>
      <c r="G506" s="10"/>
      <c r="H506" s="1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4">
        <v>506.0</v>
      </c>
      <c r="B507" s="5"/>
      <c r="C507" s="6" t="str">
        <f>HYPERLINK("https://leetcode.com/problems/relative-ranks", "Relative Ranks")</f>
        <v>Relative Ranks</v>
      </c>
      <c r="D507" s="7" t="s">
        <v>6</v>
      </c>
      <c r="E507" s="8" t="s">
        <v>293</v>
      </c>
      <c r="F507" s="9">
        <v>0.59</v>
      </c>
      <c r="G507" s="10"/>
      <c r="H507" s="1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4">
        <v>507.0</v>
      </c>
      <c r="B508" s="5"/>
      <c r="C508" s="6" t="str">
        <f>HYPERLINK("https://leetcode.com/problems/perfect-number", "Perfect Number")</f>
        <v>Perfect Number</v>
      </c>
      <c r="D508" s="7" t="s">
        <v>6</v>
      </c>
      <c r="E508" s="8" t="s">
        <v>15</v>
      </c>
      <c r="F508" s="9">
        <v>0.37</v>
      </c>
      <c r="G508" s="10"/>
      <c r="H508" s="1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4">
        <v>508.0</v>
      </c>
      <c r="B509" s="5"/>
      <c r="C509" s="6" t="str">
        <f>HYPERLINK("https://leetcode.com/problems/most-frequent-subtree-sum", "Most Frequent Subtree Sum")</f>
        <v>Most Frequent Subtree Sum</v>
      </c>
      <c r="D509" s="7" t="s">
        <v>8</v>
      </c>
      <c r="E509" s="8" t="s">
        <v>294</v>
      </c>
      <c r="F509" s="9">
        <v>0.64</v>
      </c>
      <c r="G509" s="10"/>
      <c r="H509" s="1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4">
        <v>509.0</v>
      </c>
      <c r="B510" s="5"/>
      <c r="C510" s="6" t="str">
        <f>HYPERLINK("https://leetcode.com/problems/fibonacci-number", "Fibonacci Number")</f>
        <v>Fibonacci Number</v>
      </c>
      <c r="D510" s="7" t="s">
        <v>6</v>
      </c>
      <c r="E510" s="8" t="s">
        <v>295</v>
      </c>
      <c r="F510" s="9">
        <v>0.69</v>
      </c>
      <c r="G510" s="10"/>
      <c r="H510" s="1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1">
        <v>510.0</v>
      </c>
      <c r="B511" s="5"/>
      <c r="C511" s="12" t="str">
        <f>HYPERLINK("https://leetcode.com/problems/inorder-successor-in-bst-ii", "Inorder Successor in BST II")</f>
        <v>Inorder Successor in BST II</v>
      </c>
      <c r="D511" s="7" t="s">
        <v>8</v>
      </c>
      <c r="E511" s="8" t="s">
        <v>265</v>
      </c>
      <c r="F511" s="9">
        <v>0.61</v>
      </c>
      <c r="G511" s="10"/>
      <c r="H511" s="1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4">
        <v>511.0</v>
      </c>
      <c r="B512" s="5"/>
      <c r="C512" s="6" t="str">
        <f>HYPERLINK("https://leetcode.com/problems/game-play-analysis-i", "Game Play Analysis I")</f>
        <v>Game Play Analysis I</v>
      </c>
      <c r="D512" s="7" t="s">
        <v>6</v>
      </c>
      <c r="E512" s="8" t="s">
        <v>101</v>
      </c>
      <c r="F512" s="9">
        <v>0.77</v>
      </c>
      <c r="G512" s="10"/>
      <c r="H512" s="1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1">
        <v>512.0</v>
      </c>
      <c r="B513" s="5"/>
      <c r="C513" s="12" t="str">
        <f>HYPERLINK("https://leetcode.com/problems/game-play-analysis-ii", "Game Play Analysis II")</f>
        <v>Game Play Analysis II</v>
      </c>
      <c r="D513" s="7" t="s">
        <v>6</v>
      </c>
      <c r="E513" s="8" t="s">
        <v>101</v>
      </c>
      <c r="F513" s="9">
        <v>0.53</v>
      </c>
      <c r="G513" s="10"/>
      <c r="H513" s="1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4">
        <v>513.0</v>
      </c>
      <c r="B514" s="5"/>
      <c r="C514" s="6" t="str">
        <f>HYPERLINK("https://leetcode.com/problems/find-bottom-left-tree-value", "Find Bottom Left Tree Value")</f>
        <v>Find Bottom Left Tree Value</v>
      </c>
      <c r="D514" s="7" t="s">
        <v>8</v>
      </c>
      <c r="E514" s="8" t="s">
        <v>64</v>
      </c>
      <c r="F514" s="9">
        <v>0.66</v>
      </c>
      <c r="G514" s="10"/>
      <c r="H514" s="1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4">
        <v>514.0</v>
      </c>
      <c r="B515" s="5"/>
      <c r="C515" s="6" t="str">
        <f>HYPERLINK("https://leetcode.com/problems/freedom-trail", "Freedom Trail")</f>
        <v>Freedom Trail</v>
      </c>
      <c r="D515" s="7" t="s">
        <v>11</v>
      </c>
      <c r="E515" s="8" t="s">
        <v>296</v>
      </c>
      <c r="F515" s="9">
        <v>0.46</v>
      </c>
      <c r="G515" s="10"/>
      <c r="H515" s="1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4">
        <v>515.0</v>
      </c>
      <c r="B516" s="5"/>
      <c r="C516" s="6" t="str">
        <f>HYPERLINK("https://leetcode.com/problems/find-largest-value-in-each-tree-row", "Find Largest Value in Each Tree Row")</f>
        <v>Find Largest Value in Each Tree Row</v>
      </c>
      <c r="D516" s="7" t="s">
        <v>8</v>
      </c>
      <c r="E516" s="8" t="s">
        <v>64</v>
      </c>
      <c r="F516" s="9">
        <v>0.64</v>
      </c>
      <c r="G516" s="10"/>
      <c r="H516" s="1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4">
        <v>516.0</v>
      </c>
      <c r="B517" s="5"/>
      <c r="C517" s="6" t="str">
        <f>HYPERLINK("https://leetcode.com/problems/longest-palindromic-subsequence", "Longest Palindromic Subsequence")</f>
        <v>Longest Palindromic Subsequence</v>
      </c>
      <c r="D517" s="7" t="s">
        <v>8</v>
      </c>
      <c r="E517" s="8" t="s">
        <v>13</v>
      </c>
      <c r="F517" s="9">
        <v>0.6</v>
      </c>
      <c r="G517" s="10"/>
      <c r="H517" s="1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4">
        <v>517.0</v>
      </c>
      <c r="B518" s="5"/>
      <c r="C518" s="6" t="str">
        <f>HYPERLINK("https://leetcode.com/problems/super-washing-machines", "Super Washing Machines")</f>
        <v>Super Washing Machines</v>
      </c>
      <c r="D518" s="7" t="s">
        <v>11</v>
      </c>
      <c r="E518" s="8" t="s">
        <v>81</v>
      </c>
      <c r="F518" s="9">
        <v>0.4</v>
      </c>
      <c r="G518" s="10"/>
      <c r="H518" s="1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4">
        <v>518.0</v>
      </c>
      <c r="B519" s="5"/>
      <c r="C519" s="6" t="str">
        <f>HYPERLINK("https://leetcode.com/problems/coin-change-ii", "Coin Change II")</f>
        <v>Coin Change II</v>
      </c>
      <c r="D519" s="7" t="s">
        <v>8</v>
      </c>
      <c r="E519" s="8" t="s">
        <v>73</v>
      </c>
      <c r="F519" s="9">
        <v>0.6</v>
      </c>
      <c r="G519" s="10"/>
      <c r="H519" s="1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4">
        <v>519.0</v>
      </c>
      <c r="B520" s="5"/>
      <c r="C520" s="6" t="str">
        <f>HYPERLINK("https://leetcode.com/problems/random-flip-matrix", "Random Flip Matrix")</f>
        <v>Random Flip Matrix</v>
      </c>
      <c r="D520" s="7" t="s">
        <v>8</v>
      </c>
      <c r="E520" s="8" t="s">
        <v>239</v>
      </c>
      <c r="F520" s="9">
        <v>0.39</v>
      </c>
      <c r="G520" s="10"/>
      <c r="H520" s="1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4">
        <v>520.0</v>
      </c>
      <c r="B521" s="5"/>
      <c r="C521" s="6" t="str">
        <f>HYPERLINK("https://leetcode.com/problems/detect-capital", "Detect Capital")</f>
        <v>Detect Capital</v>
      </c>
      <c r="D521" s="7" t="s">
        <v>6</v>
      </c>
      <c r="E521" s="8" t="s">
        <v>14</v>
      </c>
      <c r="F521" s="9">
        <v>0.55</v>
      </c>
      <c r="G521" s="10"/>
      <c r="H521" s="1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4">
        <v>521.0</v>
      </c>
      <c r="B522" s="5"/>
      <c r="C522" s="6" t="str">
        <f>HYPERLINK("https://leetcode.com/problems/longest-uncommon-subsequence-i", "Longest Uncommon Subsequence I")</f>
        <v>Longest Uncommon Subsequence I</v>
      </c>
      <c r="D522" s="7" t="s">
        <v>6</v>
      </c>
      <c r="E522" s="8" t="s">
        <v>14</v>
      </c>
      <c r="F522" s="9">
        <v>0.6</v>
      </c>
      <c r="G522" s="10"/>
      <c r="H522" s="1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4">
        <v>522.0</v>
      </c>
      <c r="B523" s="5"/>
      <c r="C523" s="6" t="str">
        <f>HYPERLINK("https://leetcode.com/problems/longest-uncommon-subsequence-ii", "Longest Uncommon Subsequence II")</f>
        <v>Longest Uncommon Subsequence II</v>
      </c>
      <c r="D523" s="7" t="s">
        <v>8</v>
      </c>
      <c r="E523" s="8" t="s">
        <v>297</v>
      </c>
      <c r="F523" s="9">
        <v>0.4</v>
      </c>
      <c r="G523" s="10"/>
      <c r="H523" s="1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4">
        <v>523.0</v>
      </c>
      <c r="B524" s="5"/>
      <c r="C524" s="6" t="str">
        <f>HYPERLINK("https://leetcode.com/problems/continuous-subarray-sum", "Continuous Subarray Sum")</f>
        <v>Continuous Subarray Sum</v>
      </c>
      <c r="D524" s="7" t="s">
        <v>8</v>
      </c>
      <c r="E524" s="8" t="s">
        <v>298</v>
      </c>
      <c r="F524" s="9">
        <v>0.28</v>
      </c>
      <c r="G524" s="10"/>
      <c r="H524" s="1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4">
        <v>524.0</v>
      </c>
      <c r="B525" s="5"/>
      <c r="C525" s="6" t="str">
        <f>HYPERLINK("https://leetcode.com/problems/longest-word-in-dictionary-through-deleting", "Longest Word in Dictionary through Deleting")</f>
        <v>Longest Word in Dictionary through Deleting</v>
      </c>
      <c r="D525" s="7" t="s">
        <v>8</v>
      </c>
      <c r="E525" s="8" t="s">
        <v>299</v>
      </c>
      <c r="F525" s="9">
        <v>0.51</v>
      </c>
      <c r="G525" s="10"/>
      <c r="H525" s="1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4">
        <v>525.0</v>
      </c>
      <c r="B526" s="5"/>
      <c r="C526" s="6" t="str">
        <f>HYPERLINK("https://leetcode.com/problems/contiguous-array", "Contiguous Array")</f>
        <v>Contiguous Array</v>
      </c>
      <c r="D526" s="7" t="s">
        <v>8</v>
      </c>
      <c r="E526" s="8" t="s">
        <v>191</v>
      </c>
      <c r="F526" s="9">
        <v>0.46</v>
      </c>
      <c r="G526" s="10"/>
      <c r="H526" s="1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4">
        <v>526.0</v>
      </c>
      <c r="B527" s="5"/>
      <c r="C527" s="6" t="str">
        <f>HYPERLINK("https://leetcode.com/problems/beautiful-arrangement", "Beautiful Arrangement")</f>
        <v>Beautiful Arrangement</v>
      </c>
      <c r="D527" s="7" t="s">
        <v>8</v>
      </c>
      <c r="E527" s="8" t="s">
        <v>273</v>
      </c>
      <c r="F527" s="9">
        <v>0.64</v>
      </c>
      <c r="G527" s="10"/>
      <c r="H527" s="1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1">
        <v>527.0</v>
      </c>
      <c r="B528" s="5"/>
      <c r="C528" s="12" t="str">
        <f>HYPERLINK("https://leetcode.com/problems/word-abbreviation", "Word Abbreviation")</f>
        <v>Word Abbreviation</v>
      </c>
      <c r="D528" s="7" t="s">
        <v>11</v>
      </c>
      <c r="E528" s="8" t="s">
        <v>300</v>
      </c>
      <c r="F528" s="9">
        <v>0.6</v>
      </c>
      <c r="G528" s="10"/>
      <c r="H528" s="1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4">
        <v>528.0</v>
      </c>
      <c r="B529" s="5"/>
      <c r="C529" s="6" t="str">
        <f>HYPERLINK("https://leetcode.com/problems/random-pick-with-weight", "Random Pick with Weight")</f>
        <v>Random Pick with Weight</v>
      </c>
      <c r="D529" s="7" t="s">
        <v>8</v>
      </c>
      <c r="E529" s="8" t="s">
        <v>301</v>
      </c>
      <c r="F529" s="9">
        <v>0.46</v>
      </c>
      <c r="G529" s="10"/>
      <c r="H529" s="1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4">
        <v>529.0</v>
      </c>
      <c r="B530" s="5"/>
      <c r="C530" s="6" t="str">
        <f>HYPERLINK("https://leetcode.com/problems/minesweeper", "Minesweeper")</f>
        <v>Minesweeper</v>
      </c>
      <c r="D530" s="7" t="s">
        <v>8</v>
      </c>
      <c r="E530" s="8" t="s">
        <v>246</v>
      </c>
      <c r="F530" s="9">
        <v>0.65</v>
      </c>
      <c r="G530" s="10"/>
      <c r="H530" s="1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4">
        <v>530.0</v>
      </c>
      <c r="B531" s="5"/>
      <c r="C531" s="6" t="str">
        <f>HYPERLINK("https://leetcode.com/problems/minimum-absolute-difference-in-bst", "Minimum Absolute Difference in BST")</f>
        <v>Minimum Absolute Difference in BST</v>
      </c>
      <c r="D531" s="7" t="s">
        <v>6</v>
      </c>
      <c r="E531" s="8" t="s">
        <v>302</v>
      </c>
      <c r="F531" s="9">
        <v>0.56</v>
      </c>
      <c r="G531" s="10"/>
      <c r="H531" s="1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1">
        <v>531.0</v>
      </c>
      <c r="B532" s="5"/>
      <c r="C532" s="12" t="str">
        <f>HYPERLINK("https://leetcode.com/problems/lonely-pixel-i", "Lonely Pixel I")</f>
        <v>Lonely Pixel I</v>
      </c>
      <c r="D532" s="7" t="s">
        <v>8</v>
      </c>
      <c r="E532" s="8" t="s">
        <v>31</v>
      </c>
      <c r="F532" s="9">
        <v>0.62</v>
      </c>
      <c r="G532" s="10"/>
      <c r="H532" s="1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4">
        <v>532.0</v>
      </c>
      <c r="B533" s="5"/>
      <c r="C533" s="6" t="str">
        <f>HYPERLINK("https://leetcode.com/problems/k-diff-pairs-in-an-array", "K-diff Pairs in an Array")</f>
        <v>K-diff Pairs in an Array</v>
      </c>
      <c r="D533" s="7" t="s">
        <v>8</v>
      </c>
      <c r="E533" s="8" t="s">
        <v>205</v>
      </c>
      <c r="F533" s="9">
        <v>0.4</v>
      </c>
      <c r="G533" s="10"/>
      <c r="H533" s="1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1">
        <v>533.0</v>
      </c>
      <c r="B534" s="5"/>
      <c r="C534" s="12" t="str">
        <f>HYPERLINK("https://leetcode.com/problems/lonely-pixel-ii", "Lonely Pixel II")</f>
        <v>Lonely Pixel II</v>
      </c>
      <c r="D534" s="7" t="s">
        <v>8</v>
      </c>
      <c r="E534" s="8" t="s">
        <v>31</v>
      </c>
      <c r="F534" s="9">
        <v>0.48</v>
      </c>
      <c r="G534" s="10"/>
      <c r="H534" s="1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1">
        <v>534.0</v>
      </c>
      <c r="B535" s="5"/>
      <c r="C535" s="12" t="str">
        <f>HYPERLINK("https://leetcode.com/problems/game-play-analysis-iii", "Game Play Analysis III")</f>
        <v>Game Play Analysis III</v>
      </c>
      <c r="D535" s="7" t="s">
        <v>8</v>
      </c>
      <c r="E535" s="8" t="s">
        <v>101</v>
      </c>
      <c r="F535" s="9">
        <v>0.82</v>
      </c>
      <c r="G535" s="10"/>
      <c r="H535" s="1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4">
        <v>535.0</v>
      </c>
      <c r="B536" s="5"/>
      <c r="C536" s="6" t="str">
        <f>HYPERLINK("https://leetcode.com/problems/encode-and-decode-tinyurl", "Encode and Decode TinyURL")</f>
        <v>Encode and Decode TinyURL</v>
      </c>
      <c r="D536" s="7" t="s">
        <v>8</v>
      </c>
      <c r="E536" s="8" t="s">
        <v>303</v>
      </c>
      <c r="F536" s="9">
        <v>0.85</v>
      </c>
      <c r="G536" s="10"/>
      <c r="H536" s="1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1">
        <v>536.0</v>
      </c>
      <c r="B537" s="5"/>
      <c r="C537" s="12" t="str">
        <f>HYPERLINK("https://leetcode.com/problems/construct-binary-tree-from-string", "Construct Binary Tree from String")</f>
        <v>Construct Binary Tree from String</v>
      </c>
      <c r="D537" s="7" t="s">
        <v>8</v>
      </c>
      <c r="E537" s="8" t="s">
        <v>304</v>
      </c>
      <c r="F537" s="9">
        <v>0.56</v>
      </c>
      <c r="G537" s="10"/>
      <c r="H537" s="1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4">
        <v>537.0</v>
      </c>
      <c r="B538" s="5"/>
      <c r="C538" s="6" t="str">
        <f>HYPERLINK("https://leetcode.com/problems/complex-number-multiplication", "Complex Number Multiplication")</f>
        <v>Complex Number Multiplication</v>
      </c>
      <c r="D538" s="7" t="s">
        <v>8</v>
      </c>
      <c r="E538" s="8" t="s">
        <v>35</v>
      </c>
      <c r="F538" s="9">
        <v>0.71</v>
      </c>
      <c r="G538" s="10"/>
      <c r="H538" s="1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4">
        <v>538.0</v>
      </c>
      <c r="B539" s="5"/>
      <c r="C539" s="6" t="str">
        <f>HYPERLINK("https://leetcode.com/problems/convert-bst-to-greater-tree", "Convert BST to Greater Tree")</f>
        <v>Convert BST to Greater Tree</v>
      </c>
      <c r="D539" s="7" t="s">
        <v>8</v>
      </c>
      <c r="E539" s="8" t="s">
        <v>63</v>
      </c>
      <c r="F539" s="9">
        <v>0.67</v>
      </c>
      <c r="G539" s="10"/>
      <c r="H539" s="1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4">
        <v>539.0</v>
      </c>
      <c r="B540" s="5"/>
      <c r="C540" s="6" t="str">
        <f>HYPERLINK("https://leetcode.com/problems/minimum-time-difference", "Minimum Time Difference")</f>
        <v>Minimum Time Difference</v>
      </c>
      <c r="D540" s="7" t="s">
        <v>8</v>
      </c>
      <c r="E540" s="8" t="s">
        <v>305</v>
      </c>
      <c r="F540" s="9">
        <v>0.56</v>
      </c>
      <c r="G540" s="10"/>
      <c r="H540" s="1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4">
        <v>540.0</v>
      </c>
      <c r="B541" s="5"/>
      <c r="C541" s="6" t="str">
        <f>HYPERLINK("https://leetcode.com/problems/single-element-in-a-sorted-array", "Single Element in a Sorted Array")</f>
        <v>Single Element in a Sorted Array</v>
      </c>
      <c r="D541" s="7" t="s">
        <v>8</v>
      </c>
      <c r="E541" s="8" t="s">
        <v>30</v>
      </c>
      <c r="F541" s="9">
        <v>0.58</v>
      </c>
      <c r="G541" s="10"/>
      <c r="H541" s="1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4">
        <v>541.0</v>
      </c>
      <c r="B542" s="5"/>
      <c r="C542" s="6" t="str">
        <f>HYPERLINK("https://leetcode.com/problems/reverse-string-ii", "Reverse String II")</f>
        <v>Reverse String II</v>
      </c>
      <c r="D542" s="7" t="s">
        <v>6</v>
      </c>
      <c r="E542" s="8" t="s">
        <v>75</v>
      </c>
      <c r="F542" s="9">
        <v>0.5</v>
      </c>
      <c r="G542" s="10"/>
      <c r="H542" s="1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4">
        <v>542.0</v>
      </c>
      <c r="B543" s="5"/>
      <c r="C543" s="6" t="str">
        <f>HYPERLINK("https://leetcode.com/problems/01-matrix", "01 Matrix")</f>
        <v>01 Matrix</v>
      </c>
      <c r="D543" s="7" t="s">
        <v>8</v>
      </c>
      <c r="E543" s="8" t="s">
        <v>306</v>
      </c>
      <c r="F543" s="9">
        <v>0.44</v>
      </c>
      <c r="G543" s="10"/>
      <c r="H543" s="1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4">
        <v>543.0</v>
      </c>
      <c r="B544" s="5"/>
      <c r="C544" s="6" t="str">
        <f>HYPERLINK("https://leetcode.com/problems/diameter-of-binary-tree", "Diameter of Binary Tree")</f>
        <v>Diameter of Binary Tree</v>
      </c>
      <c r="D544" s="7" t="s">
        <v>6</v>
      </c>
      <c r="E544" s="8" t="s">
        <v>69</v>
      </c>
      <c r="F544" s="9">
        <v>0.56</v>
      </c>
      <c r="G544" s="10"/>
      <c r="H544" s="1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1">
        <v>544.0</v>
      </c>
      <c r="B545" s="5"/>
      <c r="C545" s="12" t="str">
        <f>HYPERLINK("https://leetcode.com/problems/output-contest-matches", "Output Contest Matches")</f>
        <v>Output Contest Matches</v>
      </c>
      <c r="D545" s="7" t="s">
        <v>8</v>
      </c>
      <c r="E545" s="8" t="s">
        <v>307</v>
      </c>
      <c r="F545" s="9">
        <v>0.76</v>
      </c>
      <c r="G545" s="10"/>
      <c r="H545" s="1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1">
        <v>545.0</v>
      </c>
      <c r="B546" s="5"/>
      <c r="C546" s="12" t="str">
        <f>HYPERLINK("https://leetcode.com/problems/boundary-of-binary-tree", "Boundary of Binary Tree")</f>
        <v>Boundary of Binary Tree</v>
      </c>
      <c r="D546" s="7" t="s">
        <v>8</v>
      </c>
      <c r="E546" s="8" t="s">
        <v>69</v>
      </c>
      <c r="F546" s="9">
        <v>0.44</v>
      </c>
      <c r="G546" s="10"/>
      <c r="H546" s="1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4">
        <v>546.0</v>
      </c>
      <c r="B547" s="5"/>
      <c r="C547" s="6" t="str">
        <f>HYPERLINK("https://leetcode.com/problems/remove-boxes", "Remove Boxes")</f>
        <v>Remove Boxes</v>
      </c>
      <c r="D547" s="7" t="s">
        <v>11</v>
      </c>
      <c r="E547" s="8" t="s">
        <v>308</v>
      </c>
      <c r="F547" s="9">
        <v>0.47</v>
      </c>
      <c r="G547" s="10"/>
      <c r="H547" s="1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4">
        <v>547.0</v>
      </c>
      <c r="B548" s="5"/>
      <c r="C548" s="6" t="str">
        <f>HYPERLINK("https://leetcode.com/problems/number-of-provinces", "Number of Provinces")</f>
        <v>Number of Provinces</v>
      </c>
      <c r="D548" s="7" t="s">
        <v>8</v>
      </c>
      <c r="E548" s="8" t="s">
        <v>146</v>
      </c>
      <c r="F548" s="9">
        <v>0.63</v>
      </c>
      <c r="G548" s="10"/>
      <c r="H548" s="1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1">
        <v>548.0</v>
      </c>
      <c r="B549" s="5"/>
      <c r="C549" s="12" t="str">
        <f>HYPERLINK("https://leetcode.com/problems/split-array-with-equal-sum", "Split Array with Equal Sum")</f>
        <v>Split Array with Equal Sum</v>
      </c>
      <c r="D549" s="7" t="s">
        <v>11</v>
      </c>
      <c r="E549" s="8" t="s">
        <v>130</v>
      </c>
      <c r="F549" s="9">
        <v>0.5</v>
      </c>
      <c r="G549" s="10"/>
      <c r="H549" s="1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1">
        <v>549.0</v>
      </c>
      <c r="B550" s="5"/>
      <c r="C550" s="12" t="str">
        <f>HYPERLINK("https://leetcode.com/problems/binary-tree-longest-consecutive-sequence-ii", "Binary Tree Longest Consecutive Sequence II")</f>
        <v>Binary Tree Longest Consecutive Sequence II</v>
      </c>
      <c r="D550" s="7" t="s">
        <v>8</v>
      </c>
      <c r="E550" s="8" t="s">
        <v>69</v>
      </c>
      <c r="F550" s="9">
        <v>0.49</v>
      </c>
      <c r="G550" s="10"/>
      <c r="H550" s="1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1">
        <v>550.0</v>
      </c>
      <c r="B551" s="5"/>
      <c r="C551" s="12" t="str">
        <f>HYPERLINK("https://leetcode.com/problems/game-play-analysis-iv", "Game Play Analysis IV")</f>
        <v>Game Play Analysis IV</v>
      </c>
      <c r="D551" s="7" t="s">
        <v>8</v>
      </c>
      <c r="E551" s="8" t="s">
        <v>101</v>
      </c>
      <c r="F551" s="9">
        <v>0.43</v>
      </c>
      <c r="G551" s="10"/>
      <c r="H551" s="1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4">
        <v>551.0</v>
      </c>
      <c r="B552" s="5"/>
      <c r="C552" s="6" t="str">
        <f>HYPERLINK("https://leetcode.com/problems/student-attendance-record-i", "Student Attendance Record I")</f>
        <v>Student Attendance Record I</v>
      </c>
      <c r="D552" s="7" t="s">
        <v>6</v>
      </c>
      <c r="E552" s="8" t="s">
        <v>14</v>
      </c>
      <c r="F552" s="9">
        <v>0.48</v>
      </c>
      <c r="G552" s="10"/>
      <c r="H552" s="1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4">
        <v>552.0</v>
      </c>
      <c r="B553" s="5"/>
      <c r="C553" s="6" t="str">
        <f>HYPERLINK("https://leetcode.com/problems/student-attendance-record-ii", "Student Attendance Record II")</f>
        <v>Student Attendance Record II</v>
      </c>
      <c r="D553" s="7" t="s">
        <v>11</v>
      </c>
      <c r="E553" s="8" t="s">
        <v>156</v>
      </c>
      <c r="F553" s="9">
        <v>0.41</v>
      </c>
      <c r="G553" s="10"/>
      <c r="H553" s="1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4">
        <v>553.0</v>
      </c>
      <c r="B554" s="5"/>
      <c r="C554" s="6" t="str">
        <f>HYPERLINK("https://leetcode.com/problems/optimal-division", "Optimal Division")</f>
        <v>Optimal Division</v>
      </c>
      <c r="D554" s="7" t="s">
        <v>8</v>
      </c>
      <c r="E554" s="8" t="s">
        <v>181</v>
      </c>
      <c r="F554" s="9">
        <v>0.59</v>
      </c>
      <c r="G554" s="10"/>
      <c r="H554" s="1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4">
        <v>554.0</v>
      </c>
      <c r="B555" s="5"/>
      <c r="C555" s="6" t="str">
        <f>HYPERLINK("https://leetcode.com/problems/brick-wall", "Brick Wall")</f>
        <v>Brick Wall</v>
      </c>
      <c r="D555" s="7" t="s">
        <v>8</v>
      </c>
      <c r="E555" s="8" t="s">
        <v>7</v>
      </c>
      <c r="F555" s="9">
        <v>0.53</v>
      </c>
      <c r="G555" s="10"/>
      <c r="H555" s="1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1">
        <v>555.0</v>
      </c>
      <c r="B556" s="5"/>
      <c r="C556" s="12" t="str">
        <f>HYPERLINK("https://leetcode.com/problems/split-concatenated-strings", "Split Concatenated Strings")</f>
        <v>Split Concatenated Strings</v>
      </c>
      <c r="D556" s="7" t="s">
        <v>8</v>
      </c>
      <c r="E556" s="8" t="s">
        <v>309</v>
      </c>
      <c r="F556" s="9">
        <v>0.43</v>
      </c>
      <c r="G556" s="10"/>
      <c r="H556" s="1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4">
        <v>556.0</v>
      </c>
      <c r="B557" s="5"/>
      <c r="C557" s="6" t="str">
        <f>HYPERLINK("https://leetcode.com/problems/next-greater-element-iii", "Next Greater Element III")</f>
        <v>Next Greater Element III</v>
      </c>
      <c r="D557" s="7" t="s">
        <v>8</v>
      </c>
      <c r="E557" s="8" t="s">
        <v>310</v>
      </c>
      <c r="F557" s="9">
        <v>0.34</v>
      </c>
      <c r="G557" s="10"/>
      <c r="H557" s="1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4">
        <v>557.0</v>
      </c>
      <c r="B558" s="5"/>
      <c r="C558" s="6" t="str">
        <f>HYPERLINK("https://leetcode.com/problems/reverse-words-in-a-string-iii", "Reverse Words in a String III")</f>
        <v>Reverse Words in a String III</v>
      </c>
      <c r="D558" s="7" t="s">
        <v>6</v>
      </c>
      <c r="E558" s="8" t="s">
        <v>75</v>
      </c>
      <c r="F558" s="9">
        <v>0.81</v>
      </c>
      <c r="G558" s="10"/>
      <c r="H558" s="1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4">
        <v>558.0</v>
      </c>
      <c r="B559" s="5"/>
      <c r="C559" s="6" t="str">
        <f>HYPERLINK("https://leetcode.com/problems/logical-or-of-two-binary-grids-represented-as-quad-trees", "Logical OR of Two Binary Grids Represented as Quad-Trees")</f>
        <v>Logical OR of Two Binary Grids Represented as Quad-Trees</v>
      </c>
      <c r="D559" s="7" t="s">
        <v>8</v>
      </c>
      <c r="E559" s="8" t="s">
        <v>311</v>
      </c>
      <c r="F559" s="9">
        <v>0.48</v>
      </c>
      <c r="G559" s="10"/>
      <c r="H559" s="1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4">
        <v>559.0</v>
      </c>
      <c r="B560" s="5"/>
      <c r="C560" s="6" t="str">
        <f>HYPERLINK("https://leetcode.com/problems/maximum-depth-of-n-ary-tree", "Maximum Depth of N-ary Tree")</f>
        <v>Maximum Depth of N-ary Tree</v>
      </c>
      <c r="D560" s="7" t="s">
        <v>6</v>
      </c>
      <c r="E560" s="8" t="s">
        <v>312</v>
      </c>
      <c r="F560" s="9">
        <v>0.71</v>
      </c>
      <c r="G560" s="10"/>
      <c r="H560" s="1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4">
        <v>560.0</v>
      </c>
      <c r="B561" s="5"/>
      <c r="C561" s="6" t="str">
        <f>HYPERLINK("https://leetcode.com/problems/subarray-sum-equals-k", "Subarray Sum Equals K")</f>
        <v>Subarray Sum Equals K</v>
      </c>
      <c r="D561" s="7" t="s">
        <v>8</v>
      </c>
      <c r="E561" s="8" t="s">
        <v>191</v>
      </c>
      <c r="F561" s="9">
        <v>0.43</v>
      </c>
      <c r="G561" s="10"/>
      <c r="H561" s="1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4">
        <v>561.0</v>
      </c>
      <c r="B562" s="5"/>
      <c r="C562" s="6" t="str">
        <f>HYPERLINK("https://leetcode.com/problems/array-partition", "Array Partition")</f>
        <v>Array Partition</v>
      </c>
      <c r="D562" s="7" t="s">
        <v>6</v>
      </c>
      <c r="E562" s="8" t="s">
        <v>313</v>
      </c>
      <c r="F562" s="9">
        <v>0.76</v>
      </c>
      <c r="G562" s="10"/>
      <c r="H562" s="1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1">
        <v>562.0</v>
      </c>
      <c r="B563" s="5"/>
      <c r="C563" s="12" t="str">
        <f>HYPERLINK("https://leetcode.com/problems/longest-line-of-consecutive-one-in-matrix", "Longest Line of Consecutive One in Matrix")</f>
        <v>Longest Line of Consecutive One in Matrix</v>
      </c>
      <c r="D563" s="7" t="s">
        <v>8</v>
      </c>
      <c r="E563" s="8" t="s">
        <v>47</v>
      </c>
      <c r="F563" s="9">
        <v>0.5</v>
      </c>
      <c r="G563" s="10"/>
      <c r="H563" s="1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4">
        <v>563.0</v>
      </c>
      <c r="B564" s="5"/>
      <c r="C564" s="6" t="str">
        <f>HYPERLINK("https://leetcode.com/problems/binary-tree-tilt", "Binary Tree Tilt")</f>
        <v>Binary Tree Tilt</v>
      </c>
      <c r="D564" s="7" t="s">
        <v>6</v>
      </c>
      <c r="E564" s="8" t="s">
        <v>69</v>
      </c>
      <c r="F564" s="9">
        <v>0.59</v>
      </c>
      <c r="G564" s="10"/>
      <c r="H564" s="1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4">
        <v>564.0</v>
      </c>
      <c r="B565" s="5"/>
      <c r="C565" s="6" t="str">
        <f>HYPERLINK("https://leetcode.com/problems/find-the-closest-palindrome", "Find the Closest Palindrome")</f>
        <v>Find the Closest Palindrome</v>
      </c>
      <c r="D565" s="7" t="s">
        <v>11</v>
      </c>
      <c r="E565" s="8" t="s">
        <v>97</v>
      </c>
      <c r="F565" s="9">
        <v>0.21</v>
      </c>
      <c r="G565" s="10"/>
      <c r="H565" s="1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4">
        <v>565.0</v>
      </c>
      <c r="B566" s="5"/>
      <c r="C566" s="6" t="str">
        <f>HYPERLINK("https://leetcode.com/problems/array-nesting", "Array Nesting")</f>
        <v>Array Nesting</v>
      </c>
      <c r="D566" s="7" t="s">
        <v>8</v>
      </c>
      <c r="E566" s="8" t="s">
        <v>314</v>
      </c>
      <c r="F566" s="9">
        <v>0.56</v>
      </c>
      <c r="G566" s="10"/>
      <c r="H566" s="1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4">
        <v>566.0</v>
      </c>
      <c r="B567" s="5"/>
      <c r="C567" s="6" t="str">
        <f>HYPERLINK("https://leetcode.com/problems/reshape-the-matrix", "Reshape the Matrix")</f>
        <v>Reshape the Matrix</v>
      </c>
      <c r="D567" s="7" t="s">
        <v>6</v>
      </c>
      <c r="E567" s="8" t="s">
        <v>43</v>
      </c>
      <c r="F567" s="9">
        <v>0.62</v>
      </c>
      <c r="G567" s="10"/>
      <c r="H567" s="1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4">
        <v>567.0</v>
      </c>
      <c r="B568" s="5"/>
      <c r="C568" s="6" t="str">
        <f>HYPERLINK("https://leetcode.com/problems/permutation-in-string", "Permutation in String")</f>
        <v>Permutation in String</v>
      </c>
      <c r="D568" s="7" t="s">
        <v>8</v>
      </c>
      <c r="E568" s="8" t="s">
        <v>315</v>
      </c>
      <c r="F568" s="9">
        <v>0.43</v>
      </c>
      <c r="G568" s="10"/>
      <c r="H568" s="1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1">
        <v>568.0</v>
      </c>
      <c r="B569" s="5"/>
      <c r="C569" s="12" t="str">
        <f>HYPERLINK("https://leetcode.com/problems/maximum-vacation-days", "Maximum Vacation Days")</f>
        <v>Maximum Vacation Days</v>
      </c>
      <c r="D569" s="7" t="s">
        <v>11</v>
      </c>
      <c r="E569" s="8" t="s">
        <v>47</v>
      </c>
      <c r="F569" s="9">
        <v>0.44</v>
      </c>
      <c r="G569" s="10"/>
      <c r="H569" s="1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1">
        <v>569.0</v>
      </c>
      <c r="B570" s="5"/>
      <c r="C570" s="12" t="str">
        <f>HYPERLINK("https://leetcode.com/problems/median-employee-salary", "Median Employee Salary")</f>
        <v>Median Employee Salary</v>
      </c>
      <c r="D570" s="7" t="s">
        <v>11</v>
      </c>
      <c r="E570" s="8" t="s">
        <v>101</v>
      </c>
      <c r="F570" s="9">
        <v>0.68</v>
      </c>
      <c r="G570" s="10"/>
      <c r="H570" s="1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1">
        <v>570.0</v>
      </c>
      <c r="B571" s="5"/>
      <c r="C571" s="12" t="str">
        <f>HYPERLINK("https://leetcode.com/problems/managers-with-at-least-5-direct-reports", "Managers with at Least 5 Direct Reports")</f>
        <v>Managers with at Least 5 Direct Reports</v>
      </c>
      <c r="D571" s="7" t="s">
        <v>8</v>
      </c>
      <c r="E571" s="8" t="s">
        <v>101</v>
      </c>
      <c r="F571" s="9">
        <v>0.67</v>
      </c>
      <c r="G571" s="10"/>
      <c r="H571" s="1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1">
        <v>571.0</v>
      </c>
      <c r="B572" s="5"/>
      <c r="C572" s="12" t="str">
        <f>HYPERLINK("https://leetcode.com/problems/find-median-given-frequency-of-numbers", "Find Median Given Frequency of Numbers")</f>
        <v>Find Median Given Frequency of Numbers</v>
      </c>
      <c r="D572" s="7" t="s">
        <v>11</v>
      </c>
      <c r="E572" s="8" t="s">
        <v>101</v>
      </c>
      <c r="F572" s="9">
        <v>0.44</v>
      </c>
      <c r="G572" s="10"/>
      <c r="H572" s="1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4">
        <v>572.0</v>
      </c>
      <c r="B573" s="5"/>
      <c r="C573" s="6" t="str">
        <f>HYPERLINK("https://leetcode.com/problems/subtree-of-another-tree", "Subtree of Another Tree")</f>
        <v>Subtree of Another Tree</v>
      </c>
      <c r="D573" s="7" t="s">
        <v>6</v>
      </c>
      <c r="E573" s="8" t="s">
        <v>316</v>
      </c>
      <c r="F573" s="9">
        <v>0.46</v>
      </c>
      <c r="G573" s="10"/>
      <c r="H573" s="1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1">
        <v>573.0</v>
      </c>
      <c r="B574" s="5"/>
      <c r="C574" s="12" t="str">
        <f>HYPERLINK("https://leetcode.com/problems/squirrel-simulation", "Squirrel Simulation")</f>
        <v>Squirrel Simulation</v>
      </c>
      <c r="D574" s="7" t="s">
        <v>8</v>
      </c>
      <c r="E574" s="8" t="s">
        <v>48</v>
      </c>
      <c r="F574" s="9">
        <v>0.55</v>
      </c>
      <c r="G574" s="10"/>
      <c r="H574" s="1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1">
        <v>574.0</v>
      </c>
      <c r="B575" s="5"/>
      <c r="C575" s="12" t="str">
        <f>HYPERLINK("https://leetcode.com/problems/winning-candidate", "Winning Candidate")</f>
        <v>Winning Candidate</v>
      </c>
      <c r="D575" s="7" t="s">
        <v>8</v>
      </c>
      <c r="E575" s="8" t="s">
        <v>101</v>
      </c>
      <c r="F575" s="9">
        <v>0.59</v>
      </c>
      <c r="G575" s="10"/>
      <c r="H575" s="1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4">
        <v>575.0</v>
      </c>
      <c r="B576" s="5"/>
      <c r="C576" s="6" t="str">
        <f>HYPERLINK("https://leetcode.com/problems/distribute-candies", "Distribute Candies")</f>
        <v>Distribute Candies</v>
      </c>
      <c r="D576" s="7" t="s">
        <v>6</v>
      </c>
      <c r="E576" s="8" t="s">
        <v>7</v>
      </c>
      <c r="F576" s="9">
        <v>0.66</v>
      </c>
      <c r="G576" s="10"/>
      <c r="H576" s="1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4">
        <v>576.0</v>
      </c>
      <c r="B577" s="5"/>
      <c r="C577" s="6" t="str">
        <f>HYPERLINK("https://leetcode.com/problems/out-of-boundary-paths", "Out of Boundary Paths")</f>
        <v>Out of Boundary Paths</v>
      </c>
      <c r="D577" s="7" t="s">
        <v>8</v>
      </c>
      <c r="E577" s="8" t="s">
        <v>156</v>
      </c>
      <c r="F577" s="9">
        <v>0.44</v>
      </c>
      <c r="G577" s="10"/>
      <c r="H577" s="1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1">
        <v>577.0</v>
      </c>
      <c r="B578" s="5"/>
      <c r="C578" s="12" t="str">
        <f>HYPERLINK("https://leetcode.com/problems/employee-bonus", "Employee Bonus")</f>
        <v>Employee Bonus</v>
      </c>
      <c r="D578" s="7" t="s">
        <v>6</v>
      </c>
      <c r="E578" s="8" t="s">
        <v>101</v>
      </c>
      <c r="F578" s="9">
        <v>0.75</v>
      </c>
      <c r="G578" s="10"/>
      <c r="H578" s="1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1">
        <v>578.0</v>
      </c>
      <c r="B579" s="5"/>
      <c r="C579" s="12" t="str">
        <f>HYPERLINK("https://leetcode.com/problems/get-highest-answer-rate-question", "Get Highest Answer Rate Question")</f>
        <v>Get Highest Answer Rate Question</v>
      </c>
      <c r="D579" s="7" t="s">
        <v>8</v>
      </c>
      <c r="E579" s="8" t="s">
        <v>101</v>
      </c>
      <c r="F579" s="9">
        <v>0.41</v>
      </c>
      <c r="G579" s="10"/>
      <c r="H579" s="1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1">
        <v>579.0</v>
      </c>
      <c r="B580" s="5"/>
      <c r="C580" s="12" t="str">
        <f>HYPERLINK("https://leetcode.com/problems/find-cumulative-salary-of-an-employee", "Find Cumulative Salary of an Employee")</f>
        <v>Find Cumulative Salary of an Employee</v>
      </c>
      <c r="D580" s="7" t="s">
        <v>11</v>
      </c>
      <c r="E580" s="8" t="s">
        <v>101</v>
      </c>
      <c r="F580" s="9">
        <v>0.45</v>
      </c>
      <c r="G580" s="10"/>
      <c r="H580" s="1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1">
        <v>580.0</v>
      </c>
      <c r="B581" s="5"/>
      <c r="C581" s="12" t="str">
        <f>HYPERLINK("https://leetcode.com/problems/count-student-number-in-departments", "Count Student Number in Departments")</f>
        <v>Count Student Number in Departments</v>
      </c>
      <c r="D581" s="7" t="s">
        <v>8</v>
      </c>
      <c r="E581" s="8" t="s">
        <v>101</v>
      </c>
      <c r="F581" s="9">
        <v>0.58</v>
      </c>
      <c r="G581" s="10"/>
      <c r="H581" s="1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4">
        <v>581.0</v>
      </c>
      <c r="B582" s="5"/>
      <c r="C582" s="6" t="str">
        <f>HYPERLINK("https://leetcode.com/problems/shortest-unsorted-continuous-subarray", "Shortest Unsorted Continuous Subarray")</f>
        <v>Shortest Unsorted Continuous Subarray</v>
      </c>
      <c r="D582" s="7" t="s">
        <v>8</v>
      </c>
      <c r="E582" s="8" t="s">
        <v>317</v>
      </c>
      <c r="F582" s="9">
        <v>0.36</v>
      </c>
      <c r="G582" s="10"/>
      <c r="H582" s="1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1">
        <v>582.0</v>
      </c>
      <c r="B583" s="5"/>
      <c r="C583" s="12" t="str">
        <f>HYPERLINK("https://leetcode.com/problems/kill-process", "Kill Process")</f>
        <v>Kill Process</v>
      </c>
      <c r="D583" s="7" t="s">
        <v>8</v>
      </c>
      <c r="E583" s="8" t="s">
        <v>318</v>
      </c>
      <c r="F583" s="9">
        <v>0.68</v>
      </c>
      <c r="G583" s="10"/>
      <c r="H583" s="1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4">
        <v>583.0</v>
      </c>
      <c r="B584" s="5"/>
      <c r="C584" s="6" t="str">
        <f>HYPERLINK("https://leetcode.com/problems/delete-operation-for-two-strings", "Delete Operation for Two Strings")</f>
        <v>Delete Operation for Two Strings</v>
      </c>
      <c r="D584" s="7" t="s">
        <v>8</v>
      </c>
      <c r="E584" s="8" t="s">
        <v>13</v>
      </c>
      <c r="F584" s="9">
        <v>0.59</v>
      </c>
      <c r="G584" s="10"/>
      <c r="H584" s="1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4">
        <v>584.0</v>
      </c>
      <c r="B585" s="5"/>
      <c r="C585" s="6" t="str">
        <f>HYPERLINK("https://leetcode.com/problems/find-customer-referee", "Find Customer Referee")</f>
        <v>Find Customer Referee</v>
      </c>
      <c r="D585" s="7" t="s">
        <v>6</v>
      </c>
      <c r="E585" s="8" t="s">
        <v>101</v>
      </c>
      <c r="F585" s="9">
        <v>0.69</v>
      </c>
      <c r="G585" s="10"/>
      <c r="H585" s="1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1">
        <v>585.0</v>
      </c>
      <c r="B586" s="5"/>
      <c r="C586" s="12" t="str">
        <f>HYPERLINK("https://leetcode.com/problems/investments-in-2016", "Investments in 2016")</f>
        <v>Investments in 2016</v>
      </c>
      <c r="D586" s="7" t="s">
        <v>8</v>
      </c>
      <c r="E586" s="8" t="s">
        <v>101</v>
      </c>
      <c r="F586" s="9">
        <v>0.53</v>
      </c>
      <c r="G586" s="10"/>
      <c r="H586" s="1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4">
        <v>586.0</v>
      </c>
      <c r="B587" s="5"/>
      <c r="C587" s="6" t="str">
        <f>HYPERLINK("https://leetcode.com/problems/customer-placing-the-largest-number-of-orders", "Customer Placing the Largest Number of Orders")</f>
        <v>Customer Placing the Largest Number of Orders</v>
      </c>
      <c r="D587" s="7" t="s">
        <v>6</v>
      </c>
      <c r="E587" s="8" t="s">
        <v>101</v>
      </c>
      <c r="F587" s="9">
        <v>0.71</v>
      </c>
      <c r="G587" s="10"/>
      <c r="H587" s="1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4">
        <v>587.0</v>
      </c>
      <c r="B588" s="5"/>
      <c r="C588" s="6" t="str">
        <f>HYPERLINK("https://leetcode.com/problems/erect-the-fence", "Erect the Fence")</f>
        <v>Erect the Fence</v>
      </c>
      <c r="D588" s="7" t="s">
        <v>11</v>
      </c>
      <c r="E588" s="8" t="s">
        <v>196</v>
      </c>
      <c r="F588" s="9">
        <v>0.52</v>
      </c>
      <c r="G588" s="10"/>
      <c r="H588" s="1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1">
        <v>588.0</v>
      </c>
      <c r="B589" s="5"/>
      <c r="C589" s="12" t="str">
        <f>HYPERLINK("https://leetcode.com/problems/design-in-memory-file-system", "Design In-Memory File System")</f>
        <v>Design In-Memory File System</v>
      </c>
      <c r="D589" s="7" t="s">
        <v>11</v>
      </c>
      <c r="E589" s="8" t="s">
        <v>112</v>
      </c>
      <c r="F589" s="9">
        <v>0.48</v>
      </c>
      <c r="G589" s="10"/>
      <c r="H589" s="1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4">
        <v>589.0</v>
      </c>
      <c r="B590" s="5"/>
      <c r="C590" s="6" t="str">
        <f>HYPERLINK("https://leetcode.com/problems/n-ary-tree-preorder-traversal", "N-ary Tree Preorder Traversal")</f>
        <v>N-ary Tree Preorder Traversal</v>
      </c>
      <c r="D590" s="7" t="s">
        <v>6</v>
      </c>
      <c r="E590" s="8" t="s">
        <v>319</v>
      </c>
      <c r="F590" s="9">
        <v>0.76</v>
      </c>
      <c r="G590" s="10"/>
      <c r="H590" s="1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4">
        <v>590.0</v>
      </c>
      <c r="B591" s="5"/>
      <c r="C591" s="6" t="str">
        <f>HYPERLINK("https://leetcode.com/problems/n-ary-tree-postorder-traversal", "N-ary Tree Postorder Traversal")</f>
        <v>N-ary Tree Postorder Traversal</v>
      </c>
      <c r="D591" s="7" t="s">
        <v>6</v>
      </c>
      <c r="E591" s="8" t="s">
        <v>319</v>
      </c>
      <c r="F591" s="9">
        <v>0.77</v>
      </c>
      <c r="G591" s="10"/>
      <c r="H591" s="1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4">
        <v>591.0</v>
      </c>
      <c r="B592" s="5"/>
      <c r="C592" s="6" t="str">
        <f>HYPERLINK("https://leetcode.com/problems/tag-validator", "Tag Validator")</f>
        <v>Tag Validator</v>
      </c>
      <c r="D592" s="7" t="s">
        <v>11</v>
      </c>
      <c r="E592" s="8" t="s">
        <v>22</v>
      </c>
      <c r="F592" s="9">
        <v>0.37</v>
      </c>
      <c r="G592" s="10"/>
      <c r="H592" s="1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4">
        <v>592.0</v>
      </c>
      <c r="B593" s="5"/>
      <c r="C593" s="6" t="str">
        <f>HYPERLINK("https://leetcode.com/problems/fraction-addition-and-subtraction", "Fraction Addition and Subtraction")</f>
        <v>Fraction Addition and Subtraction</v>
      </c>
      <c r="D593" s="7" t="s">
        <v>8</v>
      </c>
      <c r="E593" s="8" t="s">
        <v>35</v>
      </c>
      <c r="F593" s="9">
        <v>0.52</v>
      </c>
      <c r="G593" s="10"/>
      <c r="H593" s="1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4">
        <v>593.0</v>
      </c>
      <c r="B594" s="5"/>
      <c r="C594" s="6" t="str">
        <f>HYPERLINK("https://leetcode.com/problems/valid-square", "Valid Square")</f>
        <v>Valid Square</v>
      </c>
      <c r="D594" s="7" t="s">
        <v>8</v>
      </c>
      <c r="E594" s="8" t="s">
        <v>123</v>
      </c>
      <c r="F594" s="9">
        <v>0.44</v>
      </c>
      <c r="G594" s="10"/>
      <c r="H594" s="1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4">
        <v>594.0</v>
      </c>
      <c r="B595" s="5"/>
      <c r="C595" s="6" t="str">
        <f>HYPERLINK("https://leetcode.com/problems/longest-harmonious-subsequence", "Longest Harmonious Subsequence")</f>
        <v>Longest Harmonious Subsequence</v>
      </c>
      <c r="D595" s="7" t="s">
        <v>6</v>
      </c>
      <c r="E595" s="8" t="s">
        <v>118</v>
      </c>
      <c r="F595" s="9">
        <v>0.53</v>
      </c>
      <c r="G595" s="10"/>
      <c r="H595" s="1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4">
        <v>595.0</v>
      </c>
      <c r="B596" s="5"/>
      <c r="C596" s="6" t="str">
        <f>HYPERLINK("https://leetcode.com/problems/big-countries", "Big Countries")</f>
        <v>Big Countries</v>
      </c>
      <c r="D596" s="7" t="s">
        <v>6</v>
      </c>
      <c r="E596" s="8" t="s">
        <v>101</v>
      </c>
      <c r="F596" s="9">
        <v>0.72</v>
      </c>
      <c r="G596" s="10"/>
      <c r="H596" s="1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4">
        <v>596.0</v>
      </c>
      <c r="B597" s="5"/>
      <c r="C597" s="6" t="str">
        <f>HYPERLINK("https://leetcode.com/problems/classes-more-than-5-students", "Classes More Than 5 Students")</f>
        <v>Classes More Than 5 Students</v>
      </c>
      <c r="D597" s="7" t="s">
        <v>6</v>
      </c>
      <c r="E597" s="8" t="s">
        <v>101</v>
      </c>
      <c r="F597" s="9">
        <v>0.47</v>
      </c>
      <c r="G597" s="10"/>
      <c r="H597" s="1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1">
        <v>597.0</v>
      </c>
      <c r="B598" s="5"/>
      <c r="C598" s="12" t="str">
        <f>HYPERLINK("https://leetcode.com/problems/friend-requests-i-overall-acceptance-rate", "Friend Requests I: Overall Acceptance Rate")</f>
        <v>Friend Requests I: Overall Acceptance Rate</v>
      </c>
      <c r="D598" s="7" t="s">
        <v>6</v>
      </c>
      <c r="E598" s="8" t="s">
        <v>101</v>
      </c>
      <c r="F598" s="9">
        <v>0.42</v>
      </c>
      <c r="G598" s="10"/>
      <c r="H598" s="1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4">
        <v>598.0</v>
      </c>
      <c r="B599" s="5"/>
      <c r="C599" s="6" t="str">
        <f>HYPERLINK("https://leetcode.com/problems/range-addition-ii", "Range Addition II")</f>
        <v>Range Addition II</v>
      </c>
      <c r="D599" s="7" t="s">
        <v>6</v>
      </c>
      <c r="E599" s="8" t="s">
        <v>48</v>
      </c>
      <c r="F599" s="9">
        <v>0.55</v>
      </c>
      <c r="G599" s="10"/>
      <c r="H599" s="1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4">
        <v>599.0</v>
      </c>
      <c r="B600" s="5"/>
      <c r="C600" s="6" t="str">
        <f>HYPERLINK("https://leetcode.com/problems/minimum-index-sum-of-two-lists", "Minimum Index Sum of Two Lists")</f>
        <v>Minimum Index Sum of Two Lists</v>
      </c>
      <c r="D600" s="7" t="s">
        <v>6</v>
      </c>
      <c r="E600" s="8" t="s">
        <v>139</v>
      </c>
      <c r="F600" s="9">
        <v>0.53</v>
      </c>
      <c r="G600" s="10"/>
      <c r="H600" s="1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4">
        <v>600.0</v>
      </c>
      <c r="B601" s="5"/>
      <c r="C601" s="6" t="str">
        <f>HYPERLINK("https://leetcode.com/problems/non-negative-integers-without-consecutive-ones", "Non-negative Integers without Consecutive Ones")</f>
        <v>Non-negative Integers without Consecutive Ones</v>
      </c>
      <c r="D601" s="7" t="s">
        <v>11</v>
      </c>
      <c r="E601" s="8" t="s">
        <v>156</v>
      </c>
      <c r="F601" s="9">
        <v>0.39</v>
      </c>
      <c r="G601" s="10"/>
      <c r="H601" s="1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4">
        <v>601.0</v>
      </c>
      <c r="B602" s="5"/>
      <c r="C602" s="6" t="str">
        <f>HYPERLINK("https://leetcode.com/problems/human-traffic-of-stadium", "Human Traffic of Stadium")</f>
        <v>Human Traffic of Stadium</v>
      </c>
      <c r="D602" s="7" t="s">
        <v>11</v>
      </c>
      <c r="E602" s="8" t="s">
        <v>101</v>
      </c>
      <c r="F602" s="9">
        <v>0.5</v>
      </c>
      <c r="G602" s="10"/>
      <c r="H602" s="1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1">
        <v>602.0</v>
      </c>
      <c r="B603" s="5"/>
      <c r="C603" s="12" t="str">
        <f>HYPERLINK("https://leetcode.com/problems/friend-requests-ii-who-has-the-most-friends", "Friend Requests II: Who Has the Most Friends")</f>
        <v>Friend Requests II: Who Has the Most Friends</v>
      </c>
      <c r="D603" s="7" t="s">
        <v>8</v>
      </c>
      <c r="E603" s="8" t="s">
        <v>101</v>
      </c>
      <c r="F603" s="9">
        <v>0.61</v>
      </c>
      <c r="G603" s="10"/>
      <c r="H603" s="1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1">
        <v>603.0</v>
      </c>
      <c r="B604" s="5"/>
      <c r="C604" s="12" t="str">
        <f>HYPERLINK("https://leetcode.com/problems/consecutive-available-seats", "Consecutive Available Seats")</f>
        <v>Consecutive Available Seats</v>
      </c>
      <c r="D604" s="7" t="s">
        <v>6</v>
      </c>
      <c r="E604" s="8" t="s">
        <v>101</v>
      </c>
      <c r="F604" s="9">
        <v>0.68</v>
      </c>
      <c r="G604" s="10"/>
      <c r="H604" s="1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1">
        <v>604.0</v>
      </c>
      <c r="B605" s="5"/>
      <c r="C605" s="12" t="str">
        <f>HYPERLINK("https://leetcode.com/problems/design-compressed-string-iterator", "Design Compressed String Iterator")</f>
        <v>Design Compressed String Iterator</v>
      </c>
      <c r="D605" s="7" t="s">
        <v>6</v>
      </c>
      <c r="E605" s="8" t="s">
        <v>320</v>
      </c>
      <c r="F605" s="9">
        <v>0.39</v>
      </c>
      <c r="G605" s="10"/>
      <c r="H605" s="1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4">
        <v>605.0</v>
      </c>
      <c r="B606" s="5"/>
      <c r="C606" s="6" t="str">
        <f>HYPERLINK("https://leetcode.com/problems/can-place-flowers", "Can Place Flowers")</f>
        <v>Can Place Flowers</v>
      </c>
      <c r="D606" s="7" t="s">
        <v>6</v>
      </c>
      <c r="E606" s="8" t="s">
        <v>81</v>
      </c>
      <c r="F606" s="9">
        <v>0.32</v>
      </c>
      <c r="G606" s="10"/>
      <c r="H606" s="1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4">
        <v>606.0</v>
      </c>
      <c r="B607" s="5"/>
      <c r="C607" s="6" t="str">
        <f>HYPERLINK("https://leetcode.com/problems/construct-string-from-binary-tree", "Construct String from Binary Tree")</f>
        <v>Construct String from Binary Tree</v>
      </c>
      <c r="D607" s="7" t="s">
        <v>6</v>
      </c>
      <c r="E607" s="8" t="s">
        <v>304</v>
      </c>
      <c r="F607" s="9">
        <v>0.63</v>
      </c>
      <c r="G607" s="10"/>
      <c r="H607" s="1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4">
        <v>607.0</v>
      </c>
      <c r="B608" s="5"/>
      <c r="C608" s="6" t="str">
        <f>HYPERLINK("https://leetcode.com/problems/sales-person", "Sales Person")</f>
        <v>Sales Person</v>
      </c>
      <c r="D608" s="7" t="s">
        <v>6</v>
      </c>
      <c r="E608" s="8" t="s">
        <v>101</v>
      </c>
      <c r="F608" s="9">
        <v>0.71</v>
      </c>
      <c r="G608" s="10"/>
      <c r="H608" s="1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4">
        <v>608.0</v>
      </c>
      <c r="B609" s="5"/>
      <c r="C609" s="6" t="str">
        <f>HYPERLINK("https://leetcode.com/problems/tree-node", "Tree Node")</f>
        <v>Tree Node</v>
      </c>
      <c r="D609" s="7" t="s">
        <v>8</v>
      </c>
      <c r="E609" s="8" t="s">
        <v>101</v>
      </c>
      <c r="F609" s="9">
        <v>0.71</v>
      </c>
      <c r="G609" s="10"/>
      <c r="H609" s="1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4">
        <v>609.0</v>
      </c>
      <c r="B610" s="5"/>
      <c r="C610" s="6" t="str">
        <f>HYPERLINK("https://leetcode.com/problems/find-duplicate-file-in-system", "Find Duplicate File in System")</f>
        <v>Find Duplicate File in System</v>
      </c>
      <c r="D610" s="7" t="s">
        <v>8</v>
      </c>
      <c r="E610" s="8" t="s">
        <v>139</v>
      </c>
      <c r="F610" s="9">
        <v>0.67</v>
      </c>
      <c r="G610" s="10"/>
      <c r="H610" s="1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1">
        <v>610.0</v>
      </c>
      <c r="B611" s="5"/>
      <c r="C611" s="12" t="str">
        <f>HYPERLINK("https://leetcode.com/problems/triangle-judgement", "Triangle Judgement")</f>
        <v>Triangle Judgement</v>
      </c>
      <c r="D611" s="7" t="s">
        <v>6</v>
      </c>
      <c r="E611" s="8" t="s">
        <v>101</v>
      </c>
      <c r="F611" s="9">
        <v>0.71</v>
      </c>
      <c r="G611" s="10"/>
      <c r="H611" s="1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4">
        <v>611.0</v>
      </c>
      <c r="B612" s="5"/>
      <c r="C612" s="6" t="str">
        <f>HYPERLINK("https://leetcode.com/problems/valid-triangle-number", "Valid Triangle Number")</f>
        <v>Valid Triangle Number</v>
      </c>
      <c r="D612" s="7" t="s">
        <v>8</v>
      </c>
      <c r="E612" s="8" t="s">
        <v>321</v>
      </c>
      <c r="F612" s="9">
        <v>0.5</v>
      </c>
      <c r="G612" s="10"/>
      <c r="H612" s="1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1">
        <v>612.0</v>
      </c>
      <c r="B613" s="5"/>
      <c r="C613" s="12" t="str">
        <f>HYPERLINK("https://leetcode.com/problems/shortest-distance-in-a-plane", "Shortest Distance in a Plane")</f>
        <v>Shortest Distance in a Plane</v>
      </c>
      <c r="D613" s="7" t="s">
        <v>8</v>
      </c>
      <c r="E613" s="8" t="s">
        <v>101</v>
      </c>
      <c r="F613" s="9">
        <v>0.63</v>
      </c>
      <c r="G613" s="10"/>
      <c r="H613" s="1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1">
        <v>613.0</v>
      </c>
      <c r="B614" s="5"/>
      <c r="C614" s="12" t="str">
        <f>HYPERLINK("https://leetcode.com/problems/shortest-distance-in-a-line", "Shortest Distance in a Line")</f>
        <v>Shortest Distance in a Line</v>
      </c>
      <c r="D614" s="7" t="s">
        <v>6</v>
      </c>
      <c r="E614" s="8" t="s">
        <v>101</v>
      </c>
      <c r="F614" s="9">
        <v>0.81</v>
      </c>
      <c r="G614" s="10"/>
      <c r="H614" s="1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1">
        <v>614.0</v>
      </c>
      <c r="B615" s="5"/>
      <c r="C615" s="12" t="str">
        <f>HYPERLINK("https://leetcode.com/problems/second-degree-follower", "Second Degree Follower")</f>
        <v>Second Degree Follower</v>
      </c>
      <c r="D615" s="7" t="s">
        <v>8</v>
      </c>
      <c r="E615" s="8" t="s">
        <v>101</v>
      </c>
      <c r="F615" s="9">
        <v>0.37</v>
      </c>
      <c r="G615" s="10"/>
      <c r="H615" s="1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1">
        <v>615.0</v>
      </c>
      <c r="B616" s="5"/>
      <c r="C616" s="12" t="str">
        <f>HYPERLINK("https://leetcode.com/problems/average-salary-departments-vs-company", "Average Salary: Departments VS Company")</f>
        <v>Average Salary: Departments VS Company</v>
      </c>
      <c r="D616" s="7" t="s">
        <v>11</v>
      </c>
      <c r="E616" s="8" t="s">
        <v>101</v>
      </c>
      <c r="F616" s="9">
        <v>0.57</v>
      </c>
      <c r="G616" s="10"/>
      <c r="H616" s="1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1">
        <v>616.0</v>
      </c>
      <c r="B617" s="5"/>
      <c r="C617" s="12" t="str">
        <f>HYPERLINK("https://leetcode.com/problems/add-bold-tag-in-string", "Add Bold Tag in String")</f>
        <v>Add Bold Tag in String</v>
      </c>
      <c r="D617" s="7" t="s">
        <v>8</v>
      </c>
      <c r="E617" s="8" t="s">
        <v>322</v>
      </c>
      <c r="F617" s="9">
        <v>0.48</v>
      </c>
      <c r="G617" s="10"/>
      <c r="H617" s="1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4">
        <v>617.0</v>
      </c>
      <c r="B618" s="5"/>
      <c r="C618" s="6" t="str">
        <f>HYPERLINK("https://leetcode.com/problems/merge-two-binary-trees", "Merge Two Binary Trees")</f>
        <v>Merge Two Binary Trees</v>
      </c>
      <c r="D618" s="7" t="s">
        <v>6</v>
      </c>
      <c r="E618" s="8" t="s">
        <v>64</v>
      </c>
      <c r="F618" s="9">
        <v>0.78</v>
      </c>
      <c r="G618" s="10"/>
      <c r="H618" s="1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1">
        <v>618.0</v>
      </c>
      <c r="B619" s="5"/>
      <c r="C619" s="12" t="str">
        <f>HYPERLINK("https://leetcode.com/problems/students-report-by-geography", "Students Report By Geography")</f>
        <v>Students Report By Geography</v>
      </c>
      <c r="D619" s="7" t="s">
        <v>11</v>
      </c>
      <c r="E619" s="8" t="s">
        <v>101</v>
      </c>
      <c r="F619" s="9">
        <v>0.64</v>
      </c>
      <c r="G619" s="10"/>
      <c r="H619" s="1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1">
        <v>619.0</v>
      </c>
      <c r="B620" s="5"/>
      <c r="C620" s="12" t="str">
        <f>HYPERLINK("https://leetcode.com/problems/biggest-single-number", "Biggest Single Number")</f>
        <v>Biggest Single Number</v>
      </c>
      <c r="D620" s="7" t="s">
        <v>6</v>
      </c>
      <c r="E620" s="8" t="s">
        <v>101</v>
      </c>
      <c r="F620" s="9">
        <v>0.49</v>
      </c>
      <c r="G620" s="10"/>
      <c r="H620" s="1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4">
        <v>620.0</v>
      </c>
      <c r="B621" s="5"/>
      <c r="C621" s="6" t="str">
        <f>HYPERLINK("https://leetcode.com/problems/not-boring-movies", "Not Boring Movies")</f>
        <v>Not Boring Movies</v>
      </c>
      <c r="D621" s="7" t="s">
        <v>6</v>
      </c>
      <c r="E621" s="8" t="s">
        <v>101</v>
      </c>
      <c r="F621" s="9">
        <v>0.72</v>
      </c>
      <c r="G621" s="10"/>
      <c r="H621" s="1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4">
        <v>621.0</v>
      </c>
      <c r="B622" s="5"/>
      <c r="C622" s="6" t="str">
        <f>HYPERLINK("https://leetcode.com/problems/task-scheduler", "Task Scheduler")</f>
        <v>Task Scheduler</v>
      </c>
      <c r="D622" s="7" t="s">
        <v>8</v>
      </c>
      <c r="E622" s="8" t="s">
        <v>323</v>
      </c>
      <c r="F622" s="9">
        <v>0.55</v>
      </c>
      <c r="G622" s="10"/>
      <c r="H622" s="1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4">
        <v>622.0</v>
      </c>
      <c r="B623" s="5"/>
      <c r="C623" s="6" t="str">
        <f>HYPERLINK("https://leetcode.com/problems/design-circular-queue", "Design Circular Queue")</f>
        <v>Design Circular Queue</v>
      </c>
      <c r="D623" s="7" t="s">
        <v>8</v>
      </c>
      <c r="E623" s="8" t="s">
        <v>324</v>
      </c>
      <c r="F623" s="9">
        <v>0.51</v>
      </c>
      <c r="G623" s="10"/>
      <c r="H623" s="1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4">
        <v>623.0</v>
      </c>
      <c r="B624" s="5"/>
      <c r="C624" s="6" t="str">
        <f>HYPERLINK("https://leetcode.com/problems/add-one-row-to-tree", "Add One Row to Tree")</f>
        <v>Add One Row to Tree</v>
      </c>
      <c r="D624" s="7" t="s">
        <v>8</v>
      </c>
      <c r="E624" s="8" t="s">
        <v>64</v>
      </c>
      <c r="F624" s="9">
        <v>0.59</v>
      </c>
      <c r="G624" s="10"/>
      <c r="H624" s="1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1">
        <v>624.0</v>
      </c>
      <c r="B625" s="5"/>
      <c r="C625" s="12" t="str">
        <f>HYPERLINK("https://leetcode.com/problems/maximum-distance-in-arrays", "Maximum Distance in Arrays")</f>
        <v>Maximum Distance in Arrays</v>
      </c>
      <c r="D625" s="7" t="s">
        <v>8</v>
      </c>
      <c r="E625" s="8" t="s">
        <v>81</v>
      </c>
      <c r="F625" s="9">
        <v>0.41</v>
      </c>
      <c r="G625" s="10"/>
      <c r="H625" s="1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1">
        <v>625.0</v>
      </c>
      <c r="B626" s="5"/>
      <c r="C626" s="12" t="str">
        <f>HYPERLINK("https://leetcode.com/problems/minimum-factorization", "Minimum Factorization")</f>
        <v>Minimum Factorization</v>
      </c>
      <c r="D626" s="7" t="s">
        <v>8</v>
      </c>
      <c r="E626" s="8" t="s">
        <v>325</v>
      </c>
      <c r="F626" s="9">
        <v>0.33</v>
      </c>
      <c r="G626" s="10"/>
      <c r="H626" s="1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4">
        <v>626.0</v>
      </c>
      <c r="B627" s="5"/>
      <c r="C627" s="6" t="str">
        <f>HYPERLINK("https://leetcode.com/problems/exchange-seats", "Exchange Seats")</f>
        <v>Exchange Seats</v>
      </c>
      <c r="D627" s="7" t="s">
        <v>8</v>
      </c>
      <c r="E627" s="8" t="s">
        <v>101</v>
      </c>
      <c r="F627" s="9">
        <v>0.7</v>
      </c>
      <c r="G627" s="10"/>
      <c r="H627" s="1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4">
        <v>627.0</v>
      </c>
      <c r="B628" s="5"/>
      <c r="C628" s="6" t="str">
        <f>HYPERLINK("https://leetcode.com/problems/swap-salary", "Swap Salary")</f>
        <v>Swap Salary</v>
      </c>
      <c r="D628" s="7" t="s">
        <v>6</v>
      </c>
      <c r="E628" s="8" t="s">
        <v>101</v>
      </c>
      <c r="F628" s="9">
        <v>0.83</v>
      </c>
      <c r="G628" s="10"/>
      <c r="H628" s="1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4">
        <v>628.0</v>
      </c>
      <c r="B629" s="5"/>
      <c r="C629" s="6" t="str">
        <f>HYPERLINK("https://leetcode.com/problems/maximum-product-of-three-numbers", "Maximum Product of Three Numbers")</f>
        <v>Maximum Product of Three Numbers</v>
      </c>
      <c r="D629" s="7" t="s">
        <v>6</v>
      </c>
      <c r="E629" s="8" t="s">
        <v>271</v>
      </c>
      <c r="F629" s="9">
        <v>0.46</v>
      </c>
      <c r="G629" s="10"/>
      <c r="H629" s="1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4">
        <v>629.0</v>
      </c>
      <c r="B630" s="5"/>
      <c r="C630" s="6" t="str">
        <f>HYPERLINK("https://leetcode.com/problems/k-inverse-pairs-array", "K Inverse Pairs Array")</f>
        <v>K Inverse Pairs Array</v>
      </c>
      <c r="D630" s="7" t="s">
        <v>11</v>
      </c>
      <c r="E630" s="8" t="s">
        <v>156</v>
      </c>
      <c r="F630" s="9">
        <v>0.42</v>
      </c>
      <c r="G630" s="10"/>
      <c r="H630" s="1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4">
        <v>630.0</v>
      </c>
      <c r="B631" s="5"/>
      <c r="C631" s="6" t="str">
        <f>HYPERLINK("https://leetcode.com/problems/course-schedule-iii", "Course Schedule III")</f>
        <v>Course Schedule III</v>
      </c>
      <c r="D631" s="7" t="s">
        <v>11</v>
      </c>
      <c r="E631" s="8" t="s">
        <v>326</v>
      </c>
      <c r="F631" s="9">
        <v>0.4</v>
      </c>
      <c r="G631" s="10"/>
      <c r="H631" s="1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1">
        <v>631.0</v>
      </c>
      <c r="B632" s="5"/>
      <c r="C632" s="12" t="str">
        <f>HYPERLINK("https://leetcode.com/problems/design-excel-sum-formula", "Design Excel Sum Formula")</f>
        <v>Design Excel Sum Formula</v>
      </c>
      <c r="D632" s="7" t="s">
        <v>11</v>
      </c>
      <c r="E632" s="8" t="s">
        <v>327</v>
      </c>
      <c r="F632" s="9">
        <v>0.43</v>
      </c>
      <c r="G632" s="10"/>
      <c r="H632" s="1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4">
        <v>632.0</v>
      </c>
      <c r="B633" s="5"/>
      <c r="C633" s="6" t="str">
        <f>HYPERLINK("https://leetcode.com/problems/smallest-range-covering-elements-from-k-lists", "Smallest Range Covering Elements from K Lists")</f>
        <v>Smallest Range Covering Elements from K Lists</v>
      </c>
      <c r="D633" s="7" t="s">
        <v>11</v>
      </c>
      <c r="E633" s="8" t="s">
        <v>328</v>
      </c>
      <c r="F633" s="9">
        <v>0.6</v>
      </c>
      <c r="G633" s="10"/>
      <c r="H633" s="1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4">
        <v>633.0</v>
      </c>
      <c r="B634" s="5"/>
      <c r="C634" s="6" t="str">
        <f>HYPERLINK("https://leetcode.com/problems/sum-of-square-numbers", "Sum of Square Numbers")</f>
        <v>Sum of Square Numbers</v>
      </c>
      <c r="D634" s="7" t="s">
        <v>8</v>
      </c>
      <c r="E634" s="8" t="s">
        <v>329</v>
      </c>
      <c r="F634" s="9">
        <v>0.34</v>
      </c>
      <c r="G634" s="10"/>
      <c r="H634" s="1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1">
        <v>634.0</v>
      </c>
      <c r="B635" s="5"/>
      <c r="C635" s="12" t="str">
        <f>HYPERLINK("https://leetcode.com/problems/find-the-derangement-of-an-array", "Find the Derangement of An Array")</f>
        <v>Find the Derangement of An Array</v>
      </c>
      <c r="D635" s="7" t="s">
        <v>8</v>
      </c>
      <c r="E635" s="8" t="s">
        <v>201</v>
      </c>
      <c r="F635" s="9">
        <v>0.41</v>
      </c>
      <c r="G635" s="10"/>
      <c r="H635" s="1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1">
        <v>635.0</v>
      </c>
      <c r="B636" s="5"/>
      <c r="C636" s="12" t="str">
        <f>HYPERLINK("https://leetcode.com/problems/design-log-storage-system", "Design Log Storage System")</f>
        <v>Design Log Storage System</v>
      </c>
      <c r="D636" s="7" t="s">
        <v>8</v>
      </c>
      <c r="E636" s="8" t="s">
        <v>330</v>
      </c>
      <c r="F636" s="9">
        <v>0.62</v>
      </c>
      <c r="G636" s="10"/>
      <c r="H636" s="1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4">
        <v>636.0</v>
      </c>
      <c r="B637" s="5"/>
      <c r="C637" s="6" t="str">
        <f>HYPERLINK("https://leetcode.com/problems/exclusive-time-of-functions", "Exclusive Time of Functions")</f>
        <v>Exclusive Time of Functions</v>
      </c>
      <c r="D637" s="7" t="s">
        <v>8</v>
      </c>
      <c r="E637" s="8" t="s">
        <v>331</v>
      </c>
      <c r="F637" s="9">
        <v>0.61</v>
      </c>
      <c r="G637" s="10"/>
      <c r="H637" s="1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4">
        <v>637.0</v>
      </c>
      <c r="B638" s="5"/>
      <c r="C638" s="6" t="str">
        <f>HYPERLINK("https://leetcode.com/problems/average-of-levels-in-binary-tree", "Average of Levels in Binary Tree")</f>
        <v>Average of Levels in Binary Tree</v>
      </c>
      <c r="D638" s="7" t="s">
        <v>6</v>
      </c>
      <c r="E638" s="8" t="s">
        <v>64</v>
      </c>
      <c r="F638" s="9">
        <v>0.71</v>
      </c>
      <c r="G638" s="10"/>
      <c r="H638" s="1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4">
        <v>638.0</v>
      </c>
      <c r="B639" s="5"/>
      <c r="C639" s="6" t="str">
        <f>HYPERLINK("https://leetcode.com/problems/shopping-offers", "Shopping Offers")</f>
        <v>Shopping Offers</v>
      </c>
      <c r="D639" s="7" t="s">
        <v>8</v>
      </c>
      <c r="E639" s="8" t="s">
        <v>332</v>
      </c>
      <c r="F639" s="9">
        <v>0.53</v>
      </c>
      <c r="G639" s="10"/>
      <c r="H639" s="1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4">
        <v>639.0</v>
      </c>
      <c r="B640" s="5"/>
      <c r="C640" s="6" t="str">
        <f>HYPERLINK("https://leetcode.com/problems/decode-ways-ii", "Decode Ways II")</f>
        <v>Decode Ways II</v>
      </c>
      <c r="D640" s="7" t="s">
        <v>11</v>
      </c>
      <c r="E640" s="8" t="s">
        <v>13</v>
      </c>
      <c r="F640" s="9">
        <v>0.3</v>
      </c>
      <c r="G640" s="10"/>
      <c r="H640" s="1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4">
        <v>640.0</v>
      </c>
      <c r="B641" s="5"/>
      <c r="C641" s="6" t="str">
        <f>HYPERLINK("https://leetcode.com/problems/solve-the-equation", "Solve the Equation")</f>
        <v>Solve the Equation</v>
      </c>
      <c r="D641" s="7" t="s">
        <v>8</v>
      </c>
      <c r="E641" s="8" t="s">
        <v>35</v>
      </c>
      <c r="F641" s="9">
        <v>0.43</v>
      </c>
      <c r="G641" s="10"/>
      <c r="H641" s="1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4">
        <v>641.0</v>
      </c>
      <c r="B642" s="5"/>
      <c r="C642" s="6" t="str">
        <f>HYPERLINK("https://leetcode.com/problems/design-circular-deque", "Design Circular Deque")</f>
        <v>Design Circular Deque</v>
      </c>
      <c r="D642" s="7" t="s">
        <v>8</v>
      </c>
      <c r="E642" s="8" t="s">
        <v>324</v>
      </c>
      <c r="F642" s="9">
        <v>0.57</v>
      </c>
      <c r="G642" s="10"/>
      <c r="H642" s="1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1">
        <v>642.0</v>
      </c>
      <c r="B643" s="5"/>
      <c r="C643" s="12" t="str">
        <f>HYPERLINK("https://leetcode.com/problems/design-search-autocomplete-system", "Design Search Autocomplete System")</f>
        <v>Design Search Autocomplete System</v>
      </c>
      <c r="D643" s="7" t="s">
        <v>11</v>
      </c>
      <c r="E643" s="8" t="s">
        <v>333</v>
      </c>
      <c r="F643" s="9">
        <v>0.48</v>
      </c>
      <c r="G643" s="10"/>
      <c r="H643" s="1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4">
        <v>643.0</v>
      </c>
      <c r="B644" s="5"/>
      <c r="C644" s="6" t="str">
        <f>HYPERLINK("https://leetcode.com/problems/maximum-average-subarray-i", "Maximum Average Subarray I")</f>
        <v>Maximum Average Subarray I</v>
      </c>
      <c r="D644" s="7" t="s">
        <v>6</v>
      </c>
      <c r="E644" s="8" t="s">
        <v>334</v>
      </c>
      <c r="F644" s="9">
        <v>0.43</v>
      </c>
      <c r="G644" s="10"/>
      <c r="H644" s="1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1">
        <v>644.0</v>
      </c>
      <c r="B645" s="5"/>
      <c r="C645" s="12" t="str">
        <f>HYPERLINK("https://leetcode.com/problems/maximum-average-subarray-ii", "Maximum Average Subarray II")</f>
        <v>Maximum Average Subarray II</v>
      </c>
      <c r="D645" s="7" t="s">
        <v>11</v>
      </c>
      <c r="E645" s="8" t="s">
        <v>335</v>
      </c>
      <c r="F645" s="9">
        <v>0.35</v>
      </c>
      <c r="G645" s="10"/>
      <c r="H645" s="1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4">
        <v>645.0</v>
      </c>
      <c r="B646" s="5"/>
      <c r="C646" s="6" t="str">
        <f>HYPERLINK("https://leetcode.com/problems/set-mismatch", "Set Mismatch")</f>
        <v>Set Mismatch</v>
      </c>
      <c r="D646" s="7" t="s">
        <v>6</v>
      </c>
      <c r="E646" s="8" t="s">
        <v>336</v>
      </c>
      <c r="F646" s="9">
        <v>0.42</v>
      </c>
      <c r="G646" s="10"/>
      <c r="H646" s="1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4">
        <v>646.0</v>
      </c>
      <c r="B647" s="5"/>
      <c r="C647" s="6" t="str">
        <f>HYPERLINK("https://leetcode.com/problems/maximum-length-of-pair-chain", "Maximum Length of Pair Chain")</f>
        <v>Maximum Length of Pair Chain</v>
      </c>
      <c r="D647" s="7" t="s">
        <v>8</v>
      </c>
      <c r="E647" s="8" t="s">
        <v>259</v>
      </c>
      <c r="F647" s="9">
        <v>0.56</v>
      </c>
      <c r="G647" s="10"/>
      <c r="H647" s="1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4">
        <v>647.0</v>
      </c>
      <c r="B648" s="5"/>
      <c r="C648" s="6" t="str">
        <f>HYPERLINK("https://leetcode.com/problems/palindromic-substrings", "Palindromic Substrings")</f>
        <v>Palindromic Substrings</v>
      </c>
      <c r="D648" s="7" t="s">
        <v>8</v>
      </c>
      <c r="E648" s="8" t="s">
        <v>13</v>
      </c>
      <c r="F648" s="9">
        <v>0.66</v>
      </c>
      <c r="G648" s="10"/>
      <c r="H648" s="1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4">
        <v>648.0</v>
      </c>
      <c r="B649" s="5"/>
      <c r="C649" s="6" t="str">
        <f>HYPERLINK("https://leetcode.com/problems/replace-words", "Replace Words")</f>
        <v>Replace Words</v>
      </c>
      <c r="D649" s="7" t="s">
        <v>8</v>
      </c>
      <c r="E649" s="8" t="s">
        <v>197</v>
      </c>
      <c r="F649" s="9">
        <v>0.62</v>
      </c>
      <c r="G649" s="10"/>
      <c r="H649" s="1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4">
        <v>649.0</v>
      </c>
      <c r="B650" s="5"/>
      <c r="C650" s="6" t="str">
        <f>HYPERLINK("https://leetcode.com/problems/dota2-senate", "Dota2 Senate")</f>
        <v>Dota2 Senate</v>
      </c>
      <c r="D650" s="7" t="s">
        <v>8</v>
      </c>
      <c r="E650" s="8" t="s">
        <v>337</v>
      </c>
      <c r="F650" s="9">
        <v>0.4</v>
      </c>
      <c r="G650" s="10"/>
      <c r="H650" s="1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4">
        <v>650.0</v>
      </c>
      <c r="B651" s="5"/>
      <c r="C651" s="6" t="str">
        <f>HYPERLINK("https://leetcode.com/problems/2-keys-keyboard", "2 Keys Keyboard")</f>
        <v>2 Keys Keyboard</v>
      </c>
      <c r="D651" s="7" t="s">
        <v>8</v>
      </c>
      <c r="E651" s="8" t="s">
        <v>201</v>
      </c>
      <c r="F651" s="9">
        <v>0.53</v>
      </c>
      <c r="G651" s="10"/>
      <c r="H651" s="1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1">
        <v>651.0</v>
      </c>
      <c r="B652" s="5"/>
      <c r="C652" s="12" t="str">
        <f>HYPERLINK("https://leetcode.com/problems/4-keys-keyboard", "4 Keys Keyboard")</f>
        <v>4 Keys Keyboard</v>
      </c>
      <c r="D652" s="7" t="s">
        <v>8</v>
      </c>
      <c r="E652" s="8" t="s">
        <v>201</v>
      </c>
      <c r="F652" s="9">
        <v>0.54</v>
      </c>
      <c r="G652" s="10"/>
      <c r="H652" s="1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4">
        <v>652.0</v>
      </c>
      <c r="B653" s="5"/>
      <c r="C653" s="6" t="str">
        <f>HYPERLINK("https://leetcode.com/problems/find-duplicate-subtrees", "Find Duplicate Subtrees")</f>
        <v>Find Duplicate Subtrees</v>
      </c>
      <c r="D653" s="7" t="s">
        <v>8</v>
      </c>
      <c r="E653" s="8" t="s">
        <v>294</v>
      </c>
      <c r="F653" s="9">
        <v>0.56</v>
      </c>
      <c r="G653" s="10"/>
      <c r="H653" s="1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4">
        <v>653.0</v>
      </c>
      <c r="B654" s="5"/>
      <c r="C654" s="6" t="str">
        <f>HYPERLINK("https://leetcode.com/problems/two-sum-iv-input-is-a-bst", "Two Sum IV - Input is a BST")</f>
        <v>Two Sum IV - Input is a BST</v>
      </c>
      <c r="D654" s="7" t="s">
        <v>6</v>
      </c>
      <c r="E654" s="8" t="s">
        <v>338</v>
      </c>
      <c r="F654" s="9">
        <v>0.6</v>
      </c>
      <c r="G654" s="10"/>
      <c r="H654" s="1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4">
        <v>654.0</v>
      </c>
      <c r="B655" s="5"/>
      <c r="C655" s="6" t="str">
        <f>HYPERLINK("https://leetcode.com/problems/maximum-binary-tree", "Maximum Binary Tree")</f>
        <v>Maximum Binary Tree</v>
      </c>
      <c r="D655" s="7" t="s">
        <v>8</v>
      </c>
      <c r="E655" s="8" t="s">
        <v>339</v>
      </c>
      <c r="F655" s="9">
        <v>0.84</v>
      </c>
      <c r="G655" s="10"/>
      <c r="H655" s="1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4">
        <v>655.0</v>
      </c>
      <c r="B656" s="5"/>
      <c r="C656" s="6" t="str">
        <f>HYPERLINK("https://leetcode.com/problems/print-binary-tree", "Print Binary Tree")</f>
        <v>Print Binary Tree</v>
      </c>
      <c r="D656" s="7" t="s">
        <v>8</v>
      </c>
      <c r="E656" s="8" t="s">
        <v>64</v>
      </c>
      <c r="F656" s="9">
        <v>0.61</v>
      </c>
      <c r="G656" s="10"/>
      <c r="H656" s="1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1">
        <v>656.0</v>
      </c>
      <c r="B657" s="5"/>
      <c r="C657" s="12" t="str">
        <f>HYPERLINK("https://leetcode.com/problems/coin-path", "Coin Path")</f>
        <v>Coin Path</v>
      </c>
      <c r="D657" s="7" t="s">
        <v>11</v>
      </c>
      <c r="E657" s="8" t="s">
        <v>73</v>
      </c>
      <c r="F657" s="9">
        <v>0.31</v>
      </c>
      <c r="G657" s="10"/>
      <c r="H657" s="1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4">
        <v>657.0</v>
      </c>
      <c r="B658" s="5"/>
      <c r="C658" s="6" t="str">
        <f>HYPERLINK("https://leetcode.com/problems/robot-return-to-origin", "Robot Return to Origin")</f>
        <v>Robot Return to Origin</v>
      </c>
      <c r="D658" s="7" t="s">
        <v>6</v>
      </c>
      <c r="E658" s="8" t="s">
        <v>340</v>
      </c>
      <c r="F658" s="9">
        <v>0.75</v>
      </c>
      <c r="G658" s="10"/>
      <c r="H658" s="1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4">
        <v>658.0</v>
      </c>
      <c r="B659" s="5"/>
      <c r="C659" s="6" t="str">
        <f>HYPERLINK("https://leetcode.com/problems/find-k-closest-elements", "Find K Closest Elements")</f>
        <v>Find K Closest Elements</v>
      </c>
      <c r="D659" s="7" t="s">
        <v>8</v>
      </c>
      <c r="E659" s="8" t="s">
        <v>341</v>
      </c>
      <c r="F659" s="9">
        <v>0.46</v>
      </c>
      <c r="G659" s="10"/>
      <c r="H659" s="1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4">
        <v>659.0</v>
      </c>
      <c r="B660" s="5"/>
      <c r="C660" s="6" t="str">
        <f>HYPERLINK("https://leetcode.com/problems/split-array-into-consecutive-subsequences", "Split Array into Consecutive Subsequences")</f>
        <v>Split Array into Consecutive Subsequences</v>
      </c>
      <c r="D660" s="7" t="s">
        <v>8</v>
      </c>
      <c r="E660" s="8" t="s">
        <v>342</v>
      </c>
      <c r="F660" s="9">
        <v>0.5</v>
      </c>
      <c r="G660" s="10"/>
      <c r="H660" s="1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1">
        <v>660.0</v>
      </c>
      <c r="B661" s="5"/>
      <c r="C661" s="12" t="str">
        <f>HYPERLINK("https://leetcode.com/problems/remove-9", "Remove 9")</f>
        <v>Remove 9</v>
      </c>
      <c r="D661" s="7" t="s">
        <v>11</v>
      </c>
      <c r="E661" s="8" t="s">
        <v>15</v>
      </c>
      <c r="F661" s="9">
        <v>0.56</v>
      </c>
      <c r="G661" s="10"/>
      <c r="H661" s="1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4">
        <v>661.0</v>
      </c>
      <c r="B662" s="5"/>
      <c r="C662" s="6" t="str">
        <f>HYPERLINK("https://leetcode.com/problems/image-smoother", "Image Smoother")</f>
        <v>Image Smoother</v>
      </c>
      <c r="D662" s="7" t="s">
        <v>6</v>
      </c>
      <c r="E662" s="8" t="s">
        <v>251</v>
      </c>
      <c r="F662" s="9">
        <v>0.55</v>
      </c>
      <c r="G662" s="10"/>
      <c r="H662" s="1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4">
        <v>662.0</v>
      </c>
      <c r="B663" s="5"/>
      <c r="C663" s="6" t="str">
        <f>HYPERLINK("https://leetcode.com/problems/maximum-width-of-binary-tree", "Maximum Width of Binary Tree")</f>
        <v>Maximum Width of Binary Tree</v>
      </c>
      <c r="D663" s="7" t="s">
        <v>8</v>
      </c>
      <c r="E663" s="8" t="s">
        <v>64</v>
      </c>
      <c r="F663" s="9">
        <v>0.4</v>
      </c>
      <c r="G663" s="10"/>
      <c r="H663" s="1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1">
        <v>663.0</v>
      </c>
      <c r="B664" s="5"/>
      <c r="C664" s="12" t="str">
        <f>HYPERLINK("https://leetcode.com/problems/equal-tree-partition", "Equal Tree Partition")</f>
        <v>Equal Tree Partition</v>
      </c>
      <c r="D664" s="7" t="s">
        <v>8</v>
      </c>
      <c r="E664" s="8" t="s">
        <v>69</v>
      </c>
      <c r="F664" s="9">
        <v>0.41</v>
      </c>
      <c r="G664" s="10"/>
      <c r="H664" s="1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4">
        <v>664.0</v>
      </c>
      <c r="B665" s="5"/>
      <c r="C665" s="6" t="str">
        <f>HYPERLINK("https://leetcode.com/problems/strange-printer", "Strange Printer")</f>
        <v>Strange Printer</v>
      </c>
      <c r="D665" s="7" t="s">
        <v>11</v>
      </c>
      <c r="E665" s="8" t="s">
        <v>13</v>
      </c>
      <c r="F665" s="9">
        <v>0.46</v>
      </c>
      <c r="G665" s="10"/>
      <c r="H665" s="1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4">
        <v>665.0</v>
      </c>
      <c r="B666" s="5"/>
      <c r="C666" s="6" t="str">
        <f>HYPERLINK("https://leetcode.com/problems/non-decreasing-array", "Non-decreasing Array")</f>
        <v>Non-decreasing Array</v>
      </c>
      <c r="D666" s="7" t="s">
        <v>8</v>
      </c>
      <c r="E666" s="8" t="s">
        <v>45</v>
      </c>
      <c r="F666" s="9">
        <v>0.24</v>
      </c>
      <c r="G666" s="10"/>
      <c r="H666" s="1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1">
        <v>666.0</v>
      </c>
      <c r="B667" s="5"/>
      <c r="C667" s="12" t="str">
        <f>HYPERLINK("https://leetcode.com/problems/path-sum-iv", "Path Sum IV")</f>
        <v>Path Sum IV</v>
      </c>
      <c r="D667" s="7" t="s">
        <v>8</v>
      </c>
      <c r="E667" s="8" t="s">
        <v>343</v>
      </c>
      <c r="F667" s="9">
        <v>0.59</v>
      </c>
      <c r="G667" s="10"/>
      <c r="H667" s="1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4">
        <v>667.0</v>
      </c>
      <c r="B668" s="5"/>
      <c r="C668" s="6" t="str">
        <f>HYPERLINK("https://leetcode.com/problems/beautiful-arrangement-ii", "Beautiful Arrangement II")</f>
        <v>Beautiful Arrangement II</v>
      </c>
      <c r="D668" s="7" t="s">
        <v>8</v>
      </c>
      <c r="E668" s="8" t="s">
        <v>48</v>
      </c>
      <c r="F668" s="9">
        <v>0.59</v>
      </c>
      <c r="G668" s="10"/>
      <c r="H668" s="1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4">
        <v>668.0</v>
      </c>
      <c r="B669" s="5"/>
      <c r="C669" s="6" t="str">
        <f>HYPERLINK("https://leetcode.com/problems/kth-smallest-number-in-multiplication-table", "Kth Smallest Number in Multiplication Table")</f>
        <v>Kth Smallest Number in Multiplication Table</v>
      </c>
      <c r="D669" s="7" t="s">
        <v>11</v>
      </c>
      <c r="E669" s="8" t="s">
        <v>51</v>
      </c>
      <c r="F669" s="9">
        <v>0.51</v>
      </c>
      <c r="G669" s="10"/>
      <c r="H669" s="1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4">
        <v>669.0</v>
      </c>
      <c r="B670" s="5"/>
      <c r="C670" s="6" t="str">
        <f>HYPERLINK("https://leetcode.com/problems/trim-a-binary-search-tree", "Trim a Binary Search Tree")</f>
        <v>Trim a Binary Search Tree</v>
      </c>
      <c r="D670" s="7" t="s">
        <v>8</v>
      </c>
      <c r="E670" s="8" t="s">
        <v>63</v>
      </c>
      <c r="F670" s="9">
        <v>0.66</v>
      </c>
      <c r="G670" s="10"/>
      <c r="H670" s="1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4">
        <v>670.0</v>
      </c>
      <c r="B671" s="5"/>
      <c r="C671" s="6" t="str">
        <f>HYPERLINK("https://leetcode.com/problems/maximum-swap", "Maximum Swap")</f>
        <v>Maximum Swap</v>
      </c>
      <c r="D671" s="7" t="s">
        <v>8</v>
      </c>
      <c r="E671" s="8" t="s">
        <v>325</v>
      </c>
      <c r="F671" s="9">
        <v>0.47</v>
      </c>
      <c r="G671" s="10"/>
      <c r="H671" s="1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4">
        <v>671.0</v>
      </c>
      <c r="B672" s="5"/>
      <c r="C672" s="6" t="str">
        <f>HYPERLINK("https://leetcode.com/problems/second-minimum-node-in-a-binary-tree", "Second Minimum Node In a Binary Tree")</f>
        <v>Second Minimum Node In a Binary Tree</v>
      </c>
      <c r="D672" s="7" t="s">
        <v>6</v>
      </c>
      <c r="E672" s="8" t="s">
        <v>69</v>
      </c>
      <c r="F672" s="9">
        <v>0.44</v>
      </c>
      <c r="G672" s="10"/>
      <c r="H672" s="1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4">
        <v>672.0</v>
      </c>
      <c r="B673" s="5"/>
      <c r="C673" s="6" t="str">
        <f>HYPERLINK("https://leetcode.com/problems/bulb-switcher-ii", "Bulb Switcher II")</f>
        <v>Bulb Switcher II</v>
      </c>
      <c r="D673" s="7" t="s">
        <v>8</v>
      </c>
      <c r="E673" s="8" t="s">
        <v>344</v>
      </c>
      <c r="F673" s="9">
        <v>0.5</v>
      </c>
      <c r="G673" s="10"/>
      <c r="H673" s="1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4">
        <v>673.0</v>
      </c>
      <c r="B674" s="5"/>
      <c r="C674" s="6" t="str">
        <f>HYPERLINK("https://leetcode.com/problems/number-of-longest-increasing-subsequence", "Number of Longest Increasing Subsequence")</f>
        <v>Number of Longest Increasing Subsequence</v>
      </c>
      <c r="D674" s="7" t="s">
        <v>8</v>
      </c>
      <c r="E674" s="8" t="s">
        <v>345</v>
      </c>
      <c r="F674" s="9">
        <v>0.42</v>
      </c>
      <c r="G674" s="10"/>
      <c r="H674" s="1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4">
        <v>674.0</v>
      </c>
      <c r="B675" s="5"/>
      <c r="C675" s="6" t="str">
        <f>HYPERLINK("https://leetcode.com/problems/longest-continuous-increasing-subsequence", "Longest Continuous Increasing Subsequence")</f>
        <v>Longest Continuous Increasing Subsequence</v>
      </c>
      <c r="D675" s="7" t="s">
        <v>6</v>
      </c>
      <c r="E675" s="8" t="s">
        <v>45</v>
      </c>
      <c r="F675" s="9">
        <v>0.49</v>
      </c>
      <c r="G675" s="10"/>
      <c r="H675" s="1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4">
        <v>675.0</v>
      </c>
      <c r="B676" s="5"/>
      <c r="C676" s="6" t="str">
        <f>HYPERLINK("https://leetcode.com/problems/cut-off-trees-for-golf-event", "Cut Off Trees for Golf Event")</f>
        <v>Cut Off Trees for Golf Event</v>
      </c>
      <c r="D676" s="7" t="s">
        <v>11</v>
      </c>
      <c r="E676" s="8" t="s">
        <v>243</v>
      </c>
      <c r="F676" s="9">
        <v>0.34</v>
      </c>
      <c r="G676" s="10"/>
      <c r="H676" s="1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4">
        <v>676.0</v>
      </c>
      <c r="B677" s="5"/>
      <c r="C677" s="6" t="str">
        <f>HYPERLINK("https://leetcode.com/problems/implement-magic-dictionary", "Implement Magic Dictionary")</f>
        <v>Implement Magic Dictionary</v>
      </c>
      <c r="D677" s="7" t="s">
        <v>8</v>
      </c>
      <c r="E677" s="8" t="s">
        <v>112</v>
      </c>
      <c r="F677" s="9">
        <v>0.56</v>
      </c>
      <c r="G677" s="10"/>
      <c r="H677" s="1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4">
        <v>677.0</v>
      </c>
      <c r="B678" s="5"/>
      <c r="C678" s="6" t="str">
        <f>HYPERLINK("https://leetcode.com/problems/map-sum-pairs", "Map Sum Pairs")</f>
        <v>Map Sum Pairs</v>
      </c>
      <c r="D678" s="7" t="s">
        <v>8</v>
      </c>
      <c r="E678" s="8" t="s">
        <v>112</v>
      </c>
      <c r="F678" s="9">
        <v>0.56</v>
      </c>
      <c r="G678" s="10"/>
      <c r="H678" s="1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4">
        <v>678.0</v>
      </c>
      <c r="B679" s="5"/>
      <c r="C679" s="6" t="str">
        <f>HYPERLINK("https://leetcode.com/problems/valid-parenthesis-string", "Valid Parenthesis String")</f>
        <v>Valid Parenthesis String</v>
      </c>
      <c r="D679" s="7" t="s">
        <v>8</v>
      </c>
      <c r="E679" s="8" t="s">
        <v>346</v>
      </c>
      <c r="F679" s="9">
        <v>0.33</v>
      </c>
      <c r="G679" s="10"/>
      <c r="H679" s="1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4">
        <v>679.0</v>
      </c>
      <c r="B680" s="5"/>
      <c r="C680" s="6" t="str">
        <f>HYPERLINK("https://leetcode.com/problems/24-game", "24 Game")</f>
        <v>24 Game</v>
      </c>
      <c r="D680" s="7" t="s">
        <v>11</v>
      </c>
      <c r="E680" s="8" t="s">
        <v>347</v>
      </c>
      <c r="F680" s="9">
        <v>0.49</v>
      </c>
      <c r="G680" s="10"/>
      <c r="H680" s="1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4">
        <v>680.0</v>
      </c>
      <c r="B681" s="5"/>
      <c r="C681" s="6" t="str">
        <f>HYPERLINK("https://leetcode.com/problems/valid-palindrome-ii", "Valid Palindrome II")</f>
        <v>Valid Palindrome II</v>
      </c>
      <c r="D681" s="7" t="s">
        <v>6</v>
      </c>
      <c r="E681" s="8" t="s">
        <v>348</v>
      </c>
      <c r="F681" s="9">
        <v>0.39</v>
      </c>
      <c r="G681" s="10"/>
      <c r="H681" s="1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1">
        <v>681.0</v>
      </c>
      <c r="B682" s="5"/>
      <c r="C682" s="12" t="str">
        <f>HYPERLINK("https://leetcode.com/problems/next-closest-time", "Next Closest Time")</f>
        <v>Next Closest Time</v>
      </c>
      <c r="D682" s="7" t="s">
        <v>8</v>
      </c>
      <c r="E682" s="8" t="s">
        <v>349</v>
      </c>
      <c r="F682" s="9">
        <v>0.46</v>
      </c>
      <c r="G682" s="10"/>
      <c r="H682" s="1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4">
        <v>682.0</v>
      </c>
      <c r="B683" s="5"/>
      <c r="C683" s="6" t="str">
        <f>HYPERLINK("https://leetcode.com/problems/baseball-game", "Baseball Game")</f>
        <v>Baseball Game</v>
      </c>
      <c r="D683" s="7" t="s">
        <v>6</v>
      </c>
      <c r="E683" s="8" t="s">
        <v>350</v>
      </c>
      <c r="F683" s="9">
        <v>0.73</v>
      </c>
      <c r="G683" s="10"/>
      <c r="H683" s="1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1">
        <v>683.0</v>
      </c>
      <c r="B684" s="5"/>
      <c r="C684" s="12" t="str">
        <f>HYPERLINK("https://leetcode.com/problems/k-empty-slots", "K Empty Slots")</f>
        <v>K Empty Slots</v>
      </c>
      <c r="D684" s="7" t="s">
        <v>11</v>
      </c>
      <c r="E684" s="8" t="s">
        <v>351</v>
      </c>
      <c r="F684" s="9">
        <v>0.36</v>
      </c>
      <c r="G684" s="10"/>
      <c r="H684" s="1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4">
        <v>684.0</v>
      </c>
      <c r="B685" s="5"/>
      <c r="C685" s="6" t="str">
        <f>HYPERLINK("https://leetcode.com/problems/redundant-connection", "Redundant Connection")</f>
        <v>Redundant Connection</v>
      </c>
      <c r="D685" s="7" t="s">
        <v>8</v>
      </c>
      <c r="E685" s="8" t="s">
        <v>146</v>
      </c>
      <c r="F685" s="9">
        <v>0.62</v>
      </c>
      <c r="G685" s="10"/>
      <c r="H685" s="1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4">
        <v>685.0</v>
      </c>
      <c r="B686" s="5"/>
      <c r="C686" s="6" t="str">
        <f>HYPERLINK("https://leetcode.com/problems/redundant-connection-ii", "Redundant Connection II")</f>
        <v>Redundant Connection II</v>
      </c>
      <c r="D686" s="7" t="s">
        <v>11</v>
      </c>
      <c r="E686" s="8" t="s">
        <v>146</v>
      </c>
      <c r="F686" s="9">
        <v>0.34</v>
      </c>
      <c r="G686" s="10"/>
      <c r="H686" s="1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4">
        <v>686.0</v>
      </c>
      <c r="B687" s="5"/>
      <c r="C687" s="6" t="str">
        <f>HYPERLINK("https://leetcode.com/problems/repeated-string-match", "Repeated String Match")</f>
        <v>Repeated String Match</v>
      </c>
      <c r="D687" s="7" t="s">
        <v>8</v>
      </c>
      <c r="E687" s="8" t="s">
        <v>270</v>
      </c>
      <c r="F687" s="9">
        <v>0.34</v>
      </c>
      <c r="G687" s="10"/>
      <c r="H687" s="1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4">
        <v>687.0</v>
      </c>
      <c r="B688" s="5"/>
      <c r="C688" s="6" t="str">
        <f>HYPERLINK("https://leetcode.com/problems/longest-univalue-path", "Longest Univalue Path")</f>
        <v>Longest Univalue Path</v>
      </c>
      <c r="D688" s="7" t="s">
        <v>8</v>
      </c>
      <c r="E688" s="8" t="s">
        <v>69</v>
      </c>
      <c r="F688" s="9">
        <v>0.4</v>
      </c>
      <c r="G688" s="10"/>
      <c r="H688" s="1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4">
        <v>688.0</v>
      </c>
      <c r="B689" s="5"/>
      <c r="C689" s="6" t="str">
        <f>HYPERLINK("https://leetcode.com/problems/knight-probability-in-chessboard", "Knight Probability in Chessboard")</f>
        <v>Knight Probability in Chessboard</v>
      </c>
      <c r="D689" s="7" t="s">
        <v>8</v>
      </c>
      <c r="E689" s="8" t="s">
        <v>156</v>
      </c>
      <c r="F689" s="9">
        <v>0.52</v>
      </c>
      <c r="G689" s="10"/>
      <c r="H689" s="1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4">
        <v>689.0</v>
      </c>
      <c r="B690" s="5"/>
      <c r="C690" s="6" t="str">
        <f>HYPERLINK("https://leetcode.com/problems/maximum-sum-of-3-non-overlapping-subarrays", "Maximum Sum of 3 Non-Overlapping Subarrays")</f>
        <v>Maximum Sum of 3 Non-Overlapping Subarrays</v>
      </c>
      <c r="D690" s="7" t="s">
        <v>11</v>
      </c>
      <c r="E690" s="8" t="s">
        <v>73</v>
      </c>
      <c r="F690" s="9">
        <v>0.48</v>
      </c>
      <c r="G690" s="10"/>
      <c r="H690" s="1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4">
        <v>690.0</v>
      </c>
      <c r="B691" s="5"/>
      <c r="C691" s="6" t="str">
        <f>HYPERLINK("https://leetcode.com/problems/employee-importance", "Employee Importance")</f>
        <v>Employee Importance</v>
      </c>
      <c r="D691" s="7" t="s">
        <v>8</v>
      </c>
      <c r="E691" s="8" t="s">
        <v>352</v>
      </c>
      <c r="F691" s="9">
        <v>0.65</v>
      </c>
      <c r="G691" s="10"/>
      <c r="H691" s="1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4">
        <v>691.0</v>
      </c>
      <c r="B692" s="5"/>
      <c r="C692" s="6" t="str">
        <f>HYPERLINK("https://leetcode.com/problems/stickers-to-spell-word", "Stickers to Spell Word")</f>
        <v>Stickers to Spell Word</v>
      </c>
      <c r="D692" s="7" t="s">
        <v>11</v>
      </c>
      <c r="E692" s="8" t="s">
        <v>353</v>
      </c>
      <c r="F692" s="9">
        <v>0.46</v>
      </c>
      <c r="G692" s="10"/>
      <c r="H692" s="1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4">
        <v>692.0</v>
      </c>
      <c r="B693" s="5"/>
      <c r="C693" s="6" t="str">
        <f>HYPERLINK("https://leetcode.com/problems/top-k-frequent-words", "Top K Frequent Words")</f>
        <v>Top K Frequent Words</v>
      </c>
      <c r="D693" s="7" t="s">
        <v>8</v>
      </c>
      <c r="E693" s="8" t="s">
        <v>354</v>
      </c>
      <c r="F693" s="9">
        <v>0.56</v>
      </c>
      <c r="G693" s="10"/>
      <c r="H693" s="1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4">
        <v>693.0</v>
      </c>
      <c r="B694" s="5"/>
      <c r="C694" s="6" t="str">
        <f>HYPERLINK("https://leetcode.com/problems/binary-number-with-alternating-bits", "Binary Number with Alternating Bits")</f>
        <v>Binary Number with Alternating Bits</v>
      </c>
      <c r="D694" s="7" t="s">
        <v>6</v>
      </c>
      <c r="E694" s="8" t="s">
        <v>107</v>
      </c>
      <c r="F694" s="9">
        <v>0.61</v>
      </c>
      <c r="G694" s="10"/>
      <c r="H694" s="1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1">
        <v>694.0</v>
      </c>
      <c r="B695" s="5"/>
      <c r="C695" s="12" t="str">
        <f>HYPERLINK("https://leetcode.com/problems/number-of-distinct-islands", "Number of Distinct Islands")</f>
        <v>Number of Distinct Islands</v>
      </c>
      <c r="D695" s="7" t="s">
        <v>8</v>
      </c>
      <c r="E695" s="8" t="s">
        <v>355</v>
      </c>
      <c r="F695" s="9">
        <v>0.6</v>
      </c>
      <c r="G695" s="10"/>
      <c r="H695" s="1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4">
        <v>695.0</v>
      </c>
      <c r="B696" s="5"/>
      <c r="C696" s="6" t="str">
        <f>HYPERLINK("https://leetcode.com/problems/max-area-of-island", "Max Area of Island")</f>
        <v>Max Area of Island</v>
      </c>
      <c r="D696" s="7" t="s">
        <v>8</v>
      </c>
      <c r="E696" s="8" t="s">
        <v>79</v>
      </c>
      <c r="F696" s="9">
        <v>0.71</v>
      </c>
      <c r="G696" s="10"/>
      <c r="H696" s="1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4">
        <v>696.0</v>
      </c>
      <c r="B697" s="5"/>
      <c r="C697" s="6" t="str">
        <f>HYPERLINK("https://leetcode.com/problems/count-binary-substrings", "Count Binary Substrings")</f>
        <v>Count Binary Substrings</v>
      </c>
      <c r="D697" s="7" t="s">
        <v>6</v>
      </c>
      <c r="E697" s="8" t="s">
        <v>75</v>
      </c>
      <c r="F697" s="9">
        <v>0.65</v>
      </c>
      <c r="G697" s="10"/>
      <c r="H697" s="1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4">
        <v>697.0</v>
      </c>
      <c r="B698" s="5"/>
      <c r="C698" s="6" t="str">
        <f>HYPERLINK("https://leetcode.com/problems/degree-of-an-array", "Degree of an Array")</f>
        <v>Degree of an Array</v>
      </c>
      <c r="D698" s="7" t="s">
        <v>6</v>
      </c>
      <c r="E698" s="8" t="s">
        <v>7</v>
      </c>
      <c r="F698" s="9">
        <v>0.55</v>
      </c>
      <c r="G698" s="10"/>
      <c r="H698" s="1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4">
        <v>698.0</v>
      </c>
      <c r="B699" s="5"/>
      <c r="C699" s="6" t="str">
        <f>HYPERLINK("https://leetcode.com/problems/partition-to-k-equal-sum-subsets", "Partition to K Equal Sum Subsets")</f>
        <v>Partition to K Equal Sum Subsets</v>
      </c>
      <c r="D699" s="7" t="s">
        <v>8</v>
      </c>
      <c r="E699" s="8" t="s">
        <v>332</v>
      </c>
      <c r="F699" s="9">
        <v>0.4</v>
      </c>
      <c r="G699" s="10"/>
      <c r="H699" s="1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4">
        <v>699.0</v>
      </c>
      <c r="B700" s="5"/>
      <c r="C700" s="6" t="str">
        <f>HYPERLINK("https://leetcode.com/problems/falling-squares", "Falling Squares")</f>
        <v>Falling Squares</v>
      </c>
      <c r="D700" s="7" t="s">
        <v>11</v>
      </c>
      <c r="E700" s="8" t="s">
        <v>356</v>
      </c>
      <c r="F700" s="9">
        <v>0.44</v>
      </c>
      <c r="G700" s="10"/>
      <c r="H700" s="1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4">
        <v>700.0</v>
      </c>
      <c r="B701" s="5"/>
      <c r="C701" s="6" t="str">
        <f>HYPERLINK("https://leetcode.com/problems/search-in-a-binary-search-tree", "Search in a Binary Search Tree")</f>
        <v>Search in a Binary Search Tree</v>
      </c>
      <c r="D701" s="7" t="s">
        <v>6</v>
      </c>
      <c r="E701" s="8" t="s">
        <v>265</v>
      </c>
      <c r="F701" s="9">
        <v>0.77</v>
      </c>
      <c r="G701" s="10"/>
      <c r="H701" s="1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4">
        <v>701.0</v>
      </c>
      <c r="B702" s="5"/>
      <c r="C702" s="6" t="str">
        <f>HYPERLINK("https://leetcode.com/problems/insert-into-a-binary-search-tree", "Insert into a Binary Search Tree")</f>
        <v>Insert into a Binary Search Tree</v>
      </c>
      <c r="D702" s="7" t="s">
        <v>8</v>
      </c>
      <c r="E702" s="8" t="s">
        <v>265</v>
      </c>
      <c r="F702" s="9">
        <v>0.74</v>
      </c>
      <c r="G702" s="10"/>
      <c r="H702" s="1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1">
        <v>702.0</v>
      </c>
      <c r="B703" s="5"/>
      <c r="C703" s="12" t="str">
        <f>HYPERLINK("https://leetcode.com/problems/search-in-a-sorted-array-of-unknown-size", "Search in a Sorted Array of Unknown Size")</f>
        <v>Search in a Sorted Array of Unknown Size</v>
      </c>
      <c r="D703" s="7" t="s">
        <v>8</v>
      </c>
      <c r="E703" s="8" t="s">
        <v>357</v>
      </c>
      <c r="F703" s="9">
        <v>0.71</v>
      </c>
      <c r="G703" s="10"/>
      <c r="H703" s="1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4">
        <v>703.0</v>
      </c>
      <c r="B704" s="5"/>
      <c r="C704" s="6" t="str">
        <f>HYPERLINK("https://leetcode.com/problems/kth-largest-element-in-a-stream", "Kth Largest Element in a Stream")</f>
        <v>Kth Largest Element in a Stream</v>
      </c>
      <c r="D704" s="7" t="s">
        <v>6</v>
      </c>
      <c r="E704" s="8" t="s">
        <v>358</v>
      </c>
      <c r="F704" s="9">
        <v>0.55</v>
      </c>
      <c r="G704" s="10"/>
      <c r="H704" s="1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4">
        <v>704.0</v>
      </c>
      <c r="B705" s="5"/>
      <c r="C705" s="6" t="str">
        <f>HYPERLINK("https://leetcode.com/problems/binary-search", "Binary Search")</f>
        <v>Binary Search</v>
      </c>
      <c r="D705" s="7" t="s">
        <v>6</v>
      </c>
      <c r="E705" s="8" t="s">
        <v>30</v>
      </c>
      <c r="F705" s="9">
        <v>0.55</v>
      </c>
      <c r="G705" s="10"/>
      <c r="H705" s="1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4">
        <v>705.0</v>
      </c>
      <c r="B706" s="5"/>
      <c r="C706" s="6" t="str">
        <f>HYPERLINK("https://leetcode.com/problems/design-hashset", "Design HashSet")</f>
        <v>Design HashSet</v>
      </c>
      <c r="D706" s="7" t="s">
        <v>6</v>
      </c>
      <c r="E706" s="8" t="s">
        <v>359</v>
      </c>
      <c r="F706" s="9">
        <v>0.65</v>
      </c>
      <c r="G706" s="10"/>
      <c r="H706" s="1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4">
        <v>706.0</v>
      </c>
      <c r="B707" s="5"/>
      <c r="C707" s="6" t="str">
        <f>HYPERLINK("https://leetcode.com/problems/design-hashmap", "Design HashMap")</f>
        <v>Design HashMap</v>
      </c>
      <c r="D707" s="7" t="s">
        <v>6</v>
      </c>
      <c r="E707" s="8" t="s">
        <v>359</v>
      </c>
      <c r="F707" s="9">
        <v>0.64</v>
      </c>
      <c r="G707" s="10"/>
      <c r="H707" s="1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4">
        <v>707.0</v>
      </c>
      <c r="B708" s="5"/>
      <c r="C708" s="6" t="str">
        <f>HYPERLINK("https://leetcode.com/problems/design-linked-list", "Design Linked List")</f>
        <v>Design Linked List</v>
      </c>
      <c r="D708" s="7" t="s">
        <v>8</v>
      </c>
      <c r="E708" s="8" t="s">
        <v>360</v>
      </c>
      <c r="F708" s="9">
        <v>0.27</v>
      </c>
      <c r="G708" s="10"/>
      <c r="H708" s="1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1">
        <v>708.0</v>
      </c>
      <c r="B709" s="5"/>
      <c r="C709" s="12" t="str">
        <f>HYPERLINK("https://leetcode.com/problems/insert-into-a-sorted-circular-linked-list", "Insert into a Sorted Circular Linked List")</f>
        <v>Insert into a Sorted Circular Linked List</v>
      </c>
      <c r="D709" s="7" t="s">
        <v>8</v>
      </c>
      <c r="E709" s="8" t="s">
        <v>55</v>
      </c>
      <c r="F709" s="9">
        <v>0.34</v>
      </c>
      <c r="G709" s="10"/>
      <c r="H709" s="1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4">
        <v>709.0</v>
      </c>
      <c r="B710" s="5"/>
      <c r="C710" s="6" t="str">
        <f>HYPERLINK("https://leetcode.com/problems/to-lower-case", "To Lower Case")</f>
        <v>To Lower Case</v>
      </c>
      <c r="D710" s="7" t="s">
        <v>6</v>
      </c>
      <c r="E710" s="8" t="s">
        <v>14</v>
      </c>
      <c r="F710" s="9">
        <v>0.82</v>
      </c>
      <c r="G710" s="10"/>
      <c r="H710" s="1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4">
        <v>710.0</v>
      </c>
      <c r="B711" s="5"/>
      <c r="C711" s="6" t="str">
        <f>HYPERLINK("https://leetcode.com/problems/random-pick-with-blacklist", "Random Pick with Blacklist")</f>
        <v>Random Pick with Blacklist</v>
      </c>
      <c r="D711" s="7" t="s">
        <v>11</v>
      </c>
      <c r="E711" s="8" t="s">
        <v>361</v>
      </c>
      <c r="F711" s="9">
        <v>0.33</v>
      </c>
      <c r="G711" s="10"/>
      <c r="H711" s="1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1">
        <v>711.0</v>
      </c>
      <c r="B712" s="5"/>
      <c r="C712" s="12" t="str">
        <f>HYPERLINK("https://leetcode.com/problems/number-of-distinct-islands-ii", "Number of Distinct Islands II")</f>
        <v>Number of Distinct Islands II</v>
      </c>
      <c r="D712" s="7" t="s">
        <v>11</v>
      </c>
      <c r="E712" s="8" t="s">
        <v>355</v>
      </c>
      <c r="F712" s="9">
        <v>0.51</v>
      </c>
      <c r="G712" s="10"/>
      <c r="H712" s="1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4">
        <v>712.0</v>
      </c>
      <c r="B713" s="5"/>
      <c r="C713" s="6" t="str">
        <f>HYPERLINK("https://leetcode.com/problems/minimum-ascii-delete-sum-for-two-strings", "Minimum ASCII Delete Sum for Two Strings")</f>
        <v>Minimum ASCII Delete Sum for Two Strings</v>
      </c>
      <c r="D713" s="7" t="s">
        <v>8</v>
      </c>
      <c r="E713" s="8" t="s">
        <v>13</v>
      </c>
      <c r="F713" s="9">
        <v>0.62</v>
      </c>
      <c r="G713" s="10"/>
      <c r="H713" s="1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4">
        <v>713.0</v>
      </c>
      <c r="B714" s="5"/>
      <c r="C714" s="6" t="str">
        <f>HYPERLINK("https://leetcode.com/problems/subarray-product-less-than-k", "Subarray Product Less Than K")</f>
        <v>Subarray Product Less Than K</v>
      </c>
      <c r="D714" s="7" t="s">
        <v>8</v>
      </c>
      <c r="E714" s="8" t="s">
        <v>334</v>
      </c>
      <c r="F714" s="9">
        <v>0.45</v>
      </c>
      <c r="G714" s="10"/>
      <c r="H714" s="1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4">
        <v>714.0</v>
      </c>
      <c r="B715" s="5"/>
      <c r="C715" s="6" t="str">
        <f>HYPERLINK("https://leetcode.com/problems/best-time-to-buy-and-sell-stock-with-transaction-fee", "Best Time to Buy and Sell Stock with Transaction Fee")</f>
        <v>Best Time to Buy and Sell Stock with Transaction Fee</v>
      </c>
      <c r="D715" s="7" t="s">
        <v>8</v>
      </c>
      <c r="E715" s="8" t="s">
        <v>37</v>
      </c>
      <c r="F715" s="9">
        <v>0.64</v>
      </c>
      <c r="G715" s="10"/>
      <c r="H715" s="1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4">
        <v>715.0</v>
      </c>
      <c r="B716" s="5"/>
      <c r="C716" s="6" t="str">
        <f>HYPERLINK("https://leetcode.com/problems/range-module", "Range Module")</f>
        <v>Range Module</v>
      </c>
      <c r="D716" s="7" t="s">
        <v>11</v>
      </c>
      <c r="E716" s="8" t="s">
        <v>362</v>
      </c>
      <c r="F716" s="9">
        <v>0.44</v>
      </c>
      <c r="G716" s="10"/>
      <c r="H716" s="1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1">
        <v>716.0</v>
      </c>
      <c r="B717" s="5"/>
      <c r="C717" s="12" t="str">
        <f>HYPERLINK("https://leetcode.com/problems/max-stack", "Max Stack")</f>
        <v>Max Stack</v>
      </c>
      <c r="D717" s="7" t="s">
        <v>11</v>
      </c>
      <c r="E717" s="8" t="s">
        <v>363</v>
      </c>
      <c r="F717" s="9">
        <v>0.45</v>
      </c>
      <c r="G717" s="10"/>
      <c r="H717" s="1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4">
        <v>717.0</v>
      </c>
      <c r="B718" s="5"/>
      <c r="C718" s="6" t="str">
        <f>HYPERLINK("https://leetcode.com/problems/1-bit-and-2-bit-characters", "1-bit and 2-bit Characters")</f>
        <v>1-bit and 2-bit Characters</v>
      </c>
      <c r="D718" s="7" t="s">
        <v>6</v>
      </c>
      <c r="E718" s="8" t="s">
        <v>45</v>
      </c>
      <c r="F718" s="9">
        <v>0.45</v>
      </c>
      <c r="G718" s="10"/>
      <c r="H718" s="1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4">
        <v>718.0</v>
      </c>
      <c r="B719" s="5"/>
      <c r="C719" s="6" t="str">
        <f>HYPERLINK("https://leetcode.com/problems/maximum-length-of-repeated-subarray", "Maximum Length of Repeated Subarray")</f>
        <v>Maximum Length of Repeated Subarray</v>
      </c>
      <c r="D719" s="7" t="s">
        <v>8</v>
      </c>
      <c r="E719" s="8" t="s">
        <v>364</v>
      </c>
      <c r="F719" s="9">
        <v>0.51</v>
      </c>
      <c r="G719" s="10"/>
      <c r="H719" s="1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4">
        <v>719.0</v>
      </c>
      <c r="B720" s="5"/>
      <c r="C720" s="6" t="str">
        <f>HYPERLINK("https://leetcode.com/problems/find-k-th-smallest-pair-distance", "Find K-th Smallest Pair Distance")</f>
        <v>Find K-th Smallest Pair Distance</v>
      </c>
      <c r="D720" s="7" t="s">
        <v>11</v>
      </c>
      <c r="E720" s="8" t="s">
        <v>145</v>
      </c>
      <c r="F720" s="9">
        <v>0.36</v>
      </c>
      <c r="G720" s="10"/>
      <c r="H720" s="1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4">
        <v>720.0</v>
      </c>
      <c r="B721" s="5"/>
      <c r="C721" s="6" t="str">
        <f>HYPERLINK("https://leetcode.com/problems/longest-word-in-dictionary", "Longest Word in Dictionary")</f>
        <v>Longest Word in Dictionary</v>
      </c>
      <c r="D721" s="7" t="s">
        <v>8</v>
      </c>
      <c r="E721" s="8" t="s">
        <v>365</v>
      </c>
      <c r="F721" s="9">
        <v>0.51</v>
      </c>
      <c r="G721" s="10"/>
      <c r="H721" s="1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4">
        <v>721.0</v>
      </c>
      <c r="B722" s="5"/>
      <c r="C722" s="6" t="str">
        <f>HYPERLINK("https://leetcode.com/problems/accounts-merge", "Accounts Merge")</f>
        <v>Accounts Merge</v>
      </c>
      <c r="D722" s="7" t="s">
        <v>8</v>
      </c>
      <c r="E722" s="8" t="s">
        <v>366</v>
      </c>
      <c r="F722" s="9">
        <v>0.56</v>
      </c>
      <c r="G722" s="10"/>
      <c r="H722" s="1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4">
        <v>722.0</v>
      </c>
      <c r="B723" s="5"/>
      <c r="C723" s="6" t="str">
        <f>HYPERLINK("https://leetcode.com/problems/remove-comments", "Remove Comments")</f>
        <v>Remove Comments</v>
      </c>
      <c r="D723" s="7" t="s">
        <v>8</v>
      </c>
      <c r="E723" s="8" t="s">
        <v>135</v>
      </c>
      <c r="F723" s="9">
        <v>0.38</v>
      </c>
      <c r="G723" s="10"/>
      <c r="H723" s="1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1">
        <v>723.0</v>
      </c>
      <c r="B724" s="5"/>
      <c r="C724" s="12" t="str">
        <f>HYPERLINK("https://leetcode.com/problems/candy-crush", "Candy Crush")</f>
        <v>Candy Crush</v>
      </c>
      <c r="D724" s="7" t="s">
        <v>8</v>
      </c>
      <c r="E724" s="8" t="s">
        <v>367</v>
      </c>
      <c r="F724" s="9">
        <v>0.76</v>
      </c>
      <c r="G724" s="10"/>
      <c r="H724" s="1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4">
        <v>724.0</v>
      </c>
      <c r="B725" s="5"/>
      <c r="C725" s="6" t="str">
        <f>HYPERLINK("https://leetcode.com/problems/find-pivot-index", "Find Pivot Index")</f>
        <v>Find Pivot Index</v>
      </c>
      <c r="D725" s="7" t="s">
        <v>6</v>
      </c>
      <c r="E725" s="8" t="s">
        <v>130</v>
      </c>
      <c r="F725" s="9">
        <v>0.53</v>
      </c>
      <c r="G725" s="10"/>
      <c r="H725" s="1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4">
        <v>725.0</v>
      </c>
      <c r="B726" s="5"/>
      <c r="C726" s="6" t="str">
        <f>HYPERLINK("https://leetcode.com/problems/split-linked-list-in-parts", "Split Linked List in Parts")</f>
        <v>Split Linked List in Parts</v>
      </c>
      <c r="D726" s="7" t="s">
        <v>8</v>
      </c>
      <c r="E726" s="8" t="s">
        <v>55</v>
      </c>
      <c r="F726" s="9">
        <v>0.57</v>
      </c>
      <c r="G726" s="10"/>
      <c r="H726" s="1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4">
        <v>726.0</v>
      </c>
      <c r="B727" s="5"/>
      <c r="C727" s="6" t="str">
        <f>HYPERLINK("https://leetcode.com/problems/number-of-atoms", "Number of Atoms")</f>
        <v>Number of Atoms</v>
      </c>
      <c r="D727" s="7" t="s">
        <v>11</v>
      </c>
      <c r="E727" s="8" t="s">
        <v>368</v>
      </c>
      <c r="F727" s="9">
        <v>0.52</v>
      </c>
      <c r="G727" s="10"/>
      <c r="H727" s="1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1">
        <v>727.0</v>
      </c>
      <c r="B728" s="5"/>
      <c r="C728" s="12" t="str">
        <f>HYPERLINK("https://leetcode.com/problems/minimum-window-subsequence", "Minimum Window Subsequence")</f>
        <v>Minimum Window Subsequence</v>
      </c>
      <c r="D728" s="7" t="s">
        <v>11</v>
      </c>
      <c r="E728" s="8" t="s">
        <v>369</v>
      </c>
      <c r="F728" s="9">
        <v>0.42</v>
      </c>
      <c r="G728" s="10"/>
      <c r="H728" s="1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4">
        <v>728.0</v>
      </c>
      <c r="B729" s="5"/>
      <c r="C729" s="6" t="str">
        <f>HYPERLINK("https://leetcode.com/problems/self-dividing-numbers", "Self Dividing Numbers")</f>
        <v>Self Dividing Numbers</v>
      </c>
      <c r="D729" s="7" t="s">
        <v>6</v>
      </c>
      <c r="E729" s="8" t="s">
        <v>15</v>
      </c>
      <c r="F729" s="9">
        <v>0.77</v>
      </c>
      <c r="G729" s="10"/>
      <c r="H729" s="1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4">
        <v>729.0</v>
      </c>
      <c r="B730" s="5"/>
      <c r="C730" s="6" t="str">
        <f>HYPERLINK("https://leetcode.com/problems/my-calendar-i", "My Calendar I")</f>
        <v>My Calendar I</v>
      </c>
      <c r="D730" s="7" t="s">
        <v>8</v>
      </c>
      <c r="E730" s="8" t="s">
        <v>370</v>
      </c>
      <c r="F730" s="9">
        <v>0.57</v>
      </c>
      <c r="G730" s="10"/>
      <c r="H730" s="1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4">
        <v>730.0</v>
      </c>
      <c r="B731" s="5"/>
      <c r="C731" s="6" t="str">
        <f>HYPERLINK("https://leetcode.com/problems/count-different-palindromic-subsequences", "Count Different Palindromic Subsequences")</f>
        <v>Count Different Palindromic Subsequences</v>
      </c>
      <c r="D731" s="7" t="s">
        <v>11</v>
      </c>
      <c r="E731" s="8" t="s">
        <v>13</v>
      </c>
      <c r="F731" s="9">
        <v>0.44</v>
      </c>
      <c r="G731" s="10"/>
      <c r="H731" s="1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4">
        <v>731.0</v>
      </c>
      <c r="B732" s="5"/>
      <c r="C732" s="6" t="str">
        <f>HYPERLINK("https://leetcode.com/problems/my-calendar-ii", "My Calendar II")</f>
        <v>My Calendar II</v>
      </c>
      <c r="D732" s="7" t="s">
        <v>8</v>
      </c>
      <c r="E732" s="8" t="s">
        <v>370</v>
      </c>
      <c r="F732" s="9">
        <v>0.54</v>
      </c>
      <c r="G732" s="10"/>
      <c r="H732" s="1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4">
        <v>732.0</v>
      </c>
      <c r="B733" s="5"/>
      <c r="C733" s="6" t="str">
        <f>HYPERLINK("https://leetcode.com/problems/my-calendar-iii", "My Calendar III")</f>
        <v>My Calendar III</v>
      </c>
      <c r="D733" s="7" t="s">
        <v>11</v>
      </c>
      <c r="E733" s="8" t="s">
        <v>370</v>
      </c>
      <c r="F733" s="9">
        <v>0.71</v>
      </c>
      <c r="G733" s="10"/>
      <c r="H733" s="1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4">
        <v>733.0</v>
      </c>
      <c r="B734" s="5"/>
      <c r="C734" s="6" t="str">
        <f>HYPERLINK("https://leetcode.com/problems/flood-fill", "Flood Fill")</f>
        <v>Flood Fill</v>
      </c>
      <c r="D734" s="7" t="s">
        <v>6</v>
      </c>
      <c r="E734" s="8" t="s">
        <v>246</v>
      </c>
      <c r="F734" s="9">
        <v>0.6</v>
      </c>
      <c r="G734" s="10"/>
      <c r="H734" s="1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1">
        <v>734.0</v>
      </c>
      <c r="B735" s="5"/>
      <c r="C735" s="12" t="str">
        <f>HYPERLINK("https://leetcode.com/problems/sentence-similarity", "Sentence Similarity")</f>
        <v>Sentence Similarity</v>
      </c>
      <c r="D735" s="7" t="s">
        <v>6</v>
      </c>
      <c r="E735" s="8" t="s">
        <v>139</v>
      </c>
      <c r="F735" s="9">
        <v>0.43</v>
      </c>
      <c r="G735" s="10"/>
      <c r="H735" s="1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4">
        <v>735.0</v>
      </c>
      <c r="B736" s="5"/>
      <c r="C736" s="6" t="str">
        <f>HYPERLINK("https://leetcode.com/problems/asteroid-collision", "Asteroid Collision")</f>
        <v>Asteroid Collision</v>
      </c>
      <c r="D736" s="7" t="s">
        <v>8</v>
      </c>
      <c r="E736" s="8" t="s">
        <v>331</v>
      </c>
      <c r="F736" s="9">
        <v>0.44</v>
      </c>
      <c r="G736" s="10"/>
      <c r="H736" s="1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4">
        <v>736.0</v>
      </c>
      <c r="B737" s="5"/>
      <c r="C737" s="6" t="str">
        <f>HYPERLINK("https://leetcode.com/problems/parse-lisp-expression", "Parse Lisp Expression")</f>
        <v>Parse Lisp Expression</v>
      </c>
      <c r="D737" s="7" t="s">
        <v>11</v>
      </c>
      <c r="E737" s="8" t="s">
        <v>371</v>
      </c>
      <c r="F737" s="9">
        <v>0.51</v>
      </c>
      <c r="G737" s="10"/>
      <c r="H737" s="1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1">
        <v>737.0</v>
      </c>
      <c r="B738" s="5"/>
      <c r="C738" s="12" t="str">
        <f>HYPERLINK("https://leetcode.com/problems/sentence-similarity-ii", "Sentence Similarity II")</f>
        <v>Sentence Similarity II</v>
      </c>
      <c r="D738" s="7" t="s">
        <v>8</v>
      </c>
      <c r="E738" s="8" t="s">
        <v>372</v>
      </c>
      <c r="F738" s="9">
        <v>0.48</v>
      </c>
      <c r="G738" s="10"/>
      <c r="H738" s="1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4">
        <v>738.0</v>
      </c>
      <c r="B739" s="5"/>
      <c r="C739" s="6" t="str">
        <f>HYPERLINK("https://leetcode.com/problems/monotone-increasing-digits", "Monotone Increasing Digits")</f>
        <v>Monotone Increasing Digits</v>
      </c>
      <c r="D739" s="7" t="s">
        <v>8</v>
      </c>
      <c r="E739" s="8" t="s">
        <v>325</v>
      </c>
      <c r="F739" s="9">
        <v>0.47</v>
      </c>
      <c r="G739" s="10"/>
      <c r="H739" s="1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4">
        <v>739.0</v>
      </c>
      <c r="B740" s="5"/>
      <c r="C740" s="6" t="str">
        <f>HYPERLINK("https://leetcode.com/problems/daily-temperatures", "Daily Temperatures")</f>
        <v>Daily Temperatures</v>
      </c>
      <c r="D740" s="7" t="s">
        <v>8</v>
      </c>
      <c r="E740" s="8" t="s">
        <v>56</v>
      </c>
      <c r="F740" s="9">
        <v>0.66</v>
      </c>
      <c r="G740" s="10"/>
      <c r="H740" s="1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4">
        <v>740.0</v>
      </c>
      <c r="B741" s="5"/>
      <c r="C741" s="6" t="str">
        <f>HYPERLINK("https://leetcode.com/problems/delete-and-earn", "Delete and Earn")</f>
        <v>Delete and Earn</v>
      </c>
      <c r="D741" s="7" t="s">
        <v>8</v>
      </c>
      <c r="E741" s="8" t="s">
        <v>373</v>
      </c>
      <c r="F741" s="9">
        <v>0.57</v>
      </c>
      <c r="G741" s="10"/>
      <c r="H741" s="1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4">
        <v>741.0</v>
      </c>
      <c r="B742" s="5"/>
      <c r="C742" s="6" t="str">
        <f>HYPERLINK("https://leetcode.com/problems/cherry-pickup", "Cherry Pickup")</f>
        <v>Cherry Pickup</v>
      </c>
      <c r="D742" s="7" t="s">
        <v>11</v>
      </c>
      <c r="E742" s="8" t="s">
        <v>47</v>
      </c>
      <c r="F742" s="9">
        <v>0.36</v>
      </c>
      <c r="G742" s="10"/>
      <c r="H742" s="1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1">
        <v>742.0</v>
      </c>
      <c r="B743" s="5"/>
      <c r="C743" s="12" t="str">
        <f>HYPERLINK("https://leetcode.com/problems/closest-leaf-in-a-binary-tree", "Closest Leaf in a Binary Tree")</f>
        <v>Closest Leaf in a Binary Tree</v>
      </c>
      <c r="D743" s="7" t="s">
        <v>8</v>
      </c>
      <c r="E743" s="8" t="s">
        <v>64</v>
      </c>
      <c r="F743" s="9">
        <v>0.45</v>
      </c>
      <c r="G743" s="10"/>
      <c r="H743" s="1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4">
        <v>743.0</v>
      </c>
      <c r="B744" s="5"/>
      <c r="C744" s="6" t="str">
        <f>HYPERLINK("https://leetcode.com/problems/network-delay-time", "Network Delay Time")</f>
        <v>Network Delay Time</v>
      </c>
      <c r="D744" s="7" t="s">
        <v>8</v>
      </c>
      <c r="E744" s="8" t="s">
        <v>291</v>
      </c>
      <c r="F744" s="9">
        <v>0.51</v>
      </c>
      <c r="G744" s="10"/>
      <c r="H744" s="1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4">
        <v>744.0</v>
      </c>
      <c r="B745" s="5"/>
      <c r="C745" s="6" t="str">
        <f>HYPERLINK("https://leetcode.com/problems/find-smallest-letter-greater-than-target", "Find Smallest Letter Greater Than Target")</f>
        <v>Find Smallest Letter Greater Than Target</v>
      </c>
      <c r="D745" s="7" t="s">
        <v>6</v>
      </c>
      <c r="E745" s="8" t="s">
        <v>30</v>
      </c>
      <c r="F745" s="9">
        <v>0.44</v>
      </c>
      <c r="G745" s="10"/>
      <c r="H745" s="1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4">
        <v>745.0</v>
      </c>
      <c r="B746" s="5"/>
      <c r="C746" s="6" t="str">
        <f>HYPERLINK("https://leetcode.com/problems/prefix-and-suffix-search", "Prefix and Suffix Search")</f>
        <v>Prefix and Suffix Search</v>
      </c>
      <c r="D746" s="7" t="s">
        <v>11</v>
      </c>
      <c r="E746" s="8" t="s">
        <v>112</v>
      </c>
      <c r="F746" s="9">
        <v>0.41</v>
      </c>
      <c r="G746" s="10"/>
      <c r="H746" s="1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4">
        <v>746.0</v>
      </c>
      <c r="B747" s="5"/>
      <c r="C747" s="6" t="str">
        <f>HYPERLINK("https://leetcode.com/problems/min-cost-climbing-stairs", "Min Cost Climbing Stairs")</f>
        <v>Min Cost Climbing Stairs</v>
      </c>
      <c r="D747" s="7" t="s">
        <v>6</v>
      </c>
      <c r="E747" s="8" t="s">
        <v>73</v>
      </c>
      <c r="F747" s="9">
        <v>0.62</v>
      </c>
      <c r="G747" s="10"/>
      <c r="H747" s="1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4">
        <v>747.0</v>
      </c>
      <c r="B748" s="5"/>
      <c r="C748" s="6" t="str">
        <f>HYPERLINK("https://leetcode.com/problems/largest-number-at-least-twice-of-others", "Largest Number At Least Twice of Others")</f>
        <v>Largest Number At Least Twice of Others</v>
      </c>
      <c r="D748" s="7" t="s">
        <v>6</v>
      </c>
      <c r="E748" s="8" t="s">
        <v>44</v>
      </c>
      <c r="F748" s="9">
        <v>0.46</v>
      </c>
      <c r="G748" s="10"/>
      <c r="H748" s="1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4">
        <v>748.0</v>
      </c>
      <c r="B749" s="5"/>
      <c r="C749" s="6" t="str">
        <f>HYPERLINK("https://leetcode.com/problems/shortest-completing-word", "Shortest Completing Word")</f>
        <v>Shortest Completing Word</v>
      </c>
      <c r="D749" s="7" t="s">
        <v>6</v>
      </c>
      <c r="E749" s="8" t="s">
        <v>139</v>
      </c>
      <c r="F749" s="9">
        <v>0.59</v>
      </c>
      <c r="G749" s="10"/>
      <c r="H749" s="1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4">
        <v>749.0</v>
      </c>
      <c r="B750" s="5"/>
      <c r="C750" s="6" t="str">
        <f>HYPERLINK("https://leetcode.com/problems/contain-virus", "Contain Virus")</f>
        <v>Contain Virus</v>
      </c>
      <c r="D750" s="7" t="s">
        <v>11</v>
      </c>
      <c r="E750" s="8" t="s">
        <v>374</v>
      </c>
      <c r="F750" s="9">
        <v>0.5</v>
      </c>
      <c r="G750" s="10"/>
      <c r="H750" s="1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1">
        <v>750.0</v>
      </c>
      <c r="B751" s="5"/>
      <c r="C751" s="12" t="str">
        <f>HYPERLINK("https://leetcode.com/problems/number-of-corner-rectangles", "Number Of Corner Rectangles")</f>
        <v>Number Of Corner Rectangles</v>
      </c>
      <c r="D751" s="7" t="s">
        <v>8</v>
      </c>
      <c r="E751" s="8" t="s">
        <v>375</v>
      </c>
      <c r="F751" s="9">
        <v>0.67</v>
      </c>
      <c r="G751" s="10"/>
      <c r="H751" s="1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1">
        <v>751.0</v>
      </c>
      <c r="B752" s="5"/>
      <c r="C752" s="12" t="str">
        <f>HYPERLINK("https://leetcode.com/problems/ip-to-cidr", "IP to CIDR")</f>
        <v>IP to CIDR</v>
      </c>
      <c r="D752" s="7" t="s">
        <v>8</v>
      </c>
      <c r="E752" s="8" t="s">
        <v>376</v>
      </c>
      <c r="F752" s="9">
        <v>0.54</v>
      </c>
      <c r="G752" s="10"/>
      <c r="H752" s="1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4">
        <v>752.0</v>
      </c>
      <c r="B753" s="5"/>
      <c r="C753" s="6" t="str">
        <f>HYPERLINK("https://leetcode.com/problems/open-the-lock", "Open the Lock")</f>
        <v>Open the Lock</v>
      </c>
      <c r="D753" s="7" t="s">
        <v>8</v>
      </c>
      <c r="E753" s="8" t="s">
        <v>377</v>
      </c>
      <c r="F753" s="9">
        <v>0.55</v>
      </c>
      <c r="G753" s="10"/>
      <c r="H753" s="1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4">
        <v>753.0</v>
      </c>
      <c r="B754" s="5"/>
      <c r="C754" s="6" t="str">
        <f>HYPERLINK("https://leetcode.com/problems/cracking-the-safe", "Cracking the Safe")</f>
        <v>Cracking the Safe</v>
      </c>
      <c r="D754" s="7" t="s">
        <v>11</v>
      </c>
      <c r="E754" s="8" t="s">
        <v>194</v>
      </c>
      <c r="F754" s="9">
        <v>0.55</v>
      </c>
      <c r="G754" s="10"/>
      <c r="H754" s="1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4">
        <v>754.0</v>
      </c>
      <c r="B755" s="5"/>
      <c r="C755" s="6" t="str">
        <f>HYPERLINK("https://leetcode.com/problems/reach-a-number", "Reach a Number")</f>
        <v>Reach a Number</v>
      </c>
      <c r="D755" s="7" t="s">
        <v>8</v>
      </c>
      <c r="E755" s="8" t="s">
        <v>51</v>
      </c>
      <c r="F755" s="9">
        <v>0.42</v>
      </c>
      <c r="G755" s="10"/>
      <c r="H755" s="1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1">
        <v>755.0</v>
      </c>
      <c r="B756" s="5"/>
      <c r="C756" s="12" t="str">
        <f>HYPERLINK("https://leetcode.com/problems/pour-water", "Pour Water")</f>
        <v>Pour Water</v>
      </c>
      <c r="D756" s="7" t="s">
        <v>8</v>
      </c>
      <c r="E756" s="8" t="s">
        <v>288</v>
      </c>
      <c r="F756" s="9">
        <v>0.46</v>
      </c>
      <c r="G756" s="10"/>
      <c r="H756" s="1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4">
        <v>756.0</v>
      </c>
      <c r="B757" s="5"/>
      <c r="C757" s="6" t="str">
        <f>HYPERLINK("https://leetcode.com/problems/pyramid-transition-matrix", "Pyramid Transition Matrix")</f>
        <v>Pyramid Transition Matrix</v>
      </c>
      <c r="D757" s="7" t="s">
        <v>8</v>
      </c>
      <c r="E757" s="8" t="s">
        <v>378</v>
      </c>
      <c r="F757" s="9">
        <v>0.52</v>
      </c>
      <c r="G757" s="10"/>
      <c r="H757" s="1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4">
        <v>757.0</v>
      </c>
      <c r="B758" s="5"/>
      <c r="C758" s="6" t="str">
        <f>HYPERLINK("https://leetcode.com/problems/set-intersection-size-at-least-two", "Set Intersection Size At Least Two")</f>
        <v>Set Intersection Size At Least Two</v>
      </c>
      <c r="D758" s="7" t="s">
        <v>11</v>
      </c>
      <c r="E758" s="8" t="s">
        <v>160</v>
      </c>
      <c r="F758" s="9">
        <v>0.43</v>
      </c>
      <c r="G758" s="10"/>
      <c r="H758" s="1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1">
        <v>758.0</v>
      </c>
      <c r="B759" s="5"/>
      <c r="C759" s="12" t="str">
        <f>HYPERLINK("https://leetcode.com/problems/bold-words-in-string", "Bold Words in String")</f>
        <v>Bold Words in String</v>
      </c>
      <c r="D759" s="7" t="s">
        <v>8</v>
      </c>
      <c r="E759" s="8" t="s">
        <v>322</v>
      </c>
      <c r="F759" s="9">
        <v>0.5</v>
      </c>
      <c r="G759" s="10"/>
      <c r="H759" s="1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1">
        <v>759.0</v>
      </c>
      <c r="B760" s="5"/>
      <c r="C760" s="12" t="str">
        <f>HYPERLINK("https://leetcode.com/problems/employee-free-time", "Employee Free Time")</f>
        <v>Employee Free Time</v>
      </c>
      <c r="D760" s="7" t="s">
        <v>11</v>
      </c>
      <c r="E760" s="8" t="s">
        <v>293</v>
      </c>
      <c r="F760" s="9">
        <v>0.71</v>
      </c>
      <c r="G760" s="10"/>
      <c r="H760" s="1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1">
        <v>760.0</v>
      </c>
      <c r="B761" s="5"/>
      <c r="C761" s="12" t="str">
        <f>HYPERLINK("https://leetcode.com/problems/find-anagram-mappings", "Find Anagram Mappings")</f>
        <v>Find Anagram Mappings</v>
      </c>
      <c r="D761" s="7" t="s">
        <v>6</v>
      </c>
      <c r="E761" s="8" t="s">
        <v>7</v>
      </c>
      <c r="F761" s="9">
        <v>0.82</v>
      </c>
      <c r="G761" s="10"/>
      <c r="H761" s="1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4">
        <v>761.0</v>
      </c>
      <c r="B762" s="5"/>
      <c r="C762" s="6" t="str">
        <f>HYPERLINK("https://leetcode.com/problems/special-binary-string", "Special Binary String")</f>
        <v>Special Binary String</v>
      </c>
      <c r="D762" s="7" t="s">
        <v>11</v>
      </c>
      <c r="E762" s="8" t="s">
        <v>379</v>
      </c>
      <c r="F762" s="9">
        <v>0.6</v>
      </c>
      <c r="G762" s="10"/>
      <c r="H762" s="1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4">
        <v>762.0</v>
      </c>
      <c r="B763" s="5"/>
      <c r="C763" s="6" t="str">
        <f>HYPERLINK("https://leetcode.com/problems/prime-number-of-set-bits-in-binary-representation", "Prime Number of Set Bits in Binary Representation")</f>
        <v>Prime Number of Set Bits in Binary Representation</v>
      </c>
      <c r="D763" s="7" t="s">
        <v>6</v>
      </c>
      <c r="E763" s="8" t="s">
        <v>28</v>
      </c>
      <c r="F763" s="9">
        <v>0.67</v>
      </c>
      <c r="G763" s="10"/>
      <c r="H763" s="1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4">
        <v>763.0</v>
      </c>
      <c r="B764" s="5"/>
      <c r="C764" s="6" t="str">
        <f>HYPERLINK("https://leetcode.com/problems/partition-labels", "Partition Labels")</f>
        <v>Partition Labels</v>
      </c>
      <c r="D764" s="7" t="s">
        <v>8</v>
      </c>
      <c r="E764" s="8" t="s">
        <v>380</v>
      </c>
      <c r="F764" s="9">
        <v>0.79</v>
      </c>
      <c r="G764" s="10"/>
      <c r="H764" s="1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4">
        <v>764.0</v>
      </c>
      <c r="B765" s="5"/>
      <c r="C765" s="6" t="str">
        <f>HYPERLINK("https://leetcode.com/problems/largest-plus-sign", "Largest Plus Sign")</f>
        <v>Largest Plus Sign</v>
      </c>
      <c r="D765" s="7" t="s">
        <v>8</v>
      </c>
      <c r="E765" s="8" t="s">
        <v>73</v>
      </c>
      <c r="F765" s="9">
        <v>0.48</v>
      </c>
      <c r="G765" s="10"/>
      <c r="H765" s="1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4">
        <v>765.0</v>
      </c>
      <c r="B766" s="5"/>
      <c r="C766" s="6" t="str">
        <f>HYPERLINK("https://leetcode.com/problems/couples-holding-hands", "Couples Holding Hands")</f>
        <v>Couples Holding Hands</v>
      </c>
      <c r="D766" s="7" t="s">
        <v>11</v>
      </c>
      <c r="E766" s="8" t="s">
        <v>381</v>
      </c>
      <c r="F766" s="9">
        <v>0.56</v>
      </c>
      <c r="G766" s="10"/>
      <c r="H766" s="1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4">
        <v>766.0</v>
      </c>
      <c r="B767" s="5"/>
      <c r="C767" s="6" t="str">
        <f>HYPERLINK("https://leetcode.com/problems/toeplitz-matrix", "Toeplitz Matrix")</f>
        <v>Toeplitz Matrix</v>
      </c>
      <c r="D767" s="7" t="s">
        <v>6</v>
      </c>
      <c r="E767" s="8" t="s">
        <v>251</v>
      </c>
      <c r="F767" s="9">
        <v>0.68</v>
      </c>
      <c r="G767" s="10"/>
      <c r="H767" s="1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4">
        <v>767.0</v>
      </c>
      <c r="B768" s="5"/>
      <c r="C768" s="6" t="str">
        <f>HYPERLINK("https://leetcode.com/problems/reorganize-string", "Reorganize String")</f>
        <v>Reorganize String</v>
      </c>
      <c r="D768" s="7" t="s">
        <v>8</v>
      </c>
      <c r="E768" s="8" t="s">
        <v>213</v>
      </c>
      <c r="F768" s="9">
        <v>0.52</v>
      </c>
      <c r="G768" s="10"/>
      <c r="H768" s="1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4">
        <v>768.0</v>
      </c>
      <c r="B769" s="5"/>
      <c r="C769" s="6" t="str">
        <f>HYPERLINK("https://leetcode.com/problems/max-chunks-to-make-sorted-ii", "Max Chunks To Make Sorted II")</f>
        <v>Max Chunks To Make Sorted II</v>
      </c>
      <c r="D769" s="7" t="s">
        <v>11</v>
      </c>
      <c r="E769" s="8" t="s">
        <v>382</v>
      </c>
      <c r="F769" s="9">
        <v>0.52</v>
      </c>
      <c r="G769" s="10"/>
      <c r="H769" s="1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4">
        <v>769.0</v>
      </c>
      <c r="B770" s="5"/>
      <c r="C770" s="6" t="str">
        <f>HYPERLINK("https://leetcode.com/problems/max-chunks-to-make-sorted", "Max Chunks To Make Sorted")</f>
        <v>Max Chunks To Make Sorted</v>
      </c>
      <c r="D770" s="7" t="s">
        <v>8</v>
      </c>
      <c r="E770" s="8" t="s">
        <v>382</v>
      </c>
      <c r="F770" s="9">
        <v>0.58</v>
      </c>
      <c r="G770" s="10"/>
      <c r="H770" s="1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4">
        <v>770.0</v>
      </c>
      <c r="B771" s="5"/>
      <c r="C771" s="6" t="str">
        <f>HYPERLINK("https://leetcode.com/problems/basic-calculator-iv", "Basic Calculator IV")</f>
        <v>Basic Calculator IV</v>
      </c>
      <c r="D771" s="7" t="s">
        <v>11</v>
      </c>
      <c r="E771" s="8" t="s">
        <v>383</v>
      </c>
      <c r="F771" s="9">
        <v>0.56</v>
      </c>
      <c r="G771" s="10"/>
      <c r="H771" s="1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4">
        <v>771.0</v>
      </c>
      <c r="B772" s="5"/>
      <c r="C772" s="6" t="str">
        <f>HYPERLINK("https://leetcode.com/problems/jewels-and-stones", "Jewels and Stones")</f>
        <v>Jewels and Stones</v>
      </c>
      <c r="D772" s="7" t="s">
        <v>6</v>
      </c>
      <c r="E772" s="8" t="s">
        <v>110</v>
      </c>
      <c r="F772" s="9">
        <v>0.88</v>
      </c>
      <c r="G772" s="10"/>
      <c r="H772" s="1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1">
        <v>772.0</v>
      </c>
      <c r="B773" s="5"/>
      <c r="C773" s="12" t="str">
        <f>HYPERLINK("https://leetcode.com/problems/basic-calculator-iii", "Basic Calculator III")</f>
        <v>Basic Calculator III</v>
      </c>
      <c r="D773" s="7" t="s">
        <v>11</v>
      </c>
      <c r="E773" s="8" t="s">
        <v>124</v>
      </c>
      <c r="F773" s="9">
        <v>0.48</v>
      </c>
      <c r="G773" s="10"/>
      <c r="H773" s="1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4">
        <v>773.0</v>
      </c>
      <c r="B774" s="5"/>
      <c r="C774" s="6" t="str">
        <f>HYPERLINK("https://leetcode.com/problems/sliding-puzzle", "Sliding Puzzle")</f>
        <v>Sliding Puzzle</v>
      </c>
      <c r="D774" s="7" t="s">
        <v>11</v>
      </c>
      <c r="E774" s="8" t="s">
        <v>164</v>
      </c>
      <c r="F774" s="9">
        <v>0.64</v>
      </c>
      <c r="G774" s="10"/>
      <c r="H774" s="1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1">
        <v>774.0</v>
      </c>
      <c r="B775" s="5"/>
      <c r="C775" s="12" t="str">
        <f>HYPERLINK("https://leetcode.com/problems/minimize-max-distance-to-gas-station", "Minimize Max Distance to Gas Station")</f>
        <v>Minimize Max Distance to Gas Station</v>
      </c>
      <c r="D775" s="7" t="s">
        <v>11</v>
      </c>
      <c r="E775" s="8" t="s">
        <v>30</v>
      </c>
      <c r="F775" s="9">
        <v>0.51</v>
      </c>
      <c r="G775" s="10"/>
      <c r="H775" s="1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4">
        <v>775.0</v>
      </c>
      <c r="B776" s="5"/>
      <c r="C776" s="6" t="str">
        <f>HYPERLINK("https://leetcode.com/problems/global-and-local-inversions", "Global and Local Inversions")</f>
        <v>Global and Local Inversions</v>
      </c>
      <c r="D776" s="7" t="s">
        <v>8</v>
      </c>
      <c r="E776" s="8" t="s">
        <v>48</v>
      </c>
      <c r="F776" s="9">
        <v>0.43</v>
      </c>
      <c r="G776" s="10"/>
      <c r="H776" s="1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1">
        <v>776.0</v>
      </c>
      <c r="B777" s="5"/>
      <c r="C777" s="12" t="str">
        <f>HYPERLINK("https://leetcode.com/problems/split-bst", "Split BST")</f>
        <v>Split BST</v>
      </c>
      <c r="D777" s="7" t="s">
        <v>8</v>
      </c>
      <c r="E777" s="8" t="s">
        <v>384</v>
      </c>
      <c r="F777" s="9">
        <v>0.58</v>
      </c>
      <c r="G777" s="10"/>
      <c r="H777" s="1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4">
        <v>777.0</v>
      </c>
      <c r="B778" s="5"/>
      <c r="C778" s="6" t="str">
        <f>HYPERLINK("https://leetcode.com/problems/swap-adjacent-in-lr-string", "Swap Adjacent in LR String")</f>
        <v>Swap Adjacent in LR String</v>
      </c>
      <c r="D778" s="7" t="s">
        <v>8</v>
      </c>
      <c r="E778" s="8" t="s">
        <v>75</v>
      </c>
      <c r="F778" s="9">
        <v>0.37</v>
      </c>
      <c r="G778" s="10"/>
      <c r="H778" s="1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4">
        <v>778.0</v>
      </c>
      <c r="B779" s="5"/>
      <c r="C779" s="6" t="str">
        <f>HYPERLINK("https://leetcode.com/problems/swim-in-rising-water", "Swim in Rising Water")</f>
        <v>Swim in Rising Water</v>
      </c>
      <c r="D779" s="7" t="s">
        <v>11</v>
      </c>
      <c r="E779" s="8" t="s">
        <v>385</v>
      </c>
      <c r="F779" s="9">
        <v>0.59</v>
      </c>
      <c r="G779" s="10"/>
      <c r="H779" s="1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4">
        <v>779.0</v>
      </c>
      <c r="B780" s="5"/>
      <c r="C780" s="6" t="str">
        <f>HYPERLINK("https://leetcode.com/problems/k-th-symbol-in-grammar", "K-th Symbol in Grammar")</f>
        <v>K-th Symbol in Grammar</v>
      </c>
      <c r="D780" s="7" t="s">
        <v>8</v>
      </c>
      <c r="E780" s="8" t="s">
        <v>128</v>
      </c>
      <c r="F780" s="9">
        <v>0.4</v>
      </c>
      <c r="G780" s="10"/>
      <c r="H780" s="1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4">
        <v>780.0</v>
      </c>
      <c r="B781" s="5"/>
      <c r="C781" s="6" t="str">
        <f>HYPERLINK("https://leetcode.com/problems/reaching-points", "Reaching Points")</f>
        <v>Reaching Points</v>
      </c>
      <c r="D781" s="7" t="s">
        <v>11</v>
      </c>
      <c r="E781" s="8" t="s">
        <v>15</v>
      </c>
      <c r="F781" s="9">
        <v>0.32</v>
      </c>
      <c r="G781" s="10"/>
      <c r="H781" s="1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4">
        <v>781.0</v>
      </c>
      <c r="B782" s="5"/>
      <c r="C782" s="6" t="str">
        <f>HYPERLINK("https://leetcode.com/problems/rabbits-in-forest", "Rabbits in Forest")</f>
        <v>Rabbits in Forest</v>
      </c>
      <c r="D782" s="7" t="s">
        <v>8</v>
      </c>
      <c r="E782" s="8" t="s">
        <v>386</v>
      </c>
      <c r="F782" s="9">
        <v>0.55</v>
      </c>
      <c r="G782" s="10"/>
      <c r="H782" s="1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4">
        <v>782.0</v>
      </c>
      <c r="B783" s="5"/>
      <c r="C783" s="6" t="str">
        <f>HYPERLINK("https://leetcode.com/problems/transform-to-chessboard", "Transform to Chessboard")</f>
        <v>Transform to Chessboard</v>
      </c>
      <c r="D783" s="7" t="s">
        <v>11</v>
      </c>
      <c r="E783" s="8" t="s">
        <v>387</v>
      </c>
      <c r="F783" s="9">
        <v>0.51</v>
      </c>
      <c r="G783" s="10"/>
      <c r="H783" s="1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4">
        <v>783.0</v>
      </c>
      <c r="B784" s="5"/>
      <c r="C784" s="6" t="str">
        <f>HYPERLINK("https://leetcode.com/problems/minimum-distance-between-bst-nodes", "Minimum Distance Between BST Nodes")</f>
        <v>Minimum Distance Between BST Nodes</v>
      </c>
      <c r="D784" s="7" t="s">
        <v>6</v>
      </c>
      <c r="E784" s="8" t="s">
        <v>302</v>
      </c>
      <c r="F784" s="9">
        <v>0.56</v>
      </c>
      <c r="G784" s="10"/>
      <c r="H784" s="1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4">
        <v>784.0</v>
      </c>
      <c r="B785" s="5"/>
      <c r="C785" s="6" t="str">
        <f>HYPERLINK("https://leetcode.com/problems/letter-case-permutation", "Letter Case Permutation")</f>
        <v>Letter Case Permutation</v>
      </c>
      <c r="D785" s="7" t="s">
        <v>8</v>
      </c>
      <c r="E785" s="8" t="s">
        <v>187</v>
      </c>
      <c r="F785" s="9">
        <v>0.73</v>
      </c>
      <c r="G785" s="10"/>
      <c r="H785" s="1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4">
        <v>785.0</v>
      </c>
      <c r="B786" s="5"/>
      <c r="C786" s="6" t="str">
        <f>HYPERLINK("https://leetcode.com/problems/is-graph-bipartite", "Is Graph Bipartite?")</f>
        <v>Is Graph Bipartite?</v>
      </c>
      <c r="D786" s="7" t="s">
        <v>8</v>
      </c>
      <c r="E786" s="8" t="s">
        <v>146</v>
      </c>
      <c r="F786" s="9">
        <v>0.52</v>
      </c>
      <c r="G786" s="10"/>
      <c r="H786" s="1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4">
        <v>786.0</v>
      </c>
      <c r="B787" s="5"/>
      <c r="C787" s="6" t="str">
        <f>HYPERLINK("https://leetcode.com/problems/k-th-smallest-prime-fraction", "K-th Smallest Prime Fraction")</f>
        <v>K-th Smallest Prime Fraction</v>
      </c>
      <c r="D787" s="7" t="s">
        <v>8</v>
      </c>
      <c r="E787" s="8" t="s">
        <v>388</v>
      </c>
      <c r="F787" s="9">
        <v>0.5</v>
      </c>
      <c r="G787" s="10"/>
      <c r="H787" s="1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4">
        <v>787.0</v>
      </c>
      <c r="B788" s="5"/>
      <c r="C788" s="6" t="str">
        <f>HYPERLINK("https://leetcode.com/problems/cheapest-flights-within-k-stops", "Cheapest Flights Within K Stops")</f>
        <v>Cheapest Flights Within K Stops</v>
      </c>
      <c r="D788" s="7" t="s">
        <v>8</v>
      </c>
      <c r="E788" s="8" t="s">
        <v>389</v>
      </c>
      <c r="F788" s="9">
        <v>0.35</v>
      </c>
      <c r="G788" s="10"/>
      <c r="H788" s="1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4">
        <v>788.0</v>
      </c>
      <c r="B789" s="5"/>
      <c r="C789" s="6" t="str">
        <f>HYPERLINK("https://leetcode.com/problems/rotated-digits", "Rotated Digits")</f>
        <v>Rotated Digits</v>
      </c>
      <c r="D789" s="7" t="s">
        <v>8</v>
      </c>
      <c r="E789" s="8" t="s">
        <v>201</v>
      </c>
      <c r="F789" s="9">
        <v>0.56</v>
      </c>
      <c r="G789" s="10"/>
      <c r="H789" s="1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4">
        <v>789.0</v>
      </c>
      <c r="B790" s="5"/>
      <c r="C790" s="6" t="str">
        <f>HYPERLINK("https://leetcode.com/problems/escape-the-ghosts", "Escape The Ghosts")</f>
        <v>Escape The Ghosts</v>
      </c>
      <c r="D790" s="7" t="s">
        <v>8</v>
      </c>
      <c r="E790" s="8" t="s">
        <v>48</v>
      </c>
      <c r="F790" s="9">
        <v>0.6</v>
      </c>
      <c r="G790" s="10"/>
      <c r="H790" s="1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4">
        <v>790.0</v>
      </c>
      <c r="B791" s="5"/>
      <c r="C791" s="6" t="str">
        <f>HYPERLINK("https://leetcode.com/problems/domino-and-tromino-tiling", "Domino and Tromino Tiling")</f>
        <v>Domino and Tromino Tiling</v>
      </c>
      <c r="D791" s="7" t="s">
        <v>8</v>
      </c>
      <c r="E791" s="8" t="s">
        <v>156</v>
      </c>
      <c r="F791" s="9">
        <v>0.48</v>
      </c>
      <c r="G791" s="10"/>
      <c r="H791" s="1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4">
        <v>791.0</v>
      </c>
      <c r="B792" s="5"/>
      <c r="C792" s="6" t="str">
        <f>HYPERLINK("https://leetcode.com/problems/custom-sort-string", "Custom Sort String")</f>
        <v>Custom Sort String</v>
      </c>
      <c r="D792" s="7" t="s">
        <v>8</v>
      </c>
      <c r="E792" s="8" t="s">
        <v>134</v>
      </c>
      <c r="F792" s="9">
        <v>0.69</v>
      </c>
      <c r="G792" s="10"/>
      <c r="H792" s="1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4">
        <v>792.0</v>
      </c>
      <c r="B793" s="5"/>
      <c r="C793" s="6" t="str">
        <f>HYPERLINK("https://leetcode.com/problems/number-of-matching-subsequences", "Number of Matching Subsequences")</f>
        <v>Number of Matching Subsequences</v>
      </c>
      <c r="D793" s="7" t="s">
        <v>8</v>
      </c>
      <c r="E793" s="8" t="s">
        <v>390</v>
      </c>
      <c r="F793" s="9">
        <v>0.51</v>
      </c>
      <c r="G793" s="10"/>
      <c r="H793" s="1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4">
        <v>793.0</v>
      </c>
      <c r="B794" s="5"/>
      <c r="C794" s="6" t="str">
        <f>HYPERLINK("https://leetcode.com/problems/preimage-size-of-factorial-zeroes-function", "Preimage Size of Factorial Zeroes Function")</f>
        <v>Preimage Size of Factorial Zeroes Function</v>
      </c>
      <c r="D794" s="7" t="s">
        <v>11</v>
      </c>
      <c r="E794" s="8" t="s">
        <v>51</v>
      </c>
      <c r="F794" s="9">
        <v>0.42</v>
      </c>
      <c r="G794" s="10"/>
      <c r="H794" s="1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4">
        <v>794.0</v>
      </c>
      <c r="B795" s="5"/>
      <c r="C795" s="6" t="str">
        <f>HYPERLINK("https://leetcode.com/problems/valid-tic-tac-toe-state", "Valid Tic-Tac-Toe State")</f>
        <v>Valid Tic-Tac-Toe State</v>
      </c>
      <c r="D795" s="7" t="s">
        <v>8</v>
      </c>
      <c r="E795" s="8" t="s">
        <v>135</v>
      </c>
      <c r="F795" s="9">
        <v>0.35</v>
      </c>
      <c r="G795" s="10"/>
      <c r="H795" s="1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4">
        <v>795.0</v>
      </c>
      <c r="B796" s="5"/>
      <c r="C796" s="6" t="str">
        <f>HYPERLINK("https://leetcode.com/problems/number-of-subarrays-with-bounded-maximum", "Number of Subarrays with Bounded Maximum")</f>
        <v>Number of Subarrays with Bounded Maximum</v>
      </c>
      <c r="D796" s="7" t="s">
        <v>8</v>
      </c>
      <c r="E796" s="8" t="s">
        <v>26</v>
      </c>
      <c r="F796" s="9">
        <v>0.52</v>
      </c>
      <c r="G796" s="10"/>
      <c r="H796" s="1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4">
        <v>796.0</v>
      </c>
      <c r="B797" s="5"/>
      <c r="C797" s="6" t="str">
        <f>HYPERLINK("https://leetcode.com/problems/rotate-string", "Rotate String")</f>
        <v>Rotate String</v>
      </c>
      <c r="D797" s="7" t="s">
        <v>6</v>
      </c>
      <c r="E797" s="8" t="s">
        <v>270</v>
      </c>
      <c r="F797" s="9">
        <v>0.54</v>
      </c>
      <c r="G797" s="10"/>
      <c r="H797" s="1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4">
        <v>797.0</v>
      </c>
      <c r="B798" s="5"/>
      <c r="C798" s="6" t="str">
        <f>HYPERLINK("https://leetcode.com/problems/all-paths-from-source-to-target", "All Paths From Source to Target")</f>
        <v>All Paths From Source to Target</v>
      </c>
      <c r="D798" s="7" t="s">
        <v>8</v>
      </c>
      <c r="E798" s="8" t="s">
        <v>391</v>
      </c>
      <c r="F798" s="9">
        <v>0.81</v>
      </c>
      <c r="G798" s="10"/>
      <c r="H798" s="1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4">
        <v>798.0</v>
      </c>
      <c r="B799" s="5"/>
      <c r="C799" s="6" t="str">
        <f>HYPERLINK("https://leetcode.com/problems/smallest-rotation-with-highest-score", "Smallest Rotation with Highest Score")</f>
        <v>Smallest Rotation with Highest Score</v>
      </c>
      <c r="D799" s="7" t="s">
        <v>11</v>
      </c>
      <c r="E799" s="8" t="s">
        <v>130</v>
      </c>
      <c r="F799" s="9">
        <v>0.49</v>
      </c>
      <c r="G799" s="10"/>
      <c r="H799" s="1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4">
        <v>799.0</v>
      </c>
      <c r="B800" s="5"/>
      <c r="C800" s="6" t="str">
        <f>HYPERLINK("https://leetcode.com/problems/champagne-tower", "Champagne Tower")</f>
        <v>Champagne Tower</v>
      </c>
      <c r="D800" s="7" t="s">
        <v>8</v>
      </c>
      <c r="E800" s="8" t="s">
        <v>156</v>
      </c>
      <c r="F800" s="9">
        <v>0.51</v>
      </c>
      <c r="G800" s="10"/>
      <c r="H800" s="1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1">
        <v>800.0</v>
      </c>
      <c r="B801" s="5"/>
      <c r="C801" s="12" t="str">
        <f>HYPERLINK("https://leetcode.com/problems/similar-rgb-color", "Similar RGB Color")</f>
        <v>Similar RGB Color</v>
      </c>
      <c r="D801" s="7" t="s">
        <v>6</v>
      </c>
      <c r="E801" s="8" t="s">
        <v>392</v>
      </c>
      <c r="F801" s="9">
        <v>0.66</v>
      </c>
      <c r="G801" s="10"/>
      <c r="H801" s="1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4">
        <v>801.0</v>
      </c>
      <c r="B802" s="5"/>
      <c r="C802" s="6" t="str">
        <f>HYPERLINK("https://leetcode.com/problems/minimum-swaps-to-make-sequences-increasing", "Minimum Swaps To Make Sequences Increasing")</f>
        <v>Minimum Swaps To Make Sequences Increasing</v>
      </c>
      <c r="D802" s="7" t="s">
        <v>11</v>
      </c>
      <c r="E802" s="8" t="s">
        <v>73</v>
      </c>
      <c r="F802" s="9">
        <v>0.39</v>
      </c>
      <c r="G802" s="10"/>
      <c r="H802" s="1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4">
        <v>802.0</v>
      </c>
      <c r="B803" s="5"/>
      <c r="C803" s="6" t="str">
        <f>HYPERLINK("https://leetcode.com/problems/find-eventual-safe-states", "Find Eventual Safe States")</f>
        <v>Find Eventual Safe States</v>
      </c>
      <c r="D803" s="7" t="s">
        <v>8</v>
      </c>
      <c r="E803" s="8" t="s">
        <v>111</v>
      </c>
      <c r="F803" s="9">
        <v>0.55</v>
      </c>
      <c r="G803" s="10"/>
      <c r="H803" s="1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4">
        <v>803.0</v>
      </c>
      <c r="B804" s="5"/>
      <c r="C804" s="6" t="str">
        <f>HYPERLINK("https://leetcode.com/problems/bricks-falling-when-hit", "Bricks Falling When Hit")</f>
        <v>Bricks Falling When Hit</v>
      </c>
      <c r="D804" s="7" t="s">
        <v>11</v>
      </c>
      <c r="E804" s="8" t="s">
        <v>393</v>
      </c>
      <c r="F804" s="9">
        <v>0.34</v>
      </c>
      <c r="G804" s="10"/>
      <c r="H804" s="1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4">
        <v>804.0</v>
      </c>
      <c r="B805" s="5"/>
      <c r="C805" s="6" t="str">
        <f>HYPERLINK("https://leetcode.com/problems/unique-morse-code-words", "Unique Morse Code Words")</f>
        <v>Unique Morse Code Words</v>
      </c>
      <c r="D805" s="7" t="s">
        <v>6</v>
      </c>
      <c r="E805" s="8" t="s">
        <v>139</v>
      </c>
      <c r="F805" s="9">
        <v>0.82</v>
      </c>
      <c r="G805" s="10"/>
      <c r="H805" s="1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4">
        <v>805.0</v>
      </c>
      <c r="B806" s="5"/>
      <c r="C806" s="6" t="str">
        <f>HYPERLINK("https://leetcode.com/problems/split-array-with-same-average", "Split Array With Same Average")</f>
        <v>Split Array With Same Average</v>
      </c>
      <c r="D806" s="7" t="s">
        <v>11</v>
      </c>
      <c r="E806" s="8" t="s">
        <v>394</v>
      </c>
      <c r="F806" s="9">
        <v>0.25</v>
      </c>
      <c r="G806" s="10"/>
      <c r="H806" s="1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4">
        <v>806.0</v>
      </c>
      <c r="B807" s="5"/>
      <c r="C807" s="6" t="str">
        <f>HYPERLINK("https://leetcode.com/problems/number-of-lines-to-write-string", "Number of Lines To Write String")</f>
        <v>Number of Lines To Write String</v>
      </c>
      <c r="D807" s="7" t="s">
        <v>6</v>
      </c>
      <c r="E807" s="8" t="s">
        <v>135</v>
      </c>
      <c r="F807" s="9">
        <v>0.66</v>
      </c>
      <c r="G807" s="10"/>
      <c r="H807" s="1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4">
        <v>807.0</v>
      </c>
      <c r="B808" s="5"/>
      <c r="C808" s="6" t="str">
        <f>HYPERLINK("https://leetcode.com/problems/max-increase-to-keep-city-skyline", "Max Increase to Keep City Skyline")</f>
        <v>Max Increase to Keep City Skyline</v>
      </c>
      <c r="D808" s="7" t="s">
        <v>8</v>
      </c>
      <c r="E808" s="8" t="s">
        <v>395</v>
      </c>
      <c r="F808" s="9">
        <v>0.85</v>
      </c>
      <c r="G808" s="10"/>
      <c r="H808" s="1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4">
        <v>808.0</v>
      </c>
      <c r="B809" s="5"/>
      <c r="C809" s="6" t="str">
        <f>HYPERLINK("https://leetcode.com/problems/soup-servings", "Soup Servings")</f>
        <v>Soup Servings</v>
      </c>
      <c r="D809" s="7" t="s">
        <v>8</v>
      </c>
      <c r="E809" s="8" t="s">
        <v>396</v>
      </c>
      <c r="F809" s="9">
        <v>0.43</v>
      </c>
      <c r="G809" s="10"/>
      <c r="H809" s="1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4">
        <v>809.0</v>
      </c>
      <c r="B810" s="5"/>
      <c r="C810" s="6" t="str">
        <f>HYPERLINK("https://leetcode.com/problems/expressive-words", "Expressive Words")</f>
        <v>Expressive Words</v>
      </c>
      <c r="D810" s="7" t="s">
        <v>8</v>
      </c>
      <c r="E810" s="8" t="s">
        <v>397</v>
      </c>
      <c r="F810" s="9">
        <v>0.46</v>
      </c>
      <c r="G810" s="10"/>
      <c r="H810" s="1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4">
        <v>810.0</v>
      </c>
      <c r="B811" s="5"/>
      <c r="C811" s="6" t="str">
        <f>HYPERLINK("https://leetcode.com/problems/chalkboard-xor-game", "Chalkboard XOR Game")</f>
        <v>Chalkboard XOR Game</v>
      </c>
      <c r="D811" s="7" t="s">
        <v>11</v>
      </c>
      <c r="E811" s="8" t="s">
        <v>398</v>
      </c>
      <c r="F811" s="9">
        <v>0.55</v>
      </c>
      <c r="G811" s="10"/>
      <c r="H811" s="1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4">
        <v>811.0</v>
      </c>
      <c r="B812" s="5"/>
      <c r="C812" s="6" t="str">
        <f>HYPERLINK("https://leetcode.com/problems/subdomain-visit-count", "Subdomain Visit Count")</f>
        <v>Subdomain Visit Count</v>
      </c>
      <c r="D812" s="7" t="s">
        <v>8</v>
      </c>
      <c r="E812" s="8" t="s">
        <v>399</v>
      </c>
      <c r="F812" s="9">
        <v>0.75</v>
      </c>
      <c r="G812" s="10"/>
      <c r="H812" s="1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4">
        <v>812.0</v>
      </c>
      <c r="B813" s="5"/>
      <c r="C813" s="6" t="str">
        <f>HYPERLINK("https://leetcode.com/problems/largest-triangle-area", "Largest Triangle Area")</f>
        <v>Largest Triangle Area</v>
      </c>
      <c r="D813" s="7" t="s">
        <v>6</v>
      </c>
      <c r="E813" s="8" t="s">
        <v>196</v>
      </c>
      <c r="F813" s="9">
        <v>0.6</v>
      </c>
      <c r="G813" s="10"/>
      <c r="H813" s="1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4">
        <v>813.0</v>
      </c>
      <c r="B814" s="5"/>
      <c r="C814" s="6" t="str">
        <f>HYPERLINK("https://leetcode.com/problems/largest-sum-of-averages", "Largest Sum of Averages")</f>
        <v>Largest Sum of Averages</v>
      </c>
      <c r="D814" s="7" t="s">
        <v>8</v>
      </c>
      <c r="E814" s="8" t="s">
        <v>400</v>
      </c>
      <c r="F814" s="9">
        <v>0.53</v>
      </c>
      <c r="G814" s="10"/>
      <c r="H814" s="1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4">
        <v>814.0</v>
      </c>
      <c r="B815" s="5"/>
      <c r="C815" s="6" t="str">
        <f>HYPERLINK("https://leetcode.com/problems/binary-tree-pruning", "Binary Tree Pruning")</f>
        <v>Binary Tree Pruning</v>
      </c>
      <c r="D815" s="7" t="s">
        <v>8</v>
      </c>
      <c r="E815" s="8" t="s">
        <v>69</v>
      </c>
      <c r="F815" s="9">
        <v>0.72</v>
      </c>
      <c r="G815" s="10"/>
      <c r="H815" s="1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4">
        <v>815.0</v>
      </c>
      <c r="B816" s="5"/>
      <c r="C816" s="6" t="str">
        <f>HYPERLINK("https://leetcode.com/problems/bus-routes", "Bus Routes")</f>
        <v>Bus Routes</v>
      </c>
      <c r="D816" s="7" t="s">
        <v>11</v>
      </c>
      <c r="E816" s="8" t="s">
        <v>401</v>
      </c>
      <c r="F816" s="9">
        <v>0.45</v>
      </c>
      <c r="G816" s="10"/>
      <c r="H816" s="1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4">
        <v>816.0</v>
      </c>
      <c r="B817" s="5"/>
      <c r="C817" s="6" t="str">
        <f>HYPERLINK("https://leetcode.com/problems/ambiguous-coordinates", "Ambiguous Coordinates")</f>
        <v>Ambiguous Coordinates</v>
      </c>
      <c r="D817" s="7" t="s">
        <v>8</v>
      </c>
      <c r="E817" s="8" t="s">
        <v>59</v>
      </c>
      <c r="F817" s="9">
        <v>0.56</v>
      </c>
      <c r="G817" s="10"/>
      <c r="H817" s="1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4">
        <v>817.0</v>
      </c>
      <c r="B818" s="5"/>
      <c r="C818" s="6" t="str">
        <f>HYPERLINK("https://leetcode.com/problems/linked-list-components", "Linked List Components")</f>
        <v>Linked List Components</v>
      </c>
      <c r="D818" s="7" t="s">
        <v>8</v>
      </c>
      <c r="E818" s="8" t="s">
        <v>402</v>
      </c>
      <c r="F818" s="9">
        <v>0.58</v>
      </c>
      <c r="G818" s="10"/>
      <c r="H818" s="1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4">
        <v>818.0</v>
      </c>
      <c r="B819" s="5"/>
      <c r="C819" s="6" t="str">
        <f>HYPERLINK("https://leetcode.com/problems/race-car", "Race Car")</f>
        <v>Race Car</v>
      </c>
      <c r="D819" s="7" t="s">
        <v>11</v>
      </c>
      <c r="E819" s="8" t="s">
        <v>156</v>
      </c>
      <c r="F819" s="9">
        <v>0.43</v>
      </c>
      <c r="G819" s="10"/>
      <c r="H819" s="1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4">
        <v>819.0</v>
      </c>
      <c r="B820" s="5"/>
      <c r="C820" s="6" t="str">
        <f>HYPERLINK("https://leetcode.com/problems/most-common-word", "Most Common Word")</f>
        <v>Most Common Word</v>
      </c>
      <c r="D820" s="7" t="s">
        <v>6</v>
      </c>
      <c r="E820" s="8" t="s">
        <v>172</v>
      </c>
      <c r="F820" s="9">
        <v>0.44</v>
      </c>
      <c r="G820" s="10"/>
      <c r="H820" s="1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4">
        <v>820.0</v>
      </c>
      <c r="B821" s="5"/>
      <c r="C821" s="6" t="str">
        <f>HYPERLINK("https://leetcode.com/problems/short-encoding-of-words", "Short Encoding of Words")</f>
        <v>Short Encoding of Words</v>
      </c>
      <c r="D821" s="7" t="s">
        <v>8</v>
      </c>
      <c r="E821" s="8" t="s">
        <v>197</v>
      </c>
      <c r="F821" s="9">
        <v>0.6</v>
      </c>
      <c r="G821" s="10"/>
      <c r="H821" s="1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4">
        <v>821.0</v>
      </c>
      <c r="B822" s="5"/>
      <c r="C822" s="6" t="str">
        <f>HYPERLINK("https://leetcode.com/problems/shortest-distance-to-a-character", "Shortest Distance to a Character")</f>
        <v>Shortest Distance to a Character</v>
      </c>
      <c r="D822" s="7" t="s">
        <v>6</v>
      </c>
      <c r="E822" s="8" t="s">
        <v>397</v>
      </c>
      <c r="F822" s="9">
        <v>0.71</v>
      </c>
      <c r="G822" s="10"/>
      <c r="H822" s="1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4">
        <v>822.0</v>
      </c>
      <c r="B823" s="5"/>
      <c r="C823" s="6" t="str">
        <f>HYPERLINK("https://leetcode.com/problems/card-flipping-game", "Card Flipping Game")</f>
        <v>Card Flipping Game</v>
      </c>
      <c r="D823" s="7" t="s">
        <v>8</v>
      </c>
      <c r="E823" s="8" t="s">
        <v>7</v>
      </c>
      <c r="F823" s="9">
        <v>0.45</v>
      </c>
      <c r="G823" s="10"/>
      <c r="H823" s="1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4">
        <v>823.0</v>
      </c>
      <c r="B824" s="5"/>
      <c r="C824" s="6" t="str">
        <f>HYPERLINK("https://leetcode.com/problems/binary-trees-with-factors", "Binary Trees With Factors")</f>
        <v>Binary Trees With Factors</v>
      </c>
      <c r="D824" s="7" t="s">
        <v>8</v>
      </c>
      <c r="E824" s="8" t="s">
        <v>373</v>
      </c>
      <c r="F824" s="9">
        <v>0.49</v>
      </c>
      <c r="G824" s="10"/>
      <c r="H824" s="1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4">
        <v>824.0</v>
      </c>
      <c r="B825" s="5"/>
      <c r="C825" s="6" t="str">
        <f>HYPERLINK("https://leetcode.com/problems/goat-latin", "Goat Latin")</f>
        <v>Goat Latin</v>
      </c>
      <c r="D825" s="7" t="s">
        <v>6</v>
      </c>
      <c r="E825" s="8" t="s">
        <v>14</v>
      </c>
      <c r="F825" s="9">
        <v>0.67</v>
      </c>
      <c r="G825" s="10"/>
      <c r="H825" s="1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4">
        <v>825.0</v>
      </c>
      <c r="B826" s="5"/>
      <c r="C826" s="6" t="str">
        <f>HYPERLINK("https://leetcode.com/problems/friends-of-appropriate-ages", "Friends Of Appropriate Ages")</f>
        <v>Friends Of Appropriate Ages</v>
      </c>
      <c r="D826" s="7" t="s">
        <v>8</v>
      </c>
      <c r="E826" s="8" t="s">
        <v>145</v>
      </c>
      <c r="F826" s="9">
        <v>0.46</v>
      </c>
      <c r="G826" s="10"/>
      <c r="H826" s="1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4">
        <v>826.0</v>
      </c>
      <c r="B827" s="5"/>
      <c r="C827" s="6" t="str">
        <f>HYPERLINK("https://leetcode.com/problems/most-profit-assigning-work", "Most Profit Assigning Work")</f>
        <v>Most Profit Assigning Work</v>
      </c>
      <c r="D827" s="7" t="s">
        <v>8</v>
      </c>
      <c r="E827" s="8" t="s">
        <v>321</v>
      </c>
      <c r="F827" s="9">
        <v>0.44</v>
      </c>
      <c r="G827" s="10"/>
      <c r="H827" s="1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4">
        <v>827.0</v>
      </c>
      <c r="B828" s="5"/>
      <c r="C828" s="6" t="str">
        <f>HYPERLINK("https://leetcode.com/problems/making-a-large-island", "Making A Large Island")</f>
        <v>Making A Large Island</v>
      </c>
      <c r="D828" s="7" t="s">
        <v>11</v>
      </c>
      <c r="E828" s="8" t="s">
        <v>79</v>
      </c>
      <c r="F828" s="9">
        <v>0.44</v>
      </c>
      <c r="G828" s="10"/>
      <c r="H828" s="1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4">
        <v>828.0</v>
      </c>
      <c r="B829" s="5"/>
      <c r="C829" s="6" t="str">
        <f>HYPERLINK("https://leetcode.com/problems/count-unique-characters-of-all-substrings-of-a-given-string", "Count Unique Characters of All Substrings of a Given String")</f>
        <v>Count Unique Characters of All Substrings of a Given String</v>
      </c>
      <c r="D829" s="7" t="s">
        <v>11</v>
      </c>
      <c r="E829" s="8" t="s">
        <v>403</v>
      </c>
      <c r="F829" s="9">
        <v>0.51</v>
      </c>
      <c r="G829" s="10"/>
      <c r="H829" s="1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4">
        <v>829.0</v>
      </c>
      <c r="B830" s="5"/>
      <c r="C830" s="6" t="str">
        <f>HYPERLINK("https://leetcode.com/problems/consecutive-numbers-sum", "Consecutive Numbers Sum")</f>
        <v>Consecutive Numbers Sum</v>
      </c>
      <c r="D830" s="7" t="s">
        <v>11</v>
      </c>
      <c r="E830" s="8" t="s">
        <v>404</v>
      </c>
      <c r="F830" s="9">
        <v>0.41</v>
      </c>
      <c r="G830" s="10"/>
      <c r="H830" s="1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4">
        <v>830.0</v>
      </c>
      <c r="B831" s="5"/>
      <c r="C831" s="6" t="str">
        <f>HYPERLINK("https://leetcode.com/problems/positions-of-large-groups", "Positions of Large Groups")</f>
        <v>Positions of Large Groups</v>
      </c>
      <c r="D831" s="7" t="s">
        <v>6</v>
      </c>
      <c r="E831" s="8" t="s">
        <v>14</v>
      </c>
      <c r="F831" s="9">
        <v>0.51</v>
      </c>
      <c r="G831" s="10"/>
      <c r="H831" s="1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4">
        <v>831.0</v>
      </c>
      <c r="B832" s="5"/>
      <c r="C832" s="6" t="str">
        <f>HYPERLINK("https://leetcode.com/problems/masking-personal-information", "Masking Personal Information")</f>
        <v>Masking Personal Information</v>
      </c>
      <c r="D832" s="7" t="s">
        <v>8</v>
      </c>
      <c r="E832" s="8" t="s">
        <v>14</v>
      </c>
      <c r="F832" s="9">
        <v>0.47</v>
      </c>
      <c r="G832" s="10"/>
      <c r="H832" s="1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4">
        <v>832.0</v>
      </c>
      <c r="B833" s="5"/>
      <c r="C833" s="6" t="str">
        <f>HYPERLINK("https://leetcode.com/problems/flipping-an-image", "Flipping an Image")</f>
        <v>Flipping an Image</v>
      </c>
      <c r="D833" s="7" t="s">
        <v>6</v>
      </c>
      <c r="E833" s="8" t="s">
        <v>367</v>
      </c>
      <c r="F833" s="9">
        <v>0.8</v>
      </c>
      <c r="G833" s="10"/>
      <c r="H833" s="1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4">
        <v>833.0</v>
      </c>
      <c r="B834" s="5"/>
      <c r="C834" s="6" t="str">
        <f>HYPERLINK("https://leetcode.com/problems/find-and-replace-in-string", "Find And Replace in String")</f>
        <v>Find And Replace in String</v>
      </c>
      <c r="D834" s="7" t="s">
        <v>8</v>
      </c>
      <c r="E834" s="8" t="s">
        <v>405</v>
      </c>
      <c r="F834" s="9">
        <v>0.54</v>
      </c>
      <c r="G834" s="10"/>
      <c r="H834" s="1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4">
        <v>834.0</v>
      </c>
      <c r="B835" s="5"/>
      <c r="C835" s="6" t="str">
        <f>HYPERLINK("https://leetcode.com/problems/sum-of-distances-in-tree", "Sum of Distances in Tree")</f>
        <v>Sum of Distances in Tree</v>
      </c>
      <c r="D835" s="7" t="s">
        <v>11</v>
      </c>
      <c r="E835" s="8" t="s">
        <v>406</v>
      </c>
      <c r="F835" s="9">
        <v>0.54</v>
      </c>
      <c r="G835" s="10"/>
      <c r="H835" s="1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4">
        <v>835.0</v>
      </c>
      <c r="B836" s="5"/>
      <c r="C836" s="6" t="str">
        <f>HYPERLINK("https://leetcode.com/problems/image-overlap", "Image Overlap")</f>
        <v>Image Overlap</v>
      </c>
      <c r="D836" s="7" t="s">
        <v>8</v>
      </c>
      <c r="E836" s="8" t="s">
        <v>251</v>
      </c>
      <c r="F836" s="9">
        <v>0.63</v>
      </c>
      <c r="G836" s="10"/>
      <c r="H836" s="1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4">
        <v>836.0</v>
      </c>
      <c r="B837" s="5"/>
      <c r="C837" s="6" t="str">
        <f>HYPERLINK("https://leetcode.com/problems/rectangle-overlap", "Rectangle Overlap")</f>
        <v>Rectangle Overlap</v>
      </c>
      <c r="D837" s="7" t="s">
        <v>6</v>
      </c>
      <c r="E837" s="8" t="s">
        <v>123</v>
      </c>
      <c r="F837" s="9">
        <v>0.43</v>
      </c>
      <c r="G837" s="10"/>
      <c r="H837" s="1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4">
        <v>837.0</v>
      </c>
      <c r="B838" s="5"/>
      <c r="C838" s="6" t="str">
        <f>HYPERLINK("https://leetcode.com/problems/new-21-game", "New 21 Game")</f>
        <v>New 21 Game</v>
      </c>
      <c r="D838" s="7" t="s">
        <v>8</v>
      </c>
      <c r="E838" s="8" t="s">
        <v>407</v>
      </c>
      <c r="F838" s="9">
        <v>0.36</v>
      </c>
      <c r="G838" s="10"/>
      <c r="H838" s="1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4">
        <v>838.0</v>
      </c>
      <c r="B839" s="5"/>
      <c r="C839" s="6" t="str">
        <f>HYPERLINK("https://leetcode.com/problems/push-dominoes", "Push Dominoes")</f>
        <v>Push Dominoes</v>
      </c>
      <c r="D839" s="7" t="s">
        <v>8</v>
      </c>
      <c r="E839" s="8" t="s">
        <v>235</v>
      </c>
      <c r="F839" s="9">
        <v>0.56</v>
      </c>
      <c r="G839" s="10"/>
      <c r="H839" s="1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4">
        <v>839.0</v>
      </c>
      <c r="B840" s="5"/>
      <c r="C840" s="6" t="str">
        <f>HYPERLINK("https://leetcode.com/problems/similar-string-groups", "Similar String Groups")</f>
        <v>Similar String Groups</v>
      </c>
      <c r="D840" s="7" t="s">
        <v>11</v>
      </c>
      <c r="E840" s="8" t="s">
        <v>366</v>
      </c>
      <c r="F840" s="9">
        <v>0.47</v>
      </c>
      <c r="G840" s="10"/>
      <c r="H840" s="1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4">
        <v>840.0</v>
      </c>
      <c r="B841" s="5"/>
      <c r="C841" s="6" t="str">
        <f>HYPERLINK("https://leetcode.com/problems/magic-squares-in-grid", "Magic Squares In Grid")</f>
        <v>Magic Squares In Grid</v>
      </c>
      <c r="D841" s="7" t="s">
        <v>8</v>
      </c>
      <c r="E841" s="8" t="s">
        <v>38</v>
      </c>
      <c r="F841" s="9">
        <v>0.38</v>
      </c>
      <c r="G841" s="10"/>
      <c r="H841" s="1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4">
        <v>841.0</v>
      </c>
      <c r="B842" s="5"/>
      <c r="C842" s="6" t="str">
        <f>HYPERLINK("https://leetcode.com/problems/keys-and-rooms", "Keys and Rooms")</f>
        <v>Keys and Rooms</v>
      </c>
      <c r="D842" s="7" t="s">
        <v>8</v>
      </c>
      <c r="E842" s="8" t="s">
        <v>285</v>
      </c>
      <c r="F842" s="9">
        <v>0.71</v>
      </c>
      <c r="G842" s="10"/>
      <c r="H842" s="1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4">
        <v>842.0</v>
      </c>
      <c r="B843" s="5"/>
      <c r="C843" s="6" t="str">
        <f>HYPERLINK("https://leetcode.com/problems/split-array-into-fibonacci-sequence", "Split Array into Fibonacci Sequence")</f>
        <v>Split Array into Fibonacci Sequence</v>
      </c>
      <c r="D843" s="7" t="s">
        <v>8</v>
      </c>
      <c r="E843" s="8" t="s">
        <v>59</v>
      </c>
      <c r="F843" s="9">
        <v>0.38</v>
      </c>
      <c r="G843" s="10"/>
      <c r="H843" s="1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4">
        <v>843.0</v>
      </c>
      <c r="B844" s="5"/>
      <c r="C844" s="6" t="str">
        <f>HYPERLINK("https://leetcode.com/problems/guess-the-word", "Guess the Word")</f>
        <v>Guess the Word</v>
      </c>
      <c r="D844" s="7" t="s">
        <v>11</v>
      </c>
      <c r="E844" s="8" t="s">
        <v>408</v>
      </c>
      <c r="F844" s="9">
        <v>0.41</v>
      </c>
      <c r="G844" s="10"/>
      <c r="H844" s="1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4">
        <v>844.0</v>
      </c>
      <c r="B845" s="5"/>
      <c r="C845" s="6" t="str">
        <f>HYPERLINK("https://leetcode.com/problems/backspace-string-compare", "Backspace String Compare")</f>
        <v>Backspace String Compare</v>
      </c>
      <c r="D845" s="7" t="s">
        <v>6</v>
      </c>
      <c r="E845" s="8" t="s">
        <v>409</v>
      </c>
      <c r="F845" s="9">
        <v>0.48</v>
      </c>
      <c r="G845" s="10"/>
      <c r="H845" s="1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4">
        <v>845.0</v>
      </c>
      <c r="B846" s="5"/>
      <c r="C846" s="6" t="str">
        <f>HYPERLINK("https://leetcode.com/problems/longest-mountain-in-array", "Longest Mountain in Array")</f>
        <v>Longest Mountain in Array</v>
      </c>
      <c r="D846" s="7" t="s">
        <v>8</v>
      </c>
      <c r="E846" s="8" t="s">
        <v>410</v>
      </c>
      <c r="F846" s="9">
        <v>0.4</v>
      </c>
      <c r="G846" s="10"/>
      <c r="H846" s="1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4">
        <v>846.0</v>
      </c>
      <c r="B847" s="5"/>
      <c r="C847" s="6" t="str">
        <f>HYPERLINK("https://leetcode.com/problems/hand-of-straights", "Hand of Straights")</f>
        <v>Hand of Straights</v>
      </c>
      <c r="D847" s="7" t="s">
        <v>8</v>
      </c>
      <c r="E847" s="8" t="s">
        <v>411</v>
      </c>
      <c r="F847" s="9">
        <v>0.56</v>
      </c>
      <c r="G847" s="10"/>
      <c r="H847" s="1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4">
        <v>847.0</v>
      </c>
      <c r="B848" s="5"/>
      <c r="C848" s="6" t="str">
        <f>HYPERLINK("https://leetcode.com/problems/shortest-path-visiting-all-nodes", "Shortest Path Visiting All Nodes")</f>
        <v>Shortest Path Visiting All Nodes</v>
      </c>
      <c r="D848" s="7" t="s">
        <v>11</v>
      </c>
      <c r="E848" s="8" t="s">
        <v>412</v>
      </c>
      <c r="F848" s="9">
        <v>0.61</v>
      </c>
      <c r="G848" s="10"/>
      <c r="H848" s="1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4">
        <v>848.0</v>
      </c>
      <c r="B849" s="5"/>
      <c r="C849" s="6" t="str">
        <f>HYPERLINK("https://leetcode.com/problems/shifting-letters", "Shifting Letters")</f>
        <v>Shifting Letters</v>
      </c>
      <c r="D849" s="7" t="s">
        <v>8</v>
      </c>
      <c r="E849" s="8" t="s">
        <v>135</v>
      </c>
      <c r="F849" s="9">
        <v>0.45</v>
      </c>
      <c r="G849" s="10"/>
      <c r="H849" s="1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4">
        <v>849.0</v>
      </c>
      <c r="B850" s="5"/>
      <c r="C850" s="6" t="str">
        <f>HYPERLINK("https://leetcode.com/problems/maximize-distance-to-closest-person", "Maximize Distance to Closest Person")</f>
        <v>Maximize Distance to Closest Person</v>
      </c>
      <c r="D850" s="7" t="s">
        <v>8</v>
      </c>
      <c r="E850" s="8" t="s">
        <v>45</v>
      </c>
      <c r="F850" s="9">
        <v>0.47</v>
      </c>
      <c r="G850" s="10"/>
      <c r="H850" s="1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4">
        <v>850.0</v>
      </c>
      <c r="B851" s="5"/>
      <c r="C851" s="6" t="str">
        <f>HYPERLINK("https://leetcode.com/problems/rectangle-area-ii", "Rectangle Area II")</f>
        <v>Rectangle Area II</v>
      </c>
      <c r="D851" s="7" t="s">
        <v>11</v>
      </c>
      <c r="E851" s="8" t="s">
        <v>413</v>
      </c>
      <c r="F851" s="9">
        <v>0.53</v>
      </c>
      <c r="G851" s="10"/>
      <c r="H851" s="1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4">
        <v>851.0</v>
      </c>
      <c r="B852" s="5"/>
      <c r="C852" s="6" t="str">
        <f>HYPERLINK("https://leetcode.com/problems/loud-and-rich", "Loud and Rich")</f>
        <v>Loud and Rich</v>
      </c>
      <c r="D852" s="7" t="s">
        <v>8</v>
      </c>
      <c r="E852" s="8" t="s">
        <v>414</v>
      </c>
      <c r="F852" s="9">
        <v>0.58</v>
      </c>
      <c r="G852" s="10"/>
      <c r="H852" s="1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4">
        <v>852.0</v>
      </c>
      <c r="B853" s="5"/>
      <c r="C853" s="6" t="str">
        <f>HYPERLINK("https://leetcode.com/problems/peak-index-in-a-mountain-array", "Peak Index in a Mountain Array")</f>
        <v>Peak Index in a Mountain Array</v>
      </c>
      <c r="D853" s="7" t="s">
        <v>8</v>
      </c>
      <c r="E853" s="8" t="s">
        <v>30</v>
      </c>
      <c r="F853" s="9">
        <v>0.69</v>
      </c>
      <c r="G853" s="10"/>
      <c r="H853" s="1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4">
        <v>853.0</v>
      </c>
      <c r="B854" s="5"/>
      <c r="C854" s="6" t="str">
        <f>HYPERLINK("https://leetcode.com/problems/car-fleet", "Car Fleet")</f>
        <v>Car Fleet</v>
      </c>
      <c r="D854" s="7" t="s">
        <v>8</v>
      </c>
      <c r="E854" s="8" t="s">
        <v>415</v>
      </c>
      <c r="F854" s="9">
        <v>0.5</v>
      </c>
      <c r="G854" s="10"/>
      <c r="H854" s="1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4">
        <v>854.0</v>
      </c>
      <c r="B855" s="5"/>
      <c r="C855" s="6" t="str">
        <f>HYPERLINK("https://leetcode.com/problems/k-similar-strings", "K-Similar Strings")</f>
        <v>K-Similar Strings</v>
      </c>
      <c r="D855" s="7" t="s">
        <v>11</v>
      </c>
      <c r="E855" s="8" t="s">
        <v>416</v>
      </c>
      <c r="F855" s="9">
        <v>0.4</v>
      </c>
      <c r="G855" s="10"/>
      <c r="H855" s="1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4">
        <v>855.0</v>
      </c>
      <c r="B856" s="5"/>
      <c r="C856" s="6" t="str">
        <f>HYPERLINK("https://leetcode.com/problems/exam-room", "Exam Room")</f>
        <v>Exam Room</v>
      </c>
      <c r="D856" s="7" t="s">
        <v>8</v>
      </c>
      <c r="E856" s="8" t="s">
        <v>417</v>
      </c>
      <c r="F856" s="9">
        <v>0.43</v>
      </c>
      <c r="G856" s="10"/>
      <c r="H856" s="1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4">
        <v>856.0</v>
      </c>
      <c r="B857" s="5"/>
      <c r="C857" s="6" t="str">
        <f>HYPERLINK("https://leetcode.com/problems/score-of-parentheses", "Score of Parentheses")</f>
        <v>Score of Parentheses</v>
      </c>
      <c r="D857" s="7" t="s">
        <v>8</v>
      </c>
      <c r="E857" s="8" t="s">
        <v>22</v>
      </c>
      <c r="F857" s="9">
        <v>0.64</v>
      </c>
      <c r="G857" s="10"/>
      <c r="H857" s="1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4">
        <v>857.0</v>
      </c>
      <c r="B858" s="5"/>
      <c r="C858" s="6" t="str">
        <f>HYPERLINK("https://leetcode.com/problems/minimum-cost-to-hire-k-workers", "Minimum Cost to Hire K Workers")</f>
        <v>Minimum Cost to Hire K Workers</v>
      </c>
      <c r="D858" s="7" t="s">
        <v>11</v>
      </c>
      <c r="E858" s="8" t="s">
        <v>292</v>
      </c>
      <c r="F858" s="9">
        <v>0.52</v>
      </c>
      <c r="G858" s="10"/>
      <c r="H858" s="1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4">
        <v>858.0</v>
      </c>
      <c r="B859" s="5"/>
      <c r="C859" s="6" t="str">
        <f>HYPERLINK("https://leetcode.com/problems/mirror-reflection", "Mirror Reflection")</f>
        <v>Mirror Reflection</v>
      </c>
      <c r="D859" s="7" t="s">
        <v>8</v>
      </c>
      <c r="E859" s="8" t="s">
        <v>123</v>
      </c>
      <c r="F859" s="9">
        <v>0.63</v>
      </c>
      <c r="G859" s="10"/>
      <c r="H859" s="1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4">
        <v>859.0</v>
      </c>
      <c r="B860" s="5"/>
      <c r="C860" s="6" t="str">
        <f>HYPERLINK("https://leetcode.com/problems/buddy-strings", "Buddy Strings")</f>
        <v>Buddy Strings</v>
      </c>
      <c r="D860" s="7" t="s">
        <v>6</v>
      </c>
      <c r="E860" s="8" t="s">
        <v>110</v>
      </c>
      <c r="F860" s="9">
        <v>0.29</v>
      </c>
      <c r="G860" s="10"/>
      <c r="H860" s="1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4">
        <v>860.0</v>
      </c>
      <c r="B861" s="5"/>
      <c r="C861" s="6" t="str">
        <f>HYPERLINK("https://leetcode.com/problems/lemonade-change", "Lemonade Change")</f>
        <v>Lemonade Change</v>
      </c>
      <c r="D861" s="7" t="s">
        <v>6</v>
      </c>
      <c r="E861" s="8" t="s">
        <v>81</v>
      </c>
      <c r="F861" s="9">
        <v>0.52</v>
      </c>
      <c r="G861" s="10"/>
      <c r="H861" s="1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4">
        <v>861.0</v>
      </c>
      <c r="B862" s="5"/>
      <c r="C862" s="6" t="str">
        <f>HYPERLINK("https://leetcode.com/problems/score-after-flipping-matrix", "Score After Flipping Matrix")</f>
        <v>Score After Flipping Matrix</v>
      </c>
      <c r="D862" s="7" t="s">
        <v>8</v>
      </c>
      <c r="E862" s="8" t="s">
        <v>418</v>
      </c>
      <c r="F862" s="9">
        <v>0.75</v>
      </c>
      <c r="G862" s="10"/>
      <c r="H862" s="1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4">
        <v>862.0</v>
      </c>
      <c r="B863" s="5"/>
      <c r="C863" s="6" t="str">
        <f>HYPERLINK("https://leetcode.com/problems/shortest-subarray-with-sum-at-least-k", "Shortest Subarray with Sum at Least K")</f>
        <v>Shortest Subarray with Sum at Least K</v>
      </c>
      <c r="D863" s="7" t="s">
        <v>11</v>
      </c>
      <c r="E863" s="8" t="s">
        <v>419</v>
      </c>
      <c r="F863" s="9">
        <v>0.26</v>
      </c>
      <c r="G863" s="10"/>
      <c r="H863" s="1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4">
        <v>863.0</v>
      </c>
      <c r="B864" s="5"/>
      <c r="C864" s="6" t="str">
        <f>HYPERLINK("https://leetcode.com/problems/all-nodes-distance-k-in-binary-tree", "All Nodes Distance K in Binary Tree")</f>
        <v>All Nodes Distance K in Binary Tree</v>
      </c>
      <c r="D864" s="7" t="s">
        <v>8</v>
      </c>
      <c r="E864" s="8" t="s">
        <v>64</v>
      </c>
      <c r="F864" s="9">
        <v>0.62</v>
      </c>
      <c r="G864" s="10"/>
      <c r="H864" s="1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4">
        <v>864.0</v>
      </c>
      <c r="B865" s="5"/>
      <c r="C865" s="6" t="str">
        <f>HYPERLINK("https://leetcode.com/problems/shortest-path-to-get-all-keys", "Shortest Path to Get All Keys")</f>
        <v>Shortest Path to Get All Keys</v>
      </c>
      <c r="D865" s="7" t="s">
        <v>11</v>
      </c>
      <c r="E865" s="8" t="s">
        <v>420</v>
      </c>
      <c r="F865" s="9">
        <v>0.45</v>
      </c>
      <c r="G865" s="10"/>
      <c r="H865" s="1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4">
        <v>865.0</v>
      </c>
      <c r="B866" s="5"/>
      <c r="C866" s="6" t="str">
        <f>HYPERLINK("https://leetcode.com/problems/smallest-subtree-with-all-the-deepest-nodes", "Smallest Subtree with all the Deepest Nodes")</f>
        <v>Smallest Subtree with all the Deepest Nodes</v>
      </c>
      <c r="D866" s="7" t="s">
        <v>8</v>
      </c>
      <c r="E866" s="8" t="s">
        <v>182</v>
      </c>
      <c r="F866" s="9">
        <v>0.68</v>
      </c>
      <c r="G866" s="10"/>
      <c r="H866" s="1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4">
        <v>866.0</v>
      </c>
      <c r="B867" s="5"/>
      <c r="C867" s="6" t="str">
        <f>HYPERLINK("https://leetcode.com/problems/prime-palindrome", "Prime Palindrome")</f>
        <v>Prime Palindrome</v>
      </c>
      <c r="D867" s="7" t="s">
        <v>8</v>
      </c>
      <c r="E867" s="8" t="s">
        <v>15</v>
      </c>
      <c r="F867" s="9">
        <v>0.25</v>
      </c>
      <c r="G867" s="10"/>
      <c r="H867" s="1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4">
        <v>867.0</v>
      </c>
      <c r="B868" s="5"/>
      <c r="C868" s="6" t="str">
        <f>HYPERLINK("https://leetcode.com/problems/transpose-matrix", "Transpose Matrix")</f>
        <v>Transpose Matrix</v>
      </c>
      <c r="D868" s="7" t="s">
        <v>6</v>
      </c>
      <c r="E868" s="8" t="s">
        <v>43</v>
      </c>
      <c r="F868" s="9">
        <v>0.63</v>
      </c>
      <c r="G868" s="10"/>
      <c r="H868" s="1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4">
        <v>868.0</v>
      </c>
      <c r="B869" s="5"/>
      <c r="C869" s="6" t="str">
        <f>HYPERLINK("https://leetcode.com/problems/binary-gap", "Binary Gap")</f>
        <v>Binary Gap</v>
      </c>
      <c r="D869" s="7" t="s">
        <v>6</v>
      </c>
      <c r="E869" s="8" t="s">
        <v>107</v>
      </c>
      <c r="F869" s="9">
        <v>0.62</v>
      </c>
      <c r="G869" s="10"/>
      <c r="H869" s="1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4">
        <v>869.0</v>
      </c>
      <c r="B870" s="5"/>
      <c r="C870" s="6" t="str">
        <f>HYPERLINK("https://leetcode.com/problems/reordered-power-of-2", "Reordered Power of 2")</f>
        <v>Reordered Power of 2</v>
      </c>
      <c r="D870" s="7" t="s">
        <v>8</v>
      </c>
      <c r="E870" s="8" t="s">
        <v>421</v>
      </c>
      <c r="F870" s="9">
        <v>0.63</v>
      </c>
      <c r="G870" s="10"/>
      <c r="H870" s="1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4">
        <v>870.0</v>
      </c>
      <c r="B871" s="5"/>
      <c r="C871" s="6" t="str">
        <f>HYPERLINK("https://leetcode.com/problems/advantage-shuffle", "Advantage Shuffle")</f>
        <v>Advantage Shuffle</v>
      </c>
      <c r="D871" s="7" t="s">
        <v>8</v>
      </c>
      <c r="E871" s="8" t="s">
        <v>267</v>
      </c>
      <c r="F871" s="9">
        <v>0.51</v>
      </c>
      <c r="G871" s="10"/>
      <c r="H871" s="1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4">
        <v>871.0</v>
      </c>
      <c r="B872" s="5"/>
      <c r="C872" s="6" t="str">
        <f>HYPERLINK("https://leetcode.com/problems/minimum-number-of-refueling-stops", "Minimum Number of Refueling Stops")</f>
        <v>Minimum Number of Refueling Stops</v>
      </c>
      <c r="D872" s="7" t="s">
        <v>11</v>
      </c>
      <c r="E872" s="8" t="s">
        <v>422</v>
      </c>
      <c r="F872" s="9">
        <v>0.39</v>
      </c>
      <c r="G872" s="10"/>
      <c r="H872" s="1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4">
        <v>872.0</v>
      </c>
      <c r="B873" s="5"/>
      <c r="C873" s="6" t="str">
        <f>HYPERLINK("https://leetcode.com/problems/leaf-similar-trees", "Leaf-Similar Trees")</f>
        <v>Leaf-Similar Trees</v>
      </c>
      <c r="D873" s="7" t="s">
        <v>6</v>
      </c>
      <c r="E873" s="8" t="s">
        <v>69</v>
      </c>
      <c r="F873" s="9">
        <v>0.67</v>
      </c>
      <c r="G873" s="10"/>
      <c r="H873" s="1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4">
        <v>873.0</v>
      </c>
      <c r="B874" s="5"/>
      <c r="C874" s="6" t="str">
        <f>HYPERLINK("https://leetcode.com/problems/length-of-longest-fibonacci-subsequence", "Length of Longest Fibonacci Subsequence")</f>
        <v>Length of Longest Fibonacci Subsequence</v>
      </c>
      <c r="D874" s="7" t="s">
        <v>8</v>
      </c>
      <c r="E874" s="8" t="s">
        <v>373</v>
      </c>
      <c r="F874" s="9">
        <v>0.48</v>
      </c>
      <c r="G874" s="10"/>
      <c r="H874" s="1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4">
        <v>874.0</v>
      </c>
      <c r="B875" s="5"/>
      <c r="C875" s="6" t="str">
        <f>HYPERLINK("https://leetcode.com/problems/walking-robot-simulation", "Walking Robot Simulation")</f>
        <v>Walking Robot Simulation</v>
      </c>
      <c r="D875" s="7" t="s">
        <v>8</v>
      </c>
      <c r="E875" s="8" t="s">
        <v>288</v>
      </c>
      <c r="F875" s="9">
        <v>0.38</v>
      </c>
      <c r="G875" s="10"/>
      <c r="H875" s="1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4">
        <v>875.0</v>
      </c>
      <c r="B876" s="5"/>
      <c r="C876" s="6" t="str">
        <f>HYPERLINK("https://leetcode.com/problems/koko-eating-bananas", "Koko Eating Bananas")</f>
        <v>Koko Eating Bananas</v>
      </c>
      <c r="D876" s="7" t="s">
        <v>8</v>
      </c>
      <c r="E876" s="8" t="s">
        <v>30</v>
      </c>
      <c r="F876" s="9">
        <v>0.51</v>
      </c>
      <c r="G876" s="10"/>
      <c r="H876" s="1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4">
        <v>876.0</v>
      </c>
      <c r="B877" s="5"/>
      <c r="C877" s="6" t="str">
        <f>HYPERLINK("https://leetcode.com/problems/middle-of-the-linked-list", "Middle of the Linked List")</f>
        <v>Middle of the Linked List</v>
      </c>
      <c r="D877" s="7" t="s">
        <v>6</v>
      </c>
      <c r="E877" s="8" t="s">
        <v>21</v>
      </c>
      <c r="F877" s="9">
        <v>0.74</v>
      </c>
      <c r="G877" s="10"/>
      <c r="H877" s="1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4">
        <v>877.0</v>
      </c>
      <c r="B878" s="5"/>
      <c r="C878" s="6" t="str">
        <f>HYPERLINK("https://leetcode.com/problems/stone-game", "Stone Game")</f>
        <v>Stone Game</v>
      </c>
      <c r="D878" s="7" t="s">
        <v>8</v>
      </c>
      <c r="E878" s="8" t="s">
        <v>423</v>
      </c>
      <c r="F878" s="9">
        <v>0.69</v>
      </c>
      <c r="G878" s="10"/>
      <c r="H878" s="1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4">
        <v>878.0</v>
      </c>
      <c r="B879" s="5"/>
      <c r="C879" s="6" t="str">
        <f>HYPERLINK("https://leetcode.com/problems/nth-magical-number", "Nth Magical Number")</f>
        <v>Nth Magical Number</v>
      </c>
      <c r="D879" s="7" t="s">
        <v>11</v>
      </c>
      <c r="E879" s="8" t="s">
        <v>51</v>
      </c>
      <c r="F879" s="9">
        <v>0.35</v>
      </c>
      <c r="G879" s="10"/>
      <c r="H879" s="1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4">
        <v>879.0</v>
      </c>
      <c r="B880" s="5"/>
      <c r="C880" s="6" t="str">
        <f>HYPERLINK("https://leetcode.com/problems/profitable-schemes", "Profitable Schemes")</f>
        <v>Profitable Schemes</v>
      </c>
      <c r="D880" s="7" t="s">
        <v>11</v>
      </c>
      <c r="E880" s="8" t="s">
        <v>73</v>
      </c>
      <c r="F880" s="9">
        <v>0.4</v>
      </c>
      <c r="G880" s="10"/>
      <c r="H880" s="1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4">
        <v>880.0</v>
      </c>
      <c r="B881" s="5"/>
      <c r="C881" s="6" t="str">
        <f>HYPERLINK("https://leetcode.com/problems/decoded-string-at-index", "Decoded String at Index")</f>
        <v>Decoded String at Index</v>
      </c>
      <c r="D881" s="7" t="s">
        <v>8</v>
      </c>
      <c r="E881" s="8" t="s">
        <v>22</v>
      </c>
      <c r="F881" s="9">
        <v>0.28</v>
      </c>
      <c r="G881" s="10"/>
      <c r="H881" s="1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4">
        <v>881.0</v>
      </c>
      <c r="B882" s="5"/>
      <c r="C882" s="6" t="str">
        <f>HYPERLINK("https://leetcode.com/problems/boats-to-save-people", "Boats to Save People")</f>
        <v>Boats to Save People</v>
      </c>
      <c r="D882" s="7" t="s">
        <v>8</v>
      </c>
      <c r="E882" s="8" t="s">
        <v>267</v>
      </c>
      <c r="F882" s="9">
        <v>0.52</v>
      </c>
      <c r="G882" s="10"/>
      <c r="H882" s="1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4">
        <v>882.0</v>
      </c>
      <c r="B883" s="5"/>
      <c r="C883" s="6" t="str">
        <f>HYPERLINK("https://leetcode.com/problems/reachable-nodes-in-subdivided-graph", "Reachable Nodes In Subdivided Graph")</f>
        <v>Reachable Nodes In Subdivided Graph</v>
      </c>
      <c r="D883" s="7" t="s">
        <v>11</v>
      </c>
      <c r="E883" s="8" t="s">
        <v>424</v>
      </c>
      <c r="F883" s="9">
        <v>0.5</v>
      </c>
      <c r="G883" s="10"/>
      <c r="H883" s="1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4">
        <v>883.0</v>
      </c>
      <c r="B884" s="5"/>
      <c r="C884" s="6" t="str">
        <f>HYPERLINK("https://leetcode.com/problems/projection-area-of-3d-shapes", "Projection Area of 3D Shapes")</f>
        <v>Projection Area of 3D Shapes</v>
      </c>
      <c r="D884" s="7" t="s">
        <v>6</v>
      </c>
      <c r="E884" s="8" t="s">
        <v>425</v>
      </c>
      <c r="F884" s="9">
        <v>0.7</v>
      </c>
      <c r="G884" s="10"/>
      <c r="H884" s="1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4">
        <v>884.0</v>
      </c>
      <c r="B885" s="5"/>
      <c r="C885" s="6" t="str">
        <f>HYPERLINK("https://leetcode.com/problems/uncommon-words-from-two-sentences", "Uncommon Words from Two Sentences")</f>
        <v>Uncommon Words from Two Sentences</v>
      </c>
      <c r="D885" s="7" t="s">
        <v>6</v>
      </c>
      <c r="E885" s="8" t="s">
        <v>110</v>
      </c>
      <c r="F885" s="9">
        <v>0.66</v>
      </c>
      <c r="G885" s="10"/>
      <c r="H885" s="1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4">
        <v>885.0</v>
      </c>
      <c r="B886" s="5"/>
      <c r="C886" s="6" t="str">
        <f>HYPERLINK("https://leetcode.com/problems/spiral-matrix-iii", "Spiral Matrix III")</f>
        <v>Spiral Matrix III</v>
      </c>
      <c r="D886" s="7" t="s">
        <v>8</v>
      </c>
      <c r="E886" s="8" t="s">
        <v>43</v>
      </c>
      <c r="F886" s="9">
        <v>0.73</v>
      </c>
      <c r="G886" s="10"/>
      <c r="H886" s="1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4">
        <v>886.0</v>
      </c>
      <c r="B887" s="5"/>
      <c r="C887" s="6" t="str">
        <f>HYPERLINK("https://leetcode.com/problems/possible-bipartition", "Possible Bipartition")</f>
        <v>Possible Bipartition</v>
      </c>
      <c r="D887" s="7" t="s">
        <v>8</v>
      </c>
      <c r="E887" s="8" t="s">
        <v>146</v>
      </c>
      <c r="F887" s="9">
        <v>0.48</v>
      </c>
      <c r="G887" s="10"/>
      <c r="H887" s="1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4">
        <v>887.0</v>
      </c>
      <c r="B888" s="5"/>
      <c r="C888" s="6" t="str">
        <f>HYPERLINK("https://leetcode.com/problems/super-egg-drop", "Super Egg Drop")</f>
        <v>Super Egg Drop</v>
      </c>
      <c r="D888" s="7" t="s">
        <v>11</v>
      </c>
      <c r="E888" s="8" t="s">
        <v>426</v>
      </c>
      <c r="F888" s="9">
        <v>0.27</v>
      </c>
      <c r="G888" s="10"/>
      <c r="H888" s="1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4">
        <v>888.0</v>
      </c>
      <c r="B889" s="5"/>
      <c r="C889" s="6" t="str">
        <f>HYPERLINK("https://leetcode.com/problems/fair-candy-swap", "Fair Candy Swap")</f>
        <v>Fair Candy Swap</v>
      </c>
      <c r="D889" s="7" t="s">
        <v>6</v>
      </c>
      <c r="E889" s="8" t="s">
        <v>427</v>
      </c>
      <c r="F889" s="9">
        <v>0.6</v>
      </c>
      <c r="G889" s="10"/>
      <c r="H889" s="1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4">
        <v>889.0</v>
      </c>
      <c r="B890" s="5"/>
      <c r="C890" s="6" t="str">
        <f>HYPERLINK("https://leetcode.com/problems/construct-binary-tree-from-preorder-and-postorder-traversal", "Construct Binary Tree from Preorder and Postorder Traversal")</f>
        <v>Construct Binary Tree from Preorder and Postorder Traversal</v>
      </c>
      <c r="D890" s="7" t="s">
        <v>8</v>
      </c>
      <c r="E890" s="8" t="s">
        <v>66</v>
      </c>
      <c r="F890" s="9">
        <v>0.7</v>
      </c>
      <c r="G890" s="10"/>
      <c r="H890" s="1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4">
        <v>890.0</v>
      </c>
      <c r="B891" s="5"/>
      <c r="C891" s="6" t="str">
        <f>HYPERLINK("https://leetcode.com/problems/find-and-replace-pattern", "Find and Replace Pattern")</f>
        <v>Find and Replace Pattern</v>
      </c>
      <c r="D891" s="7" t="s">
        <v>8</v>
      </c>
      <c r="E891" s="8" t="s">
        <v>139</v>
      </c>
      <c r="F891" s="9">
        <v>0.77</v>
      </c>
      <c r="G891" s="10"/>
      <c r="H891" s="1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4">
        <v>891.0</v>
      </c>
      <c r="B892" s="5"/>
      <c r="C892" s="6" t="str">
        <f>HYPERLINK("https://leetcode.com/problems/sum-of-subsequence-widths", "Sum of Subsequence Widths")</f>
        <v>Sum of Subsequence Widths</v>
      </c>
      <c r="D892" s="7" t="s">
        <v>11</v>
      </c>
      <c r="E892" s="8" t="s">
        <v>271</v>
      </c>
      <c r="F892" s="9">
        <v>0.36</v>
      </c>
      <c r="G892" s="10"/>
      <c r="H892" s="1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4">
        <v>892.0</v>
      </c>
      <c r="B893" s="5"/>
      <c r="C893" s="6" t="str">
        <f>HYPERLINK("https://leetcode.com/problems/surface-area-of-3d-shapes", "Surface Area of 3D Shapes")</f>
        <v>Surface Area of 3D Shapes</v>
      </c>
      <c r="D893" s="7" t="s">
        <v>6</v>
      </c>
      <c r="E893" s="8" t="s">
        <v>425</v>
      </c>
      <c r="F893" s="9">
        <v>0.63</v>
      </c>
      <c r="G893" s="10"/>
      <c r="H893" s="1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4">
        <v>893.0</v>
      </c>
      <c r="B894" s="5"/>
      <c r="C894" s="6" t="str">
        <f>HYPERLINK("https://leetcode.com/problems/groups-of-special-equivalent-strings", "Groups of Special-Equivalent Strings")</f>
        <v>Groups of Special-Equivalent Strings</v>
      </c>
      <c r="D894" s="7" t="s">
        <v>8</v>
      </c>
      <c r="E894" s="8" t="s">
        <v>139</v>
      </c>
      <c r="F894" s="9">
        <v>0.7</v>
      </c>
      <c r="G894" s="10"/>
      <c r="H894" s="1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4">
        <v>894.0</v>
      </c>
      <c r="B895" s="5"/>
      <c r="C895" s="6" t="str">
        <f>HYPERLINK("https://leetcode.com/problems/all-possible-full-binary-trees", "All Possible Full Binary Trees")</f>
        <v>All Possible Full Binary Trees</v>
      </c>
      <c r="D895" s="7" t="s">
        <v>8</v>
      </c>
      <c r="E895" s="8" t="s">
        <v>428</v>
      </c>
      <c r="F895" s="9">
        <v>0.79</v>
      </c>
      <c r="G895" s="10"/>
      <c r="H895" s="1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4">
        <v>895.0</v>
      </c>
      <c r="B896" s="5"/>
      <c r="C896" s="6" t="str">
        <f>HYPERLINK("https://leetcode.com/problems/maximum-frequency-stack", "Maximum Frequency Stack")</f>
        <v>Maximum Frequency Stack</v>
      </c>
      <c r="D896" s="7" t="s">
        <v>11</v>
      </c>
      <c r="E896" s="8" t="s">
        <v>429</v>
      </c>
      <c r="F896" s="9">
        <v>0.66</v>
      </c>
      <c r="G896" s="10"/>
      <c r="H896" s="1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4">
        <v>896.0</v>
      </c>
      <c r="B897" s="5"/>
      <c r="C897" s="6" t="str">
        <f>HYPERLINK("https://leetcode.com/problems/monotonic-array", "Monotonic Array")</f>
        <v>Monotonic Array</v>
      </c>
      <c r="D897" s="7" t="s">
        <v>6</v>
      </c>
      <c r="E897" s="8" t="s">
        <v>45</v>
      </c>
      <c r="F897" s="9">
        <v>0.58</v>
      </c>
      <c r="G897" s="10"/>
      <c r="H897" s="1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4">
        <v>897.0</v>
      </c>
      <c r="B898" s="5"/>
      <c r="C898" s="6" t="str">
        <f>HYPERLINK("https://leetcode.com/problems/increasing-order-search-tree", "Increasing Order Search Tree")</f>
        <v>Increasing Order Search Tree</v>
      </c>
      <c r="D898" s="7" t="s">
        <v>6</v>
      </c>
      <c r="E898" s="8" t="s">
        <v>430</v>
      </c>
      <c r="F898" s="9">
        <v>0.78</v>
      </c>
      <c r="G898" s="10"/>
      <c r="H898" s="1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4">
        <v>898.0</v>
      </c>
      <c r="B899" s="5"/>
      <c r="C899" s="6" t="str">
        <f>HYPERLINK("https://leetcode.com/problems/bitwise-ors-of-subarrays", "Bitwise ORs of Subarrays")</f>
        <v>Bitwise ORs of Subarrays</v>
      </c>
      <c r="D899" s="7" t="s">
        <v>8</v>
      </c>
      <c r="E899" s="8" t="s">
        <v>431</v>
      </c>
      <c r="F899" s="9">
        <v>0.36</v>
      </c>
      <c r="G899" s="10"/>
      <c r="H899" s="1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4">
        <v>899.0</v>
      </c>
      <c r="B900" s="5"/>
      <c r="C900" s="6" t="str">
        <f>HYPERLINK("https://leetcode.com/problems/orderly-queue", "Orderly Queue")</f>
        <v>Orderly Queue</v>
      </c>
      <c r="D900" s="7" t="s">
        <v>11</v>
      </c>
      <c r="E900" s="8" t="s">
        <v>432</v>
      </c>
      <c r="F900" s="9">
        <v>0.66</v>
      </c>
      <c r="G900" s="10"/>
      <c r="H900" s="1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4">
        <v>900.0</v>
      </c>
      <c r="B901" s="5"/>
      <c r="C901" s="6" t="str">
        <f>HYPERLINK("https://leetcode.com/problems/rle-iterator", "RLE Iterator")</f>
        <v>RLE Iterator</v>
      </c>
      <c r="D901" s="7" t="s">
        <v>8</v>
      </c>
      <c r="E901" s="8" t="s">
        <v>433</v>
      </c>
      <c r="F901" s="9">
        <v>0.59</v>
      </c>
      <c r="G901" s="10"/>
      <c r="H901" s="1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4">
        <v>901.0</v>
      </c>
      <c r="B902" s="5"/>
      <c r="C902" s="6" t="str">
        <f>HYPERLINK("https://leetcode.com/problems/online-stock-span", "Online Stock Span")</f>
        <v>Online Stock Span</v>
      </c>
      <c r="D902" s="7" t="s">
        <v>8</v>
      </c>
      <c r="E902" s="8" t="s">
        <v>434</v>
      </c>
      <c r="F902" s="9">
        <v>0.65</v>
      </c>
      <c r="G902" s="10"/>
      <c r="H902" s="1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4">
        <v>902.0</v>
      </c>
      <c r="B903" s="5"/>
      <c r="C903" s="6" t="str">
        <f>HYPERLINK("https://leetcode.com/problems/numbers-at-most-n-given-digit-set", "Numbers At Most N Given Digit Set")</f>
        <v>Numbers At Most N Given Digit Set</v>
      </c>
      <c r="D903" s="7" t="s">
        <v>11</v>
      </c>
      <c r="E903" s="8" t="s">
        <v>435</v>
      </c>
      <c r="F903" s="9">
        <v>0.41</v>
      </c>
      <c r="G903" s="10"/>
      <c r="H903" s="1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4">
        <v>903.0</v>
      </c>
      <c r="B904" s="5"/>
      <c r="C904" s="6" t="str">
        <f>HYPERLINK("https://leetcode.com/problems/valid-permutations-for-di-sequence", "Valid Permutations for DI Sequence")</f>
        <v>Valid Permutations for DI Sequence</v>
      </c>
      <c r="D904" s="7" t="s">
        <v>11</v>
      </c>
      <c r="E904" s="8" t="s">
        <v>156</v>
      </c>
      <c r="F904" s="9">
        <v>0.57</v>
      </c>
      <c r="G904" s="10"/>
      <c r="H904" s="1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4">
        <v>904.0</v>
      </c>
      <c r="B905" s="5"/>
      <c r="C905" s="6" t="str">
        <f>HYPERLINK("https://leetcode.com/problems/fruit-into-baskets", "Fruit Into Baskets")</f>
        <v>Fruit Into Baskets</v>
      </c>
      <c r="D905" s="7" t="s">
        <v>8</v>
      </c>
      <c r="E905" s="8" t="s">
        <v>120</v>
      </c>
      <c r="F905" s="9">
        <v>0.42</v>
      </c>
      <c r="G905" s="10"/>
      <c r="H905" s="1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4">
        <v>905.0</v>
      </c>
      <c r="B906" s="5"/>
      <c r="C906" s="6" t="str">
        <f>HYPERLINK("https://leetcode.com/problems/sort-array-by-parity", "Sort Array By Parity")</f>
        <v>Sort Array By Parity</v>
      </c>
      <c r="D906" s="7" t="s">
        <v>6</v>
      </c>
      <c r="E906" s="8" t="s">
        <v>19</v>
      </c>
      <c r="F906" s="9">
        <v>0.75</v>
      </c>
      <c r="G906" s="10"/>
      <c r="H906" s="1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4">
        <v>906.0</v>
      </c>
      <c r="B907" s="5"/>
      <c r="C907" s="6" t="str">
        <f>HYPERLINK("https://leetcode.com/problems/super-palindromes", "Super Palindromes")</f>
        <v>Super Palindromes</v>
      </c>
      <c r="D907" s="7" t="s">
        <v>11</v>
      </c>
      <c r="E907" s="8" t="s">
        <v>404</v>
      </c>
      <c r="F907" s="9">
        <v>0.39</v>
      </c>
      <c r="G907" s="10"/>
      <c r="H907" s="1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4">
        <v>907.0</v>
      </c>
      <c r="B908" s="5"/>
      <c r="C908" s="6" t="str">
        <f>HYPERLINK("https://leetcode.com/problems/sum-of-subarray-minimums", "Sum of Subarray Minimums")</f>
        <v>Sum of Subarray Minimums</v>
      </c>
      <c r="D908" s="7" t="s">
        <v>8</v>
      </c>
      <c r="E908" s="8" t="s">
        <v>436</v>
      </c>
      <c r="F908" s="9">
        <v>0.35</v>
      </c>
      <c r="G908" s="10"/>
      <c r="H908" s="1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4">
        <v>908.0</v>
      </c>
      <c r="B909" s="5"/>
      <c r="C909" s="6" t="str">
        <f>HYPERLINK("https://leetcode.com/problems/smallest-range-i", "Smallest Range I")</f>
        <v>Smallest Range I</v>
      </c>
      <c r="D909" s="7" t="s">
        <v>6</v>
      </c>
      <c r="E909" s="8" t="s">
        <v>48</v>
      </c>
      <c r="F909" s="9">
        <v>0.67</v>
      </c>
      <c r="G909" s="10"/>
      <c r="H909" s="1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4">
        <v>909.0</v>
      </c>
      <c r="B910" s="5"/>
      <c r="C910" s="6" t="str">
        <f>HYPERLINK("https://leetcode.com/problems/snakes-and-ladders", "Snakes and Ladders")</f>
        <v>Snakes and Ladders</v>
      </c>
      <c r="D910" s="7" t="s">
        <v>8</v>
      </c>
      <c r="E910" s="8" t="s">
        <v>164</v>
      </c>
      <c r="F910" s="9">
        <v>0.4</v>
      </c>
      <c r="G910" s="10"/>
      <c r="H910" s="1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4">
        <v>910.0</v>
      </c>
      <c r="B911" s="5"/>
      <c r="C911" s="6" t="str">
        <f>HYPERLINK("https://leetcode.com/problems/smallest-range-ii", "Smallest Range II")</f>
        <v>Smallest Range II</v>
      </c>
      <c r="D911" s="7" t="s">
        <v>8</v>
      </c>
      <c r="E911" s="8" t="s">
        <v>437</v>
      </c>
      <c r="F911" s="9">
        <v>0.34</v>
      </c>
      <c r="G911" s="10"/>
      <c r="H911" s="1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4">
        <v>911.0</v>
      </c>
      <c r="B912" s="5"/>
      <c r="C912" s="6" t="str">
        <f>HYPERLINK("https://leetcode.com/problems/online-election", "Online Election")</f>
        <v>Online Election</v>
      </c>
      <c r="D912" s="7" t="s">
        <v>8</v>
      </c>
      <c r="E912" s="8" t="s">
        <v>438</v>
      </c>
      <c r="F912" s="9">
        <v>0.52</v>
      </c>
      <c r="G912" s="10"/>
      <c r="H912" s="1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4">
        <v>912.0</v>
      </c>
      <c r="B913" s="5"/>
      <c r="C913" s="6" t="str">
        <f>HYPERLINK("https://leetcode.com/problems/sort-an-array", "Sort an Array")</f>
        <v>Sort an Array</v>
      </c>
      <c r="D913" s="7" t="s">
        <v>8</v>
      </c>
      <c r="E913" s="8" t="s">
        <v>439</v>
      </c>
      <c r="F913" s="9">
        <v>0.59</v>
      </c>
      <c r="G913" s="10"/>
      <c r="H913" s="1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4">
        <v>913.0</v>
      </c>
      <c r="B914" s="5"/>
      <c r="C914" s="6" t="str">
        <f>HYPERLINK("https://leetcode.com/problems/cat-and-mouse", "Cat and Mouse")</f>
        <v>Cat and Mouse</v>
      </c>
      <c r="D914" s="7" t="s">
        <v>11</v>
      </c>
      <c r="E914" s="8" t="s">
        <v>440</v>
      </c>
      <c r="F914" s="9">
        <v>0.35</v>
      </c>
      <c r="G914" s="10"/>
      <c r="H914" s="1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4">
        <v>914.0</v>
      </c>
      <c r="B915" s="5"/>
      <c r="C915" s="6" t="str">
        <f>HYPERLINK("https://leetcode.com/problems/x-of-a-kind-in-a-deck-of-cards", "X of a Kind in a Deck of Cards")</f>
        <v>X of a Kind in a Deck of Cards</v>
      </c>
      <c r="D915" s="7" t="s">
        <v>6</v>
      </c>
      <c r="E915" s="8" t="s">
        <v>441</v>
      </c>
      <c r="F915" s="9">
        <v>0.31</v>
      </c>
      <c r="G915" s="10"/>
      <c r="H915" s="1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4">
        <v>915.0</v>
      </c>
      <c r="B916" s="5"/>
      <c r="C916" s="6" t="str">
        <f>HYPERLINK("https://leetcode.com/problems/partition-array-into-disjoint-intervals", "Partition Array into Disjoint Intervals")</f>
        <v>Partition Array into Disjoint Intervals</v>
      </c>
      <c r="D916" s="7" t="s">
        <v>8</v>
      </c>
      <c r="E916" s="8" t="s">
        <v>45</v>
      </c>
      <c r="F916" s="9">
        <v>0.48</v>
      </c>
      <c r="G916" s="10"/>
      <c r="H916" s="1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4">
        <v>916.0</v>
      </c>
      <c r="B917" s="5"/>
      <c r="C917" s="6" t="str">
        <f>HYPERLINK("https://leetcode.com/problems/word-subsets", "Word Subsets")</f>
        <v>Word Subsets</v>
      </c>
      <c r="D917" s="7" t="s">
        <v>8</v>
      </c>
      <c r="E917" s="8" t="s">
        <v>139</v>
      </c>
      <c r="F917" s="9">
        <v>0.53</v>
      </c>
      <c r="G917" s="10"/>
      <c r="H917" s="1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4">
        <v>917.0</v>
      </c>
      <c r="B918" s="5"/>
      <c r="C918" s="6" t="str">
        <f>HYPERLINK("https://leetcode.com/problems/reverse-only-letters", "Reverse Only Letters")</f>
        <v>Reverse Only Letters</v>
      </c>
      <c r="D918" s="7" t="s">
        <v>6</v>
      </c>
      <c r="E918" s="8" t="s">
        <v>75</v>
      </c>
      <c r="F918" s="9">
        <v>0.61</v>
      </c>
      <c r="G918" s="10"/>
      <c r="H918" s="1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4">
        <v>918.0</v>
      </c>
      <c r="B919" s="5"/>
      <c r="C919" s="6" t="str">
        <f>HYPERLINK("https://leetcode.com/problems/maximum-sum-circular-subarray", "Maximum Sum Circular Subarray")</f>
        <v>Maximum Sum Circular Subarray</v>
      </c>
      <c r="D919" s="7" t="s">
        <v>8</v>
      </c>
      <c r="E919" s="8" t="s">
        <v>442</v>
      </c>
      <c r="F919" s="9">
        <v>0.38</v>
      </c>
      <c r="G919" s="10"/>
      <c r="H919" s="1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4">
        <v>919.0</v>
      </c>
      <c r="B920" s="5"/>
      <c r="C920" s="6" t="str">
        <f>HYPERLINK("https://leetcode.com/problems/complete-binary-tree-inserter", "Complete Binary Tree Inserter")</f>
        <v>Complete Binary Tree Inserter</v>
      </c>
      <c r="D920" s="7" t="s">
        <v>8</v>
      </c>
      <c r="E920" s="8" t="s">
        <v>443</v>
      </c>
      <c r="F920" s="9">
        <v>0.64</v>
      </c>
      <c r="G920" s="10"/>
      <c r="H920" s="1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4">
        <v>920.0</v>
      </c>
      <c r="B921" s="5"/>
      <c r="C921" s="6" t="str">
        <f>HYPERLINK("https://leetcode.com/problems/number-of-music-playlists", "Number of Music Playlists")</f>
        <v>Number of Music Playlists</v>
      </c>
      <c r="D921" s="7" t="s">
        <v>11</v>
      </c>
      <c r="E921" s="8" t="s">
        <v>46</v>
      </c>
      <c r="F921" s="9">
        <v>0.5</v>
      </c>
      <c r="G921" s="10"/>
      <c r="H921" s="1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4">
        <v>921.0</v>
      </c>
      <c r="B922" s="5"/>
      <c r="C922" s="6" t="str">
        <f>HYPERLINK("https://leetcode.com/problems/minimum-add-to-make-parentheses-valid", "Minimum Add to Make Parentheses Valid")</f>
        <v>Minimum Add to Make Parentheses Valid</v>
      </c>
      <c r="D922" s="7" t="s">
        <v>8</v>
      </c>
      <c r="E922" s="8" t="s">
        <v>444</v>
      </c>
      <c r="F922" s="9">
        <v>0.76</v>
      </c>
      <c r="G922" s="10"/>
      <c r="H922" s="1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4">
        <v>922.0</v>
      </c>
      <c r="B923" s="5"/>
      <c r="C923" s="6" t="str">
        <f>HYPERLINK("https://leetcode.com/problems/sort-array-by-parity-ii", "Sort Array By Parity II")</f>
        <v>Sort Array By Parity II</v>
      </c>
      <c r="D923" s="7" t="s">
        <v>6</v>
      </c>
      <c r="E923" s="8" t="s">
        <v>19</v>
      </c>
      <c r="F923" s="9">
        <v>0.7</v>
      </c>
      <c r="G923" s="10"/>
      <c r="H923" s="1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4">
        <v>923.0</v>
      </c>
      <c r="B924" s="5"/>
      <c r="C924" s="6" t="str">
        <f>HYPERLINK("https://leetcode.com/problems/3sum-with-multiplicity", "3Sum With Multiplicity")</f>
        <v>3Sum With Multiplicity</v>
      </c>
      <c r="D924" s="7" t="s">
        <v>8</v>
      </c>
      <c r="E924" s="8" t="s">
        <v>445</v>
      </c>
      <c r="F924" s="9">
        <v>0.45</v>
      </c>
      <c r="G924" s="10"/>
      <c r="H924" s="1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4">
        <v>924.0</v>
      </c>
      <c r="B925" s="5"/>
      <c r="C925" s="6" t="str">
        <f>HYPERLINK("https://leetcode.com/problems/minimize-malware-spread", "Minimize Malware Spread")</f>
        <v>Minimize Malware Spread</v>
      </c>
      <c r="D925" s="7" t="s">
        <v>11</v>
      </c>
      <c r="E925" s="8" t="s">
        <v>79</v>
      </c>
      <c r="F925" s="9">
        <v>0.42</v>
      </c>
      <c r="G925" s="10"/>
      <c r="H925" s="1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4">
        <v>925.0</v>
      </c>
      <c r="B926" s="5"/>
      <c r="C926" s="6" t="str">
        <f>HYPERLINK("https://leetcode.com/problems/long-pressed-name", "Long Pressed Name")</f>
        <v>Long Pressed Name</v>
      </c>
      <c r="D926" s="7" t="s">
        <v>6</v>
      </c>
      <c r="E926" s="8" t="s">
        <v>75</v>
      </c>
      <c r="F926" s="9">
        <v>0.33</v>
      </c>
      <c r="G926" s="10"/>
      <c r="H926" s="1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4">
        <v>926.0</v>
      </c>
      <c r="B927" s="5"/>
      <c r="C927" s="6" t="str">
        <f>HYPERLINK("https://leetcode.com/problems/flip-string-to-monotone-increasing", "Flip String to Monotone Increasing")</f>
        <v>Flip String to Monotone Increasing</v>
      </c>
      <c r="D927" s="7" t="s">
        <v>8</v>
      </c>
      <c r="E927" s="8" t="s">
        <v>13</v>
      </c>
      <c r="F927" s="9">
        <v>0.59</v>
      </c>
      <c r="G927" s="10"/>
      <c r="H927" s="1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4">
        <v>927.0</v>
      </c>
      <c r="B928" s="5"/>
      <c r="C928" s="6" t="str">
        <f>HYPERLINK("https://leetcode.com/problems/three-equal-parts", "Three Equal Parts")</f>
        <v>Three Equal Parts</v>
      </c>
      <c r="D928" s="7" t="s">
        <v>11</v>
      </c>
      <c r="E928" s="8" t="s">
        <v>48</v>
      </c>
      <c r="F928" s="9">
        <v>0.39</v>
      </c>
      <c r="G928" s="10"/>
      <c r="H928" s="1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4">
        <v>928.0</v>
      </c>
      <c r="B929" s="5"/>
      <c r="C929" s="6" t="str">
        <f>HYPERLINK("https://leetcode.com/problems/minimize-malware-spread-ii", "Minimize Malware Spread II")</f>
        <v>Minimize Malware Spread II</v>
      </c>
      <c r="D929" s="7" t="s">
        <v>11</v>
      </c>
      <c r="E929" s="8" t="s">
        <v>79</v>
      </c>
      <c r="F929" s="9">
        <v>0.42</v>
      </c>
      <c r="G929" s="10"/>
      <c r="H929" s="1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4">
        <v>929.0</v>
      </c>
      <c r="B930" s="5"/>
      <c r="C930" s="6" t="str">
        <f>HYPERLINK("https://leetcode.com/problems/unique-email-addresses", "Unique Email Addresses")</f>
        <v>Unique Email Addresses</v>
      </c>
      <c r="D930" s="7" t="s">
        <v>6</v>
      </c>
      <c r="E930" s="8" t="s">
        <v>139</v>
      </c>
      <c r="F930" s="9">
        <v>0.67</v>
      </c>
      <c r="G930" s="10"/>
      <c r="H930" s="1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4">
        <v>930.0</v>
      </c>
      <c r="B931" s="5"/>
      <c r="C931" s="6" t="str">
        <f>HYPERLINK("https://leetcode.com/problems/binary-subarrays-with-sum", "Binary Subarrays With Sum")</f>
        <v>Binary Subarrays With Sum</v>
      </c>
      <c r="D931" s="7" t="s">
        <v>8</v>
      </c>
      <c r="E931" s="8" t="s">
        <v>446</v>
      </c>
      <c r="F931" s="9">
        <v>0.51</v>
      </c>
      <c r="G931" s="10"/>
      <c r="H931" s="1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4">
        <v>931.0</v>
      </c>
      <c r="B932" s="5"/>
      <c r="C932" s="6" t="str">
        <f>HYPERLINK("https://leetcode.com/problems/minimum-falling-path-sum", "Minimum Falling Path Sum")</f>
        <v>Minimum Falling Path Sum</v>
      </c>
      <c r="D932" s="7" t="s">
        <v>8</v>
      </c>
      <c r="E932" s="8" t="s">
        <v>47</v>
      </c>
      <c r="F932" s="9">
        <v>0.69</v>
      </c>
      <c r="G932" s="10"/>
      <c r="H932" s="1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4">
        <v>932.0</v>
      </c>
      <c r="B933" s="5"/>
      <c r="C933" s="6" t="str">
        <f>HYPERLINK("https://leetcode.com/problems/beautiful-array", "Beautiful Array")</f>
        <v>Beautiful Array</v>
      </c>
      <c r="D933" s="7" t="s">
        <v>8</v>
      </c>
      <c r="E933" s="8" t="s">
        <v>447</v>
      </c>
      <c r="F933" s="9">
        <v>0.65</v>
      </c>
      <c r="G933" s="10"/>
      <c r="H933" s="1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4">
        <v>933.0</v>
      </c>
      <c r="B934" s="5"/>
      <c r="C934" s="6" t="str">
        <f>HYPERLINK("https://leetcode.com/problems/number-of-recent-calls", "Number of Recent Calls")</f>
        <v>Number of Recent Calls</v>
      </c>
      <c r="D934" s="7" t="s">
        <v>6</v>
      </c>
      <c r="E934" s="8" t="s">
        <v>448</v>
      </c>
      <c r="F934" s="9">
        <v>0.73</v>
      </c>
      <c r="G934" s="10"/>
      <c r="H934" s="1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4">
        <v>934.0</v>
      </c>
      <c r="B935" s="5"/>
      <c r="C935" s="6" t="str">
        <f>HYPERLINK("https://leetcode.com/problems/shortest-bridge", "Shortest Bridge")</f>
        <v>Shortest Bridge</v>
      </c>
      <c r="D935" s="7" t="s">
        <v>8</v>
      </c>
      <c r="E935" s="8" t="s">
        <v>246</v>
      </c>
      <c r="F935" s="9">
        <v>0.54</v>
      </c>
      <c r="G935" s="10"/>
      <c r="H935" s="1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4">
        <v>935.0</v>
      </c>
      <c r="B936" s="5"/>
      <c r="C936" s="6" t="str">
        <f>HYPERLINK("https://leetcode.com/problems/knight-dialer", "Knight Dialer")</f>
        <v>Knight Dialer</v>
      </c>
      <c r="D936" s="7" t="s">
        <v>8</v>
      </c>
      <c r="E936" s="8" t="s">
        <v>156</v>
      </c>
      <c r="F936" s="9">
        <v>0.5</v>
      </c>
      <c r="G936" s="10"/>
      <c r="H936" s="1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4">
        <v>936.0</v>
      </c>
      <c r="B937" s="5"/>
      <c r="C937" s="6" t="str">
        <f>HYPERLINK("https://leetcode.com/problems/stamping-the-sequence", "Stamping The Sequence")</f>
        <v>Stamping The Sequence</v>
      </c>
      <c r="D937" s="7" t="s">
        <v>11</v>
      </c>
      <c r="E937" s="8" t="s">
        <v>449</v>
      </c>
      <c r="F937" s="9">
        <v>0.63</v>
      </c>
      <c r="G937" s="10"/>
      <c r="H937" s="1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4">
        <v>937.0</v>
      </c>
      <c r="B938" s="5"/>
      <c r="C938" s="6" t="str">
        <f>HYPERLINK("https://leetcode.com/problems/reorder-data-in-log-files", "Reorder Data in Log Files")</f>
        <v>Reorder Data in Log Files</v>
      </c>
      <c r="D938" s="7" t="s">
        <v>8</v>
      </c>
      <c r="E938" s="8" t="s">
        <v>405</v>
      </c>
      <c r="F938" s="9">
        <v>0.56</v>
      </c>
      <c r="G938" s="10"/>
      <c r="H938" s="1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4">
        <v>938.0</v>
      </c>
      <c r="B939" s="5"/>
      <c r="C939" s="6" t="str">
        <f>HYPERLINK("https://leetcode.com/problems/range-sum-of-bst", "Range Sum of BST")</f>
        <v>Range Sum of BST</v>
      </c>
      <c r="D939" s="7" t="s">
        <v>6</v>
      </c>
      <c r="E939" s="8" t="s">
        <v>63</v>
      </c>
      <c r="F939" s="9">
        <v>0.85</v>
      </c>
      <c r="G939" s="10"/>
      <c r="H939" s="1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4">
        <v>939.0</v>
      </c>
      <c r="B940" s="5"/>
      <c r="C940" s="6" t="str">
        <f>HYPERLINK("https://leetcode.com/problems/minimum-area-rectangle", "Minimum Area Rectangle")</f>
        <v>Minimum Area Rectangle</v>
      </c>
      <c r="D940" s="7" t="s">
        <v>8</v>
      </c>
      <c r="E940" s="8" t="s">
        <v>450</v>
      </c>
      <c r="F940" s="9">
        <v>0.52</v>
      </c>
      <c r="G940" s="10"/>
      <c r="H940" s="1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4">
        <v>940.0</v>
      </c>
      <c r="B941" s="5"/>
      <c r="C941" s="6" t="str">
        <f>HYPERLINK("https://leetcode.com/problems/distinct-subsequences-ii", "Distinct Subsequences II")</f>
        <v>Distinct Subsequences II</v>
      </c>
      <c r="D941" s="7" t="s">
        <v>11</v>
      </c>
      <c r="E941" s="8" t="s">
        <v>13</v>
      </c>
      <c r="F941" s="9">
        <v>0.44</v>
      </c>
      <c r="G941" s="10"/>
      <c r="H941" s="1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4">
        <v>941.0</v>
      </c>
      <c r="B942" s="5"/>
      <c r="C942" s="6" t="str">
        <f>HYPERLINK("https://leetcode.com/problems/valid-mountain-array", "Valid Mountain Array")</f>
        <v>Valid Mountain Array</v>
      </c>
      <c r="D942" s="7" t="s">
        <v>6</v>
      </c>
      <c r="E942" s="8" t="s">
        <v>45</v>
      </c>
      <c r="F942" s="9">
        <v>0.33</v>
      </c>
      <c r="G942" s="10"/>
      <c r="H942" s="1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4">
        <v>942.0</v>
      </c>
      <c r="B943" s="5"/>
      <c r="C943" s="6" t="str">
        <f>HYPERLINK("https://leetcode.com/problems/di-string-match", "DI String Match")</f>
        <v>DI String Match</v>
      </c>
      <c r="D943" s="7" t="s">
        <v>6</v>
      </c>
      <c r="E943" s="8" t="s">
        <v>451</v>
      </c>
      <c r="F943" s="9">
        <v>0.76</v>
      </c>
      <c r="G943" s="10"/>
      <c r="H943" s="1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4">
        <v>943.0</v>
      </c>
      <c r="B944" s="5"/>
      <c r="C944" s="6" t="str">
        <f>HYPERLINK("https://leetcode.com/problems/find-the-shortest-superstring", "Find the Shortest Superstring")</f>
        <v>Find the Shortest Superstring</v>
      </c>
      <c r="D944" s="7" t="s">
        <v>11</v>
      </c>
      <c r="E944" s="8" t="s">
        <v>452</v>
      </c>
      <c r="F944" s="9">
        <v>0.44</v>
      </c>
      <c r="G944" s="10"/>
      <c r="H944" s="1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4">
        <v>944.0</v>
      </c>
      <c r="B945" s="5"/>
      <c r="C945" s="6" t="str">
        <f>HYPERLINK("https://leetcode.com/problems/delete-columns-to-make-sorted", "Delete Columns to Make Sorted")</f>
        <v>Delete Columns to Make Sorted</v>
      </c>
      <c r="D945" s="7" t="s">
        <v>6</v>
      </c>
      <c r="E945" s="8" t="s">
        <v>135</v>
      </c>
      <c r="F945" s="9">
        <v>0.69</v>
      </c>
      <c r="G945" s="10"/>
      <c r="H945" s="1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4">
        <v>945.0</v>
      </c>
      <c r="B946" s="5"/>
      <c r="C946" s="6" t="str">
        <f>HYPERLINK("https://leetcode.com/problems/minimum-increment-to-make-array-unique", "Minimum Increment to Make Array Unique")</f>
        <v>Minimum Increment to Make Array Unique</v>
      </c>
      <c r="D946" s="7" t="s">
        <v>8</v>
      </c>
      <c r="E946" s="8" t="s">
        <v>453</v>
      </c>
      <c r="F946" s="9">
        <v>0.5</v>
      </c>
      <c r="G946" s="10"/>
      <c r="H946" s="1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4">
        <v>946.0</v>
      </c>
      <c r="B947" s="5"/>
      <c r="C947" s="6" t="str">
        <f>HYPERLINK("https://leetcode.com/problems/validate-stack-sequences", "Validate Stack Sequences")</f>
        <v>Validate Stack Sequences</v>
      </c>
      <c r="D947" s="7" t="s">
        <v>8</v>
      </c>
      <c r="E947" s="8" t="s">
        <v>350</v>
      </c>
      <c r="F947" s="9">
        <v>0.67</v>
      </c>
      <c r="G947" s="10"/>
      <c r="H947" s="1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4">
        <v>947.0</v>
      </c>
      <c r="B948" s="5"/>
      <c r="C948" s="6" t="str">
        <f>HYPERLINK("https://leetcode.com/problems/most-stones-removed-with-same-row-or-column", "Most Stones Removed with Same Row or Column")</f>
        <v>Most Stones Removed with Same Row or Column</v>
      </c>
      <c r="D948" s="7" t="s">
        <v>8</v>
      </c>
      <c r="E948" s="8" t="s">
        <v>454</v>
      </c>
      <c r="F948" s="9">
        <v>0.58</v>
      </c>
      <c r="G948" s="10"/>
      <c r="H948" s="1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4">
        <v>948.0</v>
      </c>
      <c r="B949" s="5"/>
      <c r="C949" s="6" t="str">
        <f>HYPERLINK("https://leetcode.com/problems/bag-of-tokens", "Bag of Tokens")</f>
        <v>Bag of Tokens</v>
      </c>
      <c r="D949" s="7" t="s">
        <v>8</v>
      </c>
      <c r="E949" s="8" t="s">
        <v>267</v>
      </c>
      <c r="F949" s="9">
        <v>0.52</v>
      </c>
      <c r="G949" s="10"/>
      <c r="H949" s="1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4">
        <v>949.0</v>
      </c>
      <c r="B950" s="5"/>
      <c r="C950" s="6" t="str">
        <f>HYPERLINK("https://leetcode.com/problems/largest-time-for-given-digits", "Largest Time for Given Digits")</f>
        <v>Largest Time for Given Digits</v>
      </c>
      <c r="D950" s="7" t="s">
        <v>8</v>
      </c>
      <c r="E950" s="8" t="s">
        <v>349</v>
      </c>
      <c r="F950" s="9">
        <v>0.35</v>
      </c>
      <c r="G950" s="10"/>
      <c r="H950" s="1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4">
        <v>950.0</v>
      </c>
      <c r="B951" s="5"/>
      <c r="C951" s="6" t="str">
        <f>HYPERLINK("https://leetcode.com/problems/reveal-cards-in-increasing-order", "Reveal Cards In Increasing Order")</f>
        <v>Reveal Cards In Increasing Order</v>
      </c>
      <c r="D951" s="7" t="s">
        <v>8</v>
      </c>
      <c r="E951" s="8" t="s">
        <v>455</v>
      </c>
      <c r="F951" s="9">
        <v>0.77</v>
      </c>
      <c r="G951" s="10"/>
      <c r="H951" s="1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4">
        <v>951.0</v>
      </c>
      <c r="B952" s="5"/>
      <c r="C952" s="6" t="str">
        <f>HYPERLINK("https://leetcode.com/problems/flip-equivalent-binary-trees", "Flip Equivalent Binary Trees")</f>
        <v>Flip Equivalent Binary Trees</v>
      </c>
      <c r="D952" s="7" t="s">
        <v>8</v>
      </c>
      <c r="E952" s="8" t="s">
        <v>69</v>
      </c>
      <c r="F952" s="9">
        <v>0.66</v>
      </c>
      <c r="G952" s="10"/>
      <c r="H952" s="1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4">
        <v>952.0</v>
      </c>
      <c r="B953" s="5"/>
      <c r="C953" s="6" t="str">
        <f>HYPERLINK("https://leetcode.com/problems/largest-component-size-by-common-factor", "Largest Component Size by Common Factor")</f>
        <v>Largest Component Size by Common Factor</v>
      </c>
      <c r="D953" s="7" t="s">
        <v>11</v>
      </c>
      <c r="E953" s="8" t="s">
        <v>456</v>
      </c>
      <c r="F953" s="9">
        <v>0.4</v>
      </c>
      <c r="G953" s="10"/>
      <c r="H953" s="1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4">
        <v>953.0</v>
      </c>
      <c r="B954" s="5"/>
      <c r="C954" s="6" t="str">
        <f>HYPERLINK("https://leetcode.com/problems/verifying-an-alien-dictionary", "Verifying an Alien Dictionary")</f>
        <v>Verifying an Alien Dictionary</v>
      </c>
      <c r="D954" s="7" t="s">
        <v>6</v>
      </c>
      <c r="E954" s="8" t="s">
        <v>139</v>
      </c>
      <c r="F954" s="9">
        <v>0.52</v>
      </c>
      <c r="G954" s="10"/>
      <c r="H954" s="1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4">
        <v>954.0</v>
      </c>
      <c r="B955" s="5"/>
      <c r="C955" s="6" t="str">
        <f>HYPERLINK("https://leetcode.com/problems/array-of-doubled-pairs", "Array of Doubled Pairs")</f>
        <v>Array of Doubled Pairs</v>
      </c>
      <c r="D955" s="7" t="s">
        <v>8</v>
      </c>
      <c r="E955" s="8" t="s">
        <v>411</v>
      </c>
      <c r="F955" s="9">
        <v>0.39</v>
      </c>
      <c r="G955" s="10"/>
      <c r="H955" s="1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4">
        <v>955.0</v>
      </c>
      <c r="B956" s="5"/>
      <c r="C956" s="6" t="str">
        <f>HYPERLINK("https://leetcode.com/problems/delete-columns-to-make-sorted-ii", "Delete Columns to Make Sorted II")</f>
        <v>Delete Columns to Make Sorted II</v>
      </c>
      <c r="D956" s="7" t="s">
        <v>8</v>
      </c>
      <c r="E956" s="8" t="s">
        <v>309</v>
      </c>
      <c r="F956" s="9">
        <v>0.34</v>
      </c>
      <c r="G956" s="10"/>
      <c r="H956" s="1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4">
        <v>956.0</v>
      </c>
      <c r="B957" s="5"/>
      <c r="C957" s="6" t="str">
        <f>HYPERLINK("https://leetcode.com/problems/tallest-billboard", "Tallest Billboard")</f>
        <v>Tallest Billboard</v>
      </c>
      <c r="D957" s="7" t="s">
        <v>11</v>
      </c>
      <c r="E957" s="8" t="s">
        <v>73</v>
      </c>
      <c r="F957" s="9">
        <v>0.39</v>
      </c>
      <c r="G957" s="10"/>
      <c r="H957" s="1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4">
        <v>957.0</v>
      </c>
      <c r="B958" s="5"/>
      <c r="C958" s="6" t="str">
        <f>HYPERLINK("https://leetcode.com/problems/prison-cells-after-n-days", "Prison Cells After N Days")</f>
        <v>Prison Cells After N Days</v>
      </c>
      <c r="D958" s="7" t="s">
        <v>8</v>
      </c>
      <c r="E958" s="8" t="s">
        <v>457</v>
      </c>
      <c r="F958" s="9">
        <v>0.39</v>
      </c>
      <c r="G958" s="10"/>
      <c r="H958" s="1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4">
        <v>958.0</v>
      </c>
      <c r="B959" s="5"/>
      <c r="C959" s="6" t="str">
        <f>HYPERLINK("https://leetcode.com/problems/check-completeness-of-a-binary-tree", "Check Completeness of a Binary Tree")</f>
        <v>Check Completeness of a Binary Tree</v>
      </c>
      <c r="D959" s="7" t="s">
        <v>8</v>
      </c>
      <c r="E959" s="8" t="s">
        <v>65</v>
      </c>
      <c r="F959" s="9">
        <v>0.53</v>
      </c>
      <c r="G959" s="10"/>
      <c r="H959" s="1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4">
        <v>959.0</v>
      </c>
      <c r="B960" s="5"/>
      <c r="C960" s="6" t="str">
        <f>HYPERLINK("https://leetcode.com/problems/regions-cut-by-slashes", "Regions Cut By Slashes")</f>
        <v>Regions Cut By Slashes</v>
      </c>
      <c r="D960" s="7" t="s">
        <v>8</v>
      </c>
      <c r="E960" s="8" t="s">
        <v>146</v>
      </c>
      <c r="F960" s="9">
        <v>0.69</v>
      </c>
      <c r="G960" s="10"/>
      <c r="H960" s="1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4">
        <v>960.0</v>
      </c>
      <c r="B961" s="5"/>
      <c r="C961" s="6" t="str">
        <f>HYPERLINK("https://leetcode.com/problems/delete-columns-to-make-sorted-iii", "Delete Columns to Make Sorted III")</f>
        <v>Delete Columns to Make Sorted III</v>
      </c>
      <c r="D961" s="7" t="s">
        <v>11</v>
      </c>
      <c r="E961" s="8" t="s">
        <v>276</v>
      </c>
      <c r="F961" s="9">
        <v>0.57</v>
      </c>
      <c r="G961" s="10"/>
      <c r="H961" s="1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4">
        <v>961.0</v>
      </c>
      <c r="B962" s="5"/>
      <c r="C962" s="6" t="str">
        <f>HYPERLINK("https://leetcode.com/problems/n-repeated-element-in-size-2n-array", "N-Repeated Element in Size 2N Array")</f>
        <v>N-Repeated Element in Size 2N Array</v>
      </c>
      <c r="D962" s="7" t="s">
        <v>6</v>
      </c>
      <c r="E962" s="8" t="s">
        <v>7</v>
      </c>
      <c r="F962" s="9">
        <v>0.75</v>
      </c>
      <c r="G962" s="10"/>
      <c r="H962" s="1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4">
        <v>962.0</v>
      </c>
      <c r="B963" s="5"/>
      <c r="C963" s="6" t="str">
        <f>HYPERLINK("https://leetcode.com/problems/maximum-width-ramp", "Maximum Width Ramp")</f>
        <v>Maximum Width Ramp</v>
      </c>
      <c r="D963" s="7" t="s">
        <v>8</v>
      </c>
      <c r="E963" s="8" t="s">
        <v>56</v>
      </c>
      <c r="F963" s="9">
        <v>0.48</v>
      </c>
      <c r="G963" s="10"/>
      <c r="H963" s="1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4">
        <v>963.0</v>
      </c>
      <c r="B964" s="5"/>
      <c r="C964" s="6" t="str">
        <f>HYPERLINK("https://leetcode.com/problems/minimum-area-rectangle-ii", "Minimum Area Rectangle II")</f>
        <v>Minimum Area Rectangle II</v>
      </c>
      <c r="D964" s="7" t="s">
        <v>8</v>
      </c>
      <c r="E964" s="8" t="s">
        <v>196</v>
      </c>
      <c r="F964" s="9">
        <v>0.54</v>
      </c>
      <c r="G964" s="10"/>
      <c r="H964" s="1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4">
        <v>964.0</v>
      </c>
      <c r="B965" s="5"/>
      <c r="C965" s="6" t="str">
        <f>HYPERLINK("https://leetcode.com/problems/least-operators-to-express-number", "Least Operators to Express Number")</f>
        <v>Least Operators to Express Number</v>
      </c>
      <c r="D965" s="7" t="s">
        <v>11</v>
      </c>
      <c r="E965" s="8" t="s">
        <v>201</v>
      </c>
      <c r="F965" s="9">
        <v>0.47</v>
      </c>
      <c r="G965" s="10"/>
      <c r="H965" s="1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4">
        <v>965.0</v>
      </c>
      <c r="B966" s="5"/>
      <c r="C966" s="6" t="str">
        <f>HYPERLINK("https://leetcode.com/problems/univalued-binary-tree", "Univalued Binary Tree")</f>
        <v>Univalued Binary Tree</v>
      </c>
      <c r="D966" s="7" t="s">
        <v>6</v>
      </c>
      <c r="E966" s="8" t="s">
        <v>64</v>
      </c>
      <c r="F966" s="9">
        <v>0.69</v>
      </c>
      <c r="G966" s="10"/>
      <c r="H966" s="1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4">
        <v>966.0</v>
      </c>
      <c r="B967" s="5"/>
      <c r="C967" s="6" t="str">
        <f>HYPERLINK("https://leetcode.com/problems/vowel-spellchecker", "Vowel Spellchecker")</f>
        <v>Vowel Spellchecker</v>
      </c>
      <c r="D967" s="7" t="s">
        <v>8</v>
      </c>
      <c r="E967" s="8" t="s">
        <v>139</v>
      </c>
      <c r="F967" s="9">
        <v>0.51</v>
      </c>
      <c r="G967" s="10"/>
      <c r="H967" s="1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4">
        <v>967.0</v>
      </c>
      <c r="B968" s="5"/>
      <c r="C968" s="6" t="str">
        <f>HYPERLINK("https://leetcode.com/problems/numbers-with-same-consecutive-differences", "Numbers With Same Consecutive Differences")</f>
        <v>Numbers With Same Consecutive Differences</v>
      </c>
      <c r="D968" s="7" t="s">
        <v>8</v>
      </c>
      <c r="E968" s="8" t="s">
        <v>458</v>
      </c>
      <c r="F968" s="9">
        <v>0.57</v>
      </c>
      <c r="G968" s="10"/>
      <c r="H968" s="1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4">
        <v>968.0</v>
      </c>
      <c r="B969" s="5"/>
      <c r="C969" s="6" t="str">
        <f>HYPERLINK("https://leetcode.com/problems/binary-tree-cameras", "Binary Tree Cameras")</f>
        <v>Binary Tree Cameras</v>
      </c>
      <c r="D969" s="7" t="s">
        <v>11</v>
      </c>
      <c r="E969" s="8" t="s">
        <v>74</v>
      </c>
      <c r="F969" s="9">
        <v>0.46</v>
      </c>
      <c r="G969" s="10"/>
      <c r="H969" s="1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4">
        <v>969.0</v>
      </c>
      <c r="B970" s="5"/>
      <c r="C970" s="6" t="str">
        <f>HYPERLINK("https://leetcode.com/problems/pancake-sorting", "Pancake Sorting")</f>
        <v>Pancake Sorting</v>
      </c>
      <c r="D970" s="7" t="s">
        <v>8</v>
      </c>
      <c r="E970" s="8" t="s">
        <v>267</v>
      </c>
      <c r="F970" s="9">
        <v>0.69</v>
      </c>
      <c r="G970" s="10"/>
      <c r="H970" s="1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4">
        <v>970.0</v>
      </c>
      <c r="B971" s="5"/>
      <c r="C971" s="6" t="str">
        <f>HYPERLINK("https://leetcode.com/problems/powerful-integers", "Powerful Integers")</f>
        <v>Powerful Integers</v>
      </c>
      <c r="D971" s="7" t="s">
        <v>8</v>
      </c>
      <c r="E971" s="8" t="s">
        <v>459</v>
      </c>
      <c r="F971" s="9">
        <v>0.43</v>
      </c>
      <c r="G971" s="10"/>
      <c r="H971" s="1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4">
        <v>971.0</v>
      </c>
      <c r="B972" s="5"/>
      <c r="C972" s="6" t="str">
        <f>HYPERLINK("https://leetcode.com/problems/flip-binary-tree-to-match-preorder-traversal", "Flip Binary Tree To Match Preorder Traversal")</f>
        <v>Flip Binary Tree To Match Preorder Traversal</v>
      </c>
      <c r="D972" s="7" t="s">
        <v>8</v>
      </c>
      <c r="E972" s="8" t="s">
        <v>69</v>
      </c>
      <c r="F972" s="9">
        <v>0.49</v>
      </c>
      <c r="G972" s="10"/>
      <c r="H972" s="1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4">
        <v>972.0</v>
      </c>
      <c r="B973" s="5"/>
      <c r="C973" s="6" t="str">
        <f>HYPERLINK("https://leetcode.com/problems/equal-rational-numbers", "Equal Rational Numbers")</f>
        <v>Equal Rational Numbers</v>
      </c>
      <c r="D973" s="7" t="s">
        <v>11</v>
      </c>
      <c r="E973" s="8" t="s">
        <v>97</v>
      </c>
      <c r="F973" s="9">
        <v>0.43</v>
      </c>
      <c r="G973" s="10"/>
      <c r="H973" s="1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4">
        <v>973.0</v>
      </c>
      <c r="B974" s="5"/>
      <c r="C974" s="6" t="str">
        <f>HYPERLINK("https://leetcode.com/problems/k-closest-points-to-origin", "K Closest Points to Origin")</f>
        <v>K Closest Points to Origin</v>
      </c>
      <c r="D974" s="7" t="s">
        <v>8</v>
      </c>
      <c r="E974" s="8" t="s">
        <v>460</v>
      </c>
      <c r="F974" s="9">
        <v>0.65</v>
      </c>
      <c r="G974" s="10"/>
      <c r="H974" s="1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4">
        <v>974.0</v>
      </c>
      <c r="B975" s="5"/>
      <c r="C975" s="6" t="str">
        <f>HYPERLINK("https://leetcode.com/problems/subarray-sums-divisible-by-k", "Subarray Sums Divisible by K")</f>
        <v>Subarray Sums Divisible by K</v>
      </c>
      <c r="D975" s="7" t="s">
        <v>8</v>
      </c>
      <c r="E975" s="8" t="s">
        <v>191</v>
      </c>
      <c r="F975" s="9">
        <v>0.53</v>
      </c>
      <c r="G975" s="10"/>
      <c r="H975" s="1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4">
        <v>975.0</v>
      </c>
      <c r="B976" s="5"/>
      <c r="C976" s="6" t="str">
        <f>HYPERLINK("https://leetcode.com/problems/odd-even-jump", "Odd Even Jump")</f>
        <v>Odd Even Jump</v>
      </c>
      <c r="D976" s="7" t="s">
        <v>11</v>
      </c>
      <c r="E976" s="8" t="s">
        <v>461</v>
      </c>
      <c r="F976" s="9">
        <v>0.38</v>
      </c>
      <c r="G976" s="10"/>
      <c r="H976" s="1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4">
        <v>976.0</v>
      </c>
      <c r="B977" s="5"/>
      <c r="C977" s="6" t="str">
        <f>HYPERLINK("https://leetcode.com/problems/largest-perimeter-triangle", "Largest Perimeter Triangle")</f>
        <v>Largest Perimeter Triangle</v>
      </c>
      <c r="D977" s="7" t="s">
        <v>6</v>
      </c>
      <c r="E977" s="8" t="s">
        <v>437</v>
      </c>
      <c r="F977" s="9">
        <v>0.54</v>
      </c>
      <c r="G977" s="10"/>
      <c r="H977" s="1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4">
        <v>977.0</v>
      </c>
      <c r="B978" s="5"/>
      <c r="C978" s="6" t="str">
        <f>HYPERLINK("https://leetcode.com/problems/squares-of-a-sorted-array", "Squares of a Sorted Array")</f>
        <v>Squares of a Sorted Array</v>
      </c>
      <c r="D978" s="7" t="s">
        <v>6</v>
      </c>
      <c r="E978" s="8" t="s">
        <v>19</v>
      </c>
      <c r="F978" s="9">
        <v>0.71</v>
      </c>
      <c r="G978" s="10"/>
      <c r="H978" s="1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4">
        <v>978.0</v>
      </c>
      <c r="B979" s="5"/>
      <c r="C979" s="6" t="str">
        <f>HYPERLINK("https://leetcode.com/problems/longest-turbulent-subarray", "Longest Turbulent Subarray")</f>
        <v>Longest Turbulent Subarray</v>
      </c>
      <c r="D979" s="7" t="s">
        <v>8</v>
      </c>
      <c r="E979" s="8" t="s">
        <v>282</v>
      </c>
      <c r="F979" s="9">
        <v>0.47</v>
      </c>
      <c r="G979" s="10"/>
      <c r="H979" s="1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4">
        <v>979.0</v>
      </c>
      <c r="B980" s="5"/>
      <c r="C980" s="6" t="str">
        <f>HYPERLINK("https://leetcode.com/problems/distribute-coins-in-binary-tree", "Distribute Coins in Binary Tree")</f>
        <v>Distribute Coins in Binary Tree</v>
      </c>
      <c r="D980" s="7" t="s">
        <v>8</v>
      </c>
      <c r="E980" s="8" t="s">
        <v>69</v>
      </c>
      <c r="F980" s="9">
        <v>0.72</v>
      </c>
      <c r="G980" s="10"/>
      <c r="H980" s="1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4">
        <v>980.0</v>
      </c>
      <c r="B981" s="5"/>
      <c r="C981" s="6" t="str">
        <f>HYPERLINK("https://leetcode.com/problems/unique-paths-iii", "Unique Paths III")</f>
        <v>Unique Paths III</v>
      </c>
      <c r="D981" s="7" t="s">
        <v>11</v>
      </c>
      <c r="E981" s="8" t="s">
        <v>462</v>
      </c>
      <c r="F981" s="9">
        <v>0.79</v>
      </c>
      <c r="G981" s="10"/>
      <c r="H981" s="1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4">
        <v>981.0</v>
      </c>
      <c r="B982" s="5"/>
      <c r="C982" s="6" t="str">
        <f>HYPERLINK("https://leetcode.com/problems/time-based-key-value-store", "Time Based Key-Value Store")</f>
        <v>Time Based Key-Value Store</v>
      </c>
      <c r="D982" s="7" t="s">
        <v>8</v>
      </c>
      <c r="E982" s="8" t="s">
        <v>463</v>
      </c>
      <c r="F982" s="9">
        <v>0.53</v>
      </c>
      <c r="G982" s="10"/>
      <c r="H982" s="1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4">
        <v>982.0</v>
      </c>
      <c r="B983" s="5"/>
      <c r="C983" s="6" t="str">
        <f>HYPERLINK("https://leetcode.com/problems/triples-with-bitwise-and-equal-to-zero", "Triples with Bitwise AND Equal To Zero")</f>
        <v>Triples with Bitwise AND Equal To Zero</v>
      </c>
      <c r="D983" s="7" t="s">
        <v>11</v>
      </c>
      <c r="E983" s="8" t="s">
        <v>464</v>
      </c>
      <c r="F983" s="9">
        <v>0.57</v>
      </c>
      <c r="G983" s="10"/>
      <c r="H983" s="1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4">
        <v>983.0</v>
      </c>
      <c r="B984" s="5"/>
      <c r="C984" s="6" t="str">
        <f>HYPERLINK("https://leetcode.com/problems/minimum-cost-for-tickets", "Minimum Cost For Tickets")</f>
        <v>Minimum Cost For Tickets</v>
      </c>
      <c r="D984" s="7" t="s">
        <v>8</v>
      </c>
      <c r="E984" s="8" t="s">
        <v>73</v>
      </c>
      <c r="F984" s="9">
        <v>0.64</v>
      </c>
      <c r="G984" s="10"/>
      <c r="H984" s="1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4">
        <v>984.0</v>
      </c>
      <c r="B985" s="5"/>
      <c r="C985" s="6" t="str">
        <f>HYPERLINK("https://leetcode.com/problems/string-without-aaa-or-bbb", "String Without AAA or BBB")</f>
        <v>String Without AAA or BBB</v>
      </c>
      <c r="D985" s="7" t="s">
        <v>8</v>
      </c>
      <c r="E985" s="8" t="s">
        <v>465</v>
      </c>
      <c r="F985" s="9">
        <v>0.42</v>
      </c>
      <c r="G985" s="10"/>
      <c r="H985" s="1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4">
        <v>985.0</v>
      </c>
      <c r="B986" s="5"/>
      <c r="C986" s="6" t="str">
        <f>HYPERLINK("https://leetcode.com/problems/sum-of-even-numbers-after-queries", "Sum of Even Numbers After Queries")</f>
        <v>Sum of Even Numbers After Queries</v>
      </c>
      <c r="D986" s="7" t="s">
        <v>8</v>
      </c>
      <c r="E986" s="8" t="s">
        <v>288</v>
      </c>
      <c r="F986" s="9">
        <v>0.68</v>
      </c>
      <c r="G986" s="10"/>
      <c r="H986" s="1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4">
        <v>986.0</v>
      </c>
      <c r="B987" s="5"/>
      <c r="C987" s="6" t="str">
        <f>HYPERLINK("https://leetcode.com/problems/interval-list-intersections", "Interval List Intersections")</f>
        <v>Interval List Intersections</v>
      </c>
      <c r="D987" s="7" t="s">
        <v>8</v>
      </c>
      <c r="E987" s="8" t="s">
        <v>26</v>
      </c>
      <c r="F987" s="9">
        <v>0.71</v>
      </c>
      <c r="G987" s="10"/>
      <c r="H987" s="1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4">
        <v>987.0</v>
      </c>
      <c r="B988" s="5"/>
      <c r="C988" s="6" t="str">
        <f>HYPERLINK("https://leetcode.com/problems/vertical-order-traversal-of-a-binary-tree", "Vertical Order Traversal of a Binary Tree")</f>
        <v>Vertical Order Traversal of a Binary Tree</v>
      </c>
      <c r="D988" s="7" t="s">
        <v>11</v>
      </c>
      <c r="E988" s="8" t="s">
        <v>182</v>
      </c>
      <c r="F988" s="9">
        <v>0.44</v>
      </c>
      <c r="G988" s="10"/>
      <c r="H988" s="1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4">
        <v>988.0</v>
      </c>
      <c r="B989" s="5"/>
      <c r="C989" s="6" t="str">
        <f>HYPERLINK("https://leetcode.com/problems/smallest-string-starting-from-leaf", "Smallest String Starting From Leaf")</f>
        <v>Smallest String Starting From Leaf</v>
      </c>
      <c r="D989" s="7" t="s">
        <v>8</v>
      </c>
      <c r="E989" s="8" t="s">
        <v>304</v>
      </c>
      <c r="F989" s="9">
        <v>0.49</v>
      </c>
      <c r="G989" s="10"/>
      <c r="H989" s="1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4">
        <v>989.0</v>
      </c>
      <c r="B990" s="5"/>
      <c r="C990" s="6" t="str">
        <f>HYPERLINK("https://leetcode.com/problems/add-to-array-form-of-integer", "Add to Array-Form of Integer")</f>
        <v>Add to Array-Form of Integer</v>
      </c>
      <c r="D990" s="7" t="s">
        <v>6</v>
      </c>
      <c r="E990" s="8" t="s">
        <v>48</v>
      </c>
      <c r="F990" s="9">
        <v>0.45</v>
      </c>
      <c r="G990" s="10"/>
      <c r="H990" s="1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4">
        <v>990.0</v>
      </c>
      <c r="B991" s="5"/>
      <c r="C991" s="6" t="str">
        <f>HYPERLINK("https://leetcode.com/problems/satisfiability-of-equality-equations", "Satisfiability of Equality Equations")</f>
        <v>Satisfiability of Equality Equations</v>
      </c>
      <c r="D991" s="7" t="s">
        <v>8</v>
      </c>
      <c r="E991" s="8" t="s">
        <v>466</v>
      </c>
      <c r="F991" s="9">
        <v>0.5</v>
      </c>
      <c r="G991" s="10"/>
      <c r="H991" s="1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4">
        <v>991.0</v>
      </c>
      <c r="B992" s="5"/>
      <c r="C992" s="6" t="str">
        <f>HYPERLINK("https://leetcode.com/problems/broken-calculator", "Broken Calculator")</f>
        <v>Broken Calculator</v>
      </c>
      <c r="D992" s="7" t="s">
        <v>8</v>
      </c>
      <c r="E992" s="8" t="s">
        <v>325</v>
      </c>
      <c r="F992" s="9">
        <v>0.54</v>
      </c>
      <c r="G992" s="10"/>
      <c r="H992" s="1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4">
        <v>992.0</v>
      </c>
      <c r="B993" s="5"/>
      <c r="C993" s="6" t="str">
        <f>HYPERLINK("https://leetcode.com/problems/subarrays-with-k-different-integers", "Subarrays with K Different Integers")</f>
        <v>Subarrays with K Different Integers</v>
      </c>
      <c r="D993" s="7" t="s">
        <v>11</v>
      </c>
      <c r="E993" s="8" t="s">
        <v>467</v>
      </c>
      <c r="F993" s="9">
        <v>0.54</v>
      </c>
      <c r="G993" s="10"/>
      <c r="H993" s="1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4">
        <v>993.0</v>
      </c>
      <c r="B994" s="5"/>
      <c r="C994" s="6" t="str">
        <f>HYPERLINK("https://leetcode.com/problems/cousins-in-binary-tree", "Cousins in Binary Tree")</f>
        <v>Cousins in Binary Tree</v>
      </c>
      <c r="D994" s="7" t="s">
        <v>6</v>
      </c>
      <c r="E994" s="8" t="s">
        <v>64</v>
      </c>
      <c r="F994" s="9">
        <v>0.54</v>
      </c>
      <c r="G994" s="10"/>
      <c r="H994" s="1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4">
        <v>994.0</v>
      </c>
      <c r="B995" s="5"/>
      <c r="C995" s="6" t="str">
        <f>HYPERLINK("https://leetcode.com/problems/rotting-oranges", "Rotting Oranges")</f>
        <v>Rotting Oranges</v>
      </c>
      <c r="D995" s="7" t="s">
        <v>8</v>
      </c>
      <c r="E995" s="8" t="s">
        <v>164</v>
      </c>
      <c r="F995" s="9">
        <v>0.52</v>
      </c>
      <c r="G995" s="10"/>
      <c r="H995" s="1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4">
        <v>995.0</v>
      </c>
      <c r="B996" s="5"/>
      <c r="C996" s="6" t="str">
        <f>HYPERLINK("https://leetcode.com/problems/minimum-number-of-k-consecutive-bit-flips", "Minimum Number of K Consecutive Bit Flips")</f>
        <v>Minimum Number of K Consecutive Bit Flips</v>
      </c>
      <c r="D996" s="7" t="s">
        <v>11</v>
      </c>
      <c r="E996" s="8" t="s">
        <v>468</v>
      </c>
      <c r="F996" s="9">
        <v>0.51</v>
      </c>
      <c r="G996" s="10"/>
      <c r="H996" s="1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4">
        <v>996.0</v>
      </c>
      <c r="B997" s="5"/>
      <c r="C997" s="6" t="str">
        <f>HYPERLINK("https://leetcode.com/problems/number-of-squareful-arrays", "Number of Squareful Arrays")</f>
        <v>Number of Squareful Arrays</v>
      </c>
      <c r="D997" s="7" t="s">
        <v>11</v>
      </c>
      <c r="E997" s="8" t="s">
        <v>469</v>
      </c>
      <c r="F997" s="9">
        <v>0.49</v>
      </c>
      <c r="G997" s="10"/>
      <c r="H997" s="10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4">
        <v>997.0</v>
      </c>
      <c r="B998" s="5"/>
      <c r="C998" s="6" t="str">
        <f>HYPERLINK("https://leetcode.com/problems/find-the-town-judge", "Find the Town Judge")</f>
        <v>Find the Town Judge</v>
      </c>
      <c r="D998" s="7" t="s">
        <v>6</v>
      </c>
      <c r="E998" s="8" t="s">
        <v>470</v>
      </c>
      <c r="F998" s="9">
        <v>0.49</v>
      </c>
      <c r="G998" s="10"/>
      <c r="H998" s="10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4">
        <v>998.0</v>
      </c>
      <c r="B999" s="5"/>
      <c r="C999" s="6" t="str">
        <f>HYPERLINK("https://leetcode.com/problems/maximum-binary-tree-ii", "Maximum Binary Tree II")</f>
        <v>Maximum Binary Tree II</v>
      </c>
      <c r="D999" s="7" t="s">
        <v>8</v>
      </c>
      <c r="E999" s="8" t="s">
        <v>471</v>
      </c>
      <c r="F999" s="9">
        <v>0.66</v>
      </c>
      <c r="G999" s="10"/>
      <c r="H999" s="1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4">
        <v>999.0</v>
      </c>
      <c r="B1000" s="5"/>
      <c r="C1000" s="6" t="str">
        <f>HYPERLINK("https://leetcode.com/problems/available-captures-for-rook", "Available Captures for Rook")</f>
        <v>Available Captures for Rook</v>
      </c>
      <c r="D1000" s="7" t="s">
        <v>6</v>
      </c>
      <c r="E1000" s="8" t="s">
        <v>43</v>
      </c>
      <c r="F1000" s="9">
        <v>0.67</v>
      </c>
      <c r="G1000" s="10"/>
      <c r="H1000" s="10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4.25" customHeight="1">
      <c r="A1001" s="4">
        <v>1000.0</v>
      </c>
      <c r="B1001" s="5"/>
      <c r="C1001" s="6" t="str">
        <f>HYPERLINK("https://leetcode.com/problems/minimum-cost-to-merge-stones", "Minimum Cost to Merge Stones")</f>
        <v>Minimum Cost to Merge Stones</v>
      </c>
      <c r="D1001" s="7" t="s">
        <v>11</v>
      </c>
      <c r="E1001" s="8" t="s">
        <v>73</v>
      </c>
      <c r="F1001" s="9">
        <v>0.42</v>
      </c>
      <c r="G1001" s="10"/>
      <c r="H1001" s="10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4.25" customHeight="1">
      <c r="A1002" s="4">
        <v>1001.0</v>
      </c>
      <c r="B1002" s="5"/>
      <c r="C1002" s="6" t="str">
        <f>HYPERLINK("https://leetcode.com/problems/grid-illumination", "Grid Illumination")</f>
        <v>Grid Illumination</v>
      </c>
      <c r="D1002" s="7" t="s">
        <v>11</v>
      </c>
      <c r="E1002" s="8" t="s">
        <v>7</v>
      </c>
      <c r="F1002" s="9">
        <v>0.36</v>
      </c>
      <c r="G1002" s="10"/>
      <c r="H1002" s="10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4.25" customHeight="1">
      <c r="A1003" s="4">
        <v>1002.0</v>
      </c>
      <c r="B1003" s="5"/>
      <c r="C1003" s="6" t="str">
        <f>HYPERLINK("https://leetcode.com/problems/find-common-characters", "Find Common Characters")</f>
        <v>Find Common Characters</v>
      </c>
      <c r="D1003" s="7" t="s">
        <v>6</v>
      </c>
      <c r="E1003" s="8" t="s">
        <v>139</v>
      </c>
      <c r="F1003" s="9">
        <v>0.68</v>
      </c>
      <c r="G1003" s="10"/>
      <c r="H1003" s="10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4.25" customHeight="1">
      <c r="A1004" s="4">
        <v>1003.0</v>
      </c>
      <c r="B1004" s="5"/>
      <c r="C1004" s="6" t="str">
        <f>HYPERLINK("https://leetcode.com/problems/check-if-word-is-valid-after-substitutions", "Check If Word Is Valid After Substitutions")</f>
        <v>Check If Word Is Valid After Substitutions</v>
      </c>
      <c r="D1004" s="7" t="s">
        <v>8</v>
      </c>
      <c r="E1004" s="8" t="s">
        <v>22</v>
      </c>
      <c r="F1004" s="9">
        <v>0.58</v>
      </c>
      <c r="G1004" s="10"/>
      <c r="H1004" s="10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4.25" customHeight="1">
      <c r="A1005" s="4">
        <v>1004.0</v>
      </c>
      <c r="B1005" s="5"/>
      <c r="C1005" s="6" t="str">
        <f>HYPERLINK("https://leetcode.com/problems/max-consecutive-ones-iii", "Max Consecutive Ones III")</f>
        <v>Max Consecutive Ones III</v>
      </c>
      <c r="D1005" s="7" t="s">
        <v>8</v>
      </c>
      <c r="E1005" s="8" t="s">
        <v>113</v>
      </c>
      <c r="F1005" s="9">
        <v>0.63</v>
      </c>
      <c r="G1005" s="10"/>
      <c r="H1005" s="10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4.25" customHeight="1">
      <c r="A1006" s="4">
        <v>1005.0</v>
      </c>
      <c r="B1006" s="5"/>
      <c r="C1006" s="6" t="str">
        <f>HYPERLINK("https://leetcode.com/problems/maximize-sum-of-array-after-k-negations", "Maximize Sum Of Array After K Negations")</f>
        <v>Maximize Sum Of Array After K Negations</v>
      </c>
      <c r="D1006" s="7" t="s">
        <v>6</v>
      </c>
      <c r="E1006" s="8" t="s">
        <v>160</v>
      </c>
      <c r="F1006" s="9">
        <v>0.5</v>
      </c>
      <c r="G1006" s="10"/>
      <c r="H1006" s="10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4.25" customHeight="1">
      <c r="A1007" s="4">
        <v>1006.0</v>
      </c>
      <c r="B1007" s="5"/>
      <c r="C1007" s="6" t="str">
        <f>HYPERLINK("https://leetcode.com/problems/clumsy-factorial", "Clumsy Factorial")</f>
        <v>Clumsy Factorial</v>
      </c>
      <c r="D1007" s="7" t="s">
        <v>8</v>
      </c>
      <c r="E1007" s="8" t="s">
        <v>472</v>
      </c>
      <c r="F1007" s="9">
        <v>0.55</v>
      </c>
      <c r="G1007" s="10"/>
      <c r="H1007" s="10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4.25" customHeight="1">
      <c r="A1008" s="4">
        <v>1007.0</v>
      </c>
      <c r="B1008" s="5"/>
      <c r="C1008" s="6" t="str">
        <f>HYPERLINK("https://leetcode.com/problems/minimum-domino-rotations-for-equal-row", "Minimum Domino Rotations For Equal Row")</f>
        <v>Minimum Domino Rotations For Equal Row</v>
      </c>
      <c r="D1008" s="7" t="s">
        <v>8</v>
      </c>
      <c r="E1008" s="8" t="s">
        <v>81</v>
      </c>
      <c r="F1008" s="9">
        <v>0.52</v>
      </c>
      <c r="G1008" s="10"/>
      <c r="H1008" s="10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4.25" customHeight="1">
      <c r="A1009" s="4">
        <v>1008.0</v>
      </c>
      <c r="B1009" s="5"/>
      <c r="C1009" s="6" t="str">
        <f>HYPERLINK("https://leetcode.com/problems/construct-binary-search-tree-from-preorder-traversal", "Construct Binary Search Tree from Preorder Traversal")</f>
        <v>Construct Binary Search Tree from Preorder Traversal</v>
      </c>
      <c r="D1009" s="7" t="s">
        <v>8</v>
      </c>
      <c r="E1009" s="8" t="s">
        <v>473</v>
      </c>
      <c r="F1009" s="9">
        <v>0.8</v>
      </c>
      <c r="G1009" s="10"/>
      <c r="H1009" s="10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4.25" customHeight="1">
      <c r="A1010" s="4">
        <v>1009.0</v>
      </c>
      <c r="B1010" s="5"/>
      <c r="C1010" s="6" t="str">
        <f>HYPERLINK("https://leetcode.com/problems/complement-of-base-10-integer", "Complement of Base 10 Integer")</f>
        <v>Complement of Base 10 Integer</v>
      </c>
      <c r="D1010" s="7" t="s">
        <v>6</v>
      </c>
      <c r="E1010" s="8" t="s">
        <v>107</v>
      </c>
      <c r="F1010" s="9">
        <v>0.61</v>
      </c>
      <c r="G1010" s="10"/>
      <c r="H1010" s="10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4.25" customHeight="1">
      <c r="A1011" s="4">
        <v>1010.0</v>
      </c>
      <c r="B1011" s="5"/>
      <c r="C1011" s="6" t="str">
        <f>HYPERLINK("https://leetcode.com/problems/pairs-of-songs-with-total-durations-divisible-by-60", "Pairs of Songs With Total Durations Divisible by 60")</f>
        <v>Pairs of Songs With Total Durations Divisible by 60</v>
      </c>
      <c r="D1011" s="7" t="s">
        <v>8</v>
      </c>
      <c r="E1011" s="8" t="s">
        <v>474</v>
      </c>
      <c r="F1011" s="9">
        <v>0.52</v>
      </c>
      <c r="G1011" s="10"/>
      <c r="H1011" s="10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4.25" customHeight="1">
      <c r="A1012" s="4">
        <v>1011.0</v>
      </c>
      <c r="B1012" s="5"/>
      <c r="C1012" s="6" t="str">
        <f>HYPERLINK("https://leetcode.com/problems/capacity-to-ship-packages-within-d-days", "Capacity To Ship Packages Within D Days")</f>
        <v>Capacity To Ship Packages Within D Days</v>
      </c>
      <c r="D1012" s="7" t="s">
        <v>8</v>
      </c>
      <c r="E1012" s="8" t="s">
        <v>30</v>
      </c>
      <c r="F1012" s="9">
        <v>0.64</v>
      </c>
      <c r="G1012" s="10"/>
      <c r="H1012" s="10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4.25" customHeight="1">
      <c r="A1013" s="4">
        <v>1012.0</v>
      </c>
      <c r="B1013" s="5"/>
      <c r="C1013" s="6" t="str">
        <f>HYPERLINK("https://leetcode.com/problems/numbers-with-repeated-digits", "Numbers With Repeated Digits")</f>
        <v>Numbers With Repeated Digits</v>
      </c>
      <c r="D1013" s="7" t="s">
        <v>11</v>
      </c>
      <c r="E1013" s="8" t="s">
        <v>201</v>
      </c>
      <c r="F1013" s="9">
        <v>0.4</v>
      </c>
      <c r="G1013" s="10"/>
      <c r="H1013" s="10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4.25" customHeight="1">
      <c r="A1014" s="4">
        <v>1013.0</v>
      </c>
      <c r="B1014" s="5"/>
      <c r="C1014" s="6" t="str">
        <f>HYPERLINK("https://leetcode.com/problems/partition-array-into-three-parts-with-equal-sum", "Partition Array Into Three Parts With Equal Sum")</f>
        <v>Partition Array Into Three Parts With Equal Sum</v>
      </c>
      <c r="D1014" s="7" t="s">
        <v>6</v>
      </c>
      <c r="E1014" s="8" t="s">
        <v>81</v>
      </c>
      <c r="F1014" s="9">
        <v>0.43</v>
      </c>
      <c r="G1014" s="10"/>
      <c r="H1014" s="10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4.25" customHeight="1">
      <c r="A1015" s="4">
        <v>1014.0</v>
      </c>
      <c r="B1015" s="5"/>
      <c r="C1015" s="6" t="str">
        <f>HYPERLINK("https://leetcode.com/problems/best-sightseeing-pair", "Best Sightseeing Pair")</f>
        <v>Best Sightseeing Pair</v>
      </c>
      <c r="D1015" s="7" t="s">
        <v>8</v>
      </c>
      <c r="E1015" s="8" t="s">
        <v>73</v>
      </c>
      <c r="F1015" s="9">
        <v>0.59</v>
      </c>
      <c r="G1015" s="10"/>
      <c r="H1015" s="10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4.25" customHeight="1">
      <c r="A1016" s="4">
        <v>1015.0</v>
      </c>
      <c r="B1016" s="5"/>
      <c r="C1016" s="6" t="str">
        <f>HYPERLINK("https://leetcode.com/problems/smallest-integer-divisible-by-k", "Smallest Integer Divisible by K")</f>
        <v>Smallest Integer Divisible by K</v>
      </c>
      <c r="D1016" s="7" t="s">
        <v>8</v>
      </c>
      <c r="E1016" s="8" t="s">
        <v>459</v>
      </c>
      <c r="F1016" s="9">
        <v>0.47</v>
      </c>
      <c r="G1016" s="10"/>
      <c r="H1016" s="10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4.25" customHeight="1">
      <c r="A1017" s="4">
        <v>1016.0</v>
      </c>
      <c r="B1017" s="5"/>
      <c r="C1017" s="6" t="str">
        <f>HYPERLINK("https://leetcode.com/problems/binary-string-with-substrings-representing-1-to-n", "Binary String With Substrings Representing 1 To N")</f>
        <v>Binary String With Substrings Representing 1 To N</v>
      </c>
      <c r="D1017" s="7" t="s">
        <v>8</v>
      </c>
      <c r="E1017" s="8" t="s">
        <v>14</v>
      </c>
      <c r="F1017" s="9">
        <v>0.57</v>
      </c>
      <c r="G1017" s="10"/>
      <c r="H1017" s="10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4.25" customHeight="1">
      <c r="A1018" s="4">
        <v>1017.0</v>
      </c>
      <c r="B1018" s="5"/>
      <c r="C1018" s="6" t="str">
        <f>HYPERLINK("https://leetcode.com/problems/convert-to-base-2", "Convert to Base -2")</f>
        <v>Convert to Base -2</v>
      </c>
      <c r="D1018" s="7" t="s">
        <v>8</v>
      </c>
      <c r="E1018" s="8" t="s">
        <v>15</v>
      </c>
      <c r="F1018" s="9">
        <v>0.6</v>
      </c>
      <c r="G1018" s="10"/>
      <c r="H1018" s="10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4.25" customHeight="1">
      <c r="A1019" s="4">
        <v>1018.0</v>
      </c>
      <c r="B1019" s="5"/>
      <c r="C1019" s="6" t="str">
        <f>HYPERLINK("https://leetcode.com/problems/binary-prefix-divisible-by-5", "Binary Prefix Divisible By 5")</f>
        <v>Binary Prefix Divisible By 5</v>
      </c>
      <c r="D1019" s="7" t="s">
        <v>6</v>
      </c>
      <c r="E1019" s="8" t="s">
        <v>45</v>
      </c>
      <c r="F1019" s="9">
        <v>0.47</v>
      </c>
      <c r="G1019" s="10"/>
      <c r="H1019" s="10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4.25" customHeight="1">
      <c r="A1020" s="4">
        <v>1019.0</v>
      </c>
      <c r="B1020" s="5"/>
      <c r="C1020" s="6" t="str">
        <f>HYPERLINK("https://leetcode.com/problems/next-greater-node-in-linked-list", "Next Greater Node In Linked List")</f>
        <v>Next Greater Node In Linked List</v>
      </c>
      <c r="D1020" s="7" t="s">
        <v>8</v>
      </c>
      <c r="E1020" s="8" t="s">
        <v>475</v>
      </c>
      <c r="F1020" s="9">
        <v>0.59</v>
      </c>
      <c r="G1020" s="10"/>
      <c r="H1020" s="10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4.25" customHeight="1">
      <c r="A1021" s="4">
        <v>1020.0</v>
      </c>
      <c r="B1021" s="5"/>
      <c r="C1021" s="6" t="str">
        <f>HYPERLINK("https://leetcode.com/problems/number-of-enclaves", "Number of Enclaves")</f>
        <v>Number of Enclaves</v>
      </c>
      <c r="D1021" s="7" t="s">
        <v>8</v>
      </c>
      <c r="E1021" s="8" t="s">
        <v>79</v>
      </c>
      <c r="F1021" s="9">
        <v>0.65</v>
      </c>
      <c r="G1021" s="10"/>
      <c r="H1021" s="10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4.25" customHeight="1">
      <c r="A1022" s="4">
        <v>1021.0</v>
      </c>
      <c r="B1022" s="5"/>
      <c r="C1022" s="6" t="str">
        <f>HYPERLINK("https://leetcode.com/problems/remove-outermost-parentheses", "Remove Outermost Parentheses")</f>
        <v>Remove Outermost Parentheses</v>
      </c>
      <c r="D1022" s="7" t="s">
        <v>6</v>
      </c>
      <c r="E1022" s="8" t="s">
        <v>22</v>
      </c>
      <c r="F1022" s="9">
        <v>0.8</v>
      </c>
      <c r="G1022" s="10"/>
      <c r="H1022" s="10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4.25" customHeight="1">
      <c r="A1023" s="4">
        <v>1022.0</v>
      </c>
      <c r="B1023" s="5"/>
      <c r="C1023" s="6" t="str">
        <f>HYPERLINK("https://leetcode.com/problems/sum-of-root-to-leaf-binary-numbers", "Sum of Root To Leaf Binary Numbers")</f>
        <v>Sum of Root To Leaf Binary Numbers</v>
      </c>
      <c r="D1023" s="7" t="s">
        <v>6</v>
      </c>
      <c r="E1023" s="8" t="s">
        <v>69</v>
      </c>
      <c r="F1023" s="9">
        <v>0.73</v>
      </c>
      <c r="G1023" s="10"/>
      <c r="H1023" s="10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4.25" customHeight="1">
      <c r="A1024" s="4">
        <v>1023.0</v>
      </c>
      <c r="B1024" s="5"/>
      <c r="C1024" s="6" t="str">
        <f>HYPERLINK("https://leetcode.com/problems/camelcase-matching", "Camelcase Matching")</f>
        <v>Camelcase Matching</v>
      </c>
      <c r="D1024" s="7" t="s">
        <v>8</v>
      </c>
      <c r="E1024" s="8" t="s">
        <v>476</v>
      </c>
      <c r="F1024" s="9">
        <v>0.6</v>
      </c>
      <c r="G1024" s="10"/>
      <c r="H1024" s="10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4.25" customHeight="1">
      <c r="A1025" s="4">
        <v>1024.0</v>
      </c>
      <c r="B1025" s="5"/>
      <c r="C1025" s="6" t="str">
        <f>HYPERLINK("https://leetcode.com/problems/video-stitching", "Video Stitching")</f>
        <v>Video Stitching</v>
      </c>
      <c r="D1025" s="7" t="s">
        <v>8</v>
      </c>
      <c r="E1025" s="8" t="s">
        <v>37</v>
      </c>
      <c r="F1025" s="9">
        <v>0.5</v>
      </c>
      <c r="G1025" s="10"/>
      <c r="H1025" s="10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4.25" customHeight="1">
      <c r="A1026" s="4">
        <v>1025.0</v>
      </c>
      <c r="B1026" s="5"/>
      <c r="C1026" s="6" t="str">
        <f>HYPERLINK("https://leetcode.com/problems/divisor-game", "Divisor Game")</f>
        <v>Divisor Game</v>
      </c>
      <c r="D1026" s="7" t="s">
        <v>6</v>
      </c>
      <c r="E1026" s="8" t="s">
        <v>477</v>
      </c>
      <c r="F1026" s="9">
        <v>0.67</v>
      </c>
      <c r="G1026" s="10"/>
      <c r="H1026" s="10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4.25" customHeight="1">
      <c r="A1027" s="4">
        <v>1026.0</v>
      </c>
      <c r="B1027" s="5"/>
      <c r="C1027" s="6" t="str">
        <f>HYPERLINK("https://leetcode.com/problems/maximum-difference-between-node-and-ancestor", "Maximum Difference Between Node and Ancestor")</f>
        <v>Maximum Difference Between Node and Ancestor</v>
      </c>
      <c r="D1027" s="7" t="s">
        <v>8</v>
      </c>
      <c r="E1027" s="8" t="s">
        <v>69</v>
      </c>
      <c r="F1027" s="9">
        <v>0.75</v>
      </c>
      <c r="G1027" s="10"/>
      <c r="H1027" s="10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4.25" customHeight="1">
      <c r="A1028" s="4">
        <v>1027.0</v>
      </c>
      <c r="B1028" s="5"/>
      <c r="C1028" s="6" t="str">
        <f>HYPERLINK("https://leetcode.com/problems/longest-arithmetic-subsequence", "Longest Arithmetic Subsequence")</f>
        <v>Longest Arithmetic Subsequence</v>
      </c>
      <c r="D1028" s="7" t="s">
        <v>8</v>
      </c>
      <c r="E1028" s="8" t="s">
        <v>478</v>
      </c>
      <c r="F1028" s="9">
        <v>0.46</v>
      </c>
      <c r="G1028" s="10"/>
      <c r="H1028" s="10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4.25" customHeight="1">
      <c r="A1029" s="4">
        <v>1028.0</v>
      </c>
      <c r="B1029" s="5"/>
      <c r="C1029" s="6" t="str">
        <f>HYPERLINK("https://leetcode.com/problems/recover-a-tree-from-preorder-traversal", "Recover a Tree From Preorder Traversal")</f>
        <v>Recover a Tree From Preorder Traversal</v>
      </c>
      <c r="D1029" s="7" t="s">
        <v>11</v>
      </c>
      <c r="E1029" s="8" t="s">
        <v>304</v>
      </c>
      <c r="F1029" s="9">
        <v>0.73</v>
      </c>
      <c r="G1029" s="10"/>
      <c r="H1029" s="10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4.25" customHeight="1">
      <c r="A1030" s="4">
        <v>1029.0</v>
      </c>
      <c r="B1030" s="5"/>
      <c r="C1030" s="6" t="str">
        <f>HYPERLINK("https://leetcode.com/problems/two-city-scheduling", "Two City Scheduling")</f>
        <v>Two City Scheduling</v>
      </c>
      <c r="D1030" s="7" t="s">
        <v>8</v>
      </c>
      <c r="E1030" s="8" t="s">
        <v>160</v>
      </c>
      <c r="F1030" s="9">
        <v>0.64</v>
      </c>
      <c r="G1030" s="10"/>
      <c r="H1030" s="10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4.25" customHeight="1">
      <c r="A1031" s="4">
        <v>1030.0</v>
      </c>
      <c r="B1031" s="5"/>
      <c r="C1031" s="6" t="str">
        <f>HYPERLINK("https://leetcode.com/problems/matrix-cells-in-distance-order", "Matrix Cells in Distance Order")</f>
        <v>Matrix Cells in Distance Order</v>
      </c>
      <c r="D1031" s="7" t="s">
        <v>6</v>
      </c>
      <c r="E1031" s="8" t="s">
        <v>479</v>
      </c>
      <c r="F1031" s="9">
        <v>0.69</v>
      </c>
      <c r="G1031" s="10"/>
      <c r="H1031" s="10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4.25" customHeight="1">
      <c r="A1032" s="4">
        <v>1031.0</v>
      </c>
      <c r="B1032" s="5"/>
      <c r="C1032" s="6" t="str">
        <f>HYPERLINK("https://leetcode.com/problems/maximum-sum-of-two-non-overlapping-subarrays", "Maximum Sum of Two Non-Overlapping Subarrays")</f>
        <v>Maximum Sum of Two Non-Overlapping Subarrays</v>
      </c>
      <c r="D1032" s="7" t="s">
        <v>8</v>
      </c>
      <c r="E1032" s="8" t="s">
        <v>282</v>
      </c>
      <c r="F1032" s="9">
        <v>0.59</v>
      </c>
      <c r="G1032" s="10"/>
      <c r="H1032" s="10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4.25" customHeight="1">
      <c r="A1033" s="4">
        <v>1032.0</v>
      </c>
      <c r="B1033" s="5"/>
      <c r="C1033" s="6" t="str">
        <f>HYPERLINK("https://leetcode.com/problems/stream-of-characters", "Stream of Characters")</f>
        <v>Stream of Characters</v>
      </c>
      <c r="D1033" s="7" t="s">
        <v>11</v>
      </c>
      <c r="E1033" s="8" t="s">
        <v>480</v>
      </c>
      <c r="F1033" s="9">
        <v>0.51</v>
      </c>
      <c r="G1033" s="10"/>
      <c r="H1033" s="10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4.25" customHeight="1">
      <c r="A1034" s="4">
        <v>1033.0</v>
      </c>
      <c r="B1034" s="5"/>
      <c r="C1034" s="6" t="str">
        <f>HYPERLINK("https://leetcode.com/problems/moving-stones-until-consecutive", "Moving Stones Until Consecutive")</f>
        <v>Moving Stones Until Consecutive</v>
      </c>
      <c r="D1034" s="7" t="s">
        <v>8</v>
      </c>
      <c r="E1034" s="8" t="s">
        <v>186</v>
      </c>
      <c r="F1034" s="9">
        <v>0.45</v>
      </c>
      <c r="G1034" s="10"/>
      <c r="H1034" s="10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4.25" customHeight="1">
      <c r="A1035" s="4">
        <v>1034.0</v>
      </c>
      <c r="B1035" s="5"/>
      <c r="C1035" s="6" t="str">
        <f>HYPERLINK("https://leetcode.com/problems/coloring-a-border", "Coloring A Border")</f>
        <v>Coloring A Border</v>
      </c>
      <c r="D1035" s="7" t="s">
        <v>8</v>
      </c>
      <c r="E1035" s="8" t="s">
        <v>246</v>
      </c>
      <c r="F1035" s="9">
        <v>0.48</v>
      </c>
      <c r="G1035" s="10"/>
      <c r="H1035" s="10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4.25" customHeight="1">
      <c r="A1036" s="4">
        <v>1035.0</v>
      </c>
      <c r="B1036" s="5"/>
      <c r="C1036" s="6" t="str">
        <f>HYPERLINK("https://leetcode.com/problems/uncrossed-lines", "Uncrossed Lines")</f>
        <v>Uncrossed Lines</v>
      </c>
      <c r="D1036" s="7" t="s">
        <v>8</v>
      </c>
      <c r="E1036" s="8" t="s">
        <v>73</v>
      </c>
      <c r="F1036" s="9">
        <v>0.58</v>
      </c>
      <c r="G1036" s="10"/>
      <c r="H1036" s="10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4.25" customHeight="1">
      <c r="A1037" s="4">
        <v>1036.0</v>
      </c>
      <c r="B1037" s="5"/>
      <c r="C1037" s="6" t="str">
        <f>HYPERLINK("https://leetcode.com/problems/escape-a-large-maze", "Escape a Large Maze")</f>
        <v>Escape a Large Maze</v>
      </c>
      <c r="D1037" s="7" t="s">
        <v>11</v>
      </c>
      <c r="E1037" s="8" t="s">
        <v>481</v>
      </c>
      <c r="F1037" s="9">
        <v>0.34</v>
      </c>
      <c r="G1037" s="10"/>
      <c r="H1037" s="10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4.25" customHeight="1">
      <c r="A1038" s="4">
        <v>1037.0</v>
      </c>
      <c r="B1038" s="5"/>
      <c r="C1038" s="6" t="str">
        <f>HYPERLINK("https://leetcode.com/problems/valid-boomerang", "Valid Boomerang")</f>
        <v>Valid Boomerang</v>
      </c>
      <c r="D1038" s="7" t="s">
        <v>6</v>
      </c>
      <c r="E1038" s="8" t="s">
        <v>196</v>
      </c>
      <c r="F1038" s="9">
        <v>0.37</v>
      </c>
      <c r="G1038" s="10"/>
      <c r="H1038" s="10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4.25" customHeight="1">
      <c r="A1039" s="4">
        <v>1038.0</v>
      </c>
      <c r="B1039" s="5"/>
      <c r="C1039" s="6" t="str">
        <f>HYPERLINK("https://leetcode.com/problems/binary-search-tree-to-greater-sum-tree", "Binary Search Tree to Greater Sum Tree")</f>
        <v>Binary Search Tree to Greater Sum Tree</v>
      </c>
      <c r="D1039" s="7" t="s">
        <v>8</v>
      </c>
      <c r="E1039" s="8" t="s">
        <v>63</v>
      </c>
      <c r="F1039" s="9">
        <v>0.85</v>
      </c>
      <c r="G1039" s="10"/>
      <c r="H1039" s="10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4.25" customHeight="1">
      <c r="A1040" s="4">
        <v>1039.0</v>
      </c>
      <c r="B1040" s="5"/>
      <c r="C1040" s="6" t="str">
        <f>HYPERLINK("https://leetcode.com/problems/minimum-score-triangulation-of-polygon", "Minimum Score Triangulation of Polygon")</f>
        <v>Minimum Score Triangulation of Polygon</v>
      </c>
      <c r="D1040" s="7" t="s">
        <v>8</v>
      </c>
      <c r="E1040" s="8" t="s">
        <v>73</v>
      </c>
      <c r="F1040" s="9">
        <v>0.54</v>
      </c>
      <c r="G1040" s="10"/>
      <c r="H1040" s="10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4.25" customHeight="1">
      <c r="A1041" s="4">
        <v>1040.0</v>
      </c>
      <c r="B1041" s="5"/>
      <c r="C1041" s="6" t="str">
        <f>HYPERLINK("https://leetcode.com/problems/moving-stones-until-consecutive-ii", "Moving Stones Until Consecutive II")</f>
        <v>Moving Stones Until Consecutive II</v>
      </c>
      <c r="D1041" s="7" t="s">
        <v>8</v>
      </c>
      <c r="E1041" s="8" t="s">
        <v>215</v>
      </c>
      <c r="F1041" s="9">
        <v>0.55</v>
      </c>
      <c r="G1041" s="10"/>
      <c r="H1041" s="10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4.25" customHeight="1">
      <c r="A1042" s="4">
        <v>1041.0</v>
      </c>
      <c r="B1042" s="5"/>
      <c r="C1042" s="6" t="str">
        <f>HYPERLINK("https://leetcode.com/problems/robot-bounded-in-circle", "Robot Bounded In Circle")</f>
        <v>Robot Bounded In Circle</v>
      </c>
      <c r="D1042" s="7" t="s">
        <v>8</v>
      </c>
      <c r="E1042" s="8" t="s">
        <v>35</v>
      </c>
      <c r="F1042" s="9">
        <v>0.55</v>
      </c>
      <c r="G1042" s="10"/>
      <c r="H1042" s="10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4.25" customHeight="1">
      <c r="A1043" s="4">
        <v>1042.0</v>
      </c>
      <c r="B1043" s="5"/>
      <c r="C1043" s="6" t="str">
        <f>HYPERLINK("https://leetcode.com/problems/flower-planting-with-no-adjacent", "Flower Planting With No Adjacent")</f>
        <v>Flower Planting With No Adjacent</v>
      </c>
      <c r="D1043" s="7" t="s">
        <v>8</v>
      </c>
      <c r="E1043" s="8" t="s">
        <v>285</v>
      </c>
      <c r="F1043" s="9">
        <v>0.5</v>
      </c>
      <c r="G1043" s="10"/>
      <c r="H1043" s="10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4.25" customHeight="1">
      <c r="A1044" s="4">
        <v>1043.0</v>
      </c>
      <c r="B1044" s="5"/>
      <c r="C1044" s="6" t="str">
        <f>HYPERLINK("https://leetcode.com/problems/partition-array-for-maximum-sum", "Partition Array for Maximum Sum")</f>
        <v>Partition Array for Maximum Sum</v>
      </c>
      <c r="D1044" s="7" t="s">
        <v>8</v>
      </c>
      <c r="E1044" s="8" t="s">
        <v>73</v>
      </c>
      <c r="F1044" s="9">
        <v>0.71</v>
      </c>
      <c r="G1044" s="10"/>
      <c r="H1044" s="10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4.25" customHeight="1">
      <c r="A1045" s="4">
        <v>1044.0</v>
      </c>
      <c r="B1045" s="5"/>
      <c r="C1045" s="6" t="str">
        <f>HYPERLINK("https://leetcode.com/problems/longest-duplicate-substring", "Longest Duplicate Substring")</f>
        <v>Longest Duplicate Substring</v>
      </c>
      <c r="D1045" s="7" t="s">
        <v>11</v>
      </c>
      <c r="E1045" s="8" t="s">
        <v>482</v>
      </c>
      <c r="F1045" s="9">
        <v>0.3</v>
      </c>
      <c r="G1045" s="10"/>
      <c r="H1045" s="10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4.25" customHeight="1">
      <c r="A1046" s="11">
        <v>1045.0</v>
      </c>
      <c r="B1046" s="5"/>
      <c r="C1046" s="12" t="str">
        <f>HYPERLINK("https://leetcode.com/problems/customers-who-bought-all-products", "Customers Who Bought All Products")</f>
        <v>Customers Who Bought All Products</v>
      </c>
      <c r="D1046" s="7" t="s">
        <v>8</v>
      </c>
      <c r="E1046" s="8" t="s">
        <v>101</v>
      </c>
      <c r="F1046" s="9">
        <v>0.67</v>
      </c>
      <c r="G1046" s="10"/>
      <c r="H1046" s="10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4.25" customHeight="1">
      <c r="A1047" s="4">
        <v>1046.0</v>
      </c>
      <c r="B1047" s="5"/>
      <c r="C1047" s="6" t="str">
        <f>HYPERLINK("https://leetcode.com/problems/last-stone-weight", "Last Stone Weight")</f>
        <v>Last Stone Weight</v>
      </c>
      <c r="D1047" s="7" t="s">
        <v>6</v>
      </c>
      <c r="E1047" s="8" t="s">
        <v>223</v>
      </c>
      <c r="F1047" s="9">
        <v>0.64</v>
      </c>
      <c r="G1047" s="10"/>
      <c r="H1047" s="10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4.25" customHeight="1">
      <c r="A1048" s="4">
        <v>1047.0</v>
      </c>
      <c r="B1048" s="5"/>
      <c r="C1048" s="6" t="str">
        <f>HYPERLINK("https://leetcode.com/problems/remove-all-adjacent-duplicates-in-string", "Remove All Adjacent Duplicates In String")</f>
        <v>Remove All Adjacent Duplicates In String</v>
      </c>
      <c r="D1048" s="7" t="s">
        <v>6</v>
      </c>
      <c r="E1048" s="8" t="s">
        <v>22</v>
      </c>
      <c r="F1048" s="9">
        <v>0.7</v>
      </c>
      <c r="G1048" s="10"/>
      <c r="H1048" s="10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4.25" customHeight="1">
      <c r="A1049" s="4">
        <v>1048.0</v>
      </c>
      <c r="B1049" s="5"/>
      <c r="C1049" s="6" t="str">
        <f>HYPERLINK("https://leetcode.com/problems/longest-string-chain", "Longest String Chain")</f>
        <v>Longest String Chain</v>
      </c>
      <c r="D1049" s="7" t="s">
        <v>8</v>
      </c>
      <c r="E1049" s="8" t="s">
        <v>483</v>
      </c>
      <c r="F1049" s="9">
        <v>0.59</v>
      </c>
      <c r="G1049" s="10"/>
      <c r="H1049" s="10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4.25" customHeight="1">
      <c r="A1050" s="4">
        <v>1049.0</v>
      </c>
      <c r="B1050" s="5"/>
      <c r="C1050" s="6" t="str">
        <f>HYPERLINK("https://leetcode.com/problems/last-stone-weight-ii", "Last Stone Weight II")</f>
        <v>Last Stone Weight II</v>
      </c>
      <c r="D1050" s="7" t="s">
        <v>8</v>
      </c>
      <c r="E1050" s="8" t="s">
        <v>73</v>
      </c>
      <c r="F1050" s="9">
        <v>0.52</v>
      </c>
      <c r="G1050" s="10"/>
      <c r="H1050" s="10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4.25" customHeight="1">
      <c r="A1051" s="4">
        <v>1050.0</v>
      </c>
      <c r="B1051" s="5"/>
      <c r="C1051" s="6" t="str">
        <f>HYPERLINK("https://leetcode.com/problems/actors-and-directors-who-cooperated-at-least-three-times", "Actors and Directors Who Cooperated At Least Three Times")</f>
        <v>Actors and Directors Who Cooperated At Least Three Times</v>
      </c>
      <c r="D1051" s="7" t="s">
        <v>6</v>
      </c>
      <c r="E1051" s="8" t="s">
        <v>101</v>
      </c>
      <c r="F1051" s="9">
        <v>0.71</v>
      </c>
      <c r="G1051" s="10"/>
      <c r="H1051" s="10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4.25" customHeight="1">
      <c r="A1052" s="4">
        <v>1051.0</v>
      </c>
      <c r="B1052" s="5"/>
      <c r="C1052" s="6" t="str">
        <f>HYPERLINK("https://leetcode.com/problems/height-checker", "Height Checker")</f>
        <v>Height Checker</v>
      </c>
      <c r="D1052" s="7" t="s">
        <v>6</v>
      </c>
      <c r="E1052" s="8" t="s">
        <v>155</v>
      </c>
      <c r="F1052" s="9">
        <v>0.75</v>
      </c>
      <c r="G1052" s="10"/>
      <c r="H1052" s="10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4.25" customHeight="1">
      <c r="A1053" s="4">
        <v>1052.0</v>
      </c>
      <c r="B1053" s="5"/>
      <c r="C1053" s="6" t="str">
        <f>HYPERLINK("https://leetcode.com/problems/grumpy-bookstore-owner", "Grumpy Bookstore Owner")</f>
        <v>Grumpy Bookstore Owner</v>
      </c>
      <c r="D1053" s="7" t="s">
        <v>8</v>
      </c>
      <c r="E1053" s="8" t="s">
        <v>334</v>
      </c>
      <c r="F1053" s="9">
        <v>0.57</v>
      </c>
      <c r="G1053" s="10"/>
      <c r="H1053" s="10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4.25" customHeight="1">
      <c r="A1054" s="4">
        <v>1053.0</v>
      </c>
      <c r="B1054" s="5"/>
      <c r="C1054" s="6" t="str">
        <f>HYPERLINK("https://leetcode.com/problems/previous-permutation-with-one-swap", "Previous Permutation With One Swap")</f>
        <v>Previous Permutation With One Swap</v>
      </c>
      <c r="D1054" s="7" t="s">
        <v>8</v>
      </c>
      <c r="E1054" s="8" t="s">
        <v>81</v>
      </c>
      <c r="F1054" s="9">
        <v>0.5</v>
      </c>
      <c r="G1054" s="10"/>
      <c r="H1054" s="10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4.25" customHeight="1">
      <c r="A1055" s="4">
        <v>1054.0</v>
      </c>
      <c r="B1055" s="5"/>
      <c r="C1055" s="6" t="str">
        <f>HYPERLINK("https://leetcode.com/problems/distant-barcodes", "Distant Barcodes")</f>
        <v>Distant Barcodes</v>
      </c>
      <c r="D1055" s="7" t="s">
        <v>8</v>
      </c>
      <c r="E1055" s="8" t="s">
        <v>323</v>
      </c>
      <c r="F1055" s="9">
        <v>0.45</v>
      </c>
      <c r="G1055" s="10"/>
      <c r="H1055" s="10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4.25" customHeight="1">
      <c r="A1056" s="11">
        <v>1055.0</v>
      </c>
      <c r="B1056" s="5"/>
      <c r="C1056" s="12" t="str">
        <f>HYPERLINK("https://leetcode.com/problems/shortest-way-to-form-string", "Shortest Way to Form String")</f>
        <v>Shortest Way to Form String</v>
      </c>
      <c r="D1056" s="7" t="s">
        <v>8</v>
      </c>
      <c r="E1056" s="8" t="s">
        <v>484</v>
      </c>
      <c r="F1056" s="9">
        <v>0.59</v>
      </c>
      <c r="G1056" s="10"/>
      <c r="H1056" s="10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4.25" customHeight="1">
      <c r="A1057" s="11">
        <v>1056.0</v>
      </c>
      <c r="B1057" s="5"/>
      <c r="C1057" s="12" t="str">
        <f>HYPERLINK("https://leetcode.com/problems/confusing-number", "Confusing Number")</f>
        <v>Confusing Number</v>
      </c>
      <c r="D1057" s="7" t="s">
        <v>6</v>
      </c>
      <c r="E1057" s="8" t="s">
        <v>15</v>
      </c>
      <c r="F1057" s="9">
        <v>0.46</v>
      </c>
      <c r="G1057" s="10"/>
      <c r="H1057" s="10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4.25" customHeight="1">
      <c r="A1058" s="11">
        <v>1057.0</v>
      </c>
      <c r="B1058" s="5"/>
      <c r="C1058" s="12" t="str">
        <f>HYPERLINK("https://leetcode.com/problems/campus-bikes", "Campus Bikes")</f>
        <v>Campus Bikes</v>
      </c>
      <c r="D1058" s="7" t="s">
        <v>8</v>
      </c>
      <c r="E1058" s="8" t="s">
        <v>160</v>
      </c>
      <c r="F1058" s="9">
        <v>0.57</v>
      </c>
      <c r="G1058" s="10"/>
      <c r="H1058" s="10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4.25" customHeight="1">
      <c r="A1059" s="11">
        <v>1058.0</v>
      </c>
      <c r="B1059" s="5"/>
      <c r="C1059" s="12" t="str">
        <f>HYPERLINK("https://leetcode.com/problems/minimize-rounding-error-to-meet-target", "Minimize Rounding Error to Meet Target")</f>
        <v>Minimize Rounding Error to Meet Target</v>
      </c>
      <c r="D1059" s="7" t="s">
        <v>8</v>
      </c>
      <c r="E1059" s="8" t="s">
        <v>485</v>
      </c>
      <c r="F1059" s="9">
        <v>0.44</v>
      </c>
      <c r="G1059" s="10"/>
      <c r="H1059" s="10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4.25" customHeight="1">
      <c r="A1060" s="11">
        <v>1059.0</v>
      </c>
      <c r="B1060" s="5"/>
      <c r="C1060" s="12" t="str">
        <f>HYPERLINK("https://leetcode.com/problems/all-paths-from-source-lead-to-destination", "All Paths from Source Lead to Destination")</f>
        <v>All Paths from Source Lead to Destination</v>
      </c>
      <c r="D1060" s="7" t="s">
        <v>8</v>
      </c>
      <c r="E1060" s="8" t="s">
        <v>486</v>
      </c>
      <c r="F1060" s="9">
        <v>0.39</v>
      </c>
      <c r="G1060" s="10"/>
      <c r="H1060" s="10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4.25" customHeight="1">
      <c r="A1061" s="11">
        <v>1060.0</v>
      </c>
      <c r="B1061" s="5"/>
      <c r="C1061" s="12" t="str">
        <f>HYPERLINK("https://leetcode.com/problems/missing-element-in-sorted-array", "Missing Element in Sorted Array")</f>
        <v>Missing Element in Sorted Array</v>
      </c>
      <c r="D1061" s="7" t="s">
        <v>8</v>
      </c>
      <c r="E1061" s="8" t="s">
        <v>30</v>
      </c>
      <c r="F1061" s="9">
        <v>0.54</v>
      </c>
      <c r="G1061" s="10"/>
      <c r="H1061" s="10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4.25" customHeight="1">
      <c r="A1062" s="11">
        <v>1061.0</v>
      </c>
      <c r="B1062" s="5"/>
      <c r="C1062" s="12" t="str">
        <f>HYPERLINK("https://leetcode.com/problems/lexicographically-smallest-equivalent-string", "Lexicographically Smallest Equivalent String")</f>
        <v>Lexicographically Smallest Equivalent String</v>
      </c>
      <c r="D1062" s="7" t="s">
        <v>8</v>
      </c>
      <c r="E1062" s="8" t="s">
        <v>487</v>
      </c>
      <c r="F1062" s="9">
        <v>0.7</v>
      </c>
      <c r="G1062" s="10"/>
      <c r="H1062" s="10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4.25" customHeight="1">
      <c r="A1063" s="11">
        <v>1062.0</v>
      </c>
      <c r="B1063" s="5"/>
      <c r="C1063" s="12" t="str">
        <f>HYPERLINK("https://leetcode.com/problems/longest-repeating-substring", "Longest Repeating Substring")</f>
        <v>Longest Repeating Substring</v>
      </c>
      <c r="D1063" s="7" t="s">
        <v>8</v>
      </c>
      <c r="E1063" s="8" t="s">
        <v>488</v>
      </c>
      <c r="F1063" s="9">
        <v>0.59</v>
      </c>
      <c r="G1063" s="10"/>
      <c r="H1063" s="10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4.25" customHeight="1">
      <c r="A1064" s="11">
        <v>1063.0</v>
      </c>
      <c r="B1064" s="5"/>
      <c r="C1064" s="12" t="str">
        <f>HYPERLINK("https://leetcode.com/problems/number-of-valid-subarrays", "Number of Valid Subarrays")</f>
        <v>Number of Valid Subarrays</v>
      </c>
      <c r="D1064" s="7" t="s">
        <v>11</v>
      </c>
      <c r="E1064" s="8" t="s">
        <v>56</v>
      </c>
      <c r="F1064" s="9">
        <v>0.74</v>
      </c>
      <c r="G1064" s="10"/>
      <c r="H1064" s="10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4.25" customHeight="1">
      <c r="A1065" s="11">
        <v>1064.0</v>
      </c>
      <c r="B1065" s="5"/>
      <c r="C1065" s="12" t="str">
        <f>HYPERLINK("https://leetcode.com/problems/fixed-point", "Fixed Point")</f>
        <v>Fixed Point</v>
      </c>
      <c r="D1065" s="7" t="s">
        <v>6</v>
      </c>
      <c r="E1065" s="8" t="s">
        <v>30</v>
      </c>
      <c r="F1065" s="9">
        <v>0.63</v>
      </c>
      <c r="G1065" s="10"/>
      <c r="H1065" s="10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4.25" customHeight="1">
      <c r="A1066" s="11">
        <v>1065.0</v>
      </c>
      <c r="B1066" s="5"/>
      <c r="C1066" s="12" t="str">
        <f>HYPERLINK("https://leetcode.com/problems/index-pairs-of-a-string", "Index Pairs of a String")</f>
        <v>Index Pairs of a String</v>
      </c>
      <c r="D1066" s="7" t="s">
        <v>6</v>
      </c>
      <c r="E1066" s="8" t="s">
        <v>489</v>
      </c>
      <c r="F1066" s="9">
        <v>0.63</v>
      </c>
      <c r="G1066" s="10"/>
      <c r="H1066" s="10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4.25" customHeight="1">
      <c r="A1067" s="11">
        <v>1066.0</v>
      </c>
      <c r="B1067" s="5"/>
      <c r="C1067" s="12" t="str">
        <f>HYPERLINK("https://leetcode.com/problems/campus-bikes-ii", "Campus Bikes II")</f>
        <v>Campus Bikes II</v>
      </c>
      <c r="D1067" s="7" t="s">
        <v>8</v>
      </c>
      <c r="E1067" s="8" t="s">
        <v>273</v>
      </c>
      <c r="F1067" s="9">
        <v>0.54</v>
      </c>
      <c r="G1067" s="10"/>
      <c r="H1067" s="10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4.25" customHeight="1">
      <c r="A1068" s="11">
        <v>1067.0</v>
      </c>
      <c r="B1068" s="5"/>
      <c r="C1068" s="12" t="str">
        <f>HYPERLINK("https://leetcode.com/problems/digit-count-in-range", "Digit Count in Range")</f>
        <v>Digit Count in Range</v>
      </c>
      <c r="D1068" s="7" t="s">
        <v>11</v>
      </c>
      <c r="E1068" s="8" t="s">
        <v>201</v>
      </c>
      <c r="F1068" s="9">
        <v>0.44</v>
      </c>
      <c r="G1068" s="10"/>
      <c r="H1068" s="10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4.25" customHeight="1">
      <c r="A1069" s="11">
        <v>1068.0</v>
      </c>
      <c r="B1069" s="5"/>
      <c r="C1069" s="12" t="str">
        <f>HYPERLINK("https://leetcode.com/problems/product-sales-analysis-i", "Product Sales Analysis I")</f>
        <v>Product Sales Analysis I</v>
      </c>
      <c r="D1069" s="7" t="s">
        <v>6</v>
      </c>
      <c r="E1069" s="8" t="s">
        <v>101</v>
      </c>
      <c r="F1069" s="9">
        <v>0.8</v>
      </c>
      <c r="G1069" s="10"/>
      <c r="H1069" s="10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4.25" customHeight="1">
      <c r="A1070" s="11">
        <v>1069.0</v>
      </c>
      <c r="B1070" s="5"/>
      <c r="C1070" s="12" t="str">
        <f>HYPERLINK("https://leetcode.com/problems/product-sales-analysis-ii", "Product Sales Analysis II")</f>
        <v>Product Sales Analysis II</v>
      </c>
      <c r="D1070" s="7" t="s">
        <v>6</v>
      </c>
      <c r="E1070" s="8" t="s">
        <v>101</v>
      </c>
      <c r="F1070" s="9">
        <v>0.81</v>
      </c>
      <c r="G1070" s="10"/>
      <c r="H1070" s="10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4.25" customHeight="1">
      <c r="A1071" s="11">
        <v>1070.0</v>
      </c>
      <c r="B1071" s="5"/>
      <c r="C1071" s="12" t="str">
        <f>HYPERLINK("https://leetcode.com/problems/product-sales-analysis-iii", "Product Sales Analysis III")</f>
        <v>Product Sales Analysis III</v>
      </c>
      <c r="D1071" s="7" t="s">
        <v>8</v>
      </c>
      <c r="E1071" s="8" t="s">
        <v>101</v>
      </c>
      <c r="F1071" s="9">
        <v>0.49</v>
      </c>
      <c r="G1071" s="10"/>
      <c r="H1071" s="10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4.25" customHeight="1">
      <c r="A1072" s="4">
        <v>1071.0</v>
      </c>
      <c r="B1072" s="5"/>
      <c r="C1072" s="6" t="str">
        <f>HYPERLINK("https://leetcode.com/problems/greatest-common-divisor-of-strings", "Greatest Common Divisor of Strings")</f>
        <v>Greatest Common Divisor of Strings</v>
      </c>
      <c r="D1072" s="7" t="s">
        <v>6</v>
      </c>
      <c r="E1072" s="8" t="s">
        <v>97</v>
      </c>
      <c r="F1072" s="9">
        <v>0.51</v>
      </c>
      <c r="G1072" s="10"/>
      <c r="H1072" s="10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4.25" customHeight="1">
      <c r="A1073" s="4">
        <v>1072.0</v>
      </c>
      <c r="B1073" s="5"/>
      <c r="C1073" s="6" t="str">
        <f>HYPERLINK("https://leetcode.com/problems/flip-columns-for-maximum-number-of-equal-rows", "Flip Columns For Maximum Number of Equal Rows")</f>
        <v>Flip Columns For Maximum Number of Equal Rows</v>
      </c>
      <c r="D1073" s="7" t="s">
        <v>8</v>
      </c>
      <c r="E1073" s="8" t="s">
        <v>31</v>
      </c>
      <c r="F1073" s="9">
        <v>0.63</v>
      </c>
      <c r="G1073" s="10"/>
      <c r="H1073" s="10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4.25" customHeight="1">
      <c r="A1074" s="4">
        <v>1073.0</v>
      </c>
      <c r="B1074" s="5"/>
      <c r="C1074" s="6" t="str">
        <f>HYPERLINK("https://leetcode.com/problems/adding-two-negabinary-numbers", "Adding Two Negabinary Numbers")</f>
        <v>Adding Two Negabinary Numbers</v>
      </c>
      <c r="D1074" s="7" t="s">
        <v>8</v>
      </c>
      <c r="E1074" s="8" t="s">
        <v>48</v>
      </c>
      <c r="F1074" s="9">
        <v>0.36</v>
      </c>
      <c r="G1074" s="10"/>
      <c r="H1074" s="10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4.25" customHeight="1">
      <c r="A1075" s="4">
        <v>1074.0</v>
      </c>
      <c r="B1075" s="5"/>
      <c r="C1075" s="6" t="str">
        <f>HYPERLINK("https://leetcode.com/problems/number-of-submatrices-that-sum-to-target", "Number of Submatrices That Sum to Target")</f>
        <v>Number of Submatrices That Sum to Target</v>
      </c>
      <c r="D1075" s="7" t="s">
        <v>11</v>
      </c>
      <c r="E1075" s="8" t="s">
        <v>490</v>
      </c>
      <c r="F1075" s="9">
        <v>0.69</v>
      </c>
      <c r="G1075" s="10"/>
      <c r="H1075" s="10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4.25" customHeight="1">
      <c r="A1076" s="11">
        <v>1075.0</v>
      </c>
      <c r="B1076" s="5"/>
      <c r="C1076" s="12" t="str">
        <f>HYPERLINK("https://leetcode.com/problems/project-employees-i", "Project Employees I")</f>
        <v>Project Employees I</v>
      </c>
      <c r="D1076" s="7" t="s">
        <v>6</v>
      </c>
      <c r="E1076" s="8" t="s">
        <v>101</v>
      </c>
      <c r="F1076" s="9">
        <v>0.67</v>
      </c>
      <c r="G1076" s="10"/>
      <c r="H1076" s="10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4.25" customHeight="1">
      <c r="A1077" s="11">
        <v>1076.0</v>
      </c>
      <c r="B1077" s="5"/>
      <c r="C1077" s="12" t="str">
        <f>HYPERLINK("https://leetcode.com/problems/project-employees-ii", "Project Employees II")</f>
        <v>Project Employees II</v>
      </c>
      <c r="D1077" s="7" t="s">
        <v>6</v>
      </c>
      <c r="E1077" s="8" t="s">
        <v>101</v>
      </c>
      <c r="F1077" s="9">
        <v>0.5</v>
      </c>
      <c r="G1077" s="10"/>
      <c r="H1077" s="10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4.25" customHeight="1">
      <c r="A1078" s="11">
        <v>1077.0</v>
      </c>
      <c r="B1078" s="5"/>
      <c r="C1078" s="12" t="str">
        <f>HYPERLINK("https://leetcode.com/problems/project-employees-iii", "Project Employees III")</f>
        <v>Project Employees III</v>
      </c>
      <c r="D1078" s="7" t="s">
        <v>8</v>
      </c>
      <c r="E1078" s="8" t="s">
        <v>101</v>
      </c>
      <c r="F1078" s="9">
        <v>0.78</v>
      </c>
      <c r="G1078" s="10"/>
      <c r="H1078" s="10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4.25" customHeight="1">
      <c r="A1079" s="4">
        <v>1078.0</v>
      </c>
      <c r="B1079" s="5"/>
      <c r="C1079" s="6" t="str">
        <f>HYPERLINK("https://leetcode.com/problems/occurrences-after-bigram", "Occurrences After Bigram")</f>
        <v>Occurrences After Bigram</v>
      </c>
      <c r="D1079" s="7" t="s">
        <v>6</v>
      </c>
      <c r="E1079" s="8" t="s">
        <v>14</v>
      </c>
      <c r="F1079" s="9">
        <v>0.63</v>
      </c>
      <c r="G1079" s="10"/>
      <c r="H1079" s="10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4.25" customHeight="1">
      <c r="A1080" s="4">
        <v>1079.0</v>
      </c>
      <c r="B1080" s="5"/>
      <c r="C1080" s="6" t="str">
        <f>HYPERLINK("https://leetcode.com/problems/letter-tile-possibilities", "Letter Tile Possibilities")</f>
        <v>Letter Tile Possibilities</v>
      </c>
      <c r="D1080" s="7" t="s">
        <v>8</v>
      </c>
      <c r="E1080" s="8" t="s">
        <v>491</v>
      </c>
      <c r="F1080" s="9">
        <v>0.76</v>
      </c>
      <c r="G1080" s="10"/>
      <c r="H1080" s="10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4.25" customHeight="1">
      <c r="A1081" s="4">
        <v>1080.0</v>
      </c>
      <c r="B1081" s="5"/>
      <c r="C1081" s="6" t="str">
        <f>HYPERLINK("https://leetcode.com/problems/insufficient-nodes-in-root-to-leaf-paths", "Insufficient Nodes in Root to Leaf Paths")</f>
        <v>Insufficient Nodes in Root to Leaf Paths</v>
      </c>
      <c r="D1081" s="7" t="s">
        <v>8</v>
      </c>
      <c r="E1081" s="8" t="s">
        <v>69</v>
      </c>
      <c r="F1081" s="9">
        <v>0.53</v>
      </c>
      <c r="G1081" s="10"/>
      <c r="H1081" s="10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t="14.25" customHeight="1">
      <c r="A1082" s="4">
        <v>1081.0</v>
      </c>
      <c r="B1082" s="5"/>
      <c r="C1082" s="6" t="str">
        <f>HYPERLINK("https://leetcode.com/problems/smallest-subsequence-of-distinct-characters", "Smallest Subsequence of Distinct Characters")</f>
        <v>Smallest Subsequence of Distinct Characters</v>
      </c>
      <c r="D1082" s="7" t="s">
        <v>8</v>
      </c>
      <c r="E1082" s="8" t="s">
        <v>184</v>
      </c>
      <c r="F1082" s="9">
        <v>0.57</v>
      </c>
      <c r="G1082" s="10"/>
      <c r="H1082" s="10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t="14.25" customHeight="1">
      <c r="A1083" s="11">
        <v>1082.0</v>
      </c>
      <c r="B1083" s="5"/>
      <c r="C1083" s="12" t="str">
        <f>HYPERLINK("https://leetcode.com/problems/sales-analysis-i", "Sales Analysis I")</f>
        <v>Sales Analysis I</v>
      </c>
      <c r="D1083" s="7" t="s">
        <v>6</v>
      </c>
      <c r="E1083" s="8" t="s">
        <v>101</v>
      </c>
      <c r="F1083" s="9">
        <v>0.75</v>
      </c>
      <c r="G1083" s="10"/>
      <c r="H1083" s="10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t="14.25" customHeight="1">
      <c r="A1084" s="11">
        <v>1083.0</v>
      </c>
      <c r="B1084" s="5"/>
      <c r="C1084" s="12" t="str">
        <f>HYPERLINK("https://leetcode.com/problems/sales-analysis-ii", "Sales Analysis II")</f>
        <v>Sales Analysis II</v>
      </c>
      <c r="D1084" s="7" t="s">
        <v>6</v>
      </c>
      <c r="E1084" s="8" t="s">
        <v>101</v>
      </c>
      <c r="F1084" s="9">
        <v>0.5</v>
      </c>
      <c r="G1084" s="10"/>
      <c r="H1084" s="10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t="14.25" customHeight="1">
      <c r="A1085" s="4">
        <v>1084.0</v>
      </c>
      <c r="B1085" s="5"/>
      <c r="C1085" s="6" t="str">
        <f>HYPERLINK("https://leetcode.com/problems/sales-analysis-iii", "Sales Analysis III")</f>
        <v>Sales Analysis III</v>
      </c>
      <c r="D1085" s="7" t="s">
        <v>6</v>
      </c>
      <c r="E1085" s="8" t="s">
        <v>101</v>
      </c>
      <c r="F1085" s="9">
        <v>0.51</v>
      </c>
      <c r="G1085" s="10"/>
      <c r="H1085" s="10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t="14.25" customHeight="1">
      <c r="A1086" s="11">
        <v>1085.0</v>
      </c>
      <c r="B1086" s="5"/>
      <c r="C1086" s="12" t="str">
        <f>HYPERLINK("https://leetcode.com/problems/sum-of-digits-in-the-minimum-number", "Sum of Digits in the Minimum Number")</f>
        <v>Sum of Digits in the Minimum Number</v>
      </c>
      <c r="D1086" s="7" t="s">
        <v>6</v>
      </c>
      <c r="E1086" s="8" t="s">
        <v>48</v>
      </c>
      <c r="F1086" s="9">
        <v>0.76</v>
      </c>
      <c r="G1086" s="10"/>
      <c r="H1086" s="10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t="14.25" customHeight="1">
      <c r="A1087" s="11">
        <v>1086.0</v>
      </c>
      <c r="B1087" s="5"/>
      <c r="C1087" s="12" t="str">
        <f>HYPERLINK("https://leetcode.com/problems/high-five", "High Five")</f>
        <v>High Five</v>
      </c>
      <c r="D1087" s="7" t="s">
        <v>6</v>
      </c>
      <c r="E1087" s="8" t="s">
        <v>118</v>
      </c>
      <c r="F1087" s="9">
        <v>0.75</v>
      </c>
      <c r="G1087" s="10"/>
      <c r="H1087" s="10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t="14.25" customHeight="1">
      <c r="A1088" s="11">
        <v>1087.0</v>
      </c>
      <c r="B1088" s="5"/>
      <c r="C1088" s="12" t="str">
        <f>HYPERLINK("https://leetcode.com/problems/brace-expansion", "Brace Expansion")</f>
        <v>Brace Expansion</v>
      </c>
      <c r="D1088" s="7" t="s">
        <v>8</v>
      </c>
      <c r="E1088" s="8" t="s">
        <v>174</v>
      </c>
      <c r="F1088" s="9">
        <v>0.66</v>
      </c>
      <c r="G1088" s="10"/>
      <c r="H1088" s="10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t="14.25" customHeight="1">
      <c r="A1089" s="11">
        <v>1088.0</v>
      </c>
      <c r="B1089" s="5"/>
      <c r="C1089" s="12" t="str">
        <f>HYPERLINK("https://leetcode.com/problems/confusing-number-ii", "Confusing Number II")</f>
        <v>Confusing Number II</v>
      </c>
      <c r="D1089" s="7" t="s">
        <v>11</v>
      </c>
      <c r="E1089" s="8" t="s">
        <v>492</v>
      </c>
      <c r="F1089" s="9">
        <v>0.46</v>
      </c>
      <c r="G1089" s="10"/>
      <c r="H1089" s="10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t="14.25" customHeight="1">
      <c r="A1090" s="4">
        <v>1089.0</v>
      </c>
      <c r="B1090" s="5"/>
      <c r="C1090" s="6" t="str">
        <f>HYPERLINK("https://leetcode.com/problems/duplicate-zeros", "Duplicate Zeros")</f>
        <v>Duplicate Zeros</v>
      </c>
      <c r="D1090" s="7" t="s">
        <v>6</v>
      </c>
      <c r="E1090" s="8" t="s">
        <v>26</v>
      </c>
      <c r="F1090" s="9">
        <v>0.51</v>
      </c>
      <c r="G1090" s="10"/>
      <c r="H1090" s="10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t="14.25" customHeight="1">
      <c r="A1091" s="4">
        <v>1090.0</v>
      </c>
      <c r="B1091" s="5"/>
      <c r="C1091" s="6" t="str">
        <f>HYPERLINK("https://leetcode.com/problems/largest-values-from-labels", "Largest Values From Labels")</f>
        <v>Largest Values From Labels</v>
      </c>
      <c r="D1091" s="7" t="s">
        <v>8</v>
      </c>
      <c r="E1091" s="8" t="s">
        <v>493</v>
      </c>
      <c r="F1091" s="9">
        <v>0.6</v>
      </c>
      <c r="G1091" s="10"/>
      <c r="H1091" s="10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t="14.25" customHeight="1">
      <c r="A1092" s="4">
        <v>1091.0</v>
      </c>
      <c r="B1092" s="5"/>
      <c r="C1092" s="6" t="str">
        <f>HYPERLINK("https://leetcode.com/problems/shortest-path-in-binary-matrix", "Shortest Path in Binary Matrix")</f>
        <v>Shortest Path in Binary Matrix</v>
      </c>
      <c r="D1092" s="7" t="s">
        <v>8</v>
      </c>
      <c r="E1092" s="8" t="s">
        <v>164</v>
      </c>
      <c r="F1092" s="9">
        <v>0.44</v>
      </c>
      <c r="G1092" s="10"/>
      <c r="H1092" s="10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t="14.25" customHeight="1">
      <c r="A1093" s="4">
        <v>1092.0</v>
      </c>
      <c r="B1093" s="5"/>
      <c r="C1093" s="6" t="str">
        <f>HYPERLINK("https://leetcode.com/problems/shortest-common-supersequence", "Shortest Common Supersequence ")</f>
        <v>Shortest Common Supersequence </v>
      </c>
      <c r="D1093" s="7" t="s">
        <v>11</v>
      </c>
      <c r="E1093" s="8" t="s">
        <v>13</v>
      </c>
      <c r="F1093" s="9">
        <v>0.57</v>
      </c>
      <c r="G1093" s="10"/>
      <c r="H1093" s="10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t="14.25" customHeight="1">
      <c r="A1094" s="4">
        <v>1093.0</v>
      </c>
      <c r="B1094" s="5"/>
      <c r="C1094" s="6" t="str">
        <f>HYPERLINK("https://leetcode.com/problems/statistics-from-a-large-sample", "Statistics from a Large Sample")</f>
        <v>Statistics from a Large Sample</v>
      </c>
      <c r="D1094" s="7" t="s">
        <v>8</v>
      </c>
      <c r="E1094" s="8" t="s">
        <v>494</v>
      </c>
      <c r="F1094" s="9">
        <v>0.44</v>
      </c>
      <c r="G1094" s="10"/>
      <c r="H1094" s="10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t="14.25" customHeight="1">
      <c r="A1095" s="4">
        <v>1094.0</v>
      </c>
      <c r="B1095" s="5"/>
      <c r="C1095" s="6" t="str">
        <f>HYPERLINK("https://leetcode.com/problems/car-pooling", "Car Pooling")</f>
        <v>Car Pooling</v>
      </c>
      <c r="D1095" s="7" t="s">
        <v>8</v>
      </c>
      <c r="E1095" s="8" t="s">
        <v>495</v>
      </c>
      <c r="F1095" s="9">
        <v>0.57</v>
      </c>
      <c r="G1095" s="10"/>
      <c r="H1095" s="10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t="14.25" customHeight="1">
      <c r="A1096" s="4">
        <v>1095.0</v>
      </c>
      <c r="B1096" s="5"/>
      <c r="C1096" s="6" t="str">
        <f>HYPERLINK("https://leetcode.com/problems/find-in-mountain-array", "Find in Mountain Array")</f>
        <v>Find in Mountain Array</v>
      </c>
      <c r="D1096" s="7" t="s">
        <v>11</v>
      </c>
      <c r="E1096" s="8" t="s">
        <v>357</v>
      </c>
      <c r="F1096" s="9">
        <v>0.35</v>
      </c>
      <c r="G1096" s="10"/>
      <c r="H1096" s="10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t="14.25" customHeight="1">
      <c r="A1097" s="4">
        <v>1096.0</v>
      </c>
      <c r="B1097" s="5"/>
      <c r="C1097" s="6" t="str">
        <f>HYPERLINK("https://leetcode.com/problems/brace-expansion-ii", "Brace Expansion II")</f>
        <v>Brace Expansion II</v>
      </c>
      <c r="D1097" s="7" t="s">
        <v>11</v>
      </c>
      <c r="E1097" s="8" t="s">
        <v>496</v>
      </c>
      <c r="F1097" s="9">
        <v>0.63</v>
      </c>
      <c r="G1097" s="10"/>
      <c r="H1097" s="10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t="14.25" customHeight="1">
      <c r="A1098" s="11">
        <v>1097.0</v>
      </c>
      <c r="B1098" s="5"/>
      <c r="C1098" s="12" t="str">
        <f>HYPERLINK("https://leetcode.com/problems/game-play-analysis-v", "Game Play Analysis V")</f>
        <v>Game Play Analysis V</v>
      </c>
      <c r="D1098" s="7" t="s">
        <v>11</v>
      </c>
      <c r="E1098" s="8" t="s">
        <v>101</v>
      </c>
      <c r="F1098" s="9">
        <v>0.54</v>
      </c>
      <c r="G1098" s="10"/>
      <c r="H1098" s="10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t="14.25" customHeight="1">
      <c r="A1099" s="11">
        <v>1098.0</v>
      </c>
      <c r="B1099" s="5"/>
      <c r="C1099" s="12" t="str">
        <f>HYPERLINK("https://leetcode.com/problems/unpopular-books", "Unpopular Books")</f>
        <v>Unpopular Books</v>
      </c>
      <c r="D1099" s="7" t="s">
        <v>8</v>
      </c>
      <c r="E1099" s="8" t="s">
        <v>101</v>
      </c>
      <c r="F1099" s="9">
        <v>0.45</v>
      </c>
      <c r="G1099" s="10"/>
      <c r="H1099" s="10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t="14.25" customHeight="1">
      <c r="A1100" s="11">
        <v>1099.0</v>
      </c>
      <c r="B1100" s="5"/>
      <c r="C1100" s="12" t="str">
        <f>HYPERLINK("https://leetcode.com/problems/two-sum-less-than-k", "Two Sum Less Than K")</f>
        <v>Two Sum Less Than K</v>
      </c>
      <c r="D1100" s="7" t="s">
        <v>6</v>
      </c>
      <c r="E1100" s="8" t="s">
        <v>145</v>
      </c>
      <c r="F1100" s="9">
        <v>0.6</v>
      </c>
      <c r="G1100" s="10"/>
      <c r="H1100" s="10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t="14.25" customHeight="1">
      <c r="A1101" s="11">
        <v>1100.0</v>
      </c>
      <c r="B1101" s="5"/>
      <c r="C1101" s="12" t="str">
        <f>HYPERLINK("https://leetcode.com/problems/find-k-length-substrings-with-no-repeated-characters", "Find K-Length Substrings With No Repeated Characters")</f>
        <v>Find K-Length Substrings With No Repeated Characters</v>
      </c>
      <c r="D1101" s="7" t="s">
        <v>8</v>
      </c>
      <c r="E1101" s="8" t="s">
        <v>10</v>
      </c>
      <c r="F1101" s="9">
        <v>0.74</v>
      </c>
      <c r="G1101" s="10"/>
      <c r="H1101" s="10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t="14.25" customHeight="1">
      <c r="A1102" s="11">
        <v>1101.0</v>
      </c>
      <c r="B1102" s="5"/>
      <c r="C1102" s="12" t="str">
        <f>HYPERLINK("https://leetcode.com/problems/the-earliest-moment-when-everyone-become-friends", "The Earliest Moment When Everyone Become Friends")</f>
        <v>The Earliest Moment When Everyone Become Friends</v>
      </c>
      <c r="D1102" s="7" t="s">
        <v>8</v>
      </c>
      <c r="E1102" s="8" t="s">
        <v>178</v>
      </c>
      <c r="F1102" s="9">
        <v>0.64</v>
      </c>
      <c r="G1102" s="10"/>
      <c r="H1102" s="10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t="14.25" customHeight="1">
      <c r="A1103" s="11">
        <v>1102.0</v>
      </c>
      <c r="B1103" s="5"/>
      <c r="C1103" s="12" t="str">
        <f>HYPERLINK("https://leetcode.com/problems/path-with-maximum-minimum-value", "Path With Maximum Minimum Value")</f>
        <v>Path With Maximum Minimum Value</v>
      </c>
      <c r="D1103" s="7" t="s">
        <v>8</v>
      </c>
      <c r="E1103" s="8" t="s">
        <v>497</v>
      </c>
      <c r="F1103" s="9">
        <v>0.53</v>
      </c>
      <c r="G1103" s="10"/>
      <c r="H1103" s="10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t="14.25" customHeight="1">
      <c r="A1104" s="4">
        <v>1103.0</v>
      </c>
      <c r="B1104" s="5"/>
      <c r="C1104" s="6" t="str">
        <f>HYPERLINK("https://leetcode.com/problems/distribute-candies-to-people", "Distribute Candies to People")</f>
        <v>Distribute Candies to People</v>
      </c>
      <c r="D1104" s="7" t="s">
        <v>6</v>
      </c>
      <c r="E1104" s="8" t="s">
        <v>498</v>
      </c>
      <c r="F1104" s="9">
        <v>0.63</v>
      </c>
      <c r="G1104" s="10"/>
      <c r="H1104" s="10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t="14.25" customHeight="1">
      <c r="A1105" s="4">
        <v>1104.0</v>
      </c>
      <c r="B1105" s="5"/>
      <c r="C1105" s="6" t="str">
        <f>HYPERLINK("https://leetcode.com/problems/path-in-zigzag-labelled-binary-tree", "Path In Zigzag Labelled Binary Tree")</f>
        <v>Path In Zigzag Labelled Binary Tree</v>
      </c>
      <c r="D1105" s="7" t="s">
        <v>8</v>
      </c>
      <c r="E1105" s="8" t="s">
        <v>499</v>
      </c>
      <c r="F1105" s="9">
        <v>0.75</v>
      </c>
      <c r="G1105" s="10"/>
      <c r="H1105" s="10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t="14.25" customHeight="1">
      <c r="A1106" s="4">
        <v>1105.0</v>
      </c>
      <c r="B1106" s="5"/>
      <c r="C1106" s="6" t="str">
        <f>HYPERLINK("https://leetcode.com/problems/filling-bookcase-shelves", "Filling Bookcase Shelves")</f>
        <v>Filling Bookcase Shelves</v>
      </c>
      <c r="D1106" s="7" t="s">
        <v>8</v>
      </c>
      <c r="E1106" s="8" t="s">
        <v>73</v>
      </c>
      <c r="F1106" s="9">
        <v>0.59</v>
      </c>
      <c r="G1106" s="10"/>
      <c r="H1106" s="10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t="14.25" customHeight="1">
      <c r="A1107" s="4">
        <v>1106.0</v>
      </c>
      <c r="B1107" s="5"/>
      <c r="C1107" s="6" t="str">
        <f>HYPERLINK("https://leetcode.com/problems/parsing-a-boolean-expression", "Parsing A Boolean Expression")</f>
        <v>Parsing A Boolean Expression</v>
      </c>
      <c r="D1107" s="7" t="s">
        <v>11</v>
      </c>
      <c r="E1107" s="8" t="s">
        <v>236</v>
      </c>
      <c r="F1107" s="9">
        <v>0.58</v>
      </c>
      <c r="G1107" s="10"/>
      <c r="H1107" s="10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t="14.25" customHeight="1">
      <c r="A1108" s="11">
        <v>1107.0</v>
      </c>
      <c r="B1108" s="5"/>
      <c r="C1108" s="12" t="str">
        <f>HYPERLINK("https://leetcode.com/problems/new-users-daily-count", "New Users Daily Count")</f>
        <v>New Users Daily Count</v>
      </c>
      <c r="D1108" s="7" t="s">
        <v>8</v>
      </c>
      <c r="E1108" s="8" t="s">
        <v>101</v>
      </c>
      <c r="F1108" s="9">
        <v>0.45</v>
      </c>
      <c r="G1108" s="10"/>
      <c r="H1108" s="10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t="14.25" customHeight="1">
      <c r="A1109" s="4">
        <v>1108.0</v>
      </c>
      <c r="B1109" s="5"/>
      <c r="C1109" s="6" t="str">
        <f>HYPERLINK("https://leetcode.com/problems/defanging-an-ip-address", "Defanging an IP Address")</f>
        <v>Defanging an IP Address</v>
      </c>
      <c r="D1109" s="7" t="s">
        <v>6</v>
      </c>
      <c r="E1109" s="8" t="s">
        <v>14</v>
      </c>
      <c r="F1109" s="9">
        <v>0.89</v>
      </c>
      <c r="G1109" s="10"/>
      <c r="H1109" s="10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t="14.25" customHeight="1">
      <c r="A1110" s="4">
        <v>1109.0</v>
      </c>
      <c r="B1110" s="5"/>
      <c r="C1110" s="6" t="str">
        <f>HYPERLINK("https://leetcode.com/problems/corporate-flight-bookings", "Corporate Flight Bookings")</f>
        <v>Corporate Flight Bookings</v>
      </c>
      <c r="D1110" s="7" t="s">
        <v>8</v>
      </c>
      <c r="E1110" s="8" t="s">
        <v>130</v>
      </c>
      <c r="F1110" s="9">
        <v>0.6</v>
      </c>
      <c r="G1110" s="10"/>
      <c r="H1110" s="10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t="14.25" customHeight="1">
      <c r="A1111" s="4">
        <v>1110.0</v>
      </c>
      <c r="B1111" s="5"/>
      <c r="C1111" s="6" t="str">
        <f>HYPERLINK("https://leetcode.com/problems/delete-nodes-and-return-forest", "Delete Nodes And Return Forest")</f>
        <v>Delete Nodes And Return Forest</v>
      </c>
      <c r="D1111" s="7" t="s">
        <v>8</v>
      </c>
      <c r="E1111" s="8" t="s">
        <v>69</v>
      </c>
      <c r="F1111" s="9">
        <v>0.69</v>
      </c>
      <c r="G1111" s="10"/>
      <c r="H1111" s="10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t="14.25" customHeight="1">
      <c r="A1112" s="4">
        <v>1111.0</v>
      </c>
      <c r="B1112" s="5"/>
      <c r="C1112" s="6" t="str">
        <f>HYPERLINK("https://leetcode.com/problems/maximum-nesting-depth-of-two-valid-parentheses-strings", "Maximum Nesting Depth of Two Valid Parentheses Strings")</f>
        <v>Maximum Nesting Depth of Two Valid Parentheses Strings</v>
      </c>
      <c r="D1112" s="7" t="s">
        <v>8</v>
      </c>
      <c r="E1112" s="8" t="s">
        <v>22</v>
      </c>
      <c r="F1112" s="9">
        <v>0.73</v>
      </c>
      <c r="G1112" s="10"/>
      <c r="H1112" s="10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t="14.25" customHeight="1">
      <c r="A1113" s="11">
        <v>1112.0</v>
      </c>
      <c r="B1113" s="5"/>
      <c r="C1113" s="12" t="str">
        <f>HYPERLINK("https://leetcode.com/problems/highest-grade-for-each-student", "Highest Grade For Each Student")</f>
        <v>Highest Grade For Each Student</v>
      </c>
      <c r="D1113" s="7" t="s">
        <v>8</v>
      </c>
      <c r="E1113" s="8" t="s">
        <v>101</v>
      </c>
      <c r="F1113" s="9">
        <v>0.73</v>
      </c>
      <c r="G1113" s="10"/>
      <c r="H1113" s="10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t="14.25" customHeight="1">
      <c r="A1114" s="11">
        <v>1113.0</v>
      </c>
      <c r="B1114" s="5"/>
      <c r="C1114" s="12" t="str">
        <f>HYPERLINK("https://leetcode.com/problems/reported-posts", "Reported Posts")</f>
        <v>Reported Posts</v>
      </c>
      <c r="D1114" s="7" t="s">
        <v>6</v>
      </c>
      <c r="E1114" s="8" t="s">
        <v>101</v>
      </c>
      <c r="F1114" s="9">
        <v>0.66</v>
      </c>
      <c r="G1114" s="10"/>
      <c r="H1114" s="10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t="14.25" customHeight="1">
      <c r="A1115" s="4">
        <v>1114.0</v>
      </c>
      <c r="B1115" s="5"/>
      <c r="C1115" s="6" t="str">
        <f>HYPERLINK("https://leetcode.com/problems/print-in-order", "Print in Order")</f>
        <v>Print in Order</v>
      </c>
      <c r="D1115" s="7" t="s">
        <v>6</v>
      </c>
      <c r="E1115" s="8" t="s">
        <v>500</v>
      </c>
      <c r="F1115" s="9">
        <v>0.68</v>
      </c>
      <c r="G1115" s="10"/>
      <c r="H1115" s="10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t="14.25" customHeight="1">
      <c r="A1116" s="4">
        <v>1115.0</v>
      </c>
      <c r="B1116" s="5"/>
      <c r="C1116" s="6" t="str">
        <f>HYPERLINK("https://leetcode.com/problems/print-foobar-alternately", "Print FooBar Alternately")</f>
        <v>Print FooBar Alternately</v>
      </c>
      <c r="D1116" s="7" t="s">
        <v>8</v>
      </c>
      <c r="E1116" s="8" t="s">
        <v>500</v>
      </c>
      <c r="F1116" s="9">
        <v>0.62</v>
      </c>
      <c r="G1116" s="10"/>
      <c r="H1116" s="10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t="14.25" customHeight="1">
      <c r="A1117" s="4">
        <v>1116.0</v>
      </c>
      <c r="B1117" s="5"/>
      <c r="C1117" s="6" t="str">
        <f>HYPERLINK("https://leetcode.com/problems/print-zero-even-odd", "Print Zero Even Odd")</f>
        <v>Print Zero Even Odd</v>
      </c>
      <c r="D1117" s="7" t="s">
        <v>8</v>
      </c>
      <c r="E1117" s="8" t="s">
        <v>500</v>
      </c>
      <c r="F1117" s="9">
        <v>0.6</v>
      </c>
      <c r="G1117" s="10"/>
      <c r="H1117" s="10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t="14.25" customHeight="1">
      <c r="A1118" s="4">
        <v>1117.0</v>
      </c>
      <c r="B1118" s="5"/>
      <c r="C1118" s="6" t="str">
        <f>HYPERLINK("https://leetcode.com/problems/building-h2o", "Building H2O")</f>
        <v>Building H2O</v>
      </c>
      <c r="D1118" s="7" t="s">
        <v>8</v>
      </c>
      <c r="E1118" s="8" t="s">
        <v>500</v>
      </c>
      <c r="F1118" s="9">
        <v>0.55</v>
      </c>
      <c r="G1118" s="10"/>
      <c r="H1118" s="10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t="14.25" customHeight="1">
      <c r="A1119" s="11">
        <v>1118.0</v>
      </c>
      <c r="B1119" s="5"/>
      <c r="C1119" s="12" t="str">
        <f>HYPERLINK("https://leetcode.com/problems/number-of-days-in-a-month", "Number of Days in a Month")</f>
        <v>Number of Days in a Month</v>
      </c>
      <c r="D1119" s="7" t="s">
        <v>6</v>
      </c>
      <c r="E1119" s="8" t="s">
        <v>15</v>
      </c>
      <c r="F1119" s="9">
        <v>0.56</v>
      </c>
      <c r="G1119" s="10"/>
      <c r="H1119" s="10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t="14.25" customHeight="1">
      <c r="A1120" s="11">
        <v>1119.0</v>
      </c>
      <c r="B1120" s="5"/>
      <c r="C1120" s="12" t="str">
        <f>HYPERLINK("https://leetcode.com/problems/remove-vowels-from-a-string", "Remove Vowels from a String")</f>
        <v>Remove Vowels from a String</v>
      </c>
      <c r="D1120" s="7" t="s">
        <v>6</v>
      </c>
      <c r="E1120" s="8" t="s">
        <v>14</v>
      </c>
      <c r="F1120" s="9">
        <v>0.9</v>
      </c>
      <c r="G1120" s="10"/>
      <c r="H1120" s="10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t="14.25" customHeight="1">
      <c r="A1121" s="11">
        <v>1120.0</v>
      </c>
      <c r="B1121" s="5"/>
      <c r="C1121" s="12" t="str">
        <f>HYPERLINK("https://leetcode.com/problems/maximum-average-subtree", "Maximum Average Subtree")</f>
        <v>Maximum Average Subtree</v>
      </c>
      <c r="D1121" s="7" t="s">
        <v>8</v>
      </c>
      <c r="E1121" s="8" t="s">
        <v>69</v>
      </c>
      <c r="F1121" s="9">
        <v>0.65</v>
      </c>
      <c r="G1121" s="10"/>
      <c r="H1121" s="10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t="14.25" customHeight="1">
      <c r="A1122" s="11">
        <v>1121.0</v>
      </c>
      <c r="B1122" s="5"/>
      <c r="C1122" s="12" t="str">
        <f>HYPERLINK("https://leetcode.com/problems/divide-array-into-increasing-sequences", "Divide Array Into Increasing Sequences")</f>
        <v>Divide Array Into Increasing Sequences</v>
      </c>
      <c r="D1122" s="7" t="s">
        <v>11</v>
      </c>
      <c r="E1122" s="8" t="s">
        <v>81</v>
      </c>
      <c r="F1122" s="9">
        <v>0.6</v>
      </c>
      <c r="G1122" s="10"/>
      <c r="H1122" s="10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t="14.25" customHeight="1">
      <c r="A1123" s="4">
        <v>1122.0</v>
      </c>
      <c r="B1123" s="5"/>
      <c r="C1123" s="6" t="str">
        <f>HYPERLINK("https://leetcode.com/problems/relative-sort-array", "Relative Sort Array")</f>
        <v>Relative Sort Array</v>
      </c>
      <c r="D1123" s="7" t="s">
        <v>6</v>
      </c>
      <c r="E1123" s="8" t="s">
        <v>501</v>
      </c>
      <c r="F1123" s="9">
        <v>0.68</v>
      </c>
      <c r="G1123" s="10"/>
      <c r="H1123" s="10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t="14.25" customHeight="1">
      <c r="A1124" s="4">
        <v>1123.0</v>
      </c>
      <c r="B1124" s="5"/>
      <c r="C1124" s="6" t="str">
        <f>HYPERLINK("https://leetcode.com/problems/lowest-common-ancestor-of-deepest-leaves", "Lowest Common Ancestor of Deepest Leaves")</f>
        <v>Lowest Common Ancestor of Deepest Leaves</v>
      </c>
      <c r="D1124" s="7" t="s">
        <v>8</v>
      </c>
      <c r="E1124" s="8" t="s">
        <v>182</v>
      </c>
      <c r="F1124" s="9">
        <v>0.7</v>
      </c>
      <c r="G1124" s="10"/>
      <c r="H1124" s="10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t="14.25" customHeight="1">
      <c r="A1125" s="4">
        <v>1124.0</v>
      </c>
      <c r="B1125" s="5"/>
      <c r="C1125" s="6" t="str">
        <f>HYPERLINK("https://leetcode.com/problems/longest-well-performing-interval", "Longest Well-Performing Interval")</f>
        <v>Longest Well-Performing Interval</v>
      </c>
      <c r="D1125" s="7" t="s">
        <v>8</v>
      </c>
      <c r="E1125" s="8" t="s">
        <v>502</v>
      </c>
      <c r="F1125" s="9">
        <v>0.34</v>
      </c>
      <c r="G1125" s="10"/>
      <c r="H1125" s="10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t="14.25" customHeight="1">
      <c r="A1126" s="4">
        <v>1125.0</v>
      </c>
      <c r="B1126" s="5"/>
      <c r="C1126" s="6" t="str">
        <f>HYPERLINK("https://leetcode.com/problems/smallest-sufficient-team", "Smallest Sufficient Team")</f>
        <v>Smallest Sufficient Team</v>
      </c>
      <c r="D1126" s="7" t="s">
        <v>11</v>
      </c>
      <c r="E1126" s="8" t="s">
        <v>503</v>
      </c>
      <c r="F1126" s="9">
        <v>0.47</v>
      </c>
      <c r="G1126" s="10"/>
      <c r="H1126" s="10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t="14.25" customHeight="1">
      <c r="A1127" s="11">
        <v>1126.0</v>
      </c>
      <c r="B1127" s="5"/>
      <c r="C1127" s="12" t="str">
        <f>HYPERLINK("https://leetcode.com/problems/active-businesses", "Active Businesses")</f>
        <v>Active Businesses</v>
      </c>
      <c r="D1127" s="7" t="s">
        <v>8</v>
      </c>
      <c r="E1127" s="8" t="s">
        <v>101</v>
      </c>
      <c r="F1127" s="9">
        <v>0.67</v>
      </c>
      <c r="G1127" s="10"/>
      <c r="H1127" s="10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t="14.25" customHeight="1">
      <c r="A1128" s="11">
        <v>1127.0</v>
      </c>
      <c r="B1128" s="5"/>
      <c r="C1128" s="12" t="str">
        <f>HYPERLINK("https://leetcode.com/problems/user-purchase-platform", "User Purchase Platform")</f>
        <v>User Purchase Platform</v>
      </c>
      <c r="D1128" s="7" t="s">
        <v>11</v>
      </c>
      <c r="E1128" s="8" t="s">
        <v>101</v>
      </c>
      <c r="F1128" s="9">
        <v>0.5</v>
      </c>
      <c r="G1128" s="10"/>
      <c r="H1128" s="10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t="14.25" customHeight="1">
      <c r="A1129" s="4">
        <v>1128.0</v>
      </c>
      <c r="B1129" s="5"/>
      <c r="C1129" s="6" t="str">
        <f>HYPERLINK("https://leetcode.com/problems/number-of-equivalent-domino-pairs", "Number of Equivalent Domino Pairs")</f>
        <v>Number of Equivalent Domino Pairs</v>
      </c>
      <c r="D1129" s="7" t="s">
        <v>6</v>
      </c>
      <c r="E1129" s="8" t="s">
        <v>474</v>
      </c>
      <c r="F1129" s="9">
        <v>0.46</v>
      </c>
      <c r="G1129" s="10"/>
      <c r="H1129" s="10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t="14.25" customHeight="1">
      <c r="A1130" s="4">
        <v>1129.0</v>
      </c>
      <c r="B1130" s="5"/>
      <c r="C1130" s="6" t="str">
        <f>HYPERLINK("https://leetcode.com/problems/shortest-path-with-alternating-colors", "Shortest Path with Alternating Colors")</f>
        <v>Shortest Path with Alternating Colors</v>
      </c>
      <c r="D1130" s="7" t="s">
        <v>8</v>
      </c>
      <c r="E1130" s="8" t="s">
        <v>504</v>
      </c>
      <c r="F1130" s="9">
        <v>0.42</v>
      </c>
      <c r="G1130" s="10"/>
      <c r="H1130" s="10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t="14.25" customHeight="1">
      <c r="A1131" s="4">
        <v>1130.0</v>
      </c>
      <c r="B1131" s="5"/>
      <c r="C1131" s="6" t="str">
        <f>HYPERLINK("https://leetcode.com/problems/minimum-cost-tree-from-leaf-values", "Minimum Cost Tree From Leaf Values")</f>
        <v>Minimum Cost Tree From Leaf Values</v>
      </c>
      <c r="D1131" s="7" t="s">
        <v>8</v>
      </c>
      <c r="E1131" s="8" t="s">
        <v>505</v>
      </c>
      <c r="F1131" s="9">
        <v>0.68</v>
      </c>
      <c r="G1131" s="10"/>
      <c r="H1131" s="10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t="14.25" customHeight="1">
      <c r="A1132" s="4">
        <v>1131.0</v>
      </c>
      <c r="B1132" s="5"/>
      <c r="C1132" s="6" t="str">
        <f>HYPERLINK("https://leetcode.com/problems/maximum-of-absolute-value-expression", "Maximum of Absolute Value Expression")</f>
        <v>Maximum of Absolute Value Expression</v>
      </c>
      <c r="D1132" s="7" t="s">
        <v>8</v>
      </c>
      <c r="E1132" s="8" t="s">
        <v>48</v>
      </c>
      <c r="F1132" s="9">
        <v>0.49</v>
      </c>
      <c r="G1132" s="10"/>
      <c r="H1132" s="10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t="14.25" customHeight="1">
      <c r="A1133" s="11">
        <v>1132.0</v>
      </c>
      <c r="B1133" s="5"/>
      <c r="C1133" s="12" t="str">
        <f>HYPERLINK("https://leetcode.com/problems/reported-posts-ii", "Reported Posts II")</f>
        <v>Reported Posts II</v>
      </c>
      <c r="D1133" s="7" t="s">
        <v>8</v>
      </c>
      <c r="E1133" s="8" t="s">
        <v>101</v>
      </c>
      <c r="F1133" s="9">
        <v>0.33</v>
      </c>
      <c r="G1133" s="10"/>
      <c r="H1133" s="10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t="14.25" customHeight="1">
      <c r="A1134" s="11">
        <v>1133.0</v>
      </c>
      <c r="B1134" s="5"/>
      <c r="C1134" s="12" t="str">
        <f>HYPERLINK("https://leetcode.com/problems/largest-unique-number", "Largest Unique Number")</f>
        <v>Largest Unique Number</v>
      </c>
      <c r="D1134" s="7" t="s">
        <v>6</v>
      </c>
      <c r="E1134" s="8" t="s">
        <v>118</v>
      </c>
      <c r="F1134" s="9">
        <v>0.67</v>
      </c>
      <c r="G1134" s="10"/>
      <c r="H1134" s="10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t="14.25" customHeight="1">
      <c r="A1135" s="11">
        <v>1134.0</v>
      </c>
      <c r="B1135" s="5"/>
      <c r="C1135" s="12" t="str">
        <f>HYPERLINK("https://leetcode.com/problems/armstrong-number", "Armstrong Number")</f>
        <v>Armstrong Number</v>
      </c>
      <c r="D1135" s="7" t="s">
        <v>6</v>
      </c>
      <c r="E1135" s="8" t="s">
        <v>15</v>
      </c>
      <c r="F1135" s="9">
        <v>0.78</v>
      </c>
      <c r="G1135" s="10"/>
      <c r="H1135" s="10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t="14.25" customHeight="1">
      <c r="A1136" s="11">
        <v>1135.0</v>
      </c>
      <c r="B1136" s="5"/>
      <c r="C1136" s="12" t="str">
        <f>HYPERLINK("https://leetcode.com/problems/connecting-cities-with-minimum-cost", "Connecting Cities With Minimum Cost")</f>
        <v>Connecting Cities With Minimum Cost</v>
      </c>
      <c r="D1136" s="7" t="s">
        <v>8</v>
      </c>
      <c r="E1136" s="8" t="s">
        <v>506</v>
      </c>
      <c r="F1136" s="9">
        <v>0.61</v>
      </c>
      <c r="G1136" s="10"/>
      <c r="H1136" s="10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t="14.25" customHeight="1">
      <c r="A1137" s="11">
        <v>1136.0</v>
      </c>
      <c r="B1137" s="5"/>
      <c r="C1137" s="12" t="str">
        <f>HYPERLINK("https://leetcode.com/problems/parallel-courses", "Parallel Courses")</f>
        <v>Parallel Courses</v>
      </c>
      <c r="D1137" s="7" t="s">
        <v>8</v>
      </c>
      <c r="E1137" s="8" t="s">
        <v>507</v>
      </c>
      <c r="F1137" s="9">
        <v>0.61</v>
      </c>
      <c r="G1137" s="10"/>
      <c r="H1137" s="10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t="14.25" customHeight="1">
      <c r="A1138" s="4">
        <v>1137.0</v>
      </c>
      <c r="B1138" s="5"/>
      <c r="C1138" s="6" t="str">
        <f>HYPERLINK("https://leetcode.com/problems/n-th-tribonacci-number", "N-th Tribonacci Number")</f>
        <v>N-th Tribonacci Number</v>
      </c>
      <c r="D1138" s="7" t="s">
        <v>6</v>
      </c>
      <c r="E1138" s="8" t="s">
        <v>52</v>
      </c>
      <c r="F1138" s="9">
        <v>0.63</v>
      </c>
      <c r="G1138" s="10"/>
      <c r="H1138" s="10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t="14.25" customHeight="1">
      <c r="A1139" s="4">
        <v>1138.0</v>
      </c>
      <c r="B1139" s="5"/>
      <c r="C1139" s="6" t="str">
        <f>HYPERLINK("https://leetcode.com/problems/alphabet-board-path", "Alphabet Board Path")</f>
        <v>Alphabet Board Path</v>
      </c>
      <c r="D1139" s="7" t="s">
        <v>8</v>
      </c>
      <c r="E1139" s="8" t="s">
        <v>110</v>
      </c>
      <c r="F1139" s="9">
        <v>0.52</v>
      </c>
      <c r="G1139" s="10"/>
      <c r="H1139" s="10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t="14.25" customHeight="1">
      <c r="A1140" s="4">
        <v>1139.0</v>
      </c>
      <c r="B1140" s="5"/>
      <c r="C1140" s="6" t="str">
        <f>HYPERLINK("https://leetcode.com/problems/largest-1-bordered-square", "Largest 1-Bordered Square")</f>
        <v>Largest 1-Bordered Square</v>
      </c>
      <c r="D1140" s="7" t="s">
        <v>8</v>
      </c>
      <c r="E1140" s="8" t="s">
        <v>47</v>
      </c>
      <c r="F1140" s="9">
        <v>0.5</v>
      </c>
      <c r="G1140" s="10"/>
      <c r="H1140" s="10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t="14.25" customHeight="1">
      <c r="A1141" s="4">
        <v>1140.0</v>
      </c>
      <c r="B1141" s="5"/>
      <c r="C1141" s="6" t="str">
        <f>HYPERLINK("https://leetcode.com/problems/stone-game-ii", "Stone Game II")</f>
        <v>Stone Game II</v>
      </c>
      <c r="D1141" s="7" t="s">
        <v>8</v>
      </c>
      <c r="E1141" s="8" t="s">
        <v>423</v>
      </c>
      <c r="F1141" s="9">
        <v>0.64</v>
      </c>
      <c r="G1141" s="10"/>
      <c r="H1141" s="10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t="14.25" customHeight="1">
      <c r="A1142" s="4">
        <v>1141.0</v>
      </c>
      <c r="B1142" s="5"/>
      <c r="C1142" s="6" t="str">
        <f>HYPERLINK("https://leetcode.com/problems/user-activity-for-the-past-30-days-i", "User Activity for the Past 30 Days I")</f>
        <v>User Activity for the Past 30 Days I</v>
      </c>
      <c r="D1142" s="7" t="s">
        <v>6</v>
      </c>
      <c r="E1142" s="8" t="s">
        <v>101</v>
      </c>
      <c r="F1142" s="9">
        <v>0.49</v>
      </c>
      <c r="G1142" s="10"/>
      <c r="H1142" s="10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t="14.25" customHeight="1">
      <c r="A1143" s="11">
        <v>1142.0</v>
      </c>
      <c r="B1143" s="5"/>
      <c r="C1143" s="12" t="str">
        <f>HYPERLINK("https://leetcode.com/problems/user-activity-for-the-past-30-days-ii", "User Activity for the Past 30 Days II")</f>
        <v>User Activity for the Past 30 Days II</v>
      </c>
      <c r="D1143" s="7" t="s">
        <v>6</v>
      </c>
      <c r="E1143" s="8" t="s">
        <v>101</v>
      </c>
      <c r="F1143" s="9">
        <v>0.35</v>
      </c>
      <c r="G1143" s="10"/>
      <c r="H1143" s="10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t="14.25" customHeight="1">
      <c r="A1144" s="4">
        <v>1143.0</v>
      </c>
      <c r="B1144" s="5"/>
      <c r="C1144" s="6" t="str">
        <f>HYPERLINK("https://leetcode.com/problems/longest-common-subsequence", "Longest Common Subsequence")</f>
        <v>Longest Common Subsequence</v>
      </c>
      <c r="D1144" s="7" t="s">
        <v>8</v>
      </c>
      <c r="E1144" s="8" t="s">
        <v>13</v>
      </c>
      <c r="F1144" s="9">
        <v>0.58</v>
      </c>
      <c r="G1144" s="10"/>
      <c r="H1144" s="10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t="14.25" customHeight="1">
      <c r="A1145" s="4">
        <v>1144.0</v>
      </c>
      <c r="B1145" s="5"/>
      <c r="C1145" s="6" t="str">
        <f>HYPERLINK("https://leetcode.com/problems/decrease-elements-to-make-array-zigzag", "Decrease Elements To Make Array Zigzag")</f>
        <v>Decrease Elements To Make Array Zigzag</v>
      </c>
      <c r="D1145" s="7" t="s">
        <v>8</v>
      </c>
      <c r="E1145" s="8" t="s">
        <v>81</v>
      </c>
      <c r="F1145" s="9">
        <v>0.47</v>
      </c>
      <c r="G1145" s="10"/>
      <c r="H1145" s="10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t="14.25" customHeight="1">
      <c r="A1146" s="4">
        <v>1145.0</v>
      </c>
      <c r="B1146" s="5"/>
      <c r="C1146" s="6" t="str">
        <f>HYPERLINK("https://leetcode.com/problems/binary-tree-coloring-game", "Binary Tree Coloring Game")</f>
        <v>Binary Tree Coloring Game</v>
      </c>
      <c r="D1146" s="7" t="s">
        <v>8</v>
      </c>
      <c r="E1146" s="8" t="s">
        <v>69</v>
      </c>
      <c r="F1146" s="9">
        <v>0.51</v>
      </c>
      <c r="G1146" s="10"/>
      <c r="H1146" s="10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t="14.25" customHeight="1">
      <c r="A1147" s="4">
        <v>1146.0</v>
      </c>
      <c r="B1147" s="5"/>
      <c r="C1147" s="6" t="str">
        <f>HYPERLINK("https://leetcode.com/problems/snapshot-array", "Snapshot Array")</f>
        <v>Snapshot Array</v>
      </c>
      <c r="D1147" s="7" t="s">
        <v>8</v>
      </c>
      <c r="E1147" s="8" t="s">
        <v>438</v>
      </c>
      <c r="F1147" s="9">
        <v>0.37</v>
      </c>
      <c r="G1147" s="10"/>
      <c r="H1147" s="10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t="14.25" customHeight="1">
      <c r="A1148" s="4">
        <v>1147.0</v>
      </c>
      <c r="B1148" s="5"/>
      <c r="C1148" s="6" t="str">
        <f>HYPERLINK("https://leetcode.com/problems/longest-chunked-palindrome-decomposition", "Longest Chunked Palindrome Decomposition")</f>
        <v>Longest Chunked Palindrome Decomposition</v>
      </c>
      <c r="D1148" s="7" t="s">
        <v>11</v>
      </c>
      <c r="E1148" s="8" t="s">
        <v>508</v>
      </c>
      <c r="F1148" s="9">
        <v>0.59</v>
      </c>
      <c r="G1148" s="10"/>
      <c r="H1148" s="10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t="14.25" customHeight="1">
      <c r="A1149" s="4">
        <v>1148.0</v>
      </c>
      <c r="B1149" s="5"/>
      <c r="C1149" s="6" t="str">
        <f>HYPERLINK("https://leetcode.com/problems/article-views-i", "Article Views I")</f>
        <v>Article Views I</v>
      </c>
      <c r="D1149" s="7" t="s">
        <v>6</v>
      </c>
      <c r="E1149" s="8" t="s">
        <v>101</v>
      </c>
      <c r="F1149" s="9">
        <v>0.76</v>
      </c>
      <c r="G1149" s="10"/>
      <c r="H1149" s="10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t="14.25" customHeight="1">
      <c r="A1150" s="11">
        <v>1149.0</v>
      </c>
      <c r="B1150" s="5"/>
      <c r="C1150" s="12" t="str">
        <f>HYPERLINK("https://leetcode.com/problems/article-views-ii", "Article Views II")</f>
        <v>Article Views II</v>
      </c>
      <c r="D1150" s="7" t="s">
        <v>8</v>
      </c>
      <c r="E1150" s="8" t="s">
        <v>101</v>
      </c>
      <c r="F1150" s="9">
        <v>0.47</v>
      </c>
      <c r="G1150" s="10"/>
      <c r="H1150" s="10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t="14.25" customHeight="1">
      <c r="A1151" s="11">
        <v>1150.0</v>
      </c>
      <c r="B1151" s="5"/>
      <c r="C1151" s="12" t="str">
        <f>HYPERLINK("https://leetcode.com/problems/check-if-a-number-is-majority-element-in-a-sorted-array", "Check If a Number Is Majority Element in a Sorted Array")</f>
        <v>Check If a Number Is Majority Element in a Sorted Array</v>
      </c>
      <c r="D1151" s="7" t="s">
        <v>6</v>
      </c>
      <c r="E1151" s="8" t="s">
        <v>30</v>
      </c>
      <c r="F1151" s="9">
        <v>0.57</v>
      </c>
      <c r="G1151" s="10"/>
      <c r="H1151" s="10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t="14.25" customHeight="1">
      <c r="A1152" s="11">
        <v>1151.0</v>
      </c>
      <c r="B1152" s="5"/>
      <c r="C1152" s="12" t="str">
        <f>HYPERLINK("https://leetcode.com/problems/minimum-swaps-to-group-all-1s-together", "Minimum Swaps to Group All 1's Together")</f>
        <v>Minimum Swaps to Group All 1's Together</v>
      </c>
      <c r="D1152" s="7" t="s">
        <v>8</v>
      </c>
      <c r="E1152" s="8" t="s">
        <v>334</v>
      </c>
      <c r="F1152" s="9">
        <v>0.6</v>
      </c>
      <c r="G1152" s="10"/>
      <c r="H1152" s="10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t="14.25" customHeight="1">
      <c r="A1153" s="11">
        <v>1152.0</v>
      </c>
      <c r="B1153" s="5"/>
      <c r="C1153" s="12" t="str">
        <f>HYPERLINK("https://leetcode.com/problems/analyze-user-website-visit-pattern", "Analyze User Website Visit Pattern")</f>
        <v>Analyze User Website Visit Pattern</v>
      </c>
      <c r="D1153" s="7" t="s">
        <v>8</v>
      </c>
      <c r="E1153" s="8" t="s">
        <v>118</v>
      </c>
      <c r="F1153" s="9">
        <v>0.43</v>
      </c>
      <c r="G1153" s="10"/>
      <c r="H1153" s="10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t="14.25" customHeight="1">
      <c r="A1154" s="11">
        <v>1153.0</v>
      </c>
      <c r="B1154" s="5"/>
      <c r="C1154" s="12" t="str">
        <f>HYPERLINK("https://leetcode.com/problems/string-transforms-into-another-string", "String Transforms Into Another String")</f>
        <v>String Transforms Into Another String</v>
      </c>
      <c r="D1154" s="7" t="s">
        <v>11</v>
      </c>
      <c r="E1154" s="8" t="s">
        <v>110</v>
      </c>
      <c r="F1154" s="9">
        <v>0.35</v>
      </c>
      <c r="G1154" s="10"/>
      <c r="H1154" s="10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t="14.25" customHeight="1">
      <c r="A1155" s="4">
        <v>1154.0</v>
      </c>
      <c r="B1155" s="5"/>
      <c r="C1155" s="6" t="str">
        <f>HYPERLINK("https://leetcode.com/problems/day-of-the-year", "Day of the Year")</f>
        <v>Day of the Year</v>
      </c>
      <c r="D1155" s="7" t="s">
        <v>6</v>
      </c>
      <c r="E1155" s="8" t="s">
        <v>97</v>
      </c>
      <c r="F1155" s="9">
        <v>0.5</v>
      </c>
      <c r="G1155" s="10"/>
      <c r="H1155" s="10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t="14.25" customHeight="1">
      <c r="A1156" s="4">
        <v>1155.0</v>
      </c>
      <c r="B1156" s="5"/>
      <c r="C1156" s="6" t="str">
        <f>HYPERLINK("https://leetcode.com/problems/number-of-dice-rolls-with-target-sum", "Number of Dice Rolls With Target Sum")</f>
        <v>Number of Dice Rolls With Target Sum</v>
      </c>
      <c r="D1156" s="7" t="s">
        <v>8</v>
      </c>
      <c r="E1156" s="8" t="s">
        <v>156</v>
      </c>
      <c r="F1156" s="9">
        <v>0.53</v>
      </c>
      <c r="G1156" s="10"/>
      <c r="H1156" s="10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t="14.25" customHeight="1">
      <c r="A1157" s="4">
        <v>1156.0</v>
      </c>
      <c r="B1157" s="5"/>
      <c r="C1157" s="6" t="str">
        <f>HYPERLINK("https://leetcode.com/problems/swap-for-longest-repeated-character-substring", "Swap For Longest Repeated Character Substring")</f>
        <v>Swap For Longest Repeated Character Substring</v>
      </c>
      <c r="D1157" s="7" t="s">
        <v>8</v>
      </c>
      <c r="E1157" s="8" t="s">
        <v>509</v>
      </c>
      <c r="F1157" s="9">
        <v>0.45</v>
      </c>
      <c r="G1157" s="10"/>
      <c r="H1157" s="10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t="14.25" customHeight="1">
      <c r="A1158" s="4">
        <v>1157.0</v>
      </c>
      <c r="B1158" s="5"/>
      <c r="C1158" s="6" t="str">
        <f>HYPERLINK("https://leetcode.com/problems/online-majority-element-in-subarray", "Online Majority Element In Subarray")</f>
        <v>Online Majority Element In Subarray</v>
      </c>
      <c r="D1158" s="7" t="s">
        <v>11</v>
      </c>
      <c r="E1158" s="8" t="s">
        <v>510</v>
      </c>
      <c r="F1158" s="9">
        <v>0.41</v>
      </c>
      <c r="G1158" s="10"/>
      <c r="H1158" s="10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t="14.25" customHeight="1">
      <c r="A1159" s="4">
        <v>1158.0</v>
      </c>
      <c r="B1159" s="5"/>
      <c r="C1159" s="6" t="str">
        <f>HYPERLINK("https://leetcode.com/problems/market-analysis-i", "Market Analysis I")</f>
        <v>Market Analysis I</v>
      </c>
      <c r="D1159" s="7" t="s">
        <v>8</v>
      </c>
      <c r="E1159" s="8" t="s">
        <v>101</v>
      </c>
      <c r="F1159" s="9">
        <v>0.63</v>
      </c>
      <c r="G1159" s="10"/>
      <c r="H1159" s="10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t="14.25" customHeight="1">
      <c r="A1160" s="11">
        <v>1159.0</v>
      </c>
      <c r="B1160" s="5"/>
      <c r="C1160" s="12" t="str">
        <f>HYPERLINK("https://leetcode.com/problems/market-analysis-ii", "Market Analysis II")</f>
        <v>Market Analysis II</v>
      </c>
      <c r="D1160" s="7" t="s">
        <v>11</v>
      </c>
      <c r="E1160" s="8" t="s">
        <v>101</v>
      </c>
      <c r="F1160" s="9">
        <v>0.58</v>
      </c>
      <c r="G1160" s="10"/>
      <c r="H1160" s="10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t="14.25" customHeight="1">
      <c r="A1161" s="4">
        <v>1160.0</v>
      </c>
      <c r="B1161" s="5"/>
      <c r="C1161" s="6" t="str">
        <f>HYPERLINK("https://leetcode.com/problems/find-words-that-can-be-formed-by-characters", "Find Words That Can Be Formed by Characters")</f>
        <v>Find Words That Can Be Formed by Characters</v>
      </c>
      <c r="D1161" s="7" t="s">
        <v>6</v>
      </c>
      <c r="E1161" s="8" t="s">
        <v>139</v>
      </c>
      <c r="F1161" s="9">
        <v>0.67</v>
      </c>
      <c r="G1161" s="10"/>
      <c r="H1161" s="10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t="14.25" customHeight="1">
      <c r="A1162" s="4">
        <v>1161.0</v>
      </c>
      <c r="B1162" s="5"/>
      <c r="C1162" s="6" t="str">
        <f>HYPERLINK("https://leetcode.com/problems/maximum-level-sum-of-a-binary-tree", "Maximum Level Sum of a Binary Tree")</f>
        <v>Maximum Level Sum of a Binary Tree</v>
      </c>
      <c r="D1162" s="7" t="s">
        <v>8</v>
      </c>
      <c r="E1162" s="8" t="s">
        <v>64</v>
      </c>
      <c r="F1162" s="9">
        <v>0.66</v>
      </c>
      <c r="G1162" s="10"/>
      <c r="H1162" s="10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4.25" customHeight="1">
      <c r="A1163" s="4">
        <v>1162.0</v>
      </c>
      <c r="B1163" s="5"/>
      <c r="C1163" s="6" t="str">
        <f>HYPERLINK("https://leetcode.com/problems/as-far-from-land-as-possible", "As Far from Land as Possible")</f>
        <v>As Far from Land as Possible</v>
      </c>
      <c r="D1163" s="7" t="s">
        <v>8</v>
      </c>
      <c r="E1163" s="8" t="s">
        <v>306</v>
      </c>
      <c r="F1163" s="9">
        <v>0.48</v>
      </c>
      <c r="G1163" s="10"/>
      <c r="H1163" s="10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4.25" customHeight="1">
      <c r="A1164" s="4">
        <v>1163.0</v>
      </c>
      <c r="B1164" s="5"/>
      <c r="C1164" s="6" t="str">
        <f>HYPERLINK("https://leetcode.com/problems/last-substring-in-lexicographical-order", "Last Substring in Lexicographical Order")</f>
        <v>Last Substring in Lexicographical Order</v>
      </c>
      <c r="D1164" s="7" t="s">
        <v>11</v>
      </c>
      <c r="E1164" s="8" t="s">
        <v>75</v>
      </c>
      <c r="F1164" s="9">
        <v>0.34</v>
      </c>
      <c r="G1164" s="10"/>
      <c r="H1164" s="10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t="14.25" customHeight="1">
      <c r="A1165" s="11">
        <v>1164.0</v>
      </c>
      <c r="B1165" s="5"/>
      <c r="C1165" s="12" t="str">
        <f>HYPERLINK("https://leetcode.com/problems/product-price-at-a-given-date", "Product Price at a Given Date")</f>
        <v>Product Price at a Given Date</v>
      </c>
      <c r="D1165" s="7" t="s">
        <v>8</v>
      </c>
      <c r="E1165" s="8" t="s">
        <v>101</v>
      </c>
      <c r="F1165" s="9">
        <v>0.68</v>
      </c>
      <c r="G1165" s="10"/>
      <c r="H1165" s="10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t="14.25" customHeight="1">
      <c r="A1166" s="11">
        <v>1165.0</v>
      </c>
      <c r="B1166" s="5"/>
      <c r="C1166" s="12" t="str">
        <f>HYPERLINK("https://leetcode.com/problems/single-row-keyboard", "Single-Row Keyboard")</f>
        <v>Single-Row Keyboard</v>
      </c>
      <c r="D1166" s="7" t="s">
        <v>6</v>
      </c>
      <c r="E1166" s="8" t="s">
        <v>110</v>
      </c>
      <c r="F1166" s="9">
        <v>0.86</v>
      </c>
      <c r="G1166" s="10"/>
      <c r="H1166" s="10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t="14.25" customHeight="1">
      <c r="A1167" s="11">
        <v>1166.0</v>
      </c>
      <c r="B1167" s="5"/>
      <c r="C1167" s="12" t="str">
        <f>HYPERLINK("https://leetcode.com/problems/design-file-system", "Design File System")</f>
        <v>Design File System</v>
      </c>
      <c r="D1167" s="7" t="s">
        <v>8</v>
      </c>
      <c r="E1167" s="8" t="s">
        <v>112</v>
      </c>
      <c r="F1167" s="9">
        <v>0.62</v>
      </c>
      <c r="G1167" s="10"/>
      <c r="H1167" s="10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t="14.25" customHeight="1">
      <c r="A1168" s="11">
        <v>1167.0</v>
      </c>
      <c r="B1168" s="5"/>
      <c r="C1168" s="12" t="str">
        <f>HYPERLINK("https://leetcode.com/problems/minimum-cost-to-connect-sticks", "Minimum Cost to Connect Sticks")</f>
        <v>Minimum Cost to Connect Sticks</v>
      </c>
      <c r="D1168" s="7" t="s">
        <v>8</v>
      </c>
      <c r="E1168" s="8" t="s">
        <v>326</v>
      </c>
      <c r="F1168" s="9">
        <v>0.67</v>
      </c>
      <c r="G1168" s="10"/>
      <c r="H1168" s="10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t="14.25" customHeight="1">
      <c r="A1169" s="11">
        <v>1168.0</v>
      </c>
      <c r="B1169" s="5"/>
      <c r="C1169" s="12" t="str">
        <f>HYPERLINK("https://leetcode.com/problems/optimize-water-distribution-in-a-village", "Optimize Water Distribution in a Village")</f>
        <v>Optimize Water Distribution in a Village</v>
      </c>
      <c r="D1169" s="7" t="s">
        <v>11</v>
      </c>
      <c r="E1169" s="8" t="s">
        <v>511</v>
      </c>
      <c r="F1169" s="9">
        <v>0.64</v>
      </c>
      <c r="G1169" s="10"/>
      <c r="H1169" s="10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t="14.25" customHeight="1">
      <c r="A1170" s="4">
        <v>1169.0</v>
      </c>
      <c r="B1170" s="5"/>
      <c r="C1170" s="6" t="str">
        <f>HYPERLINK("https://leetcode.com/problems/invalid-transactions", "Invalid Transactions")</f>
        <v>Invalid Transactions</v>
      </c>
      <c r="D1170" s="7" t="s">
        <v>8</v>
      </c>
      <c r="E1170" s="8" t="s">
        <v>39</v>
      </c>
      <c r="F1170" s="9">
        <v>0.31</v>
      </c>
      <c r="G1170" s="10"/>
      <c r="H1170" s="10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t="14.25" customHeight="1">
      <c r="A1171" s="4">
        <v>1170.0</v>
      </c>
      <c r="B1171" s="5"/>
      <c r="C1171" s="6" t="str">
        <f>HYPERLINK("https://leetcode.com/problems/compare-strings-by-frequency-of-the-smallest-character", "Compare Strings by Frequency of the Smallest Character")</f>
        <v>Compare Strings by Frequency of the Smallest Character</v>
      </c>
      <c r="D1171" s="7" t="s">
        <v>8</v>
      </c>
      <c r="E1171" s="8" t="s">
        <v>512</v>
      </c>
      <c r="F1171" s="9">
        <v>0.61</v>
      </c>
      <c r="G1171" s="10"/>
      <c r="H1171" s="10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t="14.25" customHeight="1">
      <c r="A1172" s="4">
        <v>1171.0</v>
      </c>
      <c r="B1172" s="5"/>
      <c r="C1172" s="6" t="str">
        <f>HYPERLINK("https://leetcode.com/problems/remove-zero-sum-consecutive-nodes-from-linked-list", "Remove Zero Sum Consecutive Nodes from Linked List")</f>
        <v>Remove Zero Sum Consecutive Nodes from Linked List</v>
      </c>
      <c r="D1172" s="7" t="s">
        <v>8</v>
      </c>
      <c r="E1172" s="8" t="s">
        <v>83</v>
      </c>
      <c r="F1172" s="9">
        <v>0.43</v>
      </c>
      <c r="G1172" s="10"/>
      <c r="H1172" s="10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t="14.25" customHeight="1">
      <c r="A1173" s="4">
        <v>1172.0</v>
      </c>
      <c r="B1173" s="5"/>
      <c r="C1173" s="6" t="str">
        <f>HYPERLINK("https://leetcode.com/problems/dinner-plate-stacks", "Dinner Plate Stacks")</f>
        <v>Dinner Plate Stacks</v>
      </c>
      <c r="D1173" s="7" t="s">
        <v>11</v>
      </c>
      <c r="E1173" s="8" t="s">
        <v>513</v>
      </c>
      <c r="F1173" s="9">
        <v>0.33</v>
      </c>
      <c r="G1173" s="10"/>
      <c r="H1173" s="10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t="14.25" customHeight="1">
      <c r="A1174" s="11">
        <v>1173.0</v>
      </c>
      <c r="B1174" s="5"/>
      <c r="C1174" s="12" t="str">
        <f>HYPERLINK("https://leetcode.com/problems/immediate-food-delivery-i", "Immediate Food Delivery I")</f>
        <v>Immediate Food Delivery I</v>
      </c>
      <c r="D1174" s="7" t="s">
        <v>6</v>
      </c>
      <c r="E1174" s="8" t="s">
        <v>101</v>
      </c>
      <c r="F1174" s="9">
        <v>0.83</v>
      </c>
      <c r="G1174" s="10"/>
      <c r="H1174" s="10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t="14.25" customHeight="1">
      <c r="A1175" s="11">
        <v>1174.0</v>
      </c>
      <c r="B1175" s="5"/>
      <c r="C1175" s="12" t="str">
        <f>HYPERLINK("https://leetcode.com/problems/immediate-food-delivery-ii", "Immediate Food Delivery II")</f>
        <v>Immediate Food Delivery II</v>
      </c>
      <c r="D1175" s="7" t="s">
        <v>8</v>
      </c>
      <c r="E1175" s="8" t="s">
        <v>101</v>
      </c>
      <c r="F1175" s="9">
        <v>0.63</v>
      </c>
      <c r="G1175" s="10"/>
      <c r="H1175" s="10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t="14.25" customHeight="1">
      <c r="A1176" s="4">
        <v>1175.0</v>
      </c>
      <c r="B1176" s="5"/>
      <c r="C1176" s="6" t="str">
        <f>HYPERLINK("https://leetcode.com/problems/prime-arrangements", "Prime Arrangements")</f>
        <v>Prime Arrangements</v>
      </c>
      <c r="D1176" s="7" t="s">
        <v>6</v>
      </c>
      <c r="E1176" s="8" t="s">
        <v>15</v>
      </c>
      <c r="F1176" s="9">
        <v>0.53</v>
      </c>
      <c r="G1176" s="10"/>
      <c r="H1176" s="10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t="14.25" customHeight="1">
      <c r="A1177" s="11">
        <v>1176.0</v>
      </c>
      <c r="B1177" s="5"/>
      <c r="C1177" s="12" t="str">
        <f>HYPERLINK("https://leetcode.com/problems/diet-plan-performance", "Diet Plan Performance")</f>
        <v>Diet Plan Performance</v>
      </c>
      <c r="D1177" s="7" t="s">
        <v>6</v>
      </c>
      <c r="E1177" s="8" t="s">
        <v>334</v>
      </c>
      <c r="F1177" s="9">
        <v>0.52</v>
      </c>
      <c r="G1177" s="10"/>
      <c r="H1177" s="10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t="14.25" customHeight="1">
      <c r="A1178" s="4">
        <v>1177.0</v>
      </c>
      <c r="B1178" s="5"/>
      <c r="C1178" s="6" t="str">
        <f>HYPERLINK("https://leetcode.com/problems/can-make-palindrome-from-substring", "Can Make Palindrome from Substring")</f>
        <v>Can Make Palindrome from Substring</v>
      </c>
      <c r="D1178" s="7" t="s">
        <v>8</v>
      </c>
      <c r="E1178" s="8" t="s">
        <v>514</v>
      </c>
      <c r="F1178" s="9">
        <v>0.37</v>
      </c>
      <c r="G1178" s="10"/>
      <c r="H1178" s="10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t="14.25" customHeight="1">
      <c r="A1179" s="4">
        <v>1178.0</v>
      </c>
      <c r="B1179" s="5"/>
      <c r="C1179" s="6" t="str">
        <f>HYPERLINK("https://leetcode.com/problems/number-of-valid-words-for-each-puzzle", "Number of Valid Words for Each Puzzle")</f>
        <v>Number of Valid Words for Each Puzzle</v>
      </c>
      <c r="D1179" s="7" t="s">
        <v>11</v>
      </c>
      <c r="E1179" s="8" t="s">
        <v>515</v>
      </c>
      <c r="F1179" s="9">
        <v>0.46</v>
      </c>
      <c r="G1179" s="10"/>
      <c r="H1179" s="10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t="14.25" customHeight="1">
      <c r="A1180" s="4">
        <v>1179.0</v>
      </c>
      <c r="B1180" s="5"/>
      <c r="C1180" s="6" t="str">
        <f>HYPERLINK("https://leetcode.com/problems/reformat-department-table", "Reformat Department Table")</f>
        <v>Reformat Department Table</v>
      </c>
      <c r="D1180" s="7" t="s">
        <v>6</v>
      </c>
      <c r="E1180" s="8" t="s">
        <v>101</v>
      </c>
      <c r="F1180" s="9">
        <v>0.82</v>
      </c>
      <c r="G1180" s="10"/>
      <c r="H1180" s="10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t="14.25" customHeight="1">
      <c r="A1181" s="11">
        <v>1180.0</v>
      </c>
      <c r="B1181" s="5"/>
      <c r="C1181" s="12" t="str">
        <f>HYPERLINK("https://leetcode.com/problems/count-substrings-with-only-one-distinct-letter", "Count Substrings with Only One Distinct Letter")</f>
        <v>Count Substrings with Only One Distinct Letter</v>
      </c>
      <c r="D1181" s="7" t="s">
        <v>6</v>
      </c>
      <c r="E1181" s="8" t="s">
        <v>97</v>
      </c>
      <c r="F1181" s="9">
        <v>0.79</v>
      </c>
      <c r="G1181" s="10"/>
      <c r="H1181" s="10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t="14.25" customHeight="1">
      <c r="A1182" s="11">
        <v>1181.0</v>
      </c>
      <c r="B1182" s="5"/>
      <c r="C1182" s="12" t="str">
        <f>HYPERLINK("https://leetcode.com/problems/before-and-after-puzzle", "Before and After Puzzle")</f>
        <v>Before and After Puzzle</v>
      </c>
      <c r="D1182" s="7" t="s">
        <v>8</v>
      </c>
      <c r="E1182" s="8" t="s">
        <v>39</v>
      </c>
      <c r="F1182" s="9">
        <v>0.45</v>
      </c>
      <c r="G1182" s="10"/>
      <c r="H1182" s="10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t="14.25" customHeight="1">
      <c r="A1183" s="11">
        <v>1182.0</v>
      </c>
      <c r="B1183" s="5"/>
      <c r="C1183" s="12" t="str">
        <f>HYPERLINK("https://leetcode.com/problems/shortest-distance-to-target-color", "Shortest Distance to Target Color")</f>
        <v>Shortest Distance to Target Color</v>
      </c>
      <c r="D1183" s="7" t="s">
        <v>8</v>
      </c>
      <c r="E1183" s="8" t="s">
        <v>173</v>
      </c>
      <c r="F1183" s="9">
        <v>0.55</v>
      </c>
      <c r="G1183" s="10"/>
      <c r="H1183" s="10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t="14.25" customHeight="1">
      <c r="A1184" s="11">
        <v>1183.0</v>
      </c>
      <c r="B1184" s="5"/>
      <c r="C1184" s="12" t="str">
        <f>HYPERLINK("https://leetcode.com/problems/maximum-number-of-ones", "Maximum Number of Ones")</f>
        <v>Maximum Number of Ones</v>
      </c>
      <c r="D1184" s="7" t="s">
        <v>11</v>
      </c>
      <c r="E1184" s="8" t="s">
        <v>516</v>
      </c>
      <c r="F1184" s="9">
        <v>0.61</v>
      </c>
      <c r="G1184" s="10"/>
      <c r="H1184" s="10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t="14.25" customHeight="1">
      <c r="A1185" s="4">
        <v>1184.0</v>
      </c>
      <c r="B1185" s="5"/>
      <c r="C1185" s="6" t="str">
        <f>HYPERLINK("https://leetcode.com/problems/distance-between-bus-stops", "Distance Between Bus Stops")</f>
        <v>Distance Between Bus Stops</v>
      </c>
      <c r="D1185" s="7" t="s">
        <v>6</v>
      </c>
      <c r="E1185" s="8" t="s">
        <v>45</v>
      </c>
      <c r="F1185" s="9">
        <v>0.54</v>
      </c>
      <c r="G1185" s="10"/>
      <c r="H1185" s="10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t="14.25" customHeight="1">
      <c r="A1186" s="4">
        <v>1185.0</v>
      </c>
      <c r="B1186" s="5"/>
      <c r="C1186" s="6" t="str">
        <f>HYPERLINK("https://leetcode.com/problems/day-of-the-week", "Day of the Week")</f>
        <v>Day of the Week</v>
      </c>
      <c r="D1186" s="7" t="s">
        <v>6</v>
      </c>
      <c r="E1186" s="8" t="s">
        <v>15</v>
      </c>
      <c r="F1186" s="9">
        <v>0.57</v>
      </c>
      <c r="G1186" s="10"/>
      <c r="H1186" s="10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t="14.25" customHeight="1">
      <c r="A1187" s="4">
        <v>1186.0</v>
      </c>
      <c r="B1187" s="5"/>
      <c r="C1187" s="6" t="str">
        <f>HYPERLINK("https://leetcode.com/problems/maximum-subarray-sum-with-one-deletion", "Maximum Subarray Sum with One Deletion")</f>
        <v>Maximum Subarray Sum with One Deletion</v>
      </c>
      <c r="D1187" s="7" t="s">
        <v>8</v>
      </c>
      <c r="E1187" s="8" t="s">
        <v>73</v>
      </c>
      <c r="F1187" s="9">
        <v>0.41</v>
      </c>
      <c r="G1187" s="10"/>
      <c r="H1187" s="10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t="14.25" customHeight="1">
      <c r="A1188" s="4">
        <v>1187.0</v>
      </c>
      <c r="B1188" s="5"/>
      <c r="C1188" s="6" t="str">
        <f>HYPERLINK("https://leetcode.com/problems/make-array-strictly-increasing", "Make Array Strictly Increasing")</f>
        <v>Make Array Strictly Increasing</v>
      </c>
      <c r="D1188" s="7" t="s">
        <v>11</v>
      </c>
      <c r="E1188" s="8" t="s">
        <v>173</v>
      </c>
      <c r="F1188" s="9">
        <v>0.45</v>
      </c>
      <c r="G1188" s="10"/>
      <c r="H1188" s="10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t="14.25" customHeight="1">
      <c r="A1189" s="11">
        <v>1188.0</v>
      </c>
      <c r="B1189" s="5"/>
      <c r="C1189" s="12" t="str">
        <f>HYPERLINK("https://leetcode.com/problems/design-bounded-blocking-queue", "Design Bounded Blocking Queue")</f>
        <v>Design Bounded Blocking Queue</v>
      </c>
      <c r="D1189" s="7" t="s">
        <v>8</v>
      </c>
      <c r="E1189" s="8" t="s">
        <v>500</v>
      </c>
      <c r="F1189" s="9">
        <v>0.72</v>
      </c>
      <c r="G1189" s="10"/>
      <c r="H1189" s="10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t="14.25" customHeight="1">
      <c r="A1190" s="4">
        <v>1189.0</v>
      </c>
      <c r="B1190" s="5"/>
      <c r="C1190" s="6" t="str">
        <f>HYPERLINK("https://leetcode.com/problems/maximum-number-of-balloons", "Maximum Number of Balloons")</f>
        <v>Maximum Number of Balloons</v>
      </c>
      <c r="D1190" s="7" t="s">
        <v>6</v>
      </c>
      <c r="E1190" s="8" t="s">
        <v>172</v>
      </c>
      <c r="F1190" s="9">
        <v>0.61</v>
      </c>
      <c r="G1190" s="10"/>
      <c r="H1190" s="10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t="14.25" customHeight="1">
      <c r="A1191" s="4">
        <v>1190.0</v>
      </c>
      <c r="B1191" s="5"/>
      <c r="C1191" s="6" t="str">
        <f>HYPERLINK("https://leetcode.com/problems/reverse-substrings-between-each-pair-of-parentheses", "Reverse Substrings Between Each Pair of Parentheses")</f>
        <v>Reverse Substrings Between Each Pair of Parentheses</v>
      </c>
      <c r="D1191" s="7" t="s">
        <v>8</v>
      </c>
      <c r="E1191" s="8" t="s">
        <v>22</v>
      </c>
      <c r="F1191" s="9">
        <v>0.65</v>
      </c>
      <c r="G1191" s="10"/>
      <c r="H1191" s="10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t="14.25" customHeight="1">
      <c r="A1192" s="4">
        <v>1191.0</v>
      </c>
      <c r="B1192" s="5"/>
      <c r="C1192" s="6" t="str">
        <f>HYPERLINK("https://leetcode.com/problems/k-concatenation-maximum-sum", "K-Concatenation Maximum Sum")</f>
        <v>K-Concatenation Maximum Sum</v>
      </c>
      <c r="D1192" s="7" t="s">
        <v>8</v>
      </c>
      <c r="E1192" s="8" t="s">
        <v>73</v>
      </c>
      <c r="F1192" s="9">
        <v>0.23</v>
      </c>
      <c r="G1192" s="10"/>
      <c r="H1192" s="10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t="14.25" customHeight="1">
      <c r="A1193" s="4">
        <v>1192.0</v>
      </c>
      <c r="B1193" s="5"/>
      <c r="C1193" s="6" t="str">
        <f>HYPERLINK("https://leetcode.com/problems/critical-connections-in-a-network", "Critical Connections in a Network")</f>
        <v>Critical Connections in a Network</v>
      </c>
      <c r="D1193" s="7" t="s">
        <v>11</v>
      </c>
      <c r="E1193" s="8" t="s">
        <v>517</v>
      </c>
      <c r="F1193" s="9">
        <v>0.54</v>
      </c>
      <c r="G1193" s="10"/>
      <c r="H1193" s="10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t="14.25" customHeight="1">
      <c r="A1194" s="11">
        <v>1193.0</v>
      </c>
      <c r="B1194" s="5"/>
      <c r="C1194" s="12" t="str">
        <f>HYPERLINK("https://leetcode.com/problems/monthly-transactions-i", "Monthly Transactions I")</f>
        <v>Monthly Transactions I</v>
      </c>
      <c r="D1194" s="7" t="s">
        <v>8</v>
      </c>
      <c r="E1194" s="8" t="s">
        <v>101</v>
      </c>
      <c r="F1194" s="9">
        <v>0.66</v>
      </c>
      <c r="G1194" s="10"/>
      <c r="H1194" s="10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t="14.25" customHeight="1">
      <c r="A1195" s="11">
        <v>1194.0</v>
      </c>
      <c r="B1195" s="5"/>
      <c r="C1195" s="12" t="str">
        <f>HYPERLINK("https://leetcode.com/problems/tournament-winners", "Tournament Winners")</f>
        <v>Tournament Winners</v>
      </c>
      <c r="D1195" s="7" t="s">
        <v>11</v>
      </c>
      <c r="E1195" s="8" t="s">
        <v>101</v>
      </c>
      <c r="F1195" s="9">
        <v>0.51</v>
      </c>
      <c r="G1195" s="10"/>
      <c r="H1195" s="10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t="14.25" customHeight="1">
      <c r="A1196" s="4">
        <v>1195.0</v>
      </c>
      <c r="B1196" s="5"/>
      <c r="C1196" s="6" t="str">
        <f>HYPERLINK("https://leetcode.com/problems/fizz-buzz-multithreaded", "Fizz Buzz Multithreaded")</f>
        <v>Fizz Buzz Multithreaded</v>
      </c>
      <c r="D1196" s="7" t="s">
        <v>8</v>
      </c>
      <c r="E1196" s="8" t="s">
        <v>500</v>
      </c>
      <c r="F1196" s="9">
        <v>0.72</v>
      </c>
      <c r="G1196" s="10"/>
      <c r="H1196" s="10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t="14.25" customHeight="1">
      <c r="A1197" s="11">
        <v>1196.0</v>
      </c>
      <c r="B1197" s="5"/>
      <c r="C1197" s="12" t="str">
        <f>HYPERLINK("https://leetcode.com/problems/how-many-apples-can-you-put-into-the-basket", "How Many Apples Can You Put into the Basket")</f>
        <v>How Many Apples Can You Put into the Basket</v>
      </c>
      <c r="D1197" s="7" t="s">
        <v>6</v>
      </c>
      <c r="E1197" s="8" t="s">
        <v>160</v>
      </c>
      <c r="F1197" s="9">
        <v>0.66</v>
      </c>
      <c r="G1197" s="10"/>
      <c r="H1197" s="10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t="14.25" customHeight="1">
      <c r="A1198" s="11">
        <v>1197.0</v>
      </c>
      <c r="B1198" s="5"/>
      <c r="C1198" s="12" t="str">
        <f>HYPERLINK("https://leetcode.com/problems/minimum-knight-moves", "Minimum Knight Moves")</f>
        <v>Minimum Knight Moves</v>
      </c>
      <c r="D1198" s="7" t="s">
        <v>8</v>
      </c>
      <c r="E1198" s="8" t="s">
        <v>518</v>
      </c>
      <c r="F1198" s="9">
        <v>0.39</v>
      </c>
      <c r="G1198" s="10"/>
      <c r="H1198" s="10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t="14.25" customHeight="1">
      <c r="A1199" s="11">
        <v>1198.0</v>
      </c>
      <c r="B1199" s="5"/>
      <c r="C1199" s="12" t="str">
        <f>HYPERLINK("https://leetcode.com/problems/find-smallest-common-element-in-all-rows", "Find Smallest Common Element in All Rows")</f>
        <v>Find Smallest Common Element in All Rows</v>
      </c>
      <c r="D1199" s="7" t="s">
        <v>8</v>
      </c>
      <c r="E1199" s="8" t="s">
        <v>519</v>
      </c>
      <c r="F1199" s="9">
        <v>0.76</v>
      </c>
      <c r="G1199" s="10"/>
      <c r="H1199" s="10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t="14.25" customHeight="1">
      <c r="A1200" s="11">
        <v>1199.0</v>
      </c>
      <c r="B1200" s="5"/>
      <c r="C1200" s="12" t="str">
        <f>HYPERLINK("https://leetcode.com/problems/minimum-time-to-build-blocks", "Minimum Time to Build Blocks")</f>
        <v>Minimum Time to Build Blocks</v>
      </c>
      <c r="D1200" s="7" t="s">
        <v>11</v>
      </c>
      <c r="E1200" s="8" t="s">
        <v>520</v>
      </c>
      <c r="F1200" s="9">
        <v>0.4</v>
      </c>
      <c r="G1200" s="10"/>
      <c r="H1200" s="10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t="14.25" customHeight="1">
      <c r="A1201" s="4">
        <v>1200.0</v>
      </c>
      <c r="B1201" s="5"/>
      <c r="C1201" s="6" t="str">
        <f>HYPERLINK("https://leetcode.com/problems/minimum-absolute-difference", "Minimum Absolute Difference")</f>
        <v>Minimum Absolute Difference</v>
      </c>
      <c r="D1201" s="7" t="s">
        <v>6</v>
      </c>
      <c r="E1201" s="8" t="s">
        <v>44</v>
      </c>
      <c r="F1201" s="9">
        <v>0.69</v>
      </c>
      <c r="G1201" s="10"/>
      <c r="H1201" s="10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t="14.25" customHeight="1">
      <c r="A1202" s="4">
        <v>1201.0</v>
      </c>
      <c r="B1202" s="5"/>
      <c r="C1202" s="6" t="str">
        <f>HYPERLINK("https://leetcode.com/problems/ugly-number-iii", "Ugly Number III")</f>
        <v>Ugly Number III</v>
      </c>
      <c r="D1202" s="7" t="s">
        <v>8</v>
      </c>
      <c r="E1202" s="8" t="s">
        <v>521</v>
      </c>
      <c r="F1202" s="9">
        <v>0.28</v>
      </c>
      <c r="G1202" s="10"/>
      <c r="H1202" s="10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t="14.25" customHeight="1">
      <c r="A1203" s="4">
        <v>1202.0</v>
      </c>
      <c r="B1203" s="5"/>
      <c r="C1203" s="6" t="str">
        <f>HYPERLINK("https://leetcode.com/problems/smallest-string-with-swaps", "Smallest String With Swaps")</f>
        <v>Smallest String With Swaps</v>
      </c>
      <c r="D1203" s="7" t="s">
        <v>8</v>
      </c>
      <c r="E1203" s="8" t="s">
        <v>522</v>
      </c>
      <c r="F1203" s="9">
        <v>0.57</v>
      </c>
      <c r="G1203" s="10"/>
      <c r="H1203" s="10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t="14.25" customHeight="1">
      <c r="A1204" s="4">
        <v>1203.0</v>
      </c>
      <c r="B1204" s="5"/>
      <c r="C1204" s="6" t="str">
        <f>HYPERLINK("https://leetcode.com/problems/sort-items-by-groups-respecting-dependencies", "Sort Items by Groups Respecting Dependencies")</f>
        <v>Sort Items by Groups Respecting Dependencies</v>
      </c>
      <c r="D1204" s="7" t="s">
        <v>11</v>
      </c>
      <c r="E1204" s="8" t="s">
        <v>111</v>
      </c>
      <c r="F1204" s="9">
        <v>0.5</v>
      </c>
      <c r="G1204" s="10"/>
      <c r="H1204" s="10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t="14.25" customHeight="1">
      <c r="A1205" s="11">
        <v>1204.0</v>
      </c>
      <c r="B1205" s="5"/>
      <c r="C1205" s="12" t="str">
        <f>HYPERLINK("https://leetcode.com/problems/last-person-to-fit-in-the-bus", "Last Person to Fit in the Bus")</f>
        <v>Last Person to Fit in the Bus</v>
      </c>
      <c r="D1205" s="7" t="s">
        <v>8</v>
      </c>
      <c r="E1205" s="8" t="s">
        <v>101</v>
      </c>
      <c r="F1205" s="9">
        <v>0.74</v>
      </c>
      <c r="G1205" s="10"/>
      <c r="H1205" s="10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t="14.25" customHeight="1">
      <c r="A1206" s="11">
        <v>1205.0</v>
      </c>
      <c r="B1206" s="5"/>
      <c r="C1206" s="12" t="str">
        <f>HYPERLINK("https://leetcode.com/problems/monthly-transactions-ii", "Monthly Transactions II")</f>
        <v>Monthly Transactions II</v>
      </c>
      <c r="D1206" s="7" t="s">
        <v>8</v>
      </c>
      <c r="E1206" s="8" t="s">
        <v>101</v>
      </c>
      <c r="F1206" s="9">
        <v>0.43</v>
      </c>
      <c r="G1206" s="10"/>
      <c r="H1206" s="10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t="14.25" customHeight="1">
      <c r="A1207" s="4">
        <v>1206.0</v>
      </c>
      <c r="B1207" s="5"/>
      <c r="C1207" s="6" t="str">
        <f>HYPERLINK("https://leetcode.com/problems/design-skiplist", "Design Skiplist")</f>
        <v>Design Skiplist</v>
      </c>
      <c r="D1207" s="7" t="s">
        <v>11</v>
      </c>
      <c r="E1207" s="8" t="s">
        <v>360</v>
      </c>
      <c r="F1207" s="9">
        <v>0.6</v>
      </c>
      <c r="G1207" s="10"/>
      <c r="H1207" s="10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t="14.25" customHeight="1">
      <c r="A1208" s="4">
        <v>1207.0</v>
      </c>
      <c r="B1208" s="5"/>
      <c r="C1208" s="6" t="str">
        <f>HYPERLINK("https://leetcode.com/problems/unique-number-of-occurrences", "Unique Number of Occurrences")</f>
        <v>Unique Number of Occurrences</v>
      </c>
      <c r="D1208" s="7" t="s">
        <v>6</v>
      </c>
      <c r="E1208" s="8" t="s">
        <v>7</v>
      </c>
      <c r="F1208" s="9">
        <v>0.73</v>
      </c>
      <c r="G1208" s="10"/>
      <c r="H1208" s="10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t="14.25" customHeight="1">
      <c r="A1209" s="4">
        <v>1208.0</v>
      </c>
      <c r="B1209" s="5"/>
      <c r="C1209" s="6" t="str">
        <f>HYPERLINK("https://leetcode.com/problems/get-equal-substrings-within-budget", "Get Equal Substrings Within Budget")</f>
        <v>Get Equal Substrings Within Budget</v>
      </c>
      <c r="D1209" s="7" t="s">
        <v>8</v>
      </c>
      <c r="E1209" s="8" t="s">
        <v>523</v>
      </c>
      <c r="F1209" s="9">
        <v>0.47</v>
      </c>
      <c r="G1209" s="10"/>
      <c r="H1209" s="10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t="14.25" customHeight="1">
      <c r="A1210" s="4">
        <v>1209.0</v>
      </c>
      <c r="B1210" s="5"/>
      <c r="C1210" s="6" t="str">
        <f>HYPERLINK("https://leetcode.com/problems/remove-all-adjacent-duplicates-in-string-ii", "Remove All Adjacent Duplicates in String II")</f>
        <v>Remove All Adjacent Duplicates in String II</v>
      </c>
      <c r="D1210" s="7" t="s">
        <v>8</v>
      </c>
      <c r="E1210" s="8" t="s">
        <v>22</v>
      </c>
      <c r="F1210" s="9">
        <v>0.55</v>
      </c>
      <c r="G1210" s="10"/>
      <c r="H1210" s="10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t="14.25" customHeight="1">
      <c r="A1211" s="4">
        <v>1210.0</v>
      </c>
      <c r="B1211" s="5"/>
      <c r="C1211" s="6" t="str">
        <f>HYPERLINK("https://leetcode.com/problems/minimum-moves-to-reach-target-with-rotations", "Minimum Moves to Reach Target with Rotations")</f>
        <v>Minimum Moves to Reach Target with Rotations</v>
      </c>
      <c r="D1211" s="7" t="s">
        <v>11</v>
      </c>
      <c r="E1211" s="8" t="s">
        <v>164</v>
      </c>
      <c r="F1211" s="9">
        <v>0.49</v>
      </c>
      <c r="G1211" s="10"/>
      <c r="H1211" s="10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4.25" customHeight="1">
      <c r="A1212" s="11">
        <v>1211.0</v>
      </c>
      <c r="B1212" s="5"/>
      <c r="C1212" s="12" t="str">
        <f>HYPERLINK("https://leetcode.com/problems/queries-quality-and-percentage", "Queries Quality and Percentage")</f>
        <v>Queries Quality and Percentage</v>
      </c>
      <c r="D1212" s="7" t="s">
        <v>6</v>
      </c>
      <c r="E1212" s="8" t="s">
        <v>101</v>
      </c>
      <c r="F1212" s="9">
        <v>0.71</v>
      </c>
      <c r="G1212" s="10"/>
      <c r="H1212" s="10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t="14.25" customHeight="1">
      <c r="A1213" s="11">
        <v>1212.0</v>
      </c>
      <c r="B1213" s="5"/>
      <c r="C1213" s="12" t="str">
        <f>HYPERLINK("https://leetcode.com/problems/team-scores-in-football-tournament", "Team Scores in Football Tournament")</f>
        <v>Team Scores in Football Tournament</v>
      </c>
      <c r="D1213" s="7" t="s">
        <v>8</v>
      </c>
      <c r="E1213" s="8" t="s">
        <v>101</v>
      </c>
      <c r="F1213" s="9">
        <v>0.57</v>
      </c>
      <c r="G1213" s="10"/>
      <c r="H1213" s="10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t="14.25" customHeight="1">
      <c r="A1214" s="11">
        <v>1213.0</v>
      </c>
      <c r="B1214" s="5"/>
      <c r="C1214" s="12" t="str">
        <f>HYPERLINK("https://leetcode.com/problems/intersection-of-three-sorted-arrays", "Intersection of Three Sorted Arrays")</f>
        <v>Intersection of Three Sorted Arrays</v>
      </c>
      <c r="D1214" s="7" t="s">
        <v>6</v>
      </c>
      <c r="E1214" s="8" t="s">
        <v>524</v>
      </c>
      <c r="F1214" s="9">
        <v>0.79</v>
      </c>
      <c r="G1214" s="10"/>
      <c r="H1214" s="10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t="14.25" customHeight="1">
      <c r="A1215" s="11">
        <v>1214.0</v>
      </c>
      <c r="B1215" s="5"/>
      <c r="C1215" s="12" t="str">
        <f>HYPERLINK("https://leetcode.com/problems/two-sum-bsts", "Two Sum BSTs")</f>
        <v>Two Sum BSTs</v>
      </c>
      <c r="D1215" s="7" t="s">
        <v>8</v>
      </c>
      <c r="E1215" s="8" t="s">
        <v>525</v>
      </c>
      <c r="F1215" s="9">
        <v>0.66</v>
      </c>
      <c r="G1215" s="10"/>
      <c r="H1215" s="10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t="14.25" customHeight="1">
      <c r="A1216" s="11">
        <v>1215.0</v>
      </c>
      <c r="B1216" s="5"/>
      <c r="C1216" s="12" t="str">
        <f>HYPERLINK("https://leetcode.com/problems/stepping-numbers", "Stepping Numbers")</f>
        <v>Stepping Numbers</v>
      </c>
      <c r="D1216" s="7" t="s">
        <v>8</v>
      </c>
      <c r="E1216" s="8" t="s">
        <v>458</v>
      </c>
      <c r="F1216" s="9">
        <v>0.46</v>
      </c>
      <c r="G1216" s="10"/>
      <c r="H1216" s="10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t="14.25" customHeight="1">
      <c r="A1217" s="11">
        <v>1216.0</v>
      </c>
      <c r="B1217" s="5"/>
      <c r="C1217" s="12" t="str">
        <f>HYPERLINK("https://leetcode.com/problems/valid-palindrome-iii", "Valid Palindrome III")</f>
        <v>Valid Palindrome III</v>
      </c>
      <c r="D1217" s="7" t="s">
        <v>11</v>
      </c>
      <c r="E1217" s="8" t="s">
        <v>13</v>
      </c>
      <c r="F1217" s="9">
        <v>0.5</v>
      </c>
      <c r="G1217" s="10"/>
      <c r="H1217" s="10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t="14.25" customHeight="1">
      <c r="A1218" s="4">
        <v>1217.0</v>
      </c>
      <c r="B1218" s="5"/>
      <c r="C1218" s="6" t="str">
        <f>HYPERLINK("https://leetcode.com/problems/minimum-cost-to-move-chips-to-the-same-position", "Minimum Cost to Move Chips to The Same Position")</f>
        <v>Minimum Cost to Move Chips to The Same Position</v>
      </c>
      <c r="D1218" s="7" t="s">
        <v>6</v>
      </c>
      <c r="E1218" s="8" t="s">
        <v>526</v>
      </c>
      <c r="F1218" s="9">
        <v>0.72</v>
      </c>
      <c r="G1218" s="10"/>
      <c r="H1218" s="10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t="14.25" customHeight="1">
      <c r="A1219" s="4">
        <v>1218.0</v>
      </c>
      <c r="B1219" s="5"/>
      <c r="C1219" s="6" t="str">
        <f>HYPERLINK("https://leetcode.com/problems/longest-arithmetic-subsequence-of-given-difference", "Longest Arithmetic Subsequence of Given Difference")</f>
        <v>Longest Arithmetic Subsequence of Given Difference</v>
      </c>
      <c r="D1219" s="7" t="s">
        <v>8</v>
      </c>
      <c r="E1219" s="8" t="s">
        <v>373</v>
      </c>
      <c r="F1219" s="9">
        <v>0.51</v>
      </c>
      <c r="G1219" s="10"/>
      <c r="H1219" s="10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t="14.25" customHeight="1">
      <c r="A1220" s="4">
        <v>1219.0</v>
      </c>
      <c r="B1220" s="5"/>
      <c r="C1220" s="6" t="str">
        <f>HYPERLINK("https://leetcode.com/problems/path-with-maximum-gold", "Path with Maximum Gold")</f>
        <v>Path with Maximum Gold</v>
      </c>
      <c r="D1220" s="7" t="s">
        <v>8</v>
      </c>
      <c r="E1220" s="8" t="s">
        <v>32</v>
      </c>
      <c r="F1220" s="9">
        <v>0.63</v>
      </c>
      <c r="G1220" s="10"/>
      <c r="H1220" s="10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t="14.25" customHeight="1">
      <c r="A1221" s="4">
        <v>1220.0</v>
      </c>
      <c r="B1221" s="5"/>
      <c r="C1221" s="6" t="str">
        <f>HYPERLINK("https://leetcode.com/problems/count-vowels-permutation", "Count Vowels Permutation")</f>
        <v>Count Vowels Permutation</v>
      </c>
      <c r="D1221" s="7" t="s">
        <v>11</v>
      </c>
      <c r="E1221" s="8" t="s">
        <v>156</v>
      </c>
      <c r="F1221" s="9">
        <v>0.6</v>
      </c>
      <c r="G1221" s="10"/>
      <c r="H1221" s="10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t="14.25" customHeight="1">
      <c r="A1222" s="4">
        <v>1221.0</v>
      </c>
      <c r="B1222" s="5"/>
      <c r="C1222" s="6" t="str">
        <f>HYPERLINK("https://leetcode.com/problems/split-a-string-in-balanced-strings", "Split a String in Balanced Strings")</f>
        <v>Split a String in Balanced Strings</v>
      </c>
      <c r="D1222" s="7" t="s">
        <v>6</v>
      </c>
      <c r="E1222" s="8" t="s">
        <v>527</v>
      </c>
      <c r="F1222" s="9">
        <v>0.84</v>
      </c>
      <c r="G1222" s="10"/>
      <c r="H1222" s="10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t="14.25" customHeight="1">
      <c r="A1223" s="4">
        <v>1222.0</v>
      </c>
      <c r="B1223" s="5"/>
      <c r="C1223" s="6" t="str">
        <f>HYPERLINK("https://leetcode.com/problems/queens-that-can-attack-the-king", "Queens That Can Attack the King")</f>
        <v>Queens That Can Attack the King</v>
      </c>
      <c r="D1223" s="7" t="s">
        <v>8</v>
      </c>
      <c r="E1223" s="8" t="s">
        <v>43</v>
      </c>
      <c r="F1223" s="9">
        <v>0.71</v>
      </c>
      <c r="G1223" s="10"/>
      <c r="H1223" s="10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t="14.25" customHeight="1">
      <c r="A1224" s="4">
        <v>1223.0</v>
      </c>
      <c r="B1224" s="5"/>
      <c r="C1224" s="6" t="str">
        <f>HYPERLINK("https://leetcode.com/problems/dice-roll-simulation", "Dice Roll Simulation")</f>
        <v>Dice Roll Simulation</v>
      </c>
      <c r="D1224" s="7" t="s">
        <v>11</v>
      </c>
      <c r="E1224" s="8" t="s">
        <v>73</v>
      </c>
      <c r="F1224" s="9">
        <v>0.48</v>
      </c>
      <c r="G1224" s="10"/>
      <c r="H1224" s="10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t="14.25" customHeight="1">
      <c r="A1225" s="4">
        <v>1224.0</v>
      </c>
      <c r="B1225" s="5"/>
      <c r="C1225" s="6" t="str">
        <f>HYPERLINK("https://leetcode.com/problems/maximum-equal-frequency", "Maximum Equal Frequency")</f>
        <v>Maximum Equal Frequency</v>
      </c>
      <c r="D1225" s="7" t="s">
        <v>11</v>
      </c>
      <c r="E1225" s="8" t="s">
        <v>7</v>
      </c>
      <c r="F1225" s="9">
        <v>0.37</v>
      </c>
      <c r="G1225" s="10"/>
      <c r="H1225" s="10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t="14.25" customHeight="1">
      <c r="A1226" s="11">
        <v>1225.0</v>
      </c>
      <c r="B1226" s="5"/>
      <c r="C1226" s="12" t="str">
        <f>HYPERLINK("https://leetcode.com/problems/report-contiguous-dates", "Report Contiguous Dates")</f>
        <v>Report Contiguous Dates</v>
      </c>
      <c r="D1226" s="7" t="s">
        <v>11</v>
      </c>
      <c r="E1226" s="8" t="s">
        <v>101</v>
      </c>
      <c r="F1226" s="9">
        <v>0.63</v>
      </c>
      <c r="G1226" s="10"/>
      <c r="H1226" s="10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t="14.25" customHeight="1">
      <c r="A1227" s="4">
        <v>1226.0</v>
      </c>
      <c r="B1227" s="5"/>
      <c r="C1227" s="6" t="str">
        <f>HYPERLINK("https://leetcode.com/problems/the-dining-philosophers", "The Dining Philosophers")</f>
        <v>The Dining Philosophers</v>
      </c>
      <c r="D1227" s="7" t="s">
        <v>8</v>
      </c>
      <c r="E1227" s="8" t="s">
        <v>500</v>
      </c>
      <c r="F1227" s="9">
        <v>0.56</v>
      </c>
      <c r="G1227" s="10"/>
      <c r="H1227" s="10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t="14.25" customHeight="1">
      <c r="A1228" s="4">
        <v>1227.0</v>
      </c>
      <c r="B1228" s="5"/>
      <c r="C1228" s="6" t="str">
        <f>HYPERLINK("https://leetcode.com/problems/airplane-seat-assignment-probability", "Airplane Seat Assignment Probability")</f>
        <v>Airplane Seat Assignment Probability</v>
      </c>
      <c r="D1228" s="7" t="s">
        <v>8</v>
      </c>
      <c r="E1228" s="8" t="s">
        <v>528</v>
      </c>
      <c r="F1228" s="9">
        <v>0.64</v>
      </c>
      <c r="G1228" s="10"/>
      <c r="H1228" s="10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t="14.25" customHeight="1">
      <c r="A1229" s="11">
        <v>1228.0</v>
      </c>
      <c r="B1229" s="5"/>
      <c r="C1229" s="12" t="str">
        <f>HYPERLINK("https://leetcode.com/problems/missing-number-in-arithmetic-progression", "Missing Number In Arithmetic Progression")</f>
        <v>Missing Number In Arithmetic Progression</v>
      </c>
      <c r="D1229" s="7" t="s">
        <v>6</v>
      </c>
      <c r="E1229" s="8" t="s">
        <v>48</v>
      </c>
      <c r="F1229" s="9">
        <v>0.51</v>
      </c>
      <c r="G1229" s="10"/>
      <c r="H1229" s="10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t="14.25" customHeight="1">
      <c r="A1230" s="11">
        <v>1229.0</v>
      </c>
      <c r="B1230" s="5"/>
      <c r="C1230" s="12" t="str">
        <f>HYPERLINK("https://leetcode.com/problems/meeting-scheduler", "Meeting Scheduler")</f>
        <v>Meeting Scheduler</v>
      </c>
      <c r="D1230" s="7" t="s">
        <v>8</v>
      </c>
      <c r="E1230" s="8" t="s">
        <v>19</v>
      </c>
      <c r="F1230" s="9">
        <v>0.55</v>
      </c>
      <c r="G1230" s="10"/>
      <c r="H1230" s="10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t="14.25" customHeight="1">
      <c r="A1231" s="11">
        <v>1230.0</v>
      </c>
      <c r="B1231" s="5"/>
      <c r="C1231" s="12" t="str">
        <f>HYPERLINK("https://leetcode.com/problems/toss-strange-coins", "Toss Strange Coins")</f>
        <v>Toss Strange Coins</v>
      </c>
      <c r="D1231" s="7" t="s">
        <v>8</v>
      </c>
      <c r="E1231" s="8" t="s">
        <v>396</v>
      </c>
      <c r="F1231" s="9">
        <v>0.53</v>
      </c>
      <c r="G1231" s="10"/>
      <c r="H1231" s="10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t="14.25" customHeight="1">
      <c r="A1232" s="11">
        <v>1231.0</v>
      </c>
      <c r="B1232" s="5"/>
      <c r="C1232" s="12" t="str">
        <f>HYPERLINK("https://leetcode.com/problems/divide-chocolate", "Divide Chocolate")</f>
        <v>Divide Chocolate</v>
      </c>
      <c r="D1232" s="7" t="s">
        <v>11</v>
      </c>
      <c r="E1232" s="8" t="s">
        <v>30</v>
      </c>
      <c r="F1232" s="9">
        <v>0.57</v>
      </c>
      <c r="G1232" s="10"/>
      <c r="H1232" s="10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t="14.25" customHeight="1">
      <c r="A1233" s="4">
        <v>1232.0</v>
      </c>
      <c r="B1233" s="5"/>
      <c r="C1233" s="6" t="str">
        <f>HYPERLINK("https://leetcode.com/problems/check-if-it-is-a-straight-line", "Check If It Is a Straight Line")</f>
        <v>Check If It Is a Straight Line</v>
      </c>
      <c r="D1233" s="7" t="s">
        <v>6</v>
      </c>
      <c r="E1233" s="8" t="s">
        <v>196</v>
      </c>
      <c r="F1233" s="9">
        <v>0.4</v>
      </c>
      <c r="G1233" s="10"/>
      <c r="H1233" s="10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t="14.25" customHeight="1">
      <c r="A1234" s="4">
        <v>1233.0</v>
      </c>
      <c r="B1234" s="5"/>
      <c r="C1234" s="6" t="str">
        <f>HYPERLINK("https://leetcode.com/problems/remove-sub-folders-from-the-filesystem", "Remove Sub-Folders from the Filesystem")</f>
        <v>Remove Sub-Folders from the Filesystem</v>
      </c>
      <c r="D1234" s="7" t="s">
        <v>8</v>
      </c>
      <c r="E1234" s="8" t="s">
        <v>529</v>
      </c>
      <c r="F1234" s="9">
        <v>0.65</v>
      </c>
      <c r="G1234" s="10"/>
      <c r="H1234" s="10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t="14.25" customHeight="1">
      <c r="A1235" s="4">
        <v>1234.0</v>
      </c>
      <c r="B1235" s="5"/>
      <c r="C1235" s="6" t="str">
        <f>HYPERLINK("https://leetcode.com/problems/replace-the-substring-for-balanced-string", "Replace the Substring for Balanced String")</f>
        <v>Replace the Substring for Balanced String</v>
      </c>
      <c r="D1235" s="7" t="s">
        <v>8</v>
      </c>
      <c r="E1235" s="8" t="s">
        <v>509</v>
      </c>
      <c r="F1235" s="9">
        <v>0.36</v>
      </c>
      <c r="G1235" s="10"/>
      <c r="H1235" s="10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t="14.25" customHeight="1">
      <c r="A1236" s="4">
        <v>1235.0</v>
      </c>
      <c r="B1236" s="5"/>
      <c r="C1236" s="6" t="str">
        <f>HYPERLINK("https://leetcode.com/problems/maximum-profit-in-job-scheduling", "Maximum Profit in Job Scheduling")</f>
        <v>Maximum Profit in Job Scheduling</v>
      </c>
      <c r="D1236" s="7" t="s">
        <v>11</v>
      </c>
      <c r="E1236" s="8" t="s">
        <v>209</v>
      </c>
      <c r="F1236" s="9">
        <v>0.53</v>
      </c>
      <c r="G1236" s="10"/>
      <c r="H1236" s="10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t="14.25" customHeight="1">
      <c r="A1237" s="11">
        <v>1236.0</v>
      </c>
      <c r="B1237" s="5"/>
      <c r="C1237" s="12" t="str">
        <f>HYPERLINK("https://leetcode.com/problems/web-crawler", "Web Crawler")</f>
        <v>Web Crawler</v>
      </c>
      <c r="D1237" s="7" t="s">
        <v>8</v>
      </c>
      <c r="E1237" s="8" t="s">
        <v>530</v>
      </c>
      <c r="F1237" s="9">
        <v>0.66</v>
      </c>
      <c r="G1237" s="10"/>
      <c r="H1237" s="10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t="14.25" customHeight="1">
      <c r="A1238" s="4">
        <v>1237.0</v>
      </c>
      <c r="B1238" s="5"/>
      <c r="C1238" s="6" t="str">
        <f>HYPERLINK("https://leetcode.com/problems/find-positive-integer-solution-for-a-given-equation", "Find Positive Integer Solution for a Given Equation")</f>
        <v>Find Positive Integer Solution for a Given Equation</v>
      </c>
      <c r="D1238" s="7" t="s">
        <v>8</v>
      </c>
      <c r="E1238" s="8" t="s">
        <v>531</v>
      </c>
      <c r="F1238" s="9">
        <v>0.69</v>
      </c>
      <c r="G1238" s="10"/>
      <c r="H1238" s="10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t="14.25" customHeight="1">
      <c r="A1239" s="4">
        <v>1238.0</v>
      </c>
      <c r="B1239" s="5"/>
      <c r="C1239" s="6" t="str">
        <f>HYPERLINK("https://leetcode.com/problems/circular-permutation-in-binary-representation", "Circular Permutation in Binary Representation")</f>
        <v>Circular Permutation in Binary Representation</v>
      </c>
      <c r="D1239" s="7" t="s">
        <v>8</v>
      </c>
      <c r="E1239" s="8" t="s">
        <v>58</v>
      </c>
      <c r="F1239" s="9">
        <v>0.68</v>
      </c>
      <c r="G1239" s="10"/>
      <c r="H1239" s="10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t="14.25" customHeight="1">
      <c r="A1240" s="4">
        <v>1239.0</v>
      </c>
      <c r="B1240" s="5"/>
      <c r="C1240" s="6" t="str">
        <f>HYPERLINK("https://leetcode.com/problems/maximum-length-of-a-concatenated-string-with-unique-characters", "Maximum Length of a Concatenated String with Unique Characters")</f>
        <v>Maximum Length of a Concatenated String with Unique Characters</v>
      </c>
      <c r="D1240" s="7" t="s">
        <v>8</v>
      </c>
      <c r="E1240" s="8" t="s">
        <v>532</v>
      </c>
      <c r="F1240" s="9">
        <v>0.52</v>
      </c>
      <c r="G1240" s="10"/>
      <c r="H1240" s="10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ht="14.25" customHeight="1">
      <c r="A1241" s="4">
        <v>1240.0</v>
      </c>
      <c r="B1241" s="5"/>
      <c r="C1241" s="6" t="str">
        <f>HYPERLINK("https://leetcode.com/problems/tiling-a-rectangle-with-the-fewest-squares", "Tiling a Rectangle with the Fewest Squares")</f>
        <v>Tiling a Rectangle with the Fewest Squares</v>
      </c>
      <c r="D1241" s="7" t="s">
        <v>11</v>
      </c>
      <c r="E1241" s="8" t="s">
        <v>206</v>
      </c>
      <c r="F1241" s="9">
        <v>0.53</v>
      </c>
      <c r="G1241" s="10"/>
      <c r="H1241" s="10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ht="14.25" customHeight="1">
      <c r="A1242" s="11">
        <v>1241.0</v>
      </c>
      <c r="B1242" s="5"/>
      <c r="C1242" s="12" t="str">
        <f>HYPERLINK("https://leetcode.com/problems/number-of-comments-per-post", "Number of Comments per Post")</f>
        <v>Number of Comments per Post</v>
      </c>
      <c r="D1242" s="7" t="s">
        <v>6</v>
      </c>
      <c r="E1242" s="8" t="s">
        <v>101</v>
      </c>
      <c r="F1242" s="9">
        <v>0.67</v>
      </c>
      <c r="G1242" s="10"/>
      <c r="H1242" s="10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ht="14.25" customHeight="1">
      <c r="A1243" s="11">
        <v>1242.0</v>
      </c>
      <c r="B1243" s="5"/>
      <c r="C1243" s="12" t="str">
        <f>HYPERLINK("https://leetcode.com/problems/web-crawler-multithreaded", "Web Crawler Multithreaded")</f>
        <v>Web Crawler Multithreaded</v>
      </c>
      <c r="D1243" s="7" t="s">
        <v>8</v>
      </c>
      <c r="E1243" s="8" t="s">
        <v>533</v>
      </c>
      <c r="F1243" s="9">
        <v>0.48</v>
      </c>
      <c r="G1243" s="10"/>
      <c r="H1243" s="10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ht="14.25" customHeight="1">
      <c r="A1244" s="11">
        <v>1243.0</v>
      </c>
      <c r="B1244" s="5"/>
      <c r="C1244" s="12" t="str">
        <f>HYPERLINK("https://leetcode.com/problems/array-transformation", "Array Transformation")</f>
        <v>Array Transformation</v>
      </c>
      <c r="D1244" s="7" t="s">
        <v>6</v>
      </c>
      <c r="E1244" s="8" t="s">
        <v>288</v>
      </c>
      <c r="F1244" s="9">
        <v>0.5</v>
      </c>
      <c r="G1244" s="10"/>
      <c r="H1244" s="10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ht="14.25" customHeight="1">
      <c r="A1245" s="11">
        <v>1244.0</v>
      </c>
      <c r="B1245" s="5"/>
      <c r="C1245" s="12" t="str">
        <f>HYPERLINK("https://leetcode.com/problems/design-a-leaderboard", "Design A Leaderboard")</f>
        <v>Design A Leaderboard</v>
      </c>
      <c r="D1245" s="7" t="s">
        <v>8</v>
      </c>
      <c r="E1245" s="8" t="s">
        <v>534</v>
      </c>
      <c r="F1245" s="9">
        <v>0.68</v>
      </c>
      <c r="G1245" s="10"/>
      <c r="H1245" s="10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ht="14.25" customHeight="1">
      <c r="A1246" s="11">
        <v>1245.0</v>
      </c>
      <c r="B1246" s="5"/>
      <c r="C1246" s="12" t="str">
        <f>HYPERLINK("https://leetcode.com/problems/tree-diameter", "Tree Diameter")</f>
        <v>Tree Diameter</v>
      </c>
      <c r="D1246" s="7" t="s">
        <v>8</v>
      </c>
      <c r="E1246" s="8" t="s">
        <v>535</v>
      </c>
      <c r="F1246" s="9">
        <v>0.61</v>
      </c>
      <c r="G1246" s="10"/>
      <c r="H1246" s="10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ht="14.25" customHeight="1">
      <c r="A1247" s="11">
        <v>1246.0</v>
      </c>
      <c r="B1247" s="5"/>
      <c r="C1247" s="12" t="str">
        <f>HYPERLINK("https://leetcode.com/problems/palindrome-removal", "Palindrome Removal")</f>
        <v>Palindrome Removal</v>
      </c>
      <c r="D1247" s="7" t="s">
        <v>11</v>
      </c>
      <c r="E1247" s="8" t="s">
        <v>73</v>
      </c>
      <c r="F1247" s="9">
        <v>0.46</v>
      </c>
      <c r="G1247" s="10"/>
      <c r="H1247" s="10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ht="14.25" customHeight="1">
      <c r="A1248" s="4">
        <v>1247.0</v>
      </c>
      <c r="B1248" s="5"/>
      <c r="C1248" s="6" t="str">
        <f>HYPERLINK("https://leetcode.com/problems/minimum-swaps-to-make-strings-equal", "Minimum Swaps to Make Strings Equal")</f>
        <v>Minimum Swaps to Make Strings Equal</v>
      </c>
      <c r="D1248" s="7" t="s">
        <v>8</v>
      </c>
      <c r="E1248" s="8" t="s">
        <v>536</v>
      </c>
      <c r="F1248" s="9">
        <v>0.63</v>
      </c>
      <c r="G1248" s="10"/>
      <c r="H1248" s="10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ht="14.25" customHeight="1">
      <c r="A1249" s="4">
        <v>1248.0</v>
      </c>
      <c r="B1249" s="5"/>
      <c r="C1249" s="6" t="str">
        <f>HYPERLINK("https://leetcode.com/problems/count-number-of-nice-subarrays", "Count Number of Nice Subarrays")</f>
        <v>Count Number of Nice Subarrays</v>
      </c>
      <c r="D1249" s="7" t="s">
        <v>8</v>
      </c>
      <c r="E1249" s="8" t="s">
        <v>537</v>
      </c>
      <c r="F1249" s="9">
        <v>0.59</v>
      </c>
      <c r="G1249" s="10"/>
      <c r="H1249" s="10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ht="14.25" customHeight="1">
      <c r="A1250" s="4">
        <v>1249.0</v>
      </c>
      <c r="B1250" s="5"/>
      <c r="C1250" s="6" t="str">
        <f>HYPERLINK("https://leetcode.com/problems/minimum-remove-to-make-valid-parentheses", "Minimum Remove to Make Valid Parentheses")</f>
        <v>Minimum Remove to Make Valid Parentheses</v>
      </c>
      <c r="D1250" s="7" t="s">
        <v>8</v>
      </c>
      <c r="E1250" s="8" t="s">
        <v>22</v>
      </c>
      <c r="F1250" s="9">
        <v>0.65</v>
      </c>
      <c r="G1250" s="10"/>
      <c r="H1250" s="10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ht="14.25" customHeight="1">
      <c r="A1251" s="4">
        <v>1250.0</v>
      </c>
      <c r="B1251" s="5"/>
      <c r="C1251" s="6" t="str">
        <f>HYPERLINK("https://leetcode.com/problems/check-if-it-is-a-good-array", "Check If It Is a Good Array")</f>
        <v>Check If It Is a Good Array</v>
      </c>
      <c r="D1251" s="7" t="s">
        <v>11</v>
      </c>
      <c r="E1251" s="8" t="s">
        <v>538</v>
      </c>
      <c r="F1251" s="9">
        <v>0.58</v>
      </c>
      <c r="G1251" s="10"/>
      <c r="H1251" s="10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ht="14.25" customHeight="1">
      <c r="A1252" s="11">
        <v>1251.0</v>
      </c>
      <c r="B1252" s="5"/>
      <c r="C1252" s="12" t="str">
        <f>HYPERLINK("https://leetcode.com/problems/average-selling-price", "Average Selling Price")</f>
        <v>Average Selling Price</v>
      </c>
      <c r="D1252" s="7" t="s">
        <v>6</v>
      </c>
      <c r="E1252" s="8" t="s">
        <v>101</v>
      </c>
      <c r="F1252" s="9">
        <v>0.82</v>
      </c>
      <c r="G1252" s="10"/>
      <c r="H1252" s="10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ht="14.25" customHeight="1">
      <c r="A1253" s="4">
        <v>1252.0</v>
      </c>
      <c r="B1253" s="5"/>
      <c r="C1253" s="6" t="str">
        <f>HYPERLINK("https://leetcode.com/problems/cells-with-odd-values-in-a-matrix", "Cells with Odd Values in a Matrix")</f>
        <v>Cells with Odd Values in a Matrix</v>
      </c>
      <c r="D1253" s="7" t="s">
        <v>6</v>
      </c>
      <c r="E1253" s="8" t="s">
        <v>539</v>
      </c>
      <c r="F1253" s="9">
        <v>0.78</v>
      </c>
      <c r="G1253" s="10"/>
      <c r="H1253" s="10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ht="14.25" customHeight="1">
      <c r="A1254" s="4">
        <v>1253.0</v>
      </c>
      <c r="B1254" s="5"/>
      <c r="C1254" s="6" t="str">
        <f>HYPERLINK("https://leetcode.com/problems/reconstruct-a-2-row-binary-matrix", "Reconstruct a 2-Row Binary Matrix")</f>
        <v>Reconstruct a 2-Row Binary Matrix</v>
      </c>
      <c r="D1254" s="7" t="s">
        <v>8</v>
      </c>
      <c r="E1254" s="8" t="s">
        <v>395</v>
      </c>
      <c r="F1254" s="9">
        <v>0.43</v>
      </c>
      <c r="G1254" s="10"/>
      <c r="H1254" s="10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ht="14.25" customHeight="1">
      <c r="A1255" s="4">
        <v>1254.0</v>
      </c>
      <c r="B1255" s="5"/>
      <c r="C1255" s="6" t="str">
        <f>HYPERLINK("https://leetcode.com/problems/number-of-closed-islands", "Number of Closed Islands")</f>
        <v>Number of Closed Islands</v>
      </c>
      <c r="D1255" s="7" t="s">
        <v>8</v>
      </c>
      <c r="E1255" s="8" t="s">
        <v>79</v>
      </c>
      <c r="F1255" s="9">
        <v>0.64</v>
      </c>
      <c r="G1255" s="10"/>
      <c r="H1255" s="10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ht="14.25" customHeight="1">
      <c r="A1256" s="4">
        <v>1255.0</v>
      </c>
      <c r="B1256" s="5"/>
      <c r="C1256" s="6" t="str">
        <f>HYPERLINK("https://leetcode.com/problems/maximum-score-words-formed-by-letters", "Maximum Score Words Formed by Letters")</f>
        <v>Maximum Score Words Formed by Letters</v>
      </c>
      <c r="D1256" s="7" t="s">
        <v>11</v>
      </c>
      <c r="E1256" s="8" t="s">
        <v>353</v>
      </c>
      <c r="F1256" s="9">
        <v>0.72</v>
      </c>
      <c r="G1256" s="10"/>
      <c r="H1256" s="10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ht="14.25" customHeight="1">
      <c r="A1257" s="11">
        <v>1256.0</v>
      </c>
      <c r="B1257" s="5"/>
      <c r="C1257" s="12" t="str">
        <f>HYPERLINK("https://leetcode.com/problems/encode-number", "Encode Number")</f>
        <v>Encode Number</v>
      </c>
      <c r="D1257" s="7" t="s">
        <v>8</v>
      </c>
      <c r="E1257" s="8" t="s">
        <v>540</v>
      </c>
      <c r="F1257" s="9">
        <v>0.69</v>
      </c>
      <c r="G1257" s="10"/>
      <c r="H1257" s="10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ht="14.25" customHeight="1">
      <c r="A1258" s="11">
        <v>1257.0</v>
      </c>
      <c r="B1258" s="5"/>
      <c r="C1258" s="12" t="str">
        <f>HYPERLINK("https://leetcode.com/problems/smallest-common-region", "Smallest Common Region")</f>
        <v>Smallest Common Region</v>
      </c>
      <c r="D1258" s="7" t="s">
        <v>8</v>
      </c>
      <c r="E1258" s="8" t="s">
        <v>541</v>
      </c>
      <c r="F1258" s="9">
        <v>0.64</v>
      </c>
      <c r="G1258" s="10"/>
      <c r="H1258" s="10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ht="14.25" customHeight="1">
      <c r="A1259" s="11">
        <v>1258.0</v>
      </c>
      <c r="B1259" s="5"/>
      <c r="C1259" s="12" t="str">
        <f>HYPERLINK("https://leetcode.com/problems/synonymous-sentences", "Synonymous Sentences")</f>
        <v>Synonymous Sentences</v>
      </c>
      <c r="D1259" s="7" t="s">
        <v>8</v>
      </c>
      <c r="E1259" s="8" t="s">
        <v>542</v>
      </c>
      <c r="F1259" s="9">
        <v>0.56</v>
      </c>
      <c r="G1259" s="10"/>
      <c r="H1259" s="10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ht="14.25" customHeight="1">
      <c r="A1260" s="11">
        <v>1259.0</v>
      </c>
      <c r="B1260" s="5"/>
      <c r="C1260" s="12" t="str">
        <f>HYPERLINK("https://leetcode.com/problems/handshakes-that-dont-cross", "Handshakes That Don't Cross")</f>
        <v>Handshakes That Don't Cross</v>
      </c>
      <c r="D1260" s="7" t="s">
        <v>11</v>
      </c>
      <c r="E1260" s="8" t="s">
        <v>201</v>
      </c>
      <c r="F1260" s="9">
        <v>0.56</v>
      </c>
      <c r="G1260" s="10"/>
      <c r="H1260" s="10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ht="14.25" customHeight="1">
      <c r="A1261" s="4">
        <v>1260.0</v>
      </c>
      <c r="B1261" s="5"/>
      <c r="C1261" s="6" t="str">
        <f>HYPERLINK("https://leetcode.com/problems/shift-2d-grid", "Shift 2D Grid")</f>
        <v>Shift 2D Grid</v>
      </c>
      <c r="D1261" s="7" t="s">
        <v>6</v>
      </c>
      <c r="E1261" s="8" t="s">
        <v>43</v>
      </c>
      <c r="F1261" s="9">
        <v>0.67</v>
      </c>
      <c r="G1261" s="10"/>
      <c r="H1261" s="10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ht="14.25" customHeight="1">
      <c r="A1262" s="4">
        <v>1261.0</v>
      </c>
      <c r="B1262" s="5"/>
      <c r="C1262" s="6" t="str">
        <f>HYPERLINK("https://leetcode.com/problems/find-elements-in-a-contaminated-binary-tree", "Find Elements in a Contaminated Binary Tree")</f>
        <v>Find Elements in a Contaminated Binary Tree</v>
      </c>
      <c r="D1262" s="7" t="s">
        <v>8</v>
      </c>
      <c r="E1262" s="8" t="s">
        <v>543</v>
      </c>
      <c r="F1262" s="9">
        <v>0.76</v>
      </c>
      <c r="G1262" s="10"/>
      <c r="H1262" s="10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ht="14.25" customHeight="1">
      <c r="A1263" s="4">
        <v>1262.0</v>
      </c>
      <c r="B1263" s="5"/>
      <c r="C1263" s="6" t="str">
        <f>HYPERLINK("https://leetcode.com/problems/greatest-sum-divisible-by-three", "Greatest Sum Divisible by Three")</f>
        <v>Greatest Sum Divisible by Three</v>
      </c>
      <c r="D1263" s="7" t="s">
        <v>8</v>
      </c>
      <c r="E1263" s="8" t="s">
        <v>37</v>
      </c>
      <c r="F1263" s="9">
        <v>0.5</v>
      </c>
      <c r="G1263" s="10"/>
      <c r="H1263" s="10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ht="14.25" customHeight="1">
      <c r="A1264" s="4">
        <v>1263.0</v>
      </c>
      <c r="B1264" s="5"/>
      <c r="C1264" s="6" t="str">
        <f>HYPERLINK("https://leetcode.com/problems/minimum-moves-to-move-a-box-to-their-target-location", "Minimum Moves to Move a Box to Their Target Location")</f>
        <v>Minimum Moves to Move a Box to Their Target Location</v>
      </c>
      <c r="D1264" s="7" t="s">
        <v>11</v>
      </c>
      <c r="E1264" s="8" t="s">
        <v>243</v>
      </c>
      <c r="F1264" s="9">
        <v>0.49</v>
      </c>
      <c r="G1264" s="10"/>
      <c r="H1264" s="10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ht="14.25" customHeight="1">
      <c r="A1265" s="11">
        <v>1264.0</v>
      </c>
      <c r="B1265" s="5"/>
      <c r="C1265" s="12" t="str">
        <f>HYPERLINK("https://leetcode.com/problems/page-recommendations", "Page Recommendations")</f>
        <v>Page Recommendations</v>
      </c>
      <c r="D1265" s="7" t="s">
        <v>8</v>
      </c>
      <c r="E1265" s="8" t="s">
        <v>101</v>
      </c>
      <c r="F1265" s="9">
        <v>0.67</v>
      </c>
      <c r="G1265" s="10"/>
      <c r="H1265" s="10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t="14.25" customHeight="1">
      <c r="A1266" s="11">
        <v>1265.0</v>
      </c>
      <c r="B1266" s="5"/>
      <c r="C1266" s="12" t="str">
        <f>HYPERLINK("https://leetcode.com/problems/print-immutable-linked-list-in-reverse", "Print Immutable Linked List in Reverse")</f>
        <v>Print Immutable Linked List in Reverse</v>
      </c>
      <c r="D1266" s="7" t="s">
        <v>8</v>
      </c>
      <c r="E1266" s="8" t="s">
        <v>87</v>
      </c>
      <c r="F1266" s="9">
        <v>0.94</v>
      </c>
      <c r="G1266" s="10"/>
      <c r="H1266" s="10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ht="14.25" customHeight="1">
      <c r="A1267" s="4">
        <v>1266.0</v>
      </c>
      <c r="B1267" s="5"/>
      <c r="C1267" s="6" t="str">
        <f>HYPERLINK("https://leetcode.com/problems/minimum-time-visiting-all-points", "Minimum Time Visiting All Points")</f>
        <v>Minimum Time Visiting All Points</v>
      </c>
      <c r="D1267" s="7" t="s">
        <v>6</v>
      </c>
      <c r="E1267" s="8" t="s">
        <v>196</v>
      </c>
      <c r="F1267" s="9">
        <v>0.79</v>
      </c>
      <c r="G1267" s="10"/>
      <c r="H1267" s="10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ht="14.25" customHeight="1">
      <c r="A1268" s="4">
        <v>1267.0</v>
      </c>
      <c r="B1268" s="5"/>
      <c r="C1268" s="6" t="str">
        <f>HYPERLINK("https://leetcode.com/problems/count-servers-that-communicate", "Count Servers that Communicate")</f>
        <v>Count Servers that Communicate</v>
      </c>
      <c r="D1268" s="7" t="s">
        <v>8</v>
      </c>
      <c r="E1268" s="8" t="s">
        <v>544</v>
      </c>
      <c r="F1268" s="9">
        <v>0.59</v>
      </c>
      <c r="G1268" s="10"/>
      <c r="H1268" s="10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ht="14.25" customHeight="1">
      <c r="A1269" s="4">
        <v>1268.0</v>
      </c>
      <c r="B1269" s="5"/>
      <c r="C1269" s="6" t="str">
        <f>HYPERLINK("https://leetcode.com/problems/search-suggestions-system", "Search Suggestions System")</f>
        <v>Search Suggestions System</v>
      </c>
      <c r="D1269" s="7" t="s">
        <v>8</v>
      </c>
      <c r="E1269" s="8" t="s">
        <v>529</v>
      </c>
      <c r="F1269" s="9">
        <v>0.66</v>
      </c>
      <c r="G1269" s="10"/>
      <c r="H1269" s="10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ht="14.25" customHeight="1">
      <c r="A1270" s="4">
        <v>1269.0</v>
      </c>
      <c r="B1270" s="5"/>
      <c r="C1270" s="6" t="str">
        <f>HYPERLINK("https://leetcode.com/problems/number-of-ways-to-stay-in-the-same-place-after-some-steps", "Number of Ways to Stay in the Same Place After Some Steps")</f>
        <v>Number of Ways to Stay in the Same Place After Some Steps</v>
      </c>
      <c r="D1270" s="7" t="s">
        <v>11</v>
      </c>
      <c r="E1270" s="8" t="s">
        <v>156</v>
      </c>
      <c r="F1270" s="9">
        <v>0.43</v>
      </c>
      <c r="G1270" s="10"/>
      <c r="H1270" s="10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ht="14.25" customHeight="1">
      <c r="A1271" s="11">
        <v>1270.0</v>
      </c>
      <c r="B1271" s="5"/>
      <c r="C1271" s="12" t="str">
        <f>HYPERLINK("https://leetcode.com/problems/all-people-report-to-the-given-manager", "All People Report to the Given Manager")</f>
        <v>All People Report to the Given Manager</v>
      </c>
      <c r="D1271" s="7" t="s">
        <v>8</v>
      </c>
      <c r="E1271" s="8" t="s">
        <v>101</v>
      </c>
      <c r="F1271" s="9">
        <v>0.87</v>
      </c>
      <c r="G1271" s="10"/>
      <c r="H1271" s="10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ht="14.25" customHeight="1">
      <c r="A1272" s="11">
        <v>1271.0</v>
      </c>
      <c r="B1272" s="5"/>
      <c r="C1272" s="12" t="str">
        <f>HYPERLINK("https://leetcode.com/problems/hexspeak", "Hexspeak")</f>
        <v>Hexspeak</v>
      </c>
      <c r="D1272" s="7" t="s">
        <v>6</v>
      </c>
      <c r="E1272" s="8" t="s">
        <v>97</v>
      </c>
      <c r="F1272" s="9">
        <v>0.57</v>
      </c>
      <c r="G1272" s="10"/>
      <c r="H1272" s="10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ht="14.25" customHeight="1">
      <c r="A1273" s="11">
        <v>1272.0</v>
      </c>
      <c r="B1273" s="5"/>
      <c r="C1273" s="12" t="str">
        <f>HYPERLINK("https://leetcode.com/problems/remove-interval", "Remove Interval")</f>
        <v>Remove Interval</v>
      </c>
      <c r="D1273" s="7" t="s">
        <v>8</v>
      </c>
      <c r="E1273" s="8" t="s">
        <v>45</v>
      </c>
      <c r="F1273" s="9">
        <v>0.63</v>
      </c>
      <c r="G1273" s="10"/>
      <c r="H1273" s="10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ht="14.25" customHeight="1">
      <c r="A1274" s="11">
        <v>1273.0</v>
      </c>
      <c r="B1274" s="5"/>
      <c r="C1274" s="12" t="str">
        <f>HYPERLINK("https://leetcode.com/problems/delete-tree-nodes", "Delete Tree Nodes")</f>
        <v>Delete Tree Nodes</v>
      </c>
      <c r="D1274" s="7" t="s">
        <v>8</v>
      </c>
      <c r="E1274" s="8" t="s">
        <v>312</v>
      </c>
      <c r="F1274" s="9">
        <v>0.6</v>
      </c>
      <c r="G1274" s="10"/>
      <c r="H1274" s="10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ht="14.25" customHeight="1">
      <c r="A1275" s="11">
        <v>1274.0</v>
      </c>
      <c r="B1275" s="5"/>
      <c r="C1275" s="12" t="str">
        <f>HYPERLINK("https://leetcode.com/problems/number-of-ships-in-a-rectangle", "Number of Ships in a Rectangle")</f>
        <v>Number of Ships in a Rectangle</v>
      </c>
      <c r="D1275" s="7" t="s">
        <v>11</v>
      </c>
      <c r="E1275" s="8" t="s">
        <v>545</v>
      </c>
      <c r="F1275" s="9">
        <v>0.69</v>
      </c>
      <c r="G1275" s="10"/>
      <c r="H1275" s="10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ht="14.25" customHeight="1">
      <c r="A1276" s="4">
        <v>1275.0</v>
      </c>
      <c r="B1276" s="5"/>
      <c r="C1276" s="6" t="str">
        <f>HYPERLINK("https://leetcode.com/problems/find-winner-on-a-tic-tac-toe-game", "Find Winner on a Tic Tac Toe Game")</f>
        <v>Find Winner on a Tic Tac Toe Game</v>
      </c>
      <c r="D1276" s="7" t="s">
        <v>6</v>
      </c>
      <c r="E1276" s="8" t="s">
        <v>546</v>
      </c>
      <c r="F1276" s="9">
        <v>0.54</v>
      </c>
      <c r="G1276" s="10"/>
      <c r="H1276" s="10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ht="14.25" customHeight="1">
      <c r="A1277" s="4">
        <v>1276.0</v>
      </c>
      <c r="B1277" s="5"/>
      <c r="C1277" s="6" t="str">
        <f>HYPERLINK("https://leetcode.com/problems/number-of-burgers-with-no-waste-of-ingredients", "Number of Burgers with No Waste of Ingredients")</f>
        <v>Number of Burgers with No Waste of Ingredients</v>
      </c>
      <c r="D1277" s="7" t="s">
        <v>8</v>
      </c>
      <c r="E1277" s="8" t="s">
        <v>15</v>
      </c>
      <c r="F1277" s="9">
        <v>0.5</v>
      </c>
      <c r="G1277" s="10"/>
      <c r="H1277" s="10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ht="14.25" customHeight="1">
      <c r="A1278" s="4">
        <v>1277.0</v>
      </c>
      <c r="B1278" s="5"/>
      <c r="C1278" s="6" t="str">
        <f>HYPERLINK("https://leetcode.com/problems/count-square-submatrices-with-all-ones", "Count Square Submatrices with All Ones")</f>
        <v>Count Square Submatrices with All Ones</v>
      </c>
      <c r="D1278" s="7" t="s">
        <v>8</v>
      </c>
      <c r="E1278" s="8" t="s">
        <v>47</v>
      </c>
      <c r="F1278" s="9">
        <v>0.74</v>
      </c>
      <c r="G1278" s="10"/>
      <c r="H1278" s="10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ht="14.25" customHeight="1">
      <c r="A1279" s="4">
        <v>1278.0</v>
      </c>
      <c r="B1279" s="5"/>
      <c r="C1279" s="6" t="str">
        <f>HYPERLINK("https://leetcode.com/problems/palindrome-partitioning-iii", "Palindrome Partitioning III")</f>
        <v>Palindrome Partitioning III</v>
      </c>
      <c r="D1279" s="7" t="s">
        <v>11</v>
      </c>
      <c r="E1279" s="8" t="s">
        <v>13</v>
      </c>
      <c r="F1279" s="9">
        <v>0.6</v>
      </c>
      <c r="G1279" s="10"/>
      <c r="H1279" s="10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ht="14.25" customHeight="1">
      <c r="A1280" s="11">
        <v>1279.0</v>
      </c>
      <c r="B1280" s="5"/>
      <c r="C1280" s="12" t="str">
        <f>HYPERLINK("https://leetcode.com/problems/traffic-light-controlled-intersection", "Traffic Light Controlled Intersection")</f>
        <v>Traffic Light Controlled Intersection</v>
      </c>
      <c r="D1280" s="7" t="s">
        <v>6</v>
      </c>
      <c r="E1280" s="8" t="s">
        <v>500</v>
      </c>
      <c r="F1280" s="9">
        <v>0.74</v>
      </c>
      <c r="G1280" s="10"/>
      <c r="H1280" s="10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ht="14.25" customHeight="1">
      <c r="A1281" s="11">
        <v>1280.0</v>
      </c>
      <c r="B1281" s="5"/>
      <c r="C1281" s="12" t="str">
        <f>HYPERLINK("https://leetcode.com/problems/students-and-examinations", "Students and Examinations")</f>
        <v>Students and Examinations</v>
      </c>
      <c r="D1281" s="7" t="s">
        <v>6</v>
      </c>
      <c r="E1281" s="8" t="s">
        <v>101</v>
      </c>
      <c r="F1281" s="9">
        <v>0.74</v>
      </c>
      <c r="G1281" s="10"/>
      <c r="H1281" s="10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ht="14.25" customHeight="1">
      <c r="A1282" s="4">
        <v>1281.0</v>
      </c>
      <c r="B1282" s="5"/>
      <c r="C1282" s="6" t="str">
        <f>HYPERLINK("https://leetcode.com/problems/subtract-the-product-and-sum-of-digits-of-an-integer", "Subtract the Product and Sum of Digits of an Integer")</f>
        <v>Subtract the Product and Sum of Digits of an Integer</v>
      </c>
      <c r="D1282" s="7" t="s">
        <v>6</v>
      </c>
      <c r="E1282" s="8" t="s">
        <v>15</v>
      </c>
      <c r="F1282" s="9">
        <v>0.86</v>
      </c>
      <c r="G1282" s="10"/>
      <c r="H1282" s="10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ht="14.25" customHeight="1">
      <c r="A1283" s="4">
        <v>1282.0</v>
      </c>
      <c r="B1283" s="5"/>
      <c r="C1283" s="6" t="str">
        <f>HYPERLINK("https://leetcode.com/problems/group-the-people-given-the-group-size-they-belong-to", "Group the People Given the Group Size They Belong To")</f>
        <v>Group the People Given the Group Size They Belong To</v>
      </c>
      <c r="D1283" s="7" t="s">
        <v>8</v>
      </c>
      <c r="E1283" s="8" t="s">
        <v>7</v>
      </c>
      <c r="F1283" s="9">
        <v>0.85</v>
      </c>
      <c r="G1283" s="10"/>
      <c r="H1283" s="10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ht="14.25" customHeight="1">
      <c r="A1284" s="4">
        <v>1283.0</v>
      </c>
      <c r="B1284" s="5"/>
      <c r="C1284" s="6" t="str">
        <f>HYPERLINK("https://leetcode.com/problems/find-the-smallest-divisor-given-a-threshold", "Find the Smallest Divisor Given a Threshold")</f>
        <v>Find the Smallest Divisor Given a Threshold</v>
      </c>
      <c r="D1284" s="7" t="s">
        <v>8</v>
      </c>
      <c r="E1284" s="8" t="s">
        <v>30</v>
      </c>
      <c r="F1284" s="9">
        <v>0.55</v>
      </c>
      <c r="G1284" s="10"/>
      <c r="H1284" s="10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ht="14.25" customHeight="1">
      <c r="A1285" s="4">
        <v>1284.0</v>
      </c>
      <c r="B1285" s="5"/>
      <c r="C1285" s="6" t="str">
        <f>HYPERLINK("https://leetcode.com/problems/minimum-number-of-flips-to-convert-binary-matrix-to-zero-matrix", "Minimum Number of Flips to Convert Binary Matrix to Zero Matrix")</f>
        <v>Minimum Number of Flips to Convert Binary Matrix to Zero Matrix</v>
      </c>
      <c r="D1285" s="7" t="s">
        <v>11</v>
      </c>
      <c r="E1285" s="8" t="s">
        <v>420</v>
      </c>
      <c r="F1285" s="9">
        <v>0.72</v>
      </c>
      <c r="G1285" s="10"/>
      <c r="H1285" s="10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ht="14.25" customHeight="1">
      <c r="A1286" s="11">
        <v>1285.0</v>
      </c>
      <c r="B1286" s="5"/>
      <c r="C1286" s="12" t="str">
        <f>HYPERLINK("https://leetcode.com/problems/find-the-start-and-end-number-of-continuous-ranges", "Find the Start and End Number of Continuous Ranges")</f>
        <v>Find the Start and End Number of Continuous Ranges</v>
      </c>
      <c r="D1286" s="7" t="s">
        <v>8</v>
      </c>
      <c r="E1286" s="8" t="s">
        <v>101</v>
      </c>
      <c r="F1286" s="9">
        <v>0.87</v>
      </c>
      <c r="G1286" s="10"/>
      <c r="H1286" s="10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ht="14.25" customHeight="1">
      <c r="A1287" s="4">
        <v>1286.0</v>
      </c>
      <c r="B1287" s="5"/>
      <c r="C1287" s="6" t="str">
        <f>HYPERLINK("https://leetcode.com/problems/iterator-for-combination", "Iterator for Combination")</f>
        <v>Iterator for Combination</v>
      </c>
      <c r="D1287" s="7" t="s">
        <v>8</v>
      </c>
      <c r="E1287" s="8" t="s">
        <v>547</v>
      </c>
      <c r="F1287" s="9">
        <v>0.73</v>
      </c>
      <c r="G1287" s="10"/>
      <c r="H1287" s="10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ht="14.25" customHeight="1">
      <c r="A1288" s="4">
        <v>1287.0</v>
      </c>
      <c r="B1288" s="5"/>
      <c r="C1288" s="6" t="str">
        <f>HYPERLINK("https://leetcode.com/problems/element-appearing-more-than-25-in-sorted-array", "Element Appearing More Than 25% In Sorted Array")</f>
        <v>Element Appearing More Than 25% In Sorted Array</v>
      </c>
      <c r="D1288" s="7" t="s">
        <v>6</v>
      </c>
      <c r="E1288" s="8" t="s">
        <v>45</v>
      </c>
      <c r="F1288" s="9">
        <v>0.59</v>
      </c>
      <c r="G1288" s="10"/>
      <c r="H1288" s="10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ht="14.25" customHeight="1">
      <c r="A1289" s="4">
        <v>1288.0</v>
      </c>
      <c r="B1289" s="5"/>
      <c r="C1289" s="6" t="str">
        <f>HYPERLINK("https://leetcode.com/problems/remove-covered-intervals", "Remove Covered Intervals")</f>
        <v>Remove Covered Intervals</v>
      </c>
      <c r="D1289" s="7" t="s">
        <v>8</v>
      </c>
      <c r="E1289" s="8" t="s">
        <v>44</v>
      </c>
      <c r="F1289" s="9">
        <v>0.57</v>
      </c>
      <c r="G1289" s="10"/>
      <c r="H1289" s="10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ht="14.25" customHeight="1">
      <c r="A1290" s="4">
        <v>1289.0</v>
      </c>
      <c r="B1290" s="5"/>
      <c r="C1290" s="6" t="str">
        <f>HYPERLINK("https://leetcode.com/problems/minimum-falling-path-sum-ii", "Minimum Falling Path Sum II")</f>
        <v>Minimum Falling Path Sum II</v>
      </c>
      <c r="D1290" s="7" t="s">
        <v>11</v>
      </c>
      <c r="E1290" s="8" t="s">
        <v>47</v>
      </c>
      <c r="F1290" s="9">
        <v>0.58</v>
      </c>
      <c r="G1290" s="10"/>
      <c r="H1290" s="10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ht="14.25" customHeight="1">
      <c r="A1291" s="4">
        <v>1290.0</v>
      </c>
      <c r="B1291" s="5"/>
      <c r="C1291" s="6" t="str">
        <f>HYPERLINK("https://leetcode.com/problems/convert-binary-number-in-a-linked-list-to-integer", "Convert Binary Number in a Linked List to Integer")</f>
        <v>Convert Binary Number in a Linked List to Integer</v>
      </c>
      <c r="D1291" s="7" t="s">
        <v>6</v>
      </c>
      <c r="E1291" s="8" t="s">
        <v>221</v>
      </c>
      <c r="F1291" s="9">
        <v>0.82</v>
      </c>
      <c r="G1291" s="10"/>
      <c r="H1291" s="10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ht="14.25" customHeight="1">
      <c r="A1292" s="4">
        <v>1291.0</v>
      </c>
      <c r="B1292" s="5"/>
      <c r="C1292" s="6" t="str">
        <f>HYPERLINK("https://leetcode.com/problems/sequential-digits", "Sequential Digits")</f>
        <v>Sequential Digits</v>
      </c>
      <c r="D1292" s="7" t="s">
        <v>8</v>
      </c>
      <c r="E1292" s="8" t="s">
        <v>548</v>
      </c>
      <c r="F1292" s="9">
        <v>0.61</v>
      </c>
      <c r="G1292" s="10"/>
      <c r="H1292" s="10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ht="14.25" customHeight="1">
      <c r="A1293" s="4">
        <v>1292.0</v>
      </c>
      <c r="B1293" s="5"/>
      <c r="C1293" s="6" t="str">
        <f>HYPERLINK("https://leetcode.com/problems/maximum-side-length-of-a-square-with-sum-less-than-or-equal-to-threshold", "Maximum Side Length of a Square with Sum Less than or Equal to Threshold")</f>
        <v>Maximum Side Length of a Square with Sum Less than or Equal to Threshold</v>
      </c>
      <c r="D1293" s="7" t="s">
        <v>8</v>
      </c>
      <c r="E1293" s="8" t="s">
        <v>549</v>
      </c>
      <c r="F1293" s="9">
        <v>0.53</v>
      </c>
      <c r="G1293" s="10"/>
      <c r="H1293" s="10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ht="14.25" customHeight="1">
      <c r="A1294" s="4">
        <v>1293.0</v>
      </c>
      <c r="B1294" s="5"/>
      <c r="C1294" s="6" t="str">
        <f>HYPERLINK("https://leetcode.com/problems/shortest-path-in-a-grid-with-obstacles-elimination", "Shortest Path in a Grid with Obstacles Elimination")</f>
        <v>Shortest Path in a Grid with Obstacles Elimination</v>
      </c>
      <c r="D1294" s="7" t="s">
        <v>11</v>
      </c>
      <c r="E1294" s="8" t="s">
        <v>164</v>
      </c>
      <c r="F1294" s="9">
        <v>0.45</v>
      </c>
      <c r="G1294" s="10"/>
      <c r="H1294" s="10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ht="14.25" customHeight="1">
      <c r="A1295" s="11">
        <v>1294.0</v>
      </c>
      <c r="B1295" s="5"/>
      <c r="C1295" s="12" t="str">
        <f>HYPERLINK("https://leetcode.com/problems/weather-type-in-each-country", "Weather Type in Each Country")</f>
        <v>Weather Type in Each Country</v>
      </c>
      <c r="D1295" s="7" t="s">
        <v>6</v>
      </c>
      <c r="E1295" s="8" t="s">
        <v>101</v>
      </c>
      <c r="F1295" s="9">
        <v>0.67</v>
      </c>
      <c r="G1295" s="10"/>
      <c r="H1295" s="10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ht="14.25" customHeight="1">
      <c r="A1296" s="4">
        <v>1295.0</v>
      </c>
      <c r="B1296" s="5"/>
      <c r="C1296" s="6" t="str">
        <f>HYPERLINK("https://leetcode.com/problems/find-numbers-with-even-number-of-digits", "Find Numbers with Even Number of Digits")</f>
        <v>Find Numbers with Even Number of Digits</v>
      </c>
      <c r="D1296" s="7" t="s">
        <v>6</v>
      </c>
      <c r="E1296" s="8" t="s">
        <v>45</v>
      </c>
      <c r="F1296" s="9">
        <v>0.76</v>
      </c>
      <c r="G1296" s="10"/>
      <c r="H1296" s="10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ht="14.25" customHeight="1">
      <c r="A1297" s="4">
        <v>1296.0</v>
      </c>
      <c r="B1297" s="5"/>
      <c r="C1297" s="6" t="str">
        <f>HYPERLINK("https://leetcode.com/problems/divide-array-in-sets-of-k-consecutive-numbers", "Divide Array in Sets of K Consecutive Numbers")</f>
        <v>Divide Array in Sets of K Consecutive Numbers</v>
      </c>
      <c r="D1297" s="7" t="s">
        <v>8</v>
      </c>
      <c r="E1297" s="8" t="s">
        <v>411</v>
      </c>
      <c r="F1297" s="9">
        <v>0.56</v>
      </c>
      <c r="G1297" s="10"/>
      <c r="H1297" s="10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ht="14.25" customHeight="1">
      <c r="A1298" s="4">
        <v>1297.0</v>
      </c>
      <c r="B1298" s="5"/>
      <c r="C1298" s="6" t="str">
        <f>HYPERLINK("https://leetcode.com/problems/maximum-number-of-occurrences-of-a-substring", "Maximum Number of Occurrences of a Substring")</f>
        <v>Maximum Number of Occurrences of a Substring</v>
      </c>
      <c r="D1298" s="7" t="s">
        <v>8</v>
      </c>
      <c r="E1298" s="8" t="s">
        <v>10</v>
      </c>
      <c r="F1298" s="9">
        <v>0.52</v>
      </c>
      <c r="G1298" s="10"/>
      <c r="H1298" s="10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ht="14.25" customHeight="1">
      <c r="A1299" s="4">
        <v>1298.0</v>
      </c>
      <c r="B1299" s="5"/>
      <c r="C1299" s="6" t="str">
        <f>HYPERLINK("https://leetcode.com/problems/maximum-candies-you-can-get-from-boxes", "Maximum Candies You Can Get from Boxes")</f>
        <v>Maximum Candies You Can Get from Boxes</v>
      </c>
      <c r="D1299" s="7" t="s">
        <v>11</v>
      </c>
      <c r="E1299" s="8" t="s">
        <v>550</v>
      </c>
      <c r="F1299" s="9">
        <v>0.6</v>
      </c>
      <c r="G1299" s="10"/>
      <c r="H1299" s="10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ht="14.25" customHeight="1">
      <c r="A1300" s="4">
        <v>1299.0</v>
      </c>
      <c r="B1300" s="5"/>
      <c r="C1300" s="6" t="str">
        <f>HYPERLINK("https://leetcode.com/problems/replace-elements-with-greatest-element-on-right-side", "Replace Elements with Greatest Element on Right Side")</f>
        <v>Replace Elements with Greatest Element on Right Side</v>
      </c>
      <c r="D1300" s="7" t="s">
        <v>6</v>
      </c>
      <c r="E1300" s="8" t="s">
        <v>45</v>
      </c>
      <c r="F1300" s="9">
        <v>0.74</v>
      </c>
      <c r="G1300" s="10"/>
      <c r="H1300" s="10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ht="14.25" customHeight="1">
      <c r="A1301" s="4">
        <v>1300.0</v>
      </c>
      <c r="B1301" s="5"/>
      <c r="C1301" s="6" t="str">
        <f>HYPERLINK("https://leetcode.com/problems/sum-of-mutated-array-closest-to-target", "Sum of Mutated Array Closest to Target")</f>
        <v>Sum of Mutated Array Closest to Target</v>
      </c>
      <c r="D1301" s="7" t="s">
        <v>8</v>
      </c>
      <c r="E1301" s="8" t="s">
        <v>260</v>
      </c>
      <c r="F1301" s="9">
        <v>0.43</v>
      </c>
      <c r="G1301" s="10"/>
      <c r="H1301" s="10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ht="14.25" customHeight="1">
      <c r="A1302" s="4">
        <v>1301.0</v>
      </c>
      <c r="B1302" s="5"/>
      <c r="C1302" s="6" t="str">
        <f>HYPERLINK("https://leetcode.com/problems/number-of-paths-with-max-score", "Number of Paths with Max Score")</f>
        <v>Number of Paths with Max Score</v>
      </c>
      <c r="D1302" s="7" t="s">
        <v>11</v>
      </c>
      <c r="E1302" s="8" t="s">
        <v>47</v>
      </c>
      <c r="F1302" s="9">
        <v>0.38</v>
      </c>
      <c r="G1302" s="10"/>
      <c r="H1302" s="10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ht="14.25" customHeight="1">
      <c r="A1303" s="4">
        <v>1302.0</v>
      </c>
      <c r="B1303" s="5"/>
      <c r="C1303" s="6" t="str">
        <f>HYPERLINK("https://leetcode.com/problems/deepest-leaves-sum", "Deepest Leaves Sum")</f>
        <v>Deepest Leaves Sum</v>
      </c>
      <c r="D1303" s="7" t="s">
        <v>8</v>
      </c>
      <c r="E1303" s="8" t="s">
        <v>64</v>
      </c>
      <c r="F1303" s="9">
        <v>0.86</v>
      </c>
      <c r="G1303" s="10"/>
      <c r="H1303" s="10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ht="14.25" customHeight="1">
      <c r="A1304" s="11">
        <v>1303.0</v>
      </c>
      <c r="B1304" s="5"/>
      <c r="C1304" s="12" t="str">
        <f>HYPERLINK("https://leetcode.com/problems/find-the-team-size", "Find the Team Size")</f>
        <v>Find the Team Size</v>
      </c>
      <c r="D1304" s="7" t="s">
        <v>6</v>
      </c>
      <c r="E1304" s="8" t="s">
        <v>101</v>
      </c>
      <c r="F1304" s="9">
        <v>0.9</v>
      </c>
      <c r="G1304" s="10"/>
      <c r="H1304" s="10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ht="14.25" customHeight="1">
      <c r="A1305" s="4">
        <v>1304.0</v>
      </c>
      <c r="B1305" s="5"/>
      <c r="C1305" s="6" t="str">
        <f>HYPERLINK("https://leetcode.com/problems/find-n-unique-integers-sum-up-to-zero", "Find N Unique Integers Sum up to Zero")</f>
        <v>Find N Unique Integers Sum up to Zero</v>
      </c>
      <c r="D1305" s="7" t="s">
        <v>6</v>
      </c>
      <c r="E1305" s="8" t="s">
        <v>48</v>
      </c>
      <c r="F1305" s="9">
        <v>0.77</v>
      </c>
      <c r="G1305" s="10"/>
      <c r="H1305" s="10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ht="14.25" customHeight="1">
      <c r="A1306" s="4">
        <v>1305.0</v>
      </c>
      <c r="B1306" s="5"/>
      <c r="C1306" s="6" t="str">
        <f>HYPERLINK("https://leetcode.com/problems/all-elements-in-two-binary-search-trees", "All Elements in Two Binary Search Trees")</f>
        <v>All Elements in Two Binary Search Trees</v>
      </c>
      <c r="D1306" s="7" t="s">
        <v>8</v>
      </c>
      <c r="E1306" s="8" t="s">
        <v>551</v>
      </c>
      <c r="F1306" s="9">
        <v>0.79</v>
      </c>
      <c r="G1306" s="10"/>
      <c r="H1306" s="10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ht="14.25" customHeight="1">
      <c r="A1307" s="4">
        <v>1306.0</v>
      </c>
      <c r="B1307" s="5"/>
      <c r="C1307" s="6" t="str">
        <f>HYPERLINK("https://leetcode.com/problems/jump-game-iii", "Jump Game III")</f>
        <v>Jump Game III</v>
      </c>
      <c r="D1307" s="7" t="s">
        <v>8</v>
      </c>
      <c r="E1307" s="8" t="s">
        <v>552</v>
      </c>
      <c r="F1307" s="9">
        <v>0.63</v>
      </c>
      <c r="G1307" s="10"/>
      <c r="H1307" s="10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ht="14.25" customHeight="1">
      <c r="A1308" s="4">
        <v>1307.0</v>
      </c>
      <c r="B1308" s="5"/>
      <c r="C1308" s="6" t="str">
        <f>HYPERLINK("https://leetcode.com/problems/verbal-arithmetic-puzzle", "Verbal Arithmetic Puzzle")</f>
        <v>Verbal Arithmetic Puzzle</v>
      </c>
      <c r="D1308" s="7" t="s">
        <v>11</v>
      </c>
      <c r="E1308" s="8" t="s">
        <v>553</v>
      </c>
      <c r="F1308" s="9">
        <v>0.34</v>
      </c>
      <c r="G1308" s="10"/>
      <c r="H1308" s="10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ht="14.25" customHeight="1">
      <c r="A1309" s="11">
        <v>1308.0</v>
      </c>
      <c r="B1309" s="5"/>
      <c r="C1309" s="12" t="str">
        <f>HYPERLINK("https://leetcode.com/problems/running-total-for-different-genders", "Running Total for Different Genders")</f>
        <v>Running Total for Different Genders</v>
      </c>
      <c r="D1309" s="7" t="s">
        <v>8</v>
      </c>
      <c r="E1309" s="8" t="s">
        <v>101</v>
      </c>
      <c r="F1309" s="9">
        <v>0.88</v>
      </c>
      <c r="G1309" s="10"/>
      <c r="H1309" s="10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ht="14.25" customHeight="1">
      <c r="A1310" s="4">
        <v>1309.0</v>
      </c>
      <c r="B1310" s="5"/>
      <c r="C1310" s="6" t="str">
        <f>HYPERLINK("https://leetcode.com/problems/decrypt-string-from-alphabet-to-integer-mapping", "Decrypt String from Alphabet to Integer Mapping")</f>
        <v>Decrypt String from Alphabet to Integer Mapping</v>
      </c>
      <c r="D1310" s="7" t="s">
        <v>6</v>
      </c>
      <c r="E1310" s="8" t="s">
        <v>14</v>
      </c>
      <c r="F1310" s="9">
        <v>0.79</v>
      </c>
      <c r="G1310" s="10"/>
      <c r="H1310" s="10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ht="14.25" customHeight="1">
      <c r="A1311" s="4">
        <v>1310.0</v>
      </c>
      <c r="B1311" s="5"/>
      <c r="C1311" s="6" t="str">
        <f>HYPERLINK("https://leetcode.com/problems/xor-queries-of-a-subarray", "XOR Queries of a Subarray")</f>
        <v>XOR Queries of a Subarray</v>
      </c>
      <c r="D1311" s="7" t="s">
        <v>8</v>
      </c>
      <c r="E1311" s="8" t="s">
        <v>554</v>
      </c>
      <c r="F1311" s="9">
        <v>0.72</v>
      </c>
      <c r="G1311" s="10"/>
      <c r="H1311" s="10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ht="14.25" customHeight="1">
      <c r="A1312" s="4">
        <v>1311.0</v>
      </c>
      <c r="B1312" s="5"/>
      <c r="C1312" s="6" t="str">
        <f>HYPERLINK("https://leetcode.com/problems/get-watched-videos-by-your-friends", "Get Watched Videos by Your Friends")</f>
        <v>Get Watched Videos by Your Friends</v>
      </c>
      <c r="D1312" s="7" t="s">
        <v>8</v>
      </c>
      <c r="E1312" s="8" t="s">
        <v>555</v>
      </c>
      <c r="F1312" s="9">
        <v>0.45</v>
      </c>
      <c r="G1312" s="10"/>
      <c r="H1312" s="10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ht="14.25" customHeight="1">
      <c r="A1313" s="4">
        <v>1312.0</v>
      </c>
      <c r="B1313" s="5"/>
      <c r="C1313" s="6" t="str">
        <f>HYPERLINK("https://leetcode.com/problems/minimum-insertion-steps-to-make-a-string-palindrome", "Minimum Insertion Steps to Make a String Palindrome")</f>
        <v>Minimum Insertion Steps to Make a String Palindrome</v>
      </c>
      <c r="D1313" s="7" t="s">
        <v>11</v>
      </c>
      <c r="E1313" s="8" t="s">
        <v>13</v>
      </c>
      <c r="F1313" s="9">
        <v>0.65</v>
      </c>
      <c r="G1313" s="10"/>
      <c r="H1313" s="10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ht="14.25" customHeight="1">
      <c r="A1314" s="4">
        <v>1313.0</v>
      </c>
      <c r="B1314" s="5"/>
      <c r="C1314" s="6" t="str">
        <f>HYPERLINK("https://leetcode.com/problems/decompress-run-length-encoded-list", "Decompress Run-Length Encoded List")</f>
        <v>Decompress Run-Length Encoded List</v>
      </c>
      <c r="D1314" s="7" t="s">
        <v>6</v>
      </c>
      <c r="E1314" s="8" t="s">
        <v>45</v>
      </c>
      <c r="F1314" s="9">
        <v>0.85</v>
      </c>
      <c r="G1314" s="10"/>
      <c r="H1314" s="10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ht="14.25" customHeight="1">
      <c r="A1315" s="4">
        <v>1314.0</v>
      </c>
      <c r="B1315" s="5"/>
      <c r="C1315" s="6" t="str">
        <f>HYPERLINK("https://leetcode.com/problems/matrix-block-sum", "Matrix Block Sum")</f>
        <v>Matrix Block Sum</v>
      </c>
      <c r="D1315" s="7" t="s">
        <v>8</v>
      </c>
      <c r="E1315" s="8" t="s">
        <v>556</v>
      </c>
      <c r="F1315" s="9">
        <v>0.75</v>
      </c>
      <c r="G1315" s="10"/>
      <c r="H1315" s="10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t="14.25" customHeight="1">
      <c r="A1316" s="4">
        <v>1315.0</v>
      </c>
      <c r="B1316" s="5"/>
      <c r="C1316" s="6" t="str">
        <f>HYPERLINK("https://leetcode.com/problems/sum-of-nodes-with-even-valued-grandparent", "Sum of Nodes with Even-Valued Grandparent")</f>
        <v>Sum of Nodes with Even-Valued Grandparent</v>
      </c>
      <c r="D1316" s="7" t="s">
        <v>8</v>
      </c>
      <c r="E1316" s="8" t="s">
        <v>64</v>
      </c>
      <c r="F1316" s="9">
        <v>0.85</v>
      </c>
      <c r="G1316" s="10"/>
      <c r="H1316" s="10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ht="14.25" customHeight="1">
      <c r="A1317" s="4">
        <v>1316.0</v>
      </c>
      <c r="B1317" s="5"/>
      <c r="C1317" s="6" t="str">
        <f>HYPERLINK("https://leetcode.com/problems/distinct-echo-substrings", "Distinct Echo Substrings")</f>
        <v>Distinct Echo Substrings</v>
      </c>
      <c r="D1317" s="7" t="s">
        <v>11</v>
      </c>
      <c r="E1317" s="8" t="s">
        <v>557</v>
      </c>
      <c r="F1317" s="9">
        <v>0.49</v>
      </c>
      <c r="G1317" s="10"/>
      <c r="H1317" s="10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ht="14.25" customHeight="1">
      <c r="A1318" s="4">
        <v>1317.0</v>
      </c>
      <c r="B1318" s="5"/>
      <c r="C1318" s="6" t="str">
        <f>HYPERLINK("https://leetcode.com/problems/convert-integer-to-the-sum-of-two-no-zero-integers", "Convert Integer to the Sum of Two No-Zero Integers")</f>
        <v>Convert Integer to the Sum of Two No-Zero Integers</v>
      </c>
      <c r="D1318" s="7" t="s">
        <v>6</v>
      </c>
      <c r="E1318" s="8" t="s">
        <v>15</v>
      </c>
      <c r="F1318" s="9">
        <v>0.55</v>
      </c>
      <c r="G1318" s="10"/>
      <c r="H1318" s="10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ht="14.25" customHeight="1">
      <c r="A1319" s="4">
        <v>1318.0</v>
      </c>
      <c r="B1319" s="5"/>
      <c r="C1319" s="6" t="str">
        <f>HYPERLINK("https://leetcode.com/problems/minimum-flips-to-make-a-or-b-equal-to-c", "Minimum Flips to Make a OR b Equal to c")</f>
        <v>Minimum Flips to Make a OR b Equal to c</v>
      </c>
      <c r="D1319" s="7" t="s">
        <v>8</v>
      </c>
      <c r="E1319" s="8" t="s">
        <v>107</v>
      </c>
      <c r="F1319" s="9">
        <v>0.66</v>
      </c>
      <c r="G1319" s="10"/>
      <c r="H1319" s="10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ht="14.25" customHeight="1">
      <c r="A1320" s="4">
        <v>1319.0</v>
      </c>
      <c r="B1320" s="5"/>
      <c r="C1320" s="6" t="str">
        <f>HYPERLINK("https://leetcode.com/problems/number-of-operations-to-make-network-connected", "Number of Operations to Make Network Connected")</f>
        <v>Number of Operations to Make Network Connected</v>
      </c>
      <c r="D1320" s="7" t="s">
        <v>8</v>
      </c>
      <c r="E1320" s="8" t="s">
        <v>146</v>
      </c>
      <c r="F1320" s="9">
        <v>0.58</v>
      </c>
      <c r="G1320" s="10"/>
      <c r="H1320" s="10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ht="14.25" customHeight="1">
      <c r="A1321" s="4">
        <v>1320.0</v>
      </c>
      <c r="B1321" s="5"/>
      <c r="C1321" s="6" t="str">
        <f>HYPERLINK("https://leetcode.com/problems/minimum-distance-to-type-a-word-using-two-fingers", "Minimum Distance to Type a Word Using Two Fingers")</f>
        <v>Minimum Distance to Type a Word Using Two Fingers</v>
      </c>
      <c r="D1321" s="7" t="s">
        <v>11</v>
      </c>
      <c r="E1321" s="8" t="s">
        <v>13</v>
      </c>
      <c r="F1321" s="9">
        <v>0.59</v>
      </c>
      <c r="G1321" s="10"/>
      <c r="H1321" s="10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ht="14.25" customHeight="1">
      <c r="A1322" s="11">
        <v>1321.0</v>
      </c>
      <c r="B1322" s="5"/>
      <c r="C1322" s="12" t="str">
        <f>HYPERLINK("https://leetcode.com/problems/restaurant-growth", "Restaurant Growth")</f>
        <v>Restaurant Growth</v>
      </c>
      <c r="D1322" s="7" t="s">
        <v>8</v>
      </c>
      <c r="E1322" s="8" t="s">
        <v>101</v>
      </c>
      <c r="F1322" s="9">
        <v>0.71</v>
      </c>
      <c r="G1322" s="10"/>
      <c r="H1322" s="10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ht="14.25" customHeight="1">
      <c r="A1323" s="11">
        <v>1322.0</v>
      </c>
      <c r="B1323" s="5"/>
      <c r="C1323" s="12" t="str">
        <f>HYPERLINK("https://leetcode.com/problems/ads-performance", "Ads Performance")</f>
        <v>Ads Performance</v>
      </c>
      <c r="D1323" s="7" t="s">
        <v>6</v>
      </c>
      <c r="E1323" s="8" t="s">
        <v>101</v>
      </c>
      <c r="F1323" s="9">
        <v>0.6</v>
      </c>
      <c r="G1323" s="10"/>
      <c r="H1323" s="10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ht="14.25" customHeight="1">
      <c r="A1324" s="4">
        <v>1323.0</v>
      </c>
      <c r="B1324" s="5"/>
      <c r="C1324" s="6" t="str">
        <f>HYPERLINK("https://leetcode.com/problems/maximum-69-number", "Maximum 69 Number")</f>
        <v>Maximum 69 Number</v>
      </c>
      <c r="D1324" s="7" t="s">
        <v>6</v>
      </c>
      <c r="E1324" s="8" t="s">
        <v>325</v>
      </c>
      <c r="F1324" s="9">
        <v>0.82</v>
      </c>
      <c r="G1324" s="10"/>
      <c r="H1324" s="10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ht="14.25" customHeight="1">
      <c r="A1325" s="4">
        <v>1324.0</v>
      </c>
      <c r="B1325" s="5"/>
      <c r="C1325" s="6" t="str">
        <f>HYPERLINK("https://leetcode.com/problems/print-words-vertically", "Print Words Vertically")</f>
        <v>Print Words Vertically</v>
      </c>
      <c r="D1325" s="7" t="s">
        <v>8</v>
      </c>
      <c r="E1325" s="8" t="s">
        <v>50</v>
      </c>
      <c r="F1325" s="9">
        <v>0.6</v>
      </c>
      <c r="G1325" s="10"/>
      <c r="H1325" s="10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ht="14.25" customHeight="1">
      <c r="A1326" s="4">
        <v>1325.0</v>
      </c>
      <c r="B1326" s="5"/>
      <c r="C1326" s="6" t="str">
        <f>HYPERLINK("https://leetcode.com/problems/delete-leaves-with-a-given-value", "Delete Leaves With a Given Value")</f>
        <v>Delete Leaves With a Given Value</v>
      </c>
      <c r="D1326" s="7" t="s">
        <v>8</v>
      </c>
      <c r="E1326" s="8" t="s">
        <v>69</v>
      </c>
      <c r="F1326" s="9">
        <v>0.74</v>
      </c>
      <c r="G1326" s="10"/>
      <c r="H1326" s="10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ht="14.25" customHeight="1">
      <c r="A1327" s="4">
        <v>1326.0</v>
      </c>
      <c r="B1327" s="5"/>
      <c r="C1327" s="6" t="str">
        <f>HYPERLINK("https://leetcode.com/problems/minimum-number-of-taps-to-open-to-water-a-garden", "Minimum Number of Taps to Open to Water a Garden")</f>
        <v>Minimum Number of Taps to Open to Water a Garden</v>
      </c>
      <c r="D1327" s="7" t="s">
        <v>11</v>
      </c>
      <c r="E1327" s="8" t="s">
        <v>37</v>
      </c>
      <c r="F1327" s="9">
        <v>0.47</v>
      </c>
      <c r="G1327" s="10"/>
      <c r="H1327" s="10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ht="14.25" customHeight="1">
      <c r="A1328" s="11">
        <v>1327.0</v>
      </c>
      <c r="B1328" s="5"/>
      <c r="C1328" s="12" t="str">
        <f>HYPERLINK("https://leetcode.com/problems/list-the-products-ordered-in-a-period", "List the Products Ordered in a Period")</f>
        <v>List the Products Ordered in a Period</v>
      </c>
      <c r="D1328" s="7" t="s">
        <v>6</v>
      </c>
      <c r="E1328" s="8" t="s">
        <v>101</v>
      </c>
      <c r="F1328" s="9">
        <v>0.77</v>
      </c>
      <c r="G1328" s="10"/>
      <c r="H1328" s="10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ht="14.25" customHeight="1">
      <c r="A1329" s="4">
        <v>1328.0</v>
      </c>
      <c r="B1329" s="5"/>
      <c r="C1329" s="6" t="str">
        <f>HYPERLINK("https://leetcode.com/problems/break-a-palindrome", "Break a Palindrome")</f>
        <v>Break a Palindrome</v>
      </c>
      <c r="D1329" s="7" t="s">
        <v>8</v>
      </c>
      <c r="E1329" s="8" t="s">
        <v>465</v>
      </c>
      <c r="F1329" s="9">
        <v>0.53</v>
      </c>
      <c r="G1329" s="10"/>
      <c r="H1329" s="10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ht="14.25" customHeight="1">
      <c r="A1330" s="4">
        <v>1329.0</v>
      </c>
      <c r="B1330" s="5"/>
      <c r="C1330" s="6" t="str">
        <f>HYPERLINK("https://leetcode.com/problems/sort-the-matrix-diagonally", "Sort the Matrix Diagonally")</f>
        <v>Sort the Matrix Diagonally</v>
      </c>
      <c r="D1330" s="7" t="s">
        <v>8</v>
      </c>
      <c r="E1330" s="8" t="s">
        <v>558</v>
      </c>
      <c r="F1330" s="9">
        <v>0.83</v>
      </c>
      <c r="G1330" s="10"/>
      <c r="H1330" s="10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ht="14.25" customHeight="1">
      <c r="A1331" s="4">
        <v>1330.0</v>
      </c>
      <c r="B1331" s="5"/>
      <c r="C1331" s="6" t="str">
        <f>HYPERLINK("https://leetcode.com/problems/reverse-subarray-to-maximize-array-value", "Reverse Subarray To Maximize Array Value")</f>
        <v>Reverse Subarray To Maximize Array Value</v>
      </c>
      <c r="D1331" s="7" t="s">
        <v>11</v>
      </c>
      <c r="E1331" s="8" t="s">
        <v>526</v>
      </c>
      <c r="F1331" s="9">
        <v>0.4</v>
      </c>
      <c r="G1331" s="10"/>
      <c r="H1331" s="10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ht="14.25" customHeight="1">
      <c r="A1332" s="4">
        <v>1331.0</v>
      </c>
      <c r="B1332" s="5"/>
      <c r="C1332" s="6" t="str">
        <f>HYPERLINK("https://leetcode.com/problems/rank-transform-of-an-array", "Rank Transform of an Array")</f>
        <v>Rank Transform of an Array</v>
      </c>
      <c r="D1332" s="7" t="s">
        <v>6</v>
      </c>
      <c r="E1332" s="8" t="s">
        <v>118</v>
      </c>
      <c r="F1332" s="9">
        <v>0.59</v>
      </c>
      <c r="G1332" s="10"/>
      <c r="H1332" s="10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ht="14.25" customHeight="1">
      <c r="A1333" s="4">
        <v>1332.0</v>
      </c>
      <c r="B1333" s="5"/>
      <c r="C1333" s="6" t="str">
        <f>HYPERLINK("https://leetcode.com/problems/remove-palindromic-subsequences", "Remove Palindromic Subsequences")</f>
        <v>Remove Palindromic Subsequences</v>
      </c>
      <c r="D1333" s="7" t="s">
        <v>6</v>
      </c>
      <c r="E1333" s="8" t="s">
        <v>75</v>
      </c>
      <c r="F1333" s="9">
        <v>0.76</v>
      </c>
      <c r="G1333" s="10"/>
      <c r="H1333" s="10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ht="14.25" customHeight="1">
      <c r="A1334" s="4">
        <v>1333.0</v>
      </c>
      <c r="B1334" s="5"/>
      <c r="C1334" s="6" t="str">
        <f>HYPERLINK("https://leetcode.com/problems/filter-restaurants-by-vegan-friendly-price-and-distance", "Filter Restaurants by Vegan-Friendly, Price and Distance")</f>
        <v>Filter Restaurants by Vegan-Friendly, Price and Distance</v>
      </c>
      <c r="D1334" s="7" t="s">
        <v>8</v>
      </c>
      <c r="E1334" s="8" t="s">
        <v>44</v>
      </c>
      <c r="F1334" s="9">
        <v>0.59</v>
      </c>
      <c r="G1334" s="10"/>
      <c r="H1334" s="10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ht="14.25" customHeight="1">
      <c r="A1335" s="4">
        <v>1334.0</v>
      </c>
      <c r="B1335" s="5"/>
      <c r="C1335" s="6" t="str">
        <f>HYPERLINK("https://leetcode.com/problems/find-the-city-with-the-smallest-number-of-neighbors-at-a-threshold-distance", "Find the City With the Smallest Number of Neighbors at a Threshold Distance")</f>
        <v>Find the City With the Smallest Number of Neighbors at a Threshold Distance</v>
      </c>
      <c r="D1335" s="7" t="s">
        <v>8</v>
      </c>
      <c r="E1335" s="8" t="s">
        <v>559</v>
      </c>
      <c r="F1335" s="9">
        <v>0.53</v>
      </c>
      <c r="G1335" s="10"/>
      <c r="H1335" s="10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ht="14.25" customHeight="1">
      <c r="A1336" s="4">
        <v>1335.0</v>
      </c>
      <c r="B1336" s="5"/>
      <c r="C1336" s="6" t="str">
        <f>HYPERLINK("https://leetcode.com/problems/minimum-difficulty-of-a-job-schedule", "Minimum Difficulty of a Job Schedule")</f>
        <v>Minimum Difficulty of a Job Schedule</v>
      </c>
      <c r="D1336" s="7" t="s">
        <v>11</v>
      </c>
      <c r="E1336" s="8" t="s">
        <v>73</v>
      </c>
      <c r="F1336" s="9">
        <v>0.58</v>
      </c>
      <c r="G1336" s="10"/>
      <c r="H1336" s="10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ht="14.25" customHeight="1">
      <c r="A1337" s="11">
        <v>1336.0</v>
      </c>
      <c r="B1337" s="5"/>
      <c r="C1337" s="12" t="str">
        <f>HYPERLINK("https://leetcode.com/problems/number-of-transactions-per-visit", "Number of Transactions per Visit")</f>
        <v>Number of Transactions per Visit</v>
      </c>
      <c r="D1337" s="7" t="s">
        <v>11</v>
      </c>
      <c r="E1337" s="8" t="s">
        <v>101</v>
      </c>
      <c r="F1337" s="9">
        <v>0.51</v>
      </c>
      <c r="G1337" s="10"/>
      <c r="H1337" s="10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ht="14.25" customHeight="1">
      <c r="A1338" s="4">
        <v>1337.0</v>
      </c>
      <c r="B1338" s="5"/>
      <c r="C1338" s="6" t="str">
        <f>HYPERLINK("https://leetcode.com/problems/the-k-weakest-rows-in-a-matrix", "The K Weakest Rows in a Matrix")</f>
        <v>The K Weakest Rows in a Matrix</v>
      </c>
      <c r="D1338" s="7" t="s">
        <v>6</v>
      </c>
      <c r="E1338" s="8" t="s">
        <v>225</v>
      </c>
      <c r="F1338" s="9">
        <v>0.72</v>
      </c>
      <c r="G1338" s="10"/>
      <c r="H1338" s="10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ht="14.25" customHeight="1">
      <c r="A1339" s="4">
        <v>1338.0</v>
      </c>
      <c r="B1339" s="5"/>
      <c r="C1339" s="6" t="str">
        <f>HYPERLINK("https://leetcode.com/problems/reduce-array-size-to-the-half", "Reduce Array Size to The Half")</f>
        <v>Reduce Array Size to The Half</v>
      </c>
      <c r="D1339" s="7" t="s">
        <v>8</v>
      </c>
      <c r="E1339" s="8" t="s">
        <v>560</v>
      </c>
      <c r="F1339" s="9">
        <v>0.69</v>
      </c>
      <c r="G1339" s="10"/>
      <c r="H1339" s="10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ht="14.25" customHeight="1">
      <c r="A1340" s="4">
        <v>1339.0</v>
      </c>
      <c r="B1340" s="5"/>
      <c r="C1340" s="6" t="str">
        <f>HYPERLINK("https://leetcode.com/problems/maximum-product-of-splitted-binary-tree", "Maximum Product of Splitted Binary Tree")</f>
        <v>Maximum Product of Splitted Binary Tree</v>
      </c>
      <c r="D1340" s="7" t="s">
        <v>8</v>
      </c>
      <c r="E1340" s="8" t="s">
        <v>69</v>
      </c>
      <c r="F1340" s="9">
        <v>0.47</v>
      </c>
      <c r="G1340" s="10"/>
      <c r="H1340" s="10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ht="14.25" customHeight="1">
      <c r="A1341" s="4">
        <v>1340.0</v>
      </c>
      <c r="B1341" s="5"/>
      <c r="C1341" s="6" t="str">
        <f>HYPERLINK("https://leetcode.com/problems/jump-game-v", "Jump Game V")</f>
        <v>Jump Game V</v>
      </c>
      <c r="D1341" s="7" t="s">
        <v>11</v>
      </c>
      <c r="E1341" s="8" t="s">
        <v>561</v>
      </c>
      <c r="F1341" s="9">
        <v>0.62</v>
      </c>
      <c r="G1341" s="10"/>
      <c r="H1341" s="10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ht="14.25" customHeight="1">
      <c r="A1342" s="11">
        <v>1341.0</v>
      </c>
      <c r="B1342" s="5"/>
      <c r="C1342" s="12" t="str">
        <f>HYPERLINK("https://leetcode.com/problems/movie-rating", "Movie Rating")</f>
        <v>Movie Rating</v>
      </c>
      <c r="D1342" s="7" t="s">
        <v>8</v>
      </c>
      <c r="E1342" s="8" t="s">
        <v>101</v>
      </c>
      <c r="F1342" s="9">
        <v>0.58</v>
      </c>
      <c r="G1342" s="10"/>
      <c r="H1342" s="10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ht="14.25" customHeight="1">
      <c r="A1343" s="4">
        <v>1342.0</v>
      </c>
      <c r="B1343" s="5"/>
      <c r="C1343" s="6" t="str">
        <f>HYPERLINK("https://leetcode.com/problems/number-of-steps-to-reduce-a-number-to-zero", "Number of Steps to Reduce a Number to Zero")</f>
        <v>Number of Steps to Reduce a Number to Zero</v>
      </c>
      <c r="D1343" s="7" t="s">
        <v>6</v>
      </c>
      <c r="E1343" s="8" t="s">
        <v>28</v>
      </c>
      <c r="F1343" s="9">
        <v>0.85</v>
      </c>
      <c r="G1343" s="10"/>
      <c r="H1343" s="10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ht="14.25" customHeight="1">
      <c r="A1344" s="4">
        <v>1343.0</v>
      </c>
      <c r="B1344" s="5"/>
      <c r="C1344" s="6" t="str">
        <f>HYPERLINK("https://leetcode.com/problems/number-of-sub-arrays-of-size-k-and-average-greater-than-or-equal-to-threshold", "Number of Sub-arrays of Size K and Average Greater than or Equal to Threshold")</f>
        <v>Number of Sub-arrays of Size K and Average Greater than or Equal to Threshold</v>
      </c>
      <c r="D1344" s="7" t="s">
        <v>8</v>
      </c>
      <c r="E1344" s="8" t="s">
        <v>334</v>
      </c>
      <c r="F1344" s="9">
        <v>0.67</v>
      </c>
      <c r="G1344" s="10"/>
      <c r="H1344" s="10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ht="14.25" customHeight="1">
      <c r="A1345" s="4">
        <v>1344.0</v>
      </c>
      <c r="B1345" s="5"/>
      <c r="C1345" s="6" t="str">
        <f>HYPERLINK("https://leetcode.com/problems/angle-between-hands-of-a-clock", "Angle Between Hands of a Clock")</f>
        <v>Angle Between Hands of a Clock</v>
      </c>
      <c r="D1345" s="7" t="s">
        <v>8</v>
      </c>
      <c r="E1345" s="8" t="s">
        <v>15</v>
      </c>
      <c r="F1345" s="9">
        <v>0.63</v>
      </c>
      <c r="G1345" s="10"/>
      <c r="H1345" s="10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ht="14.25" customHeight="1">
      <c r="A1346" s="4">
        <v>1345.0</v>
      </c>
      <c r="B1346" s="5"/>
      <c r="C1346" s="6" t="str">
        <f>HYPERLINK("https://leetcode.com/problems/jump-game-iv", "Jump Game IV")</f>
        <v>Jump Game IV</v>
      </c>
      <c r="D1346" s="7" t="s">
        <v>11</v>
      </c>
      <c r="E1346" s="8" t="s">
        <v>401</v>
      </c>
      <c r="F1346" s="9">
        <v>0.43</v>
      </c>
      <c r="G1346" s="10"/>
      <c r="H1346" s="10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ht="14.25" customHeight="1">
      <c r="A1347" s="4">
        <v>1346.0</v>
      </c>
      <c r="B1347" s="5"/>
      <c r="C1347" s="6" t="str">
        <f>HYPERLINK("https://leetcode.com/problems/check-if-n-and-its-double-exist", "Check If N and Its Double Exist")</f>
        <v>Check If N and Its Double Exist</v>
      </c>
      <c r="D1347" s="7" t="s">
        <v>6</v>
      </c>
      <c r="E1347" s="8" t="s">
        <v>205</v>
      </c>
      <c r="F1347" s="9">
        <v>0.36</v>
      </c>
      <c r="G1347" s="10"/>
      <c r="H1347" s="10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ht="14.25" customHeight="1">
      <c r="A1348" s="4">
        <v>1347.0</v>
      </c>
      <c r="B1348" s="5"/>
      <c r="C1348" s="6" t="str">
        <f>HYPERLINK("https://leetcode.com/problems/minimum-number-of-steps-to-make-two-strings-anagram", "Minimum Number of Steps to Make Two Strings Anagram")</f>
        <v>Minimum Number of Steps to Make Two Strings Anagram</v>
      </c>
      <c r="D1348" s="7" t="s">
        <v>8</v>
      </c>
      <c r="E1348" s="8" t="s">
        <v>172</v>
      </c>
      <c r="F1348" s="9">
        <v>0.77</v>
      </c>
      <c r="G1348" s="10"/>
      <c r="H1348" s="10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ht="14.25" customHeight="1">
      <c r="A1349" s="4">
        <v>1348.0</v>
      </c>
      <c r="B1349" s="5"/>
      <c r="C1349" s="6" t="str">
        <f>HYPERLINK("https://leetcode.com/problems/tweet-counts-per-frequency", "Tweet Counts Per Frequency")</f>
        <v>Tweet Counts Per Frequency</v>
      </c>
      <c r="D1349" s="7" t="s">
        <v>8</v>
      </c>
      <c r="E1349" s="8" t="s">
        <v>562</v>
      </c>
      <c r="F1349" s="9">
        <v>0.43</v>
      </c>
      <c r="G1349" s="10"/>
      <c r="H1349" s="10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ht="14.25" customHeight="1">
      <c r="A1350" s="4">
        <v>1349.0</v>
      </c>
      <c r="B1350" s="5"/>
      <c r="C1350" s="6" t="str">
        <f>HYPERLINK("https://leetcode.com/problems/maximum-students-taking-exam", "Maximum Students Taking Exam")</f>
        <v>Maximum Students Taking Exam</v>
      </c>
      <c r="D1350" s="7" t="s">
        <v>11</v>
      </c>
      <c r="E1350" s="8" t="s">
        <v>563</v>
      </c>
      <c r="F1350" s="9">
        <v>0.48</v>
      </c>
      <c r="G1350" s="10"/>
      <c r="H1350" s="10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ht="14.25" customHeight="1">
      <c r="A1351" s="11">
        <v>1350.0</v>
      </c>
      <c r="B1351" s="5"/>
      <c r="C1351" s="12" t="str">
        <f>HYPERLINK("https://leetcode.com/problems/students-with-invalid-departments", "Students With Invalid Departments")</f>
        <v>Students With Invalid Departments</v>
      </c>
      <c r="D1351" s="7" t="s">
        <v>6</v>
      </c>
      <c r="E1351" s="8" t="s">
        <v>101</v>
      </c>
      <c r="F1351" s="9">
        <v>0.9</v>
      </c>
      <c r="G1351" s="10"/>
      <c r="H1351" s="10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ht="14.25" customHeight="1">
      <c r="A1352" s="4">
        <v>1351.0</v>
      </c>
      <c r="B1352" s="5"/>
      <c r="C1352" s="6" t="str">
        <f>HYPERLINK("https://leetcode.com/problems/count-negative-numbers-in-a-sorted-matrix", "Count Negative Numbers in a Sorted Matrix")</f>
        <v>Count Negative Numbers in a Sorted Matrix</v>
      </c>
      <c r="D1352" s="7" t="s">
        <v>6</v>
      </c>
      <c r="E1352" s="8" t="s">
        <v>53</v>
      </c>
      <c r="F1352" s="9">
        <v>0.75</v>
      </c>
      <c r="G1352" s="10"/>
      <c r="H1352" s="10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ht="14.25" customHeight="1">
      <c r="A1353" s="4">
        <v>1352.0</v>
      </c>
      <c r="B1353" s="5"/>
      <c r="C1353" s="6" t="str">
        <f>HYPERLINK("https://leetcode.com/problems/product-of-the-last-k-numbers", "Product of the Last K Numbers")</f>
        <v>Product of the Last K Numbers</v>
      </c>
      <c r="D1353" s="7" t="s">
        <v>8</v>
      </c>
      <c r="E1353" s="8" t="s">
        <v>564</v>
      </c>
      <c r="F1353" s="9">
        <v>0.49</v>
      </c>
      <c r="G1353" s="10"/>
      <c r="H1353" s="10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ht="14.25" customHeight="1">
      <c r="A1354" s="4">
        <v>1353.0</v>
      </c>
      <c r="B1354" s="5"/>
      <c r="C1354" s="6" t="str">
        <f>HYPERLINK("https://leetcode.com/problems/maximum-number-of-events-that-can-be-attended", "Maximum Number of Events That Can Be Attended")</f>
        <v>Maximum Number of Events That Can Be Attended</v>
      </c>
      <c r="D1354" s="7" t="s">
        <v>8</v>
      </c>
      <c r="E1354" s="8" t="s">
        <v>292</v>
      </c>
      <c r="F1354" s="9">
        <v>0.32</v>
      </c>
      <c r="G1354" s="10"/>
      <c r="H1354" s="10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ht="14.25" customHeight="1">
      <c r="A1355" s="4">
        <v>1354.0</v>
      </c>
      <c r="B1355" s="5"/>
      <c r="C1355" s="6" t="str">
        <f>HYPERLINK("https://leetcode.com/problems/construct-target-array-with-multiple-sums", "Construct Target Array With Multiple Sums")</f>
        <v>Construct Target Array With Multiple Sums</v>
      </c>
      <c r="D1355" s="7" t="s">
        <v>11</v>
      </c>
      <c r="E1355" s="8" t="s">
        <v>223</v>
      </c>
      <c r="F1355" s="9">
        <v>0.36</v>
      </c>
      <c r="G1355" s="10"/>
      <c r="H1355" s="10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ht="14.25" customHeight="1">
      <c r="A1356" s="11">
        <v>1355.0</v>
      </c>
      <c r="B1356" s="5"/>
      <c r="C1356" s="12" t="str">
        <f>HYPERLINK("https://leetcode.com/problems/activity-participants", "Activity Participants")</f>
        <v>Activity Participants</v>
      </c>
      <c r="D1356" s="7" t="s">
        <v>8</v>
      </c>
      <c r="E1356" s="8" t="s">
        <v>101</v>
      </c>
      <c r="F1356" s="9">
        <v>0.74</v>
      </c>
      <c r="G1356" s="10"/>
      <c r="H1356" s="10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ht="14.25" customHeight="1">
      <c r="A1357" s="4">
        <v>1356.0</v>
      </c>
      <c r="B1357" s="5"/>
      <c r="C1357" s="6" t="str">
        <f>HYPERLINK("https://leetcode.com/problems/sort-integers-by-the-number-of-1-bits", "Sort Integers by The Number of 1 Bits")</f>
        <v>Sort Integers by The Number of 1 Bits</v>
      </c>
      <c r="D1357" s="7" t="s">
        <v>6</v>
      </c>
      <c r="E1357" s="8" t="s">
        <v>565</v>
      </c>
      <c r="F1357" s="9">
        <v>0.72</v>
      </c>
      <c r="G1357" s="10"/>
      <c r="H1357" s="10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ht="14.25" customHeight="1">
      <c r="A1358" s="4">
        <v>1357.0</v>
      </c>
      <c r="B1358" s="5"/>
      <c r="C1358" s="6" t="str">
        <f>HYPERLINK("https://leetcode.com/problems/apply-discount-every-n-orders", "Apply Discount Every n Orders")</f>
        <v>Apply Discount Every n Orders</v>
      </c>
      <c r="D1358" s="7" t="s">
        <v>8</v>
      </c>
      <c r="E1358" s="8" t="s">
        <v>566</v>
      </c>
      <c r="F1358" s="9">
        <v>0.69</v>
      </c>
      <c r="G1358" s="10"/>
      <c r="H1358" s="10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ht="14.25" customHeight="1">
      <c r="A1359" s="4">
        <v>1358.0</v>
      </c>
      <c r="B1359" s="5"/>
      <c r="C1359" s="6" t="str">
        <f>HYPERLINK("https://leetcode.com/problems/number-of-substrings-containing-all-three-characters", "Number of Substrings Containing All Three Characters")</f>
        <v>Number of Substrings Containing All Three Characters</v>
      </c>
      <c r="D1359" s="7" t="s">
        <v>8</v>
      </c>
      <c r="E1359" s="8" t="s">
        <v>10</v>
      </c>
      <c r="F1359" s="9">
        <v>0.63</v>
      </c>
      <c r="G1359" s="10"/>
      <c r="H1359" s="10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ht="14.25" customHeight="1">
      <c r="A1360" s="4">
        <v>1359.0</v>
      </c>
      <c r="B1360" s="5"/>
      <c r="C1360" s="6" t="str">
        <f>HYPERLINK("https://leetcode.com/problems/count-all-valid-pickup-and-delivery-options", "Count All Valid Pickup and Delivery Options")</f>
        <v>Count All Valid Pickup and Delivery Options</v>
      </c>
      <c r="D1360" s="7" t="s">
        <v>11</v>
      </c>
      <c r="E1360" s="8" t="s">
        <v>46</v>
      </c>
      <c r="F1360" s="9">
        <v>0.62</v>
      </c>
      <c r="G1360" s="10"/>
      <c r="H1360" s="10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ht="14.25" customHeight="1">
      <c r="A1361" s="4">
        <v>1360.0</v>
      </c>
      <c r="B1361" s="5"/>
      <c r="C1361" s="6" t="str">
        <f>HYPERLINK("https://leetcode.com/problems/number-of-days-between-two-dates", "Number of Days Between Two Dates")</f>
        <v>Number of Days Between Two Dates</v>
      </c>
      <c r="D1361" s="7" t="s">
        <v>6</v>
      </c>
      <c r="E1361" s="8" t="s">
        <v>97</v>
      </c>
      <c r="F1361" s="9">
        <v>0.47</v>
      </c>
      <c r="G1361" s="10"/>
      <c r="H1361" s="10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ht="14.25" customHeight="1">
      <c r="A1362" s="4">
        <v>1361.0</v>
      </c>
      <c r="B1362" s="5"/>
      <c r="C1362" s="6" t="str">
        <f>HYPERLINK("https://leetcode.com/problems/validate-binary-tree-nodes", "Validate Binary Tree Nodes")</f>
        <v>Validate Binary Tree Nodes</v>
      </c>
      <c r="D1362" s="7" t="s">
        <v>8</v>
      </c>
      <c r="E1362" s="8" t="s">
        <v>567</v>
      </c>
      <c r="F1362" s="9">
        <v>0.4</v>
      </c>
      <c r="G1362" s="10"/>
      <c r="H1362" s="10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ht="14.25" customHeight="1">
      <c r="A1363" s="4">
        <v>1362.0</v>
      </c>
      <c r="B1363" s="5"/>
      <c r="C1363" s="6" t="str">
        <f>HYPERLINK("https://leetcode.com/problems/closest-divisors", "Closest Divisors")</f>
        <v>Closest Divisors</v>
      </c>
      <c r="D1363" s="7" t="s">
        <v>8</v>
      </c>
      <c r="E1363" s="8" t="s">
        <v>15</v>
      </c>
      <c r="F1363" s="9">
        <v>0.59</v>
      </c>
      <c r="G1363" s="10"/>
      <c r="H1363" s="10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ht="14.25" customHeight="1">
      <c r="A1364" s="4">
        <v>1363.0</v>
      </c>
      <c r="B1364" s="5"/>
      <c r="C1364" s="6" t="str">
        <f>HYPERLINK("https://leetcode.com/problems/largest-multiple-of-three", "Largest Multiple of Three")</f>
        <v>Largest Multiple of Three</v>
      </c>
      <c r="D1364" s="7" t="s">
        <v>11</v>
      </c>
      <c r="E1364" s="8" t="s">
        <v>37</v>
      </c>
      <c r="F1364" s="9">
        <v>0.33</v>
      </c>
      <c r="G1364" s="10"/>
      <c r="H1364" s="10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ht="14.25" customHeight="1">
      <c r="A1365" s="11">
        <v>1364.0</v>
      </c>
      <c r="B1365" s="5"/>
      <c r="C1365" s="12" t="str">
        <f>HYPERLINK("https://leetcode.com/problems/number-of-trusted-contacts-of-a-customer", "Number of Trusted Contacts of a Customer")</f>
        <v>Number of Trusted Contacts of a Customer</v>
      </c>
      <c r="D1365" s="7" t="s">
        <v>8</v>
      </c>
      <c r="E1365" s="8" t="s">
        <v>101</v>
      </c>
      <c r="F1365" s="9">
        <v>0.78</v>
      </c>
      <c r="G1365" s="10"/>
      <c r="H1365" s="10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ht="14.25" customHeight="1">
      <c r="A1366" s="4">
        <v>1365.0</v>
      </c>
      <c r="B1366" s="5"/>
      <c r="C1366" s="6" t="str">
        <f>HYPERLINK("https://leetcode.com/problems/how-many-numbers-are-smaller-than-the-current-number", "How Many Numbers Are Smaller Than the Current Number")</f>
        <v>How Many Numbers Are Smaller Than the Current Number</v>
      </c>
      <c r="D1366" s="7" t="s">
        <v>6</v>
      </c>
      <c r="E1366" s="8" t="s">
        <v>127</v>
      </c>
      <c r="F1366" s="9">
        <v>0.86</v>
      </c>
      <c r="G1366" s="10"/>
      <c r="H1366" s="10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ht="14.25" customHeight="1">
      <c r="A1367" s="4">
        <v>1366.0</v>
      </c>
      <c r="B1367" s="5"/>
      <c r="C1367" s="6" t="str">
        <f>HYPERLINK("https://leetcode.com/problems/rank-teams-by-votes", "Rank Teams by Votes")</f>
        <v>Rank Teams by Votes</v>
      </c>
      <c r="D1367" s="7" t="s">
        <v>8</v>
      </c>
      <c r="E1367" s="8" t="s">
        <v>568</v>
      </c>
      <c r="F1367" s="9">
        <v>0.58</v>
      </c>
      <c r="G1367" s="10"/>
      <c r="H1367" s="10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ht="14.25" customHeight="1">
      <c r="A1368" s="4">
        <v>1367.0</v>
      </c>
      <c r="B1368" s="5"/>
      <c r="C1368" s="6" t="str">
        <f>HYPERLINK("https://leetcode.com/problems/linked-list-in-binary-tree", "Linked List in Binary Tree")</f>
        <v>Linked List in Binary Tree</v>
      </c>
      <c r="D1368" s="7" t="s">
        <v>8</v>
      </c>
      <c r="E1368" s="8" t="s">
        <v>72</v>
      </c>
      <c r="F1368" s="9">
        <v>0.43</v>
      </c>
      <c r="G1368" s="10"/>
      <c r="H1368" s="10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ht="14.25" customHeight="1">
      <c r="A1369" s="4">
        <v>1368.0</v>
      </c>
      <c r="B1369" s="5"/>
      <c r="C1369" s="6" t="str">
        <f>HYPERLINK("https://leetcode.com/problems/minimum-cost-to-make-at-least-one-valid-path-in-a-grid", "Minimum Cost to Make at Least One Valid Path in a Grid")</f>
        <v>Minimum Cost to Make at Least One Valid Path in a Grid</v>
      </c>
      <c r="D1369" s="7" t="s">
        <v>11</v>
      </c>
      <c r="E1369" s="8" t="s">
        <v>569</v>
      </c>
      <c r="F1369" s="9">
        <v>0.61</v>
      </c>
      <c r="G1369" s="10"/>
      <c r="H1369" s="10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ht="14.25" customHeight="1">
      <c r="A1370" s="11">
        <v>1369.0</v>
      </c>
      <c r="B1370" s="5"/>
      <c r="C1370" s="12" t="str">
        <f>HYPERLINK("https://leetcode.com/problems/get-the-second-most-recent-activity", "Get the Second Most Recent Activity")</f>
        <v>Get the Second Most Recent Activity</v>
      </c>
      <c r="D1370" s="7" t="s">
        <v>11</v>
      </c>
      <c r="E1370" s="8" t="s">
        <v>101</v>
      </c>
      <c r="F1370" s="9">
        <v>0.69</v>
      </c>
      <c r="G1370" s="10"/>
      <c r="H1370" s="10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ht="14.25" customHeight="1">
      <c r="A1371" s="4">
        <v>1370.0</v>
      </c>
      <c r="B1371" s="5"/>
      <c r="C1371" s="6" t="str">
        <f>HYPERLINK("https://leetcode.com/problems/increasing-decreasing-string", "Increasing Decreasing String")</f>
        <v>Increasing Decreasing String</v>
      </c>
      <c r="D1371" s="7" t="s">
        <v>6</v>
      </c>
      <c r="E1371" s="8" t="s">
        <v>172</v>
      </c>
      <c r="F1371" s="9">
        <v>0.77</v>
      </c>
      <c r="G1371" s="10"/>
      <c r="H1371" s="10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ht="14.25" customHeight="1">
      <c r="A1372" s="4">
        <v>1371.0</v>
      </c>
      <c r="B1372" s="5"/>
      <c r="C1372" s="6" t="str">
        <f>HYPERLINK("https://leetcode.com/problems/find-the-longest-substring-containing-vowels-in-even-counts", "Find the Longest Substring Containing Vowels in Even Counts")</f>
        <v>Find the Longest Substring Containing Vowels in Even Counts</v>
      </c>
      <c r="D1372" s="7" t="s">
        <v>8</v>
      </c>
      <c r="E1372" s="8" t="s">
        <v>514</v>
      </c>
      <c r="F1372" s="9">
        <v>0.63</v>
      </c>
      <c r="G1372" s="10"/>
      <c r="H1372" s="10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ht="14.25" customHeight="1">
      <c r="A1373" s="4">
        <v>1372.0</v>
      </c>
      <c r="B1373" s="5"/>
      <c r="C1373" s="6" t="str">
        <f>HYPERLINK("https://leetcode.com/problems/longest-zigzag-path-in-a-binary-tree", "Longest ZigZag Path in a Binary Tree")</f>
        <v>Longest ZigZag Path in a Binary Tree</v>
      </c>
      <c r="D1373" s="7" t="s">
        <v>8</v>
      </c>
      <c r="E1373" s="8" t="s">
        <v>74</v>
      </c>
      <c r="F1373" s="9">
        <v>0.59</v>
      </c>
      <c r="G1373" s="10"/>
      <c r="H1373" s="10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ht="14.25" customHeight="1">
      <c r="A1374" s="4">
        <v>1373.0</v>
      </c>
      <c r="B1374" s="5"/>
      <c r="C1374" s="6" t="str">
        <f>HYPERLINK("https://leetcode.com/problems/maximum-sum-bst-in-binary-tree", "Maximum Sum BST in Binary Tree")</f>
        <v>Maximum Sum BST in Binary Tree</v>
      </c>
      <c r="D1374" s="7" t="s">
        <v>11</v>
      </c>
      <c r="E1374" s="8" t="s">
        <v>195</v>
      </c>
      <c r="F1374" s="9">
        <v>0.39</v>
      </c>
      <c r="G1374" s="10"/>
      <c r="H1374" s="10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ht="14.25" customHeight="1">
      <c r="A1375" s="4">
        <v>1374.0</v>
      </c>
      <c r="B1375" s="5"/>
      <c r="C1375" s="6" t="str">
        <f>HYPERLINK("https://leetcode.com/problems/generate-a-string-with-characters-that-have-odd-counts", "Generate a String With Characters That Have Odd Counts")</f>
        <v>Generate a String With Characters That Have Odd Counts</v>
      </c>
      <c r="D1375" s="7" t="s">
        <v>6</v>
      </c>
      <c r="E1375" s="8" t="s">
        <v>14</v>
      </c>
      <c r="F1375" s="9">
        <v>0.77</v>
      </c>
      <c r="G1375" s="10"/>
      <c r="H1375" s="10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ht="14.25" customHeight="1">
      <c r="A1376" s="4">
        <v>1375.0</v>
      </c>
      <c r="B1376" s="5"/>
      <c r="C1376" s="6" t="str">
        <f>HYPERLINK("https://leetcode.com/problems/number-of-times-binary-string-is-prefix-aligned", "Number of Times Binary String Is Prefix-Aligned")</f>
        <v>Number of Times Binary String Is Prefix-Aligned</v>
      </c>
      <c r="D1376" s="7" t="s">
        <v>8</v>
      </c>
      <c r="E1376" s="8" t="s">
        <v>45</v>
      </c>
      <c r="F1376" s="9">
        <v>0.65</v>
      </c>
      <c r="G1376" s="10"/>
      <c r="H1376" s="10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ht="14.25" customHeight="1">
      <c r="A1377" s="4">
        <v>1376.0</v>
      </c>
      <c r="B1377" s="5"/>
      <c r="C1377" s="6" t="str">
        <f>HYPERLINK("https://leetcode.com/problems/time-needed-to-inform-all-employees", "Time Needed to Inform All Employees")</f>
        <v>Time Needed to Inform All Employees</v>
      </c>
      <c r="D1377" s="7" t="s">
        <v>8</v>
      </c>
      <c r="E1377" s="8" t="s">
        <v>312</v>
      </c>
      <c r="F1377" s="9">
        <v>0.58</v>
      </c>
      <c r="G1377" s="10"/>
      <c r="H1377" s="10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ht="14.25" customHeight="1">
      <c r="A1378" s="4">
        <v>1377.0</v>
      </c>
      <c r="B1378" s="5"/>
      <c r="C1378" s="6" t="str">
        <f>HYPERLINK("https://leetcode.com/problems/frog-position-after-t-seconds", "Frog Position After T Seconds")</f>
        <v>Frog Position After T Seconds</v>
      </c>
      <c r="D1378" s="7" t="s">
        <v>11</v>
      </c>
      <c r="E1378" s="8" t="s">
        <v>570</v>
      </c>
      <c r="F1378" s="9">
        <v>0.36</v>
      </c>
      <c r="G1378" s="10"/>
      <c r="H1378" s="10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ht="14.25" customHeight="1">
      <c r="A1379" s="11">
        <v>1378.0</v>
      </c>
      <c r="B1379" s="5"/>
      <c r="C1379" s="12" t="str">
        <f>HYPERLINK("https://leetcode.com/problems/replace-employee-id-with-the-unique-identifier", "Replace Employee ID With The Unique Identifier")</f>
        <v>Replace Employee ID With The Unique Identifier</v>
      </c>
      <c r="D1379" s="7" t="s">
        <v>6</v>
      </c>
      <c r="E1379" s="8" t="s">
        <v>101</v>
      </c>
      <c r="F1379" s="9">
        <v>0.91</v>
      </c>
      <c r="G1379" s="10"/>
      <c r="H1379" s="10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ht="14.25" customHeight="1">
      <c r="A1380" s="4">
        <v>1379.0</v>
      </c>
      <c r="B1380" s="5"/>
      <c r="C1380" s="6" t="str">
        <f>HYPERLINK("https://leetcode.com/problems/find-a-corresponding-node-of-a-binary-tree-in-a-clone-of-that-tree", "Find a Corresponding Node of a Binary Tree in a Clone of That Tree")</f>
        <v>Find a Corresponding Node of a Binary Tree in a Clone of That Tree</v>
      </c>
      <c r="D1380" s="7" t="s">
        <v>6</v>
      </c>
      <c r="E1380" s="8" t="s">
        <v>64</v>
      </c>
      <c r="F1380" s="9">
        <v>0.86</v>
      </c>
      <c r="G1380" s="10"/>
      <c r="H1380" s="10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ht="14.25" customHeight="1">
      <c r="A1381" s="4">
        <v>1380.0</v>
      </c>
      <c r="B1381" s="5"/>
      <c r="C1381" s="6" t="str">
        <f>HYPERLINK("https://leetcode.com/problems/lucky-numbers-in-a-matrix", "Lucky Numbers in a Matrix")</f>
        <v>Lucky Numbers in a Matrix</v>
      </c>
      <c r="D1381" s="7" t="s">
        <v>6</v>
      </c>
      <c r="E1381" s="8" t="s">
        <v>251</v>
      </c>
      <c r="F1381" s="9">
        <v>0.7</v>
      </c>
      <c r="G1381" s="10"/>
      <c r="H1381" s="10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ht="14.25" customHeight="1">
      <c r="A1382" s="4">
        <v>1381.0</v>
      </c>
      <c r="B1382" s="5"/>
      <c r="C1382" s="6" t="str">
        <f>HYPERLINK("https://leetcode.com/problems/design-a-stack-with-increment-operation", "Design a Stack With Increment Operation")</f>
        <v>Design a Stack With Increment Operation</v>
      </c>
      <c r="D1382" s="7" t="s">
        <v>8</v>
      </c>
      <c r="E1382" s="8" t="s">
        <v>571</v>
      </c>
      <c r="F1382" s="9">
        <v>0.77</v>
      </c>
      <c r="G1382" s="10"/>
      <c r="H1382" s="10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ht="14.25" customHeight="1">
      <c r="A1383" s="4">
        <v>1382.0</v>
      </c>
      <c r="B1383" s="5"/>
      <c r="C1383" s="6" t="str">
        <f>HYPERLINK("https://leetcode.com/problems/balance-a-binary-search-tree", "Balance a Binary Search Tree")</f>
        <v>Balance a Binary Search Tree</v>
      </c>
      <c r="D1383" s="7" t="s">
        <v>8</v>
      </c>
      <c r="E1383" s="8" t="s">
        <v>572</v>
      </c>
      <c r="F1383" s="9">
        <v>0.8</v>
      </c>
      <c r="G1383" s="10"/>
      <c r="H1383" s="10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ht="14.25" customHeight="1">
      <c r="A1384" s="4">
        <v>1383.0</v>
      </c>
      <c r="B1384" s="5"/>
      <c r="C1384" s="6" t="str">
        <f>HYPERLINK("https://leetcode.com/problems/maximum-performance-of-a-team", "Maximum Performance of a Team")</f>
        <v>Maximum Performance of a Team</v>
      </c>
      <c r="D1384" s="7" t="s">
        <v>11</v>
      </c>
      <c r="E1384" s="8" t="s">
        <v>292</v>
      </c>
      <c r="F1384" s="9">
        <v>0.48</v>
      </c>
      <c r="G1384" s="10"/>
      <c r="H1384" s="10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ht="14.25" customHeight="1">
      <c r="A1385" s="11">
        <v>1384.0</v>
      </c>
      <c r="B1385" s="5"/>
      <c r="C1385" s="12" t="str">
        <f>HYPERLINK("https://leetcode.com/problems/total-sales-amount-by-year", "Total Sales Amount by Year")</f>
        <v>Total Sales Amount by Year</v>
      </c>
      <c r="D1385" s="7" t="s">
        <v>11</v>
      </c>
      <c r="E1385" s="8" t="s">
        <v>101</v>
      </c>
      <c r="F1385" s="9">
        <v>0.67</v>
      </c>
      <c r="G1385" s="10"/>
      <c r="H1385" s="10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ht="14.25" customHeight="1">
      <c r="A1386" s="4">
        <v>1385.0</v>
      </c>
      <c r="B1386" s="5"/>
      <c r="C1386" s="6" t="str">
        <f>HYPERLINK("https://leetcode.com/problems/find-the-distance-value-between-two-arrays", "Find the Distance Value Between Two Arrays")</f>
        <v>Find the Distance Value Between Two Arrays</v>
      </c>
      <c r="D1386" s="7" t="s">
        <v>6</v>
      </c>
      <c r="E1386" s="8" t="s">
        <v>145</v>
      </c>
      <c r="F1386" s="9">
        <v>0.65</v>
      </c>
      <c r="G1386" s="10"/>
      <c r="H1386" s="10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ht="14.25" customHeight="1">
      <c r="A1387" s="4">
        <v>1386.0</v>
      </c>
      <c r="B1387" s="5"/>
      <c r="C1387" s="6" t="str">
        <f>HYPERLINK("https://leetcode.com/problems/cinema-seat-allocation", "Cinema Seat Allocation")</f>
        <v>Cinema Seat Allocation</v>
      </c>
      <c r="D1387" s="7" t="s">
        <v>8</v>
      </c>
      <c r="E1387" s="8" t="s">
        <v>573</v>
      </c>
      <c r="F1387" s="9">
        <v>0.4</v>
      </c>
      <c r="G1387" s="10"/>
      <c r="H1387" s="10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ht="14.25" customHeight="1">
      <c r="A1388" s="4">
        <v>1387.0</v>
      </c>
      <c r="B1388" s="5"/>
      <c r="C1388" s="6" t="str">
        <f>HYPERLINK("https://leetcode.com/problems/sort-integers-by-the-power-value", "Sort Integers by The Power Value")</f>
        <v>Sort Integers by The Power Value</v>
      </c>
      <c r="D1388" s="7" t="s">
        <v>8</v>
      </c>
      <c r="E1388" s="8" t="s">
        <v>574</v>
      </c>
      <c r="F1388" s="9">
        <v>0.7</v>
      </c>
      <c r="G1388" s="10"/>
      <c r="H1388" s="10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ht="14.25" customHeight="1">
      <c r="A1389" s="4">
        <v>1388.0</v>
      </c>
      <c r="B1389" s="5"/>
      <c r="C1389" s="6" t="str">
        <f>HYPERLINK("https://leetcode.com/problems/pizza-with-3n-slices", "Pizza With 3n Slices")</f>
        <v>Pizza With 3n Slices</v>
      </c>
      <c r="D1389" s="7" t="s">
        <v>11</v>
      </c>
      <c r="E1389" s="8" t="s">
        <v>422</v>
      </c>
      <c r="F1389" s="9">
        <v>0.5</v>
      </c>
      <c r="G1389" s="10"/>
      <c r="H1389" s="10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ht="14.25" customHeight="1">
      <c r="A1390" s="4">
        <v>1389.0</v>
      </c>
      <c r="B1390" s="5"/>
      <c r="C1390" s="6" t="str">
        <f>HYPERLINK("https://leetcode.com/problems/create-target-array-in-the-given-order", "Create Target Array in the Given Order")</f>
        <v>Create Target Array in the Given Order</v>
      </c>
      <c r="D1390" s="7" t="s">
        <v>6</v>
      </c>
      <c r="E1390" s="8" t="s">
        <v>288</v>
      </c>
      <c r="F1390" s="9">
        <v>0.85</v>
      </c>
      <c r="G1390" s="10"/>
      <c r="H1390" s="10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ht="14.25" customHeight="1">
      <c r="A1391" s="4">
        <v>1390.0</v>
      </c>
      <c r="B1391" s="5"/>
      <c r="C1391" s="6" t="str">
        <f>HYPERLINK("https://leetcode.com/problems/four-divisors", "Four Divisors")</f>
        <v>Four Divisors</v>
      </c>
      <c r="D1391" s="7" t="s">
        <v>8</v>
      </c>
      <c r="E1391" s="8" t="s">
        <v>48</v>
      </c>
      <c r="F1391" s="9">
        <v>0.41</v>
      </c>
      <c r="G1391" s="10"/>
      <c r="H1391" s="10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ht="14.25" customHeight="1">
      <c r="A1392" s="4">
        <v>1391.0</v>
      </c>
      <c r="B1392" s="5"/>
      <c r="C1392" s="6" t="str">
        <f>HYPERLINK("https://leetcode.com/problems/check-if-there-is-a-valid-path-in-a-grid", "Check if There is a Valid Path in a Grid")</f>
        <v>Check if There is a Valid Path in a Grid</v>
      </c>
      <c r="D1392" s="7" t="s">
        <v>8</v>
      </c>
      <c r="E1392" s="8" t="s">
        <v>79</v>
      </c>
      <c r="F1392" s="9">
        <v>0.47</v>
      </c>
      <c r="G1392" s="10"/>
      <c r="H1392" s="10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ht="14.25" customHeight="1">
      <c r="A1393" s="4">
        <v>1392.0</v>
      </c>
      <c r="B1393" s="5"/>
      <c r="C1393" s="6" t="str">
        <f>HYPERLINK("https://leetcode.com/problems/longest-happy-prefix", "Longest Happy Prefix")</f>
        <v>Longest Happy Prefix</v>
      </c>
      <c r="D1393" s="7" t="s">
        <v>11</v>
      </c>
      <c r="E1393" s="8" t="s">
        <v>116</v>
      </c>
      <c r="F1393" s="9">
        <v>0.44</v>
      </c>
      <c r="G1393" s="10"/>
      <c r="H1393" s="10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ht="14.25" customHeight="1">
      <c r="A1394" s="4">
        <v>1393.0</v>
      </c>
      <c r="B1394" s="5"/>
      <c r="C1394" s="6" t="str">
        <f>HYPERLINK("https://leetcode.com/problems/capital-gainloss", "Capital Gain/Loss")</f>
        <v>Capital Gain/Loss</v>
      </c>
      <c r="D1394" s="7" t="s">
        <v>8</v>
      </c>
      <c r="E1394" s="8" t="s">
        <v>101</v>
      </c>
      <c r="F1394" s="9">
        <v>0.9</v>
      </c>
      <c r="G1394" s="10"/>
      <c r="H1394" s="10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ht="14.25" customHeight="1">
      <c r="A1395" s="4">
        <v>1394.0</v>
      </c>
      <c r="B1395" s="5"/>
      <c r="C1395" s="6" t="str">
        <f>HYPERLINK("https://leetcode.com/problems/find-lucky-integer-in-an-array", "Find Lucky Integer in an Array")</f>
        <v>Find Lucky Integer in an Array</v>
      </c>
      <c r="D1395" s="7" t="s">
        <v>6</v>
      </c>
      <c r="E1395" s="8" t="s">
        <v>474</v>
      </c>
      <c r="F1395" s="9">
        <v>0.63</v>
      </c>
      <c r="G1395" s="10"/>
      <c r="H1395" s="10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ht="14.25" customHeight="1">
      <c r="A1396" s="4">
        <v>1395.0</v>
      </c>
      <c r="B1396" s="5"/>
      <c r="C1396" s="6" t="str">
        <f>HYPERLINK("https://leetcode.com/problems/count-number-of-teams", "Count Number of Teams")</f>
        <v>Count Number of Teams</v>
      </c>
      <c r="D1396" s="7" t="s">
        <v>8</v>
      </c>
      <c r="E1396" s="8" t="s">
        <v>575</v>
      </c>
      <c r="F1396" s="9">
        <v>0.67</v>
      </c>
      <c r="G1396" s="10"/>
      <c r="H1396" s="10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ht="14.25" customHeight="1">
      <c r="A1397" s="4">
        <v>1396.0</v>
      </c>
      <c r="B1397" s="5"/>
      <c r="C1397" s="6" t="str">
        <f>HYPERLINK("https://leetcode.com/problems/design-underground-system", "Design Underground System")</f>
        <v>Design Underground System</v>
      </c>
      <c r="D1397" s="7" t="s">
        <v>8</v>
      </c>
      <c r="E1397" s="8" t="s">
        <v>576</v>
      </c>
      <c r="F1397" s="9">
        <v>0.73</v>
      </c>
      <c r="G1397" s="10"/>
      <c r="H1397" s="10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ht="14.25" customHeight="1">
      <c r="A1398" s="4">
        <v>1397.0</v>
      </c>
      <c r="B1398" s="5"/>
      <c r="C1398" s="6" t="str">
        <f>HYPERLINK("https://leetcode.com/problems/find-all-good-strings", "Find All Good Strings")</f>
        <v>Find All Good Strings</v>
      </c>
      <c r="D1398" s="7" t="s">
        <v>11</v>
      </c>
      <c r="E1398" s="8" t="s">
        <v>577</v>
      </c>
      <c r="F1398" s="9">
        <v>0.42</v>
      </c>
      <c r="G1398" s="10"/>
      <c r="H1398" s="10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ht="14.25" customHeight="1">
      <c r="A1399" s="11">
        <v>1398.0</v>
      </c>
      <c r="B1399" s="5"/>
      <c r="C1399" s="12" t="str">
        <f>HYPERLINK("https://leetcode.com/problems/customers-who-bought-products-a-and-b-but-not-c", "Customers Who Bought Products A and B but Not C")</f>
        <v>Customers Who Bought Products A and B but Not C</v>
      </c>
      <c r="D1399" s="7" t="s">
        <v>8</v>
      </c>
      <c r="E1399" s="8" t="s">
        <v>101</v>
      </c>
      <c r="F1399" s="9">
        <v>0.77</v>
      </c>
      <c r="G1399" s="10"/>
      <c r="H1399" s="10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ht="14.25" customHeight="1">
      <c r="A1400" s="4">
        <v>1399.0</v>
      </c>
      <c r="B1400" s="5"/>
      <c r="C1400" s="6" t="str">
        <f>HYPERLINK("https://leetcode.com/problems/count-largest-group", "Count Largest Group")</f>
        <v>Count Largest Group</v>
      </c>
      <c r="D1400" s="7" t="s">
        <v>6</v>
      </c>
      <c r="E1400" s="8" t="s">
        <v>459</v>
      </c>
      <c r="F1400" s="9">
        <v>0.67</v>
      </c>
      <c r="G1400" s="10"/>
      <c r="H1400" s="10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ht="14.25" customHeight="1">
      <c r="A1401" s="4">
        <v>1400.0</v>
      </c>
      <c r="B1401" s="5"/>
      <c r="C1401" s="6" t="str">
        <f>HYPERLINK("https://leetcode.com/problems/construct-k-palindrome-strings", "Construct K Palindrome Strings")</f>
        <v>Construct K Palindrome Strings</v>
      </c>
      <c r="D1401" s="7" t="s">
        <v>8</v>
      </c>
      <c r="E1401" s="8" t="s">
        <v>578</v>
      </c>
      <c r="F1401" s="9">
        <v>0.63</v>
      </c>
      <c r="G1401" s="10"/>
      <c r="H1401" s="10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ht="14.25" customHeight="1">
      <c r="A1402" s="4">
        <v>1401.0</v>
      </c>
      <c r="B1402" s="5"/>
      <c r="C1402" s="6" t="str">
        <f>HYPERLINK("https://leetcode.com/problems/circle-and-rectangle-overlapping", "Circle and Rectangle Overlapping")</f>
        <v>Circle and Rectangle Overlapping</v>
      </c>
      <c r="D1402" s="7" t="s">
        <v>8</v>
      </c>
      <c r="E1402" s="8" t="s">
        <v>123</v>
      </c>
      <c r="F1402" s="9">
        <v>0.44</v>
      </c>
      <c r="G1402" s="10"/>
      <c r="H1402" s="10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ht="14.25" customHeight="1">
      <c r="A1403" s="4">
        <v>1402.0</v>
      </c>
      <c r="B1403" s="5"/>
      <c r="C1403" s="6" t="str">
        <f>HYPERLINK("https://leetcode.com/problems/reducing-dishes", "Reducing Dishes")</f>
        <v>Reducing Dishes</v>
      </c>
      <c r="D1403" s="7" t="s">
        <v>11</v>
      </c>
      <c r="E1403" s="8" t="s">
        <v>259</v>
      </c>
      <c r="F1403" s="9">
        <v>0.72</v>
      </c>
      <c r="G1403" s="10"/>
      <c r="H1403" s="10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ht="14.25" customHeight="1">
      <c r="A1404" s="4">
        <v>1403.0</v>
      </c>
      <c r="B1404" s="5"/>
      <c r="C1404" s="6" t="str">
        <f>HYPERLINK("https://leetcode.com/problems/minimum-subsequence-in-non-increasing-order", "Minimum Subsequence in Non-Increasing Order")</f>
        <v>Minimum Subsequence in Non-Increasing Order</v>
      </c>
      <c r="D1404" s="7" t="s">
        <v>6</v>
      </c>
      <c r="E1404" s="8" t="s">
        <v>160</v>
      </c>
      <c r="F1404" s="9">
        <v>0.72</v>
      </c>
      <c r="G1404" s="10"/>
      <c r="H1404" s="10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ht="14.25" customHeight="1">
      <c r="A1405" s="4">
        <v>1404.0</v>
      </c>
      <c r="B1405" s="5"/>
      <c r="C1405" s="6" t="str">
        <f>HYPERLINK("https://leetcode.com/problems/number-of-steps-to-reduce-a-number-in-binary-representation-to-one", "Number of Steps to Reduce a Number in Binary Representation to One")</f>
        <v>Number of Steps to Reduce a Number in Binary Representation to One</v>
      </c>
      <c r="D1405" s="7" t="s">
        <v>8</v>
      </c>
      <c r="E1405" s="8" t="s">
        <v>376</v>
      </c>
      <c r="F1405" s="9">
        <v>0.52</v>
      </c>
      <c r="G1405" s="10"/>
      <c r="H1405" s="10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ht="14.25" customHeight="1">
      <c r="A1406" s="4">
        <v>1405.0</v>
      </c>
      <c r="B1406" s="5"/>
      <c r="C1406" s="6" t="str">
        <f>HYPERLINK("https://leetcode.com/problems/longest-happy-string", "Longest Happy String")</f>
        <v>Longest Happy String</v>
      </c>
      <c r="D1406" s="7" t="s">
        <v>8</v>
      </c>
      <c r="E1406" s="8" t="s">
        <v>249</v>
      </c>
      <c r="F1406" s="9">
        <v>0.57</v>
      </c>
      <c r="G1406" s="10"/>
      <c r="H1406" s="10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ht="14.25" customHeight="1">
      <c r="A1407" s="4">
        <v>1406.0</v>
      </c>
      <c r="B1407" s="5"/>
      <c r="C1407" s="6" t="str">
        <f>HYPERLINK("https://leetcode.com/problems/stone-game-iii", "Stone Game III")</f>
        <v>Stone Game III</v>
      </c>
      <c r="D1407" s="7" t="s">
        <v>11</v>
      </c>
      <c r="E1407" s="8" t="s">
        <v>423</v>
      </c>
      <c r="F1407" s="9">
        <v>0.59</v>
      </c>
      <c r="G1407" s="10"/>
      <c r="H1407" s="10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ht="14.25" customHeight="1">
      <c r="A1408" s="4">
        <v>1407.0</v>
      </c>
      <c r="B1408" s="5"/>
      <c r="C1408" s="6" t="str">
        <f>HYPERLINK("https://leetcode.com/problems/top-travellers", "Top Travellers")</f>
        <v>Top Travellers</v>
      </c>
      <c r="D1408" s="7" t="s">
        <v>6</v>
      </c>
      <c r="E1408" s="8" t="s">
        <v>101</v>
      </c>
      <c r="F1408" s="9">
        <v>0.66</v>
      </c>
      <c r="G1408" s="10"/>
      <c r="H1408" s="10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ht="14.25" customHeight="1">
      <c r="A1409" s="4">
        <v>1408.0</v>
      </c>
      <c r="B1409" s="5"/>
      <c r="C1409" s="6" t="str">
        <f>HYPERLINK("https://leetcode.com/problems/string-matching-in-an-array", "String Matching in an Array")</f>
        <v>String Matching in an Array</v>
      </c>
      <c r="D1409" s="7" t="s">
        <v>6</v>
      </c>
      <c r="E1409" s="8" t="s">
        <v>579</v>
      </c>
      <c r="F1409" s="9">
        <v>0.63</v>
      </c>
      <c r="G1409" s="10"/>
      <c r="H1409" s="10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ht="14.25" customHeight="1">
      <c r="A1410" s="4">
        <v>1409.0</v>
      </c>
      <c r="B1410" s="5"/>
      <c r="C1410" s="6" t="str">
        <f>HYPERLINK("https://leetcode.com/problems/queries-on-a-permutation-with-key", "Queries on a Permutation With Key")</f>
        <v>Queries on a Permutation With Key</v>
      </c>
      <c r="D1410" s="7" t="s">
        <v>8</v>
      </c>
      <c r="E1410" s="8" t="s">
        <v>580</v>
      </c>
      <c r="F1410" s="9">
        <v>0.83</v>
      </c>
      <c r="G1410" s="10"/>
      <c r="H1410" s="10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ht="14.25" customHeight="1">
      <c r="A1411" s="4">
        <v>1410.0</v>
      </c>
      <c r="B1411" s="5"/>
      <c r="C1411" s="6" t="str">
        <f>HYPERLINK("https://leetcode.com/problems/html-entity-parser", "HTML Entity Parser")</f>
        <v>HTML Entity Parser</v>
      </c>
      <c r="D1411" s="7" t="s">
        <v>8</v>
      </c>
      <c r="E1411" s="8" t="s">
        <v>110</v>
      </c>
      <c r="F1411" s="9">
        <v>0.51</v>
      </c>
      <c r="G1411" s="10"/>
      <c r="H1411" s="10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ht="14.25" customHeight="1">
      <c r="A1412" s="4">
        <v>1411.0</v>
      </c>
      <c r="B1412" s="5"/>
      <c r="C1412" s="6" t="str">
        <f>HYPERLINK("https://leetcode.com/problems/number-of-ways-to-paint-n-3-grid", "Number of Ways to Paint N × 3 Grid")</f>
        <v>Number of Ways to Paint N × 3 Grid</v>
      </c>
      <c r="D1412" s="7" t="s">
        <v>11</v>
      </c>
      <c r="E1412" s="8" t="s">
        <v>156</v>
      </c>
      <c r="F1412" s="9">
        <v>0.62</v>
      </c>
      <c r="G1412" s="10"/>
      <c r="H1412" s="10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ht="14.25" customHeight="1">
      <c r="A1413" s="11">
        <v>1412.0</v>
      </c>
      <c r="B1413" s="5"/>
      <c r="C1413" s="12" t="str">
        <f>HYPERLINK("https://leetcode.com/problems/find-the-quiet-students-in-all-exams", "Find the Quiet Students in All Exams")</f>
        <v>Find the Quiet Students in All Exams</v>
      </c>
      <c r="D1413" s="7" t="s">
        <v>11</v>
      </c>
      <c r="E1413" s="8" t="s">
        <v>101</v>
      </c>
      <c r="F1413" s="9">
        <v>0.63</v>
      </c>
      <c r="G1413" s="10"/>
      <c r="H1413" s="10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ht="14.25" customHeight="1">
      <c r="A1414" s="4">
        <v>1413.0</v>
      </c>
      <c r="B1414" s="5"/>
      <c r="C1414" s="6" t="str">
        <f>HYPERLINK("https://leetcode.com/problems/minimum-value-to-get-positive-step-by-step-sum", "Minimum Value to Get Positive Step by Step Sum")</f>
        <v>Minimum Value to Get Positive Step by Step Sum</v>
      </c>
      <c r="D1414" s="7" t="s">
        <v>6</v>
      </c>
      <c r="E1414" s="8" t="s">
        <v>130</v>
      </c>
      <c r="F1414" s="9">
        <v>0.67</v>
      </c>
      <c r="G1414" s="10"/>
      <c r="H1414" s="10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ht="14.25" customHeight="1">
      <c r="A1415" s="4">
        <v>1414.0</v>
      </c>
      <c r="B1415" s="5"/>
      <c r="C1415" s="6" t="str">
        <f>HYPERLINK("https://leetcode.com/problems/find-the-minimum-number-of-fibonacci-numbers-whose-sum-is-k", "Find the Minimum Number of Fibonacci Numbers Whose Sum Is K")</f>
        <v>Find the Minimum Number of Fibonacci Numbers Whose Sum Is K</v>
      </c>
      <c r="D1415" s="7" t="s">
        <v>8</v>
      </c>
      <c r="E1415" s="8" t="s">
        <v>325</v>
      </c>
      <c r="F1415" s="9">
        <v>0.65</v>
      </c>
      <c r="G1415" s="10"/>
      <c r="H1415" s="10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ht="14.25" customHeight="1">
      <c r="A1416" s="4">
        <v>1415.0</v>
      </c>
      <c r="B1416" s="5"/>
      <c r="C1416" s="6" t="str">
        <f>HYPERLINK("https://leetcode.com/problems/the-k-th-lexicographical-string-of-all-happy-strings-of-length-n", "The k-th Lexicographical String of All Happy Strings of Length n")</f>
        <v>The k-th Lexicographical String of All Happy Strings of Length n</v>
      </c>
      <c r="D1416" s="7" t="s">
        <v>8</v>
      </c>
      <c r="E1416" s="8" t="s">
        <v>59</v>
      </c>
      <c r="F1416" s="9">
        <v>0.72</v>
      </c>
      <c r="G1416" s="10"/>
      <c r="H1416" s="10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ht="14.25" customHeight="1">
      <c r="A1417" s="4">
        <v>1416.0</v>
      </c>
      <c r="B1417" s="5"/>
      <c r="C1417" s="6" t="str">
        <f>HYPERLINK("https://leetcode.com/problems/restore-the-array", "Restore The Array")</f>
        <v>Restore The Array</v>
      </c>
      <c r="D1417" s="7" t="s">
        <v>11</v>
      </c>
      <c r="E1417" s="8" t="s">
        <v>13</v>
      </c>
      <c r="F1417" s="9">
        <v>0.38</v>
      </c>
      <c r="G1417" s="10"/>
      <c r="H1417" s="10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ht="14.25" customHeight="1">
      <c r="A1418" s="4">
        <v>1417.0</v>
      </c>
      <c r="B1418" s="5"/>
      <c r="C1418" s="6" t="str">
        <f>HYPERLINK("https://leetcode.com/problems/reformat-the-string", "Reformat The String")</f>
        <v>Reformat The String</v>
      </c>
      <c r="D1418" s="7" t="s">
        <v>6</v>
      </c>
      <c r="E1418" s="8" t="s">
        <v>14</v>
      </c>
      <c r="F1418" s="9">
        <v>0.55</v>
      </c>
      <c r="G1418" s="10"/>
      <c r="H1418" s="10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ht="14.25" customHeight="1">
      <c r="A1419" s="4">
        <v>1418.0</v>
      </c>
      <c r="B1419" s="5"/>
      <c r="C1419" s="6" t="str">
        <f>HYPERLINK("https://leetcode.com/problems/display-table-of-food-orders-in-a-restaurant", "Display Table of Food Orders in a Restaurant")</f>
        <v>Display Table of Food Orders in a Restaurant</v>
      </c>
      <c r="D1419" s="7" t="s">
        <v>8</v>
      </c>
      <c r="E1419" s="8" t="s">
        <v>581</v>
      </c>
      <c r="F1419" s="9">
        <v>0.73</v>
      </c>
      <c r="G1419" s="10"/>
      <c r="H1419" s="10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ht="14.25" customHeight="1">
      <c r="A1420" s="4">
        <v>1419.0</v>
      </c>
      <c r="B1420" s="5"/>
      <c r="C1420" s="6" t="str">
        <f>HYPERLINK("https://leetcode.com/problems/minimum-number-of-frogs-croaking", "Minimum Number of Frogs Croaking")</f>
        <v>Minimum Number of Frogs Croaking</v>
      </c>
      <c r="D1420" s="7" t="s">
        <v>8</v>
      </c>
      <c r="E1420" s="8" t="s">
        <v>582</v>
      </c>
      <c r="F1420" s="9">
        <v>0.5</v>
      </c>
      <c r="G1420" s="10"/>
      <c r="H1420" s="10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ht="14.25" customHeight="1">
      <c r="A1421" s="4">
        <v>1420.0</v>
      </c>
      <c r="B1421" s="5"/>
      <c r="C1421" s="6" t="str">
        <f>HYPERLINK("https://leetcode.com/problems/build-array-where-you-can-find-the-maximum-exactly-k-comparisons", "Build Array Where You Can Find The Maximum Exactly K Comparisons")</f>
        <v>Build Array Where You Can Find The Maximum Exactly K Comparisons</v>
      </c>
      <c r="D1421" s="7" t="s">
        <v>11</v>
      </c>
      <c r="E1421" s="8" t="s">
        <v>156</v>
      </c>
      <c r="F1421" s="9">
        <v>0.63</v>
      </c>
      <c r="G1421" s="10"/>
      <c r="H1421" s="10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ht="14.25" customHeight="1">
      <c r="A1422" s="11">
        <v>1421.0</v>
      </c>
      <c r="B1422" s="5"/>
      <c r="C1422" s="12" t="str">
        <f>HYPERLINK("https://leetcode.com/problems/npv-queries", "NPV Queries")</f>
        <v>NPV Queries</v>
      </c>
      <c r="D1422" s="7" t="s">
        <v>6</v>
      </c>
      <c r="E1422" s="8" t="s">
        <v>101</v>
      </c>
      <c r="F1422" s="9">
        <v>0.84</v>
      </c>
      <c r="G1422" s="10"/>
      <c r="H1422" s="10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ht="14.25" customHeight="1">
      <c r="A1423" s="4">
        <v>1422.0</v>
      </c>
      <c r="B1423" s="5"/>
      <c r="C1423" s="6" t="str">
        <f>HYPERLINK("https://leetcode.com/problems/maximum-score-after-splitting-a-string", "Maximum Score After Splitting a String")</f>
        <v>Maximum Score After Splitting a String</v>
      </c>
      <c r="D1423" s="7" t="s">
        <v>6</v>
      </c>
      <c r="E1423" s="8" t="s">
        <v>14</v>
      </c>
      <c r="F1423" s="9">
        <v>0.57</v>
      </c>
      <c r="G1423" s="10"/>
      <c r="H1423" s="10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ht="14.25" customHeight="1">
      <c r="A1424" s="4">
        <v>1423.0</v>
      </c>
      <c r="B1424" s="5"/>
      <c r="C1424" s="6" t="str">
        <f>HYPERLINK("https://leetcode.com/problems/maximum-points-you-can-obtain-from-cards", "Maximum Points You Can Obtain from Cards")</f>
        <v>Maximum Points You Can Obtain from Cards</v>
      </c>
      <c r="D1424" s="7" t="s">
        <v>8</v>
      </c>
      <c r="E1424" s="8" t="s">
        <v>583</v>
      </c>
      <c r="F1424" s="9">
        <v>0.52</v>
      </c>
      <c r="G1424" s="10"/>
      <c r="H1424" s="10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ht="14.25" customHeight="1">
      <c r="A1425" s="4">
        <v>1424.0</v>
      </c>
      <c r="B1425" s="5"/>
      <c r="C1425" s="6" t="str">
        <f>HYPERLINK("https://leetcode.com/problems/diagonal-traverse-ii", "Diagonal Traverse II")</f>
        <v>Diagonal Traverse II</v>
      </c>
      <c r="D1425" s="7" t="s">
        <v>8</v>
      </c>
      <c r="E1425" s="8" t="s">
        <v>293</v>
      </c>
      <c r="F1425" s="9">
        <v>0.5</v>
      </c>
      <c r="G1425" s="10"/>
      <c r="H1425" s="10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ht="14.25" customHeight="1">
      <c r="A1426" s="4">
        <v>1425.0</v>
      </c>
      <c r="B1426" s="5"/>
      <c r="C1426" s="6" t="str">
        <f>HYPERLINK("https://leetcode.com/problems/constrained-subsequence-sum", "Constrained Subsequence Sum")</f>
        <v>Constrained Subsequence Sum</v>
      </c>
      <c r="D1426" s="7" t="s">
        <v>11</v>
      </c>
      <c r="E1426" s="8" t="s">
        <v>584</v>
      </c>
      <c r="F1426" s="9">
        <v>0.47</v>
      </c>
      <c r="G1426" s="10"/>
      <c r="H1426" s="10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ht="14.25" customHeight="1">
      <c r="A1427" s="11">
        <v>1426.0</v>
      </c>
      <c r="B1427" s="5"/>
      <c r="C1427" s="12" t="str">
        <f>HYPERLINK("https://leetcode.com/problems/counting-elements", "Counting Elements")</f>
        <v>Counting Elements</v>
      </c>
      <c r="D1427" s="7" t="s">
        <v>6</v>
      </c>
      <c r="E1427" s="8" t="s">
        <v>7</v>
      </c>
      <c r="F1427" s="9">
        <v>0.59</v>
      </c>
      <c r="G1427" s="10"/>
      <c r="H1427" s="10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ht="14.25" customHeight="1">
      <c r="A1428" s="11">
        <v>1427.0</v>
      </c>
      <c r="B1428" s="5"/>
      <c r="C1428" s="12" t="str">
        <f>HYPERLINK("https://leetcode.com/problems/perform-string-shifts", "Perform String Shifts")</f>
        <v>Perform String Shifts</v>
      </c>
      <c r="D1428" s="7" t="s">
        <v>6</v>
      </c>
      <c r="E1428" s="8" t="s">
        <v>585</v>
      </c>
      <c r="F1428" s="9">
        <v>0.54</v>
      </c>
      <c r="G1428" s="10"/>
      <c r="H1428" s="10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ht="14.25" customHeight="1">
      <c r="A1429" s="11">
        <v>1428.0</v>
      </c>
      <c r="B1429" s="5"/>
      <c r="C1429" s="12" t="str">
        <f>HYPERLINK("https://leetcode.com/problems/leftmost-column-with-at-least-a-one", "Leftmost Column with at Least a One")</f>
        <v>Leftmost Column with at Least a One</v>
      </c>
      <c r="D1429" s="7" t="s">
        <v>8</v>
      </c>
      <c r="E1429" s="8" t="s">
        <v>586</v>
      </c>
      <c r="F1429" s="9">
        <v>0.53</v>
      </c>
      <c r="G1429" s="10"/>
      <c r="H1429" s="10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ht="14.25" customHeight="1">
      <c r="A1430" s="11">
        <v>1429.0</v>
      </c>
      <c r="B1430" s="5"/>
      <c r="C1430" s="12" t="str">
        <f>HYPERLINK("https://leetcode.com/problems/first-unique-number", "First Unique Number")</f>
        <v>First Unique Number</v>
      </c>
      <c r="D1430" s="7" t="s">
        <v>8</v>
      </c>
      <c r="E1430" s="8" t="s">
        <v>587</v>
      </c>
      <c r="F1430" s="9">
        <v>0.52</v>
      </c>
      <c r="G1430" s="10"/>
      <c r="H1430" s="10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ht="14.25" customHeight="1">
      <c r="A1431" s="11">
        <v>1430.0</v>
      </c>
      <c r="B1431" s="5"/>
      <c r="C1431" s="12" t="str">
        <f>HYPERLINK("https://leetcode.com/problems/check-if-a-string-is-a-valid-sequence-from-root-to-leaves-path-in-a-binary-tree", "Check If a String Is a Valid Sequence from Root to Leaves Path in a Binary Tree")</f>
        <v>Check If a String Is a Valid Sequence from Root to Leaves Path in a Binary Tree</v>
      </c>
      <c r="D1431" s="7" t="s">
        <v>8</v>
      </c>
      <c r="E1431" s="8" t="s">
        <v>64</v>
      </c>
      <c r="F1431" s="9">
        <v>0.46</v>
      </c>
      <c r="G1431" s="10"/>
      <c r="H1431" s="10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ht="14.25" customHeight="1">
      <c r="A1432" s="4">
        <v>1431.0</v>
      </c>
      <c r="B1432" s="5"/>
      <c r="C1432" s="6" t="str">
        <f>HYPERLINK("https://leetcode.com/problems/kids-with-the-greatest-number-of-candies", "Kids With the Greatest Number of Candies")</f>
        <v>Kids With the Greatest Number of Candies</v>
      </c>
      <c r="D1432" s="7" t="s">
        <v>6</v>
      </c>
      <c r="E1432" s="8" t="s">
        <v>45</v>
      </c>
      <c r="F1432" s="9">
        <v>0.87</v>
      </c>
      <c r="G1432" s="10"/>
      <c r="H1432" s="10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ht="14.25" customHeight="1">
      <c r="A1433" s="4">
        <v>1432.0</v>
      </c>
      <c r="B1433" s="5"/>
      <c r="C1433" s="6" t="str">
        <f>HYPERLINK("https://leetcode.com/problems/max-difference-you-can-get-from-changing-an-integer", "Max Difference You Can Get From Changing an Integer")</f>
        <v>Max Difference You Can Get From Changing an Integer</v>
      </c>
      <c r="D1433" s="7" t="s">
        <v>8</v>
      </c>
      <c r="E1433" s="8" t="s">
        <v>325</v>
      </c>
      <c r="F1433" s="9">
        <v>0.42</v>
      </c>
      <c r="G1433" s="10"/>
      <c r="H1433" s="10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ht="14.25" customHeight="1">
      <c r="A1434" s="4">
        <v>1433.0</v>
      </c>
      <c r="B1434" s="5"/>
      <c r="C1434" s="6" t="str">
        <f>HYPERLINK("https://leetcode.com/problems/check-if-a-string-can-break-another-string", "Check If a String Can Break Another String")</f>
        <v>Check If a String Can Break Another String</v>
      </c>
      <c r="D1434" s="7" t="s">
        <v>8</v>
      </c>
      <c r="E1434" s="8" t="s">
        <v>588</v>
      </c>
      <c r="F1434" s="9">
        <v>0.68</v>
      </c>
      <c r="G1434" s="10"/>
      <c r="H1434" s="10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ht="14.25" customHeight="1">
      <c r="A1435" s="4">
        <v>1434.0</v>
      </c>
      <c r="B1435" s="5"/>
      <c r="C1435" s="6" t="str">
        <f>HYPERLINK("https://leetcode.com/problems/number-of-ways-to-wear-different-hats-to-each-other", "Number of Ways to Wear Different Hats to Each Other")</f>
        <v>Number of Ways to Wear Different Hats to Each Other</v>
      </c>
      <c r="D1435" s="7" t="s">
        <v>11</v>
      </c>
      <c r="E1435" s="8" t="s">
        <v>503</v>
      </c>
      <c r="F1435" s="9">
        <v>0.42</v>
      </c>
      <c r="G1435" s="10"/>
      <c r="H1435" s="10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ht="14.25" customHeight="1">
      <c r="A1436" s="11">
        <v>1435.0</v>
      </c>
      <c r="B1436" s="5"/>
      <c r="C1436" s="12" t="str">
        <f>HYPERLINK("https://leetcode.com/problems/create-a-session-bar-chart", "Create a Session Bar Chart")</f>
        <v>Create a Session Bar Chart</v>
      </c>
      <c r="D1436" s="7" t="s">
        <v>6</v>
      </c>
      <c r="E1436" s="8" t="s">
        <v>101</v>
      </c>
      <c r="F1436" s="9">
        <v>0.77</v>
      </c>
      <c r="G1436" s="10"/>
      <c r="H1436" s="10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ht="14.25" customHeight="1">
      <c r="A1437" s="4">
        <v>1436.0</v>
      </c>
      <c r="B1437" s="5"/>
      <c r="C1437" s="6" t="str">
        <f>HYPERLINK("https://leetcode.com/problems/destination-city", "Destination City")</f>
        <v>Destination City</v>
      </c>
      <c r="D1437" s="7" t="s">
        <v>6</v>
      </c>
      <c r="E1437" s="8" t="s">
        <v>110</v>
      </c>
      <c r="F1437" s="9">
        <v>0.77</v>
      </c>
      <c r="G1437" s="10"/>
      <c r="H1437" s="10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ht="14.25" customHeight="1">
      <c r="A1438" s="4">
        <v>1437.0</v>
      </c>
      <c r="B1438" s="5"/>
      <c r="C1438" s="6" t="str">
        <f>HYPERLINK("https://leetcode.com/problems/check-if-all-1s-are-at-least-length-k-places-away", "Check If All 1's Are at Least Length K Places Away")</f>
        <v>Check If All 1's Are at Least Length K Places Away</v>
      </c>
      <c r="D1438" s="7" t="s">
        <v>6</v>
      </c>
      <c r="E1438" s="8" t="s">
        <v>45</v>
      </c>
      <c r="F1438" s="9">
        <v>0.59</v>
      </c>
      <c r="G1438" s="10"/>
      <c r="H1438" s="10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ht="14.25" customHeight="1">
      <c r="A1439" s="4">
        <v>1438.0</v>
      </c>
      <c r="B1439" s="5"/>
      <c r="C1439" s="6" t="str">
        <f>HYPERLINK("https://leetcode.com/problems/longest-continuous-subarray-with-absolute-diff-less-than-or-equal-to-limit", "Longest Continuous Subarray With Absolute Diff Less Than or Equal to Limit")</f>
        <v>Longest Continuous Subarray With Absolute Diff Less Than or Equal to Limit</v>
      </c>
      <c r="D1439" s="7" t="s">
        <v>8</v>
      </c>
      <c r="E1439" s="8" t="s">
        <v>589</v>
      </c>
      <c r="F1439" s="9">
        <v>0.48</v>
      </c>
      <c r="G1439" s="10"/>
      <c r="H1439" s="10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ht="14.25" customHeight="1">
      <c r="A1440" s="4">
        <v>1439.0</v>
      </c>
      <c r="B1440" s="5"/>
      <c r="C1440" s="6" t="str">
        <f>HYPERLINK("https://leetcode.com/problems/find-the-kth-smallest-sum-of-a-matrix-with-sorted-rows", "Find the Kth Smallest Sum of a Matrix With Sorted Rows")</f>
        <v>Find the Kth Smallest Sum of a Matrix With Sorted Rows</v>
      </c>
      <c r="D1440" s="7" t="s">
        <v>11</v>
      </c>
      <c r="E1440" s="8" t="s">
        <v>590</v>
      </c>
      <c r="F1440" s="9">
        <v>0.61</v>
      </c>
      <c r="G1440" s="10"/>
      <c r="H1440" s="10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ht="14.25" customHeight="1">
      <c r="A1441" s="11">
        <v>1440.0</v>
      </c>
      <c r="B1441" s="5"/>
      <c r="C1441" s="12" t="str">
        <f>HYPERLINK("https://leetcode.com/problems/evaluate-boolean-expression", "Evaluate Boolean Expression")</f>
        <v>Evaluate Boolean Expression</v>
      </c>
      <c r="D1441" s="7" t="s">
        <v>8</v>
      </c>
      <c r="E1441" s="8" t="s">
        <v>101</v>
      </c>
      <c r="F1441" s="9">
        <v>0.76</v>
      </c>
      <c r="G1441" s="10"/>
      <c r="H1441" s="10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ht="14.25" customHeight="1">
      <c r="A1442" s="4">
        <v>1441.0</v>
      </c>
      <c r="B1442" s="5"/>
      <c r="C1442" s="6" t="str">
        <f>HYPERLINK("https://leetcode.com/problems/build-an-array-with-stack-operations", "Build an Array With Stack Operations")</f>
        <v>Build an Array With Stack Operations</v>
      </c>
      <c r="D1442" s="7" t="s">
        <v>8</v>
      </c>
      <c r="E1442" s="8" t="s">
        <v>350</v>
      </c>
      <c r="F1442" s="9">
        <v>0.71</v>
      </c>
      <c r="G1442" s="10"/>
      <c r="H1442" s="10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ht="14.25" customHeight="1">
      <c r="A1443" s="4">
        <v>1442.0</v>
      </c>
      <c r="B1443" s="5"/>
      <c r="C1443" s="6" t="str">
        <f>HYPERLINK("https://leetcode.com/problems/count-triplets-that-can-form-two-arrays-of-equal-xor", "Count Triplets That Can Form Two Arrays of Equal XOR")</f>
        <v>Count Triplets That Can Form Two Arrays of Equal XOR</v>
      </c>
      <c r="D1443" s="7" t="s">
        <v>8</v>
      </c>
      <c r="E1443" s="8" t="s">
        <v>591</v>
      </c>
      <c r="F1443" s="9">
        <v>0.75</v>
      </c>
      <c r="G1443" s="10"/>
      <c r="H1443" s="10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ht="14.25" customHeight="1">
      <c r="A1444" s="4">
        <v>1443.0</v>
      </c>
      <c r="B1444" s="5"/>
      <c r="C1444" s="6" t="str">
        <f>HYPERLINK("https://leetcode.com/problems/minimum-time-to-collect-all-apples-in-a-tree", "Minimum Time to Collect All Apples in a Tree")</f>
        <v>Minimum Time to Collect All Apples in a Tree</v>
      </c>
      <c r="D1444" s="7" t="s">
        <v>8</v>
      </c>
      <c r="E1444" s="8" t="s">
        <v>592</v>
      </c>
      <c r="F1444" s="9">
        <v>0.56</v>
      </c>
      <c r="G1444" s="10"/>
      <c r="H1444" s="10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ht="14.25" customHeight="1">
      <c r="A1445" s="4">
        <v>1444.0</v>
      </c>
      <c r="B1445" s="5"/>
      <c r="C1445" s="6" t="str">
        <f>HYPERLINK("https://leetcode.com/problems/number-of-ways-of-cutting-a-pizza", "Number of Ways of Cutting a Pizza")</f>
        <v>Number of Ways of Cutting a Pizza</v>
      </c>
      <c r="D1445" s="7" t="s">
        <v>11</v>
      </c>
      <c r="E1445" s="8" t="s">
        <v>593</v>
      </c>
      <c r="F1445" s="9">
        <v>0.57</v>
      </c>
      <c r="G1445" s="10"/>
      <c r="H1445" s="10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ht="14.25" customHeight="1">
      <c r="A1446" s="11">
        <v>1445.0</v>
      </c>
      <c r="B1446" s="5"/>
      <c r="C1446" s="12" t="str">
        <f>HYPERLINK("https://leetcode.com/problems/apples-oranges", "Apples &amp; Oranges")</f>
        <v>Apples &amp; Oranges</v>
      </c>
      <c r="D1446" s="7" t="s">
        <v>8</v>
      </c>
      <c r="E1446" s="8" t="s">
        <v>101</v>
      </c>
      <c r="F1446" s="9">
        <v>0.9</v>
      </c>
      <c r="G1446" s="10"/>
      <c r="H1446" s="10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ht="14.25" customHeight="1">
      <c r="A1447" s="4">
        <v>1446.0</v>
      </c>
      <c r="B1447" s="5"/>
      <c r="C1447" s="6" t="str">
        <f>HYPERLINK("https://leetcode.com/problems/consecutive-characters", "Consecutive Characters")</f>
        <v>Consecutive Characters</v>
      </c>
      <c r="D1447" s="7" t="s">
        <v>6</v>
      </c>
      <c r="E1447" s="8" t="s">
        <v>14</v>
      </c>
      <c r="F1447" s="9">
        <v>0.61</v>
      </c>
      <c r="G1447" s="10"/>
      <c r="H1447" s="10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ht="14.25" customHeight="1">
      <c r="A1448" s="4">
        <v>1447.0</v>
      </c>
      <c r="B1448" s="5"/>
      <c r="C1448" s="6" t="str">
        <f>HYPERLINK("https://leetcode.com/problems/simplified-fractions", "Simplified Fractions")</f>
        <v>Simplified Fractions</v>
      </c>
      <c r="D1448" s="7" t="s">
        <v>8</v>
      </c>
      <c r="E1448" s="8" t="s">
        <v>594</v>
      </c>
      <c r="F1448" s="9">
        <v>0.64</v>
      </c>
      <c r="G1448" s="10"/>
      <c r="H1448" s="10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ht="14.25" customHeight="1">
      <c r="A1449" s="4">
        <v>1448.0</v>
      </c>
      <c r="B1449" s="5"/>
      <c r="C1449" s="6" t="str">
        <f>HYPERLINK("https://leetcode.com/problems/count-good-nodes-in-binary-tree", "Count Good Nodes in Binary Tree")</f>
        <v>Count Good Nodes in Binary Tree</v>
      </c>
      <c r="D1449" s="7" t="s">
        <v>8</v>
      </c>
      <c r="E1449" s="8" t="s">
        <v>64</v>
      </c>
      <c r="F1449" s="9">
        <v>0.74</v>
      </c>
      <c r="G1449" s="10"/>
      <c r="H1449" s="10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ht="14.25" customHeight="1">
      <c r="A1450" s="4">
        <v>1449.0</v>
      </c>
      <c r="B1450" s="5"/>
      <c r="C1450" s="6" t="str">
        <f>HYPERLINK("https://leetcode.com/problems/form-largest-integer-with-digits-that-add-up-to-target", "Form Largest Integer With Digits That Add up to Target")</f>
        <v>Form Largest Integer With Digits That Add up to Target</v>
      </c>
      <c r="D1450" s="7" t="s">
        <v>11</v>
      </c>
      <c r="E1450" s="8" t="s">
        <v>73</v>
      </c>
      <c r="F1450" s="9">
        <v>0.47</v>
      </c>
      <c r="G1450" s="10"/>
      <c r="H1450" s="10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ht="14.25" customHeight="1">
      <c r="A1451" s="4">
        <v>1450.0</v>
      </c>
      <c r="B1451" s="5"/>
      <c r="C1451" s="6" t="str">
        <f>HYPERLINK("https://leetcode.com/problems/number-of-students-doing-homework-at-a-given-time", "Number of Students Doing Homework at a Given Time")</f>
        <v>Number of Students Doing Homework at a Given Time</v>
      </c>
      <c r="D1451" s="7" t="s">
        <v>6</v>
      </c>
      <c r="E1451" s="8" t="s">
        <v>45</v>
      </c>
      <c r="F1451" s="9">
        <v>0.75</v>
      </c>
      <c r="G1451" s="10"/>
      <c r="H1451" s="10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ht="14.25" customHeight="1">
      <c r="A1452" s="4">
        <v>1451.0</v>
      </c>
      <c r="B1452" s="5"/>
      <c r="C1452" s="6" t="str">
        <f>HYPERLINK("https://leetcode.com/problems/rearrange-words-in-a-sentence", "Rearrange Words in a Sentence")</f>
        <v>Rearrange Words in a Sentence</v>
      </c>
      <c r="D1452" s="7" t="s">
        <v>8</v>
      </c>
      <c r="E1452" s="8" t="s">
        <v>595</v>
      </c>
      <c r="F1452" s="9">
        <v>0.62</v>
      </c>
      <c r="G1452" s="10"/>
      <c r="H1452" s="10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ht="14.25" customHeight="1">
      <c r="A1453" s="4">
        <v>1452.0</v>
      </c>
      <c r="B1453" s="5"/>
      <c r="C1453" s="6" t="str">
        <f>HYPERLINK("https://leetcode.com/problems/people-whose-list-of-favorite-companies-is-not-a-subset-of-another-list", "People Whose List of Favorite Companies Is Not a Subset of Another List")</f>
        <v>People Whose List of Favorite Companies Is Not a Subset of Another List</v>
      </c>
      <c r="D1453" s="7" t="s">
        <v>8</v>
      </c>
      <c r="E1453" s="8" t="s">
        <v>139</v>
      </c>
      <c r="F1453" s="9">
        <v>0.56</v>
      </c>
      <c r="G1453" s="10"/>
      <c r="H1453" s="10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ht="14.25" customHeight="1">
      <c r="A1454" s="4">
        <v>1453.0</v>
      </c>
      <c r="B1454" s="5"/>
      <c r="C1454" s="6" t="str">
        <f>HYPERLINK("https://leetcode.com/problems/maximum-number-of-darts-inside-of-a-circular-dartboard", "Maximum Number of Darts Inside of a Circular Dartboard")</f>
        <v>Maximum Number of Darts Inside of a Circular Dartboard</v>
      </c>
      <c r="D1454" s="7" t="s">
        <v>11</v>
      </c>
      <c r="E1454" s="8" t="s">
        <v>196</v>
      </c>
      <c r="F1454" s="9">
        <v>0.36</v>
      </c>
      <c r="G1454" s="10"/>
      <c r="H1454" s="10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ht="14.25" customHeight="1">
      <c r="A1455" s="11">
        <v>1454.0</v>
      </c>
      <c r="B1455" s="5"/>
      <c r="C1455" s="12" t="str">
        <f>HYPERLINK("https://leetcode.com/problems/active-users", "Active Users")</f>
        <v>Active Users</v>
      </c>
      <c r="D1455" s="7" t="s">
        <v>8</v>
      </c>
      <c r="E1455" s="8" t="s">
        <v>101</v>
      </c>
      <c r="F1455" s="9">
        <v>0.38</v>
      </c>
      <c r="G1455" s="10"/>
      <c r="H1455" s="10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ht="14.25" customHeight="1">
      <c r="A1456" s="4">
        <v>1455.0</v>
      </c>
      <c r="B1456" s="5"/>
      <c r="C1456" s="6" t="str">
        <f>HYPERLINK("https://leetcode.com/problems/check-if-a-word-occurs-as-a-prefix-of-any-word-in-a-sentence", "Check If a Word Occurs As a Prefix of Any Word in a Sentence")</f>
        <v>Check If a Word Occurs As a Prefix of Any Word in a Sentence</v>
      </c>
      <c r="D1456" s="7" t="s">
        <v>6</v>
      </c>
      <c r="E1456" s="8" t="s">
        <v>270</v>
      </c>
      <c r="F1456" s="9">
        <v>0.64</v>
      </c>
      <c r="G1456" s="10"/>
      <c r="H1456" s="10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ht="14.25" customHeight="1">
      <c r="A1457" s="4">
        <v>1456.0</v>
      </c>
      <c r="B1457" s="5"/>
      <c r="C1457" s="6" t="str">
        <f>HYPERLINK("https://leetcode.com/problems/maximum-number-of-vowels-in-a-substring-of-given-length", "Maximum Number of Vowels in a Substring of Given Length")</f>
        <v>Maximum Number of Vowels in a Substring of Given Length</v>
      </c>
      <c r="D1457" s="7" t="s">
        <v>8</v>
      </c>
      <c r="E1457" s="8" t="s">
        <v>509</v>
      </c>
      <c r="F1457" s="9">
        <v>0.58</v>
      </c>
      <c r="G1457" s="10"/>
      <c r="H1457" s="10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ht="14.25" customHeight="1">
      <c r="A1458" s="4">
        <v>1457.0</v>
      </c>
      <c r="B1458" s="5"/>
      <c r="C1458" s="6" t="str">
        <f>HYPERLINK("https://leetcode.com/problems/pseudo-palindromic-paths-in-a-binary-tree", "Pseudo-Palindromic Paths in a Binary Tree")</f>
        <v>Pseudo-Palindromic Paths in a Binary Tree</v>
      </c>
      <c r="D1458" s="7" t="s">
        <v>8</v>
      </c>
      <c r="E1458" s="8" t="s">
        <v>596</v>
      </c>
      <c r="F1458" s="9">
        <v>0.67</v>
      </c>
      <c r="G1458" s="10"/>
      <c r="H1458" s="10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ht="14.25" customHeight="1">
      <c r="A1459" s="4">
        <v>1458.0</v>
      </c>
      <c r="B1459" s="5"/>
      <c r="C1459" s="6" t="str">
        <f>HYPERLINK("https://leetcode.com/problems/max-dot-product-of-two-subsequences", "Max Dot Product of Two Subsequences")</f>
        <v>Max Dot Product of Two Subsequences</v>
      </c>
      <c r="D1459" s="7" t="s">
        <v>11</v>
      </c>
      <c r="E1459" s="8" t="s">
        <v>73</v>
      </c>
      <c r="F1459" s="9">
        <v>0.46</v>
      </c>
      <c r="G1459" s="10"/>
      <c r="H1459" s="10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ht="14.25" customHeight="1">
      <c r="A1460" s="11">
        <v>1459.0</v>
      </c>
      <c r="B1460" s="5"/>
      <c r="C1460" s="12" t="str">
        <f>HYPERLINK("https://leetcode.com/problems/rectangles-area", "Rectangles Area")</f>
        <v>Rectangles Area</v>
      </c>
      <c r="D1460" s="7" t="s">
        <v>8</v>
      </c>
      <c r="E1460" s="8" t="s">
        <v>101</v>
      </c>
      <c r="F1460" s="9">
        <v>0.69</v>
      </c>
      <c r="G1460" s="10"/>
      <c r="H1460" s="10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ht="14.25" customHeight="1">
      <c r="A1461" s="4">
        <v>1460.0</v>
      </c>
      <c r="B1461" s="5"/>
      <c r="C1461" s="6" t="str">
        <f>HYPERLINK("https://leetcode.com/problems/make-two-arrays-equal-by-reversing-subarrays", "Make Two Arrays Equal by Reversing Subarrays")</f>
        <v>Make Two Arrays Equal by Reversing Subarrays</v>
      </c>
      <c r="D1461" s="7" t="s">
        <v>6</v>
      </c>
      <c r="E1461" s="8" t="s">
        <v>118</v>
      </c>
      <c r="F1461" s="9">
        <v>0.72</v>
      </c>
      <c r="G1461" s="10"/>
      <c r="H1461" s="10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ht="14.25" customHeight="1">
      <c r="A1462" s="4">
        <v>1461.0</v>
      </c>
      <c r="B1462" s="5"/>
      <c r="C1462" s="6" t="str">
        <f>HYPERLINK("https://leetcode.com/problems/check-if-a-string-contains-all-binary-codes-of-size-k", "Check If a String Contains All Binary Codes of Size K")</f>
        <v>Check If a String Contains All Binary Codes of Size K</v>
      </c>
      <c r="D1462" s="7" t="s">
        <v>8</v>
      </c>
      <c r="E1462" s="8" t="s">
        <v>597</v>
      </c>
      <c r="F1462" s="9">
        <v>0.56</v>
      </c>
      <c r="G1462" s="10"/>
      <c r="H1462" s="10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ht="14.25" customHeight="1">
      <c r="A1463" s="4">
        <v>1462.0</v>
      </c>
      <c r="B1463" s="5"/>
      <c r="C1463" s="6" t="str">
        <f>HYPERLINK("https://leetcode.com/problems/course-schedule-iv", "Course Schedule IV")</f>
        <v>Course Schedule IV</v>
      </c>
      <c r="D1463" s="7" t="s">
        <v>8</v>
      </c>
      <c r="E1463" s="8" t="s">
        <v>111</v>
      </c>
      <c r="F1463" s="9">
        <v>0.48</v>
      </c>
      <c r="G1463" s="10"/>
      <c r="H1463" s="10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ht="14.25" customHeight="1">
      <c r="A1464" s="4">
        <v>1463.0</v>
      </c>
      <c r="B1464" s="5"/>
      <c r="C1464" s="6" t="str">
        <f>HYPERLINK("https://leetcode.com/problems/cherry-pickup-ii", "Cherry Pickup II")</f>
        <v>Cherry Pickup II</v>
      </c>
      <c r="D1464" s="7" t="s">
        <v>11</v>
      </c>
      <c r="E1464" s="8" t="s">
        <v>47</v>
      </c>
      <c r="F1464" s="9">
        <v>0.7</v>
      </c>
      <c r="G1464" s="10"/>
      <c r="H1464" s="10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ht="14.25" customHeight="1">
      <c r="A1465" s="4">
        <v>1464.0</v>
      </c>
      <c r="B1465" s="5"/>
      <c r="C1465" s="6" t="str">
        <f>HYPERLINK("https://leetcode.com/problems/maximum-product-of-two-elements-in-an-array", "Maximum Product of Two Elements in an Array")</f>
        <v>Maximum Product of Two Elements in an Array</v>
      </c>
      <c r="D1465" s="7" t="s">
        <v>6</v>
      </c>
      <c r="E1465" s="8" t="s">
        <v>293</v>
      </c>
      <c r="F1465" s="9">
        <v>0.79</v>
      </c>
      <c r="G1465" s="10"/>
      <c r="H1465" s="10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ht="14.25" customHeight="1">
      <c r="A1466" s="4">
        <v>1465.0</v>
      </c>
      <c r="B1466" s="5"/>
      <c r="C1466" s="6" t="str">
        <f>HYPERLINK("https://leetcode.com/problems/maximum-area-of-a-piece-of-cake-after-horizontal-and-vertical-cuts", "Maximum Area of a Piece of Cake After Horizontal and Vertical Cuts")</f>
        <v>Maximum Area of a Piece of Cake After Horizontal and Vertical Cuts</v>
      </c>
      <c r="D1466" s="7" t="s">
        <v>8</v>
      </c>
      <c r="E1466" s="8" t="s">
        <v>160</v>
      </c>
      <c r="F1466" s="9">
        <v>0.4</v>
      </c>
      <c r="G1466" s="10"/>
      <c r="H1466" s="10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ht="14.25" customHeight="1">
      <c r="A1467" s="4">
        <v>1466.0</v>
      </c>
      <c r="B1467" s="5"/>
      <c r="C1467" s="6" t="str">
        <f>HYPERLINK("https://leetcode.com/problems/reorder-routes-to-make-all-paths-lead-to-the-city-zero", "Reorder Routes to Make All Paths Lead to the City Zero")</f>
        <v>Reorder Routes to Make All Paths Lead to the City Zero</v>
      </c>
      <c r="D1467" s="7" t="s">
        <v>8</v>
      </c>
      <c r="E1467" s="8" t="s">
        <v>285</v>
      </c>
      <c r="F1467" s="9">
        <v>0.61</v>
      </c>
      <c r="G1467" s="10"/>
      <c r="H1467" s="10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ht="14.25" customHeight="1">
      <c r="A1468" s="4">
        <v>1467.0</v>
      </c>
      <c r="B1468" s="5"/>
      <c r="C1468" s="6" t="str">
        <f>HYPERLINK("https://leetcode.com/problems/probability-of-a-two-boxes-having-the-same-number-of-distinct-balls", "Probability of a Two Boxes Having The Same Number of Distinct Balls")</f>
        <v>Probability of a Two Boxes Having The Same Number of Distinct Balls</v>
      </c>
      <c r="D1468" s="7" t="s">
        <v>11</v>
      </c>
      <c r="E1468" s="8" t="s">
        <v>598</v>
      </c>
      <c r="F1468" s="9">
        <v>0.61</v>
      </c>
      <c r="G1468" s="10"/>
      <c r="H1468" s="10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ht="14.25" customHeight="1">
      <c r="A1469" s="11">
        <v>1468.0</v>
      </c>
      <c r="B1469" s="5"/>
      <c r="C1469" s="12" t="str">
        <f>HYPERLINK("https://leetcode.com/problems/calculate-salaries", "Calculate Salaries")</f>
        <v>Calculate Salaries</v>
      </c>
      <c r="D1469" s="7" t="s">
        <v>8</v>
      </c>
      <c r="E1469" s="8" t="s">
        <v>101</v>
      </c>
      <c r="F1469" s="9">
        <v>0.81</v>
      </c>
      <c r="G1469" s="10"/>
      <c r="H1469" s="10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ht="14.25" customHeight="1">
      <c r="A1470" s="11">
        <v>1469.0</v>
      </c>
      <c r="B1470" s="5"/>
      <c r="C1470" s="12" t="str">
        <f>HYPERLINK("https://leetcode.com/problems/find-all-the-lonely-nodes", "Find All The Lonely Nodes")</f>
        <v>Find All The Lonely Nodes</v>
      </c>
      <c r="D1470" s="7" t="s">
        <v>6</v>
      </c>
      <c r="E1470" s="8" t="s">
        <v>64</v>
      </c>
      <c r="F1470" s="9">
        <v>0.81</v>
      </c>
      <c r="G1470" s="10"/>
      <c r="H1470" s="10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ht="14.25" customHeight="1">
      <c r="A1471" s="4">
        <v>1470.0</v>
      </c>
      <c r="B1471" s="5"/>
      <c r="C1471" s="6" t="str">
        <f>HYPERLINK("https://leetcode.com/problems/shuffle-the-array", "Shuffle the Array")</f>
        <v>Shuffle the Array</v>
      </c>
      <c r="D1471" s="7" t="s">
        <v>6</v>
      </c>
      <c r="E1471" s="8" t="s">
        <v>45</v>
      </c>
      <c r="F1471" s="9">
        <v>0.88</v>
      </c>
      <c r="G1471" s="10"/>
      <c r="H1471" s="10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ht="14.25" customHeight="1">
      <c r="A1472" s="4">
        <v>1471.0</v>
      </c>
      <c r="B1472" s="5"/>
      <c r="C1472" s="6" t="str">
        <f>HYPERLINK("https://leetcode.com/problems/the-k-strongest-values-in-an-array", "The k Strongest Values in an Array")</f>
        <v>The k Strongest Values in an Array</v>
      </c>
      <c r="D1472" s="7" t="s">
        <v>8</v>
      </c>
      <c r="E1472" s="8" t="s">
        <v>19</v>
      </c>
      <c r="F1472" s="9">
        <v>0.6</v>
      </c>
      <c r="G1472" s="10"/>
      <c r="H1472" s="10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ht="14.25" customHeight="1">
      <c r="A1473" s="4">
        <v>1472.0</v>
      </c>
      <c r="B1473" s="5"/>
      <c r="C1473" s="6" t="str">
        <f>HYPERLINK("https://leetcode.com/problems/design-browser-history", "Design Browser History")</f>
        <v>Design Browser History</v>
      </c>
      <c r="D1473" s="7" t="s">
        <v>8</v>
      </c>
      <c r="E1473" s="8" t="s">
        <v>599</v>
      </c>
      <c r="F1473" s="9">
        <v>0.76</v>
      </c>
      <c r="G1473" s="10"/>
      <c r="H1473" s="10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ht="14.25" customHeight="1">
      <c r="A1474" s="4">
        <v>1473.0</v>
      </c>
      <c r="B1474" s="5"/>
      <c r="C1474" s="6" t="str">
        <f>HYPERLINK("https://leetcode.com/problems/paint-house-iii", "Paint House III")</f>
        <v>Paint House III</v>
      </c>
      <c r="D1474" s="7" t="s">
        <v>11</v>
      </c>
      <c r="E1474" s="8" t="s">
        <v>73</v>
      </c>
      <c r="F1474" s="9">
        <v>0.61</v>
      </c>
      <c r="G1474" s="10"/>
      <c r="H1474" s="10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ht="14.25" customHeight="1">
      <c r="A1475" s="11">
        <v>1474.0</v>
      </c>
      <c r="B1475" s="5"/>
      <c r="C1475" s="12" t="str">
        <f>HYPERLINK("https://leetcode.com/problems/delete-n-nodes-after-m-nodes-of-a-linked-list", "Delete N Nodes After M Nodes of a Linked List")</f>
        <v>Delete N Nodes After M Nodes of a Linked List</v>
      </c>
      <c r="D1475" s="7" t="s">
        <v>6</v>
      </c>
      <c r="E1475" s="8" t="s">
        <v>55</v>
      </c>
      <c r="F1475" s="9">
        <v>0.73</v>
      </c>
      <c r="G1475" s="10"/>
      <c r="H1475" s="10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ht="14.25" customHeight="1">
      <c r="A1476" s="4">
        <v>1475.0</v>
      </c>
      <c r="B1476" s="5"/>
      <c r="C1476" s="6" t="str">
        <f>HYPERLINK("https://leetcode.com/problems/final-prices-with-a-special-discount-in-a-shop", "Final Prices With a Special Discount in a Shop")</f>
        <v>Final Prices With a Special Discount in a Shop</v>
      </c>
      <c r="D1476" s="7" t="s">
        <v>6</v>
      </c>
      <c r="E1476" s="8" t="s">
        <v>56</v>
      </c>
      <c r="F1476" s="9">
        <v>0.75</v>
      </c>
      <c r="G1476" s="10"/>
      <c r="H1476" s="10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ht="14.25" customHeight="1">
      <c r="A1477" s="4">
        <v>1476.0</v>
      </c>
      <c r="B1477" s="5"/>
      <c r="C1477" s="6" t="str">
        <f>HYPERLINK("https://leetcode.com/problems/subrectangle-queries", "Subrectangle Queries")</f>
        <v>Subrectangle Queries</v>
      </c>
      <c r="D1477" s="7" t="s">
        <v>8</v>
      </c>
      <c r="E1477" s="8" t="s">
        <v>600</v>
      </c>
      <c r="F1477" s="9">
        <v>0.88</v>
      </c>
      <c r="G1477" s="10"/>
      <c r="H1477" s="10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ht="14.25" customHeight="1">
      <c r="A1478" s="4">
        <v>1477.0</v>
      </c>
      <c r="B1478" s="5"/>
      <c r="C1478" s="6" t="str">
        <f>HYPERLINK("https://leetcode.com/problems/find-two-non-overlapping-sub-arrays-each-with-target-sum", "Find Two Non-overlapping Sub-arrays Each With Target Sum")</f>
        <v>Find Two Non-overlapping Sub-arrays Each With Target Sum</v>
      </c>
      <c r="D1478" s="7" t="s">
        <v>8</v>
      </c>
      <c r="E1478" s="8" t="s">
        <v>601</v>
      </c>
      <c r="F1478" s="9">
        <v>0.36</v>
      </c>
      <c r="G1478" s="10"/>
      <c r="H1478" s="10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ht="14.25" customHeight="1">
      <c r="A1479" s="4">
        <v>1478.0</v>
      </c>
      <c r="B1479" s="5"/>
      <c r="C1479" s="6" t="str">
        <f>HYPERLINK("https://leetcode.com/problems/allocate-mailboxes", "Allocate Mailboxes")</f>
        <v>Allocate Mailboxes</v>
      </c>
      <c r="D1479" s="7" t="s">
        <v>11</v>
      </c>
      <c r="E1479" s="8" t="s">
        <v>220</v>
      </c>
      <c r="F1479" s="9">
        <v>0.55</v>
      </c>
      <c r="G1479" s="10"/>
      <c r="H1479" s="10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ht="14.25" customHeight="1">
      <c r="A1480" s="11">
        <v>1479.0</v>
      </c>
      <c r="B1480" s="5"/>
      <c r="C1480" s="12" t="str">
        <f>HYPERLINK("https://leetcode.com/problems/sales-by-day-of-the-week", "Sales by Day of the Week")</f>
        <v>Sales by Day of the Week</v>
      </c>
      <c r="D1480" s="7" t="s">
        <v>11</v>
      </c>
      <c r="E1480" s="8" t="s">
        <v>101</v>
      </c>
      <c r="F1480" s="9">
        <v>0.81</v>
      </c>
      <c r="G1480" s="10"/>
      <c r="H1480" s="10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ht="14.25" customHeight="1">
      <c r="A1481" s="4">
        <v>1480.0</v>
      </c>
      <c r="B1481" s="5"/>
      <c r="C1481" s="6" t="str">
        <f>HYPERLINK("https://leetcode.com/problems/running-sum-of-1d-array", "Running Sum of 1d Array")</f>
        <v>Running Sum of 1d Array</v>
      </c>
      <c r="D1481" s="7" t="s">
        <v>6</v>
      </c>
      <c r="E1481" s="8" t="s">
        <v>130</v>
      </c>
      <c r="F1481" s="9">
        <v>0.88</v>
      </c>
      <c r="G1481" s="10"/>
      <c r="H1481" s="10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ht="14.25" customHeight="1">
      <c r="A1482" s="4">
        <v>1481.0</v>
      </c>
      <c r="B1482" s="5"/>
      <c r="C1482" s="6" t="str">
        <f>HYPERLINK("https://leetcode.com/problems/least-number-of-unique-integers-after-k-removals", "Least Number of Unique Integers after K Removals")</f>
        <v>Least Number of Unique Integers after K Removals</v>
      </c>
      <c r="D1482" s="7" t="s">
        <v>8</v>
      </c>
      <c r="E1482" s="8" t="s">
        <v>493</v>
      </c>
      <c r="F1482" s="9">
        <v>0.56</v>
      </c>
      <c r="G1482" s="10"/>
      <c r="H1482" s="10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ht="14.25" customHeight="1">
      <c r="A1483" s="4">
        <v>1482.0</v>
      </c>
      <c r="B1483" s="5"/>
      <c r="C1483" s="6" t="str">
        <f>HYPERLINK("https://leetcode.com/problems/minimum-number-of-days-to-make-m-bouquets", "Minimum Number of Days to Make m Bouquets")</f>
        <v>Minimum Number of Days to Make m Bouquets</v>
      </c>
      <c r="D1483" s="7" t="s">
        <v>8</v>
      </c>
      <c r="E1483" s="8" t="s">
        <v>30</v>
      </c>
      <c r="F1483" s="9">
        <v>0.55</v>
      </c>
      <c r="G1483" s="10"/>
      <c r="H1483" s="10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ht="14.25" customHeight="1">
      <c r="A1484" s="4">
        <v>1483.0</v>
      </c>
      <c r="B1484" s="5"/>
      <c r="C1484" s="6" t="str">
        <f>HYPERLINK("https://leetcode.com/problems/kth-ancestor-of-a-tree-node", "Kth Ancestor of a Tree Node")</f>
        <v>Kth Ancestor of a Tree Node</v>
      </c>
      <c r="D1484" s="7" t="s">
        <v>11</v>
      </c>
      <c r="E1484" s="8" t="s">
        <v>602</v>
      </c>
      <c r="F1484" s="9">
        <v>0.33</v>
      </c>
      <c r="G1484" s="10"/>
      <c r="H1484" s="10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ht="14.25" customHeight="1">
      <c r="A1485" s="4">
        <v>1484.0</v>
      </c>
      <c r="B1485" s="5"/>
      <c r="C1485" s="6" t="str">
        <f>HYPERLINK("https://leetcode.com/problems/group-sold-products-by-the-date", "Group Sold Products By The Date")</f>
        <v>Group Sold Products By The Date</v>
      </c>
      <c r="D1485" s="7" t="s">
        <v>6</v>
      </c>
      <c r="E1485" s="8" t="s">
        <v>101</v>
      </c>
      <c r="F1485" s="9">
        <v>0.82</v>
      </c>
      <c r="G1485" s="10"/>
      <c r="H1485" s="10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ht="14.25" customHeight="1">
      <c r="A1486" s="11">
        <v>1485.0</v>
      </c>
      <c r="B1486" s="5"/>
      <c r="C1486" s="12" t="str">
        <f>HYPERLINK("https://leetcode.com/problems/clone-binary-tree-with-random-pointer", "Clone Binary Tree With Random Pointer")</f>
        <v>Clone Binary Tree With Random Pointer</v>
      </c>
      <c r="D1486" s="7" t="s">
        <v>8</v>
      </c>
      <c r="E1486" s="8" t="s">
        <v>182</v>
      </c>
      <c r="F1486" s="9">
        <v>0.79</v>
      </c>
      <c r="G1486" s="10"/>
      <c r="H1486" s="10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ht="14.25" customHeight="1">
      <c r="A1487" s="4">
        <v>1486.0</v>
      </c>
      <c r="B1487" s="5"/>
      <c r="C1487" s="6" t="str">
        <f>HYPERLINK("https://leetcode.com/problems/xor-operation-in-an-array", "XOR Operation in an Array")</f>
        <v>XOR Operation in an Array</v>
      </c>
      <c r="D1487" s="7" t="s">
        <v>6</v>
      </c>
      <c r="E1487" s="8" t="s">
        <v>28</v>
      </c>
      <c r="F1487" s="9">
        <v>0.84</v>
      </c>
      <c r="G1487" s="10"/>
      <c r="H1487" s="10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ht="14.25" customHeight="1">
      <c r="A1488" s="4">
        <v>1487.0</v>
      </c>
      <c r="B1488" s="5"/>
      <c r="C1488" s="6" t="str">
        <f>HYPERLINK("https://leetcode.com/problems/making-file-names-unique", "Making File Names Unique")</f>
        <v>Making File Names Unique</v>
      </c>
      <c r="D1488" s="7" t="s">
        <v>8</v>
      </c>
      <c r="E1488" s="8" t="s">
        <v>139</v>
      </c>
      <c r="F1488" s="9">
        <v>0.35</v>
      </c>
      <c r="G1488" s="10"/>
      <c r="H1488" s="10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ht="14.25" customHeight="1">
      <c r="A1489" s="4">
        <v>1488.0</v>
      </c>
      <c r="B1489" s="5"/>
      <c r="C1489" s="6" t="str">
        <f>HYPERLINK("https://leetcode.com/problems/avoid-flood-in-the-city", "Avoid Flood in The City")</f>
        <v>Avoid Flood in The City</v>
      </c>
      <c r="D1489" s="7" t="s">
        <v>8</v>
      </c>
      <c r="E1489" s="8" t="s">
        <v>603</v>
      </c>
      <c r="F1489" s="9">
        <v>0.26</v>
      </c>
      <c r="G1489" s="10"/>
      <c r="H1489" s="10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ht="14.25" customHeight="1">
      <c r="A1490" s="4">
        <v>1489.0</v>
      </c>
      <c r="B1490" s="5"/>
      <c r="C1490" s="6" t="str">
        <f>HYPERLINK("https://leetcode.com/problems/find-critical-and-pseudo-critical-edges-in-minimum-spanning-tree", "Find Critical and Pseudo-Critical Edges in Minimum Spanning Tree")</f>
        <v>Find Critical and Pseudo-Critical Edges in Minimum Spanning Tree</v>
      </c>
      <c r="D1490" s="7" t="s">
        <v>11</v>
      </c>
      <c r="E1490" s="8" t="s">
        <v>604</v>
      </c>
      <c r="F1490" s="9">
        <v>0.52</v>
      </c>
      <c r="G1490" s="10"/>
      <c r="H1490" s="10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ht="14.25" customHeight="1">
      <c r="A1491" s="11">
        <v>1490.0</v>
      </c>
      <c r="B1491" s="5"/>
      <c r="C1491" s="12" t="str">
        <f>HYPERLINK("https://leetcode.com/problems/clone-n-ary-tree", "Clone N-ary Tree")</f>
        <v>Clone N-ary Tree</v>
      </c>
      <c r="D1491" s="7" t="s">
        <v>8</v>
      </c>
      <c r="E1491" s="8" t="s">
        <v>592</v>
      </c>
      <c r="F1491" s="9">
        <v>0.83</v>
      </c>
      <c r="G1491" s="10"/>
      <c r="H1491" s="10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ht="14.25" customHeight="1">
      <c r="A1492" s="4">
        <v>1491.0</v>
      </c>
      <c r="B1492" s="5"/>
      <c r="C1492" s="6" t="str">
        <f>HYPERLINK("https://leetcode.com/problems/average-salary-excluding-the-minimum-and-maximum-salary", "Average Salary Excluding the Minimum and Maximum Salary")</f>
        <v>Average Salary Excluding the Minimum and Maximum Salary</v>
      </c>
      <c r="D1492" s="7" t="s">
        <v>6</v>
      </c>
      <c r="E1492" s="8" t="s">
        <v>44</v>
      </c>
      <c r="F1492" s="9">
        <v>0.62</v>
      </c>
      <c r="G1492" s="10"/>
      <c r="H1492" s="10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ht="14.25" customHeight="1">
      <c r="A1493" s="4">
        <v>1492.0</v>
      </c>
      <c r="B1493" s="5"/>
      <c r="C1493" s="6" t="str">
        <f>HYPERLINK("https://leetcode.com/problems/the-kth-factor-of-n", "The kth Factor of n")</f>
        <v>The kth Factor of n</v>
      </c>
      <c r="D1493" s="7" t="s">
        <v>8</v>
      </c>
      <c r="E1493" s="8" t="s">
        <v>15</v>
      </c>
      <c r="F1493" s="9">
        <v>0.62</v>
      </c>
      <c r="G1493" s="10"/>
      <c r="H1493" s="10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ht="14.25" customHeight="1">
      <c r="A1494" s="4">
        <v>1493.0</v>
      </c>
      <c r="B1494" s="5"/>
      <c r="C1494" s="6" t="str">
        <f>HYPERLINK("https://leetcode.com/problems/longest-subarray-of-1s-after-deleting-one-element", "Longest Subarray of 1's After Deleting One Element")</f>
        <v>Longest Subarray of 1's After Deleting One Element</v>
      </c>
      <c r="D1494" s="7" t="s">
        <v>8</v>
      </c>
      <c r="E1494" s="8" t="s">
        <v>282</v>
      </c>
      <c r="F1494" s="9">
        <v>0.6</v>
      </c>
      <c r="G1494" s="10"/>
      <c r="H1494" s="10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ht="14.25" customHeight="1">
      <c r="A1495" s="4">
        <v>1494.0</v>
      </c>
      <c r="B1495" s="5"/>
      <c r="C1495" s="6" t="str">
        <f>HYPERLINK("https://leetcode.com/problems/parallel-courses-ii", "Parallel Courses II")</f>
        <v>Parallel Courses II</v>
      </c>
      <c r="D1495" s="7" t="s">
        <v>11</v>
      </c>
      <c r="E1495" s="8" t="s">
        <v>605</v>
      </c>
      <c r="F1495" s="9">
        <v>0.3</v>
      </c>
      <c r="G1495" s="10"/>
      <c r="H1495" s="10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ht="14.25" customHeight="1">
      <c r="A1496" s="11">
        <v>1495.0</v>
      </c>
      <c r="B1496" s="5"/>
      <c r="C1496" s="12" t="str">
        <f>HYPERLINK("https://leetcode.com/problems/friendly-movies-streamed-last-month", "Friendly Movies Streamed Last Month")</f>
        <v>Friendly Movies Streamed Last Month</v>
      </c>
      <c r="D1496" s="7" t="s">
        <v>6</v>
      </c>
      <c r="E1496" s="8" t="s">
        <v>101</v>
      </c>
      <c r="F1496" s="9">
        <v>0.49</v>
      </c>
      <c r="G1496" s="10"/>
      <c r="H1496" s="10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ht="14.25" customHeight="1">
      <c r="A1497" s="4">
        <v>1496.0</v>
      </c>
      <c r="B1497" s="5"/>
      <c r="C1497" s="6" t="str">
        <f>HYPERLINK("https://leetcode.com/problems/path-crossing", "Path Crossing")</f>
        <v>Path Crossing</v>
      </c>
      <c r="D1497" s="7" t="s">
        <v>6</v>
      </c>
      <c r="E1497" s="8" t="s">
        <v>110</v>
      </c>
      <c r="F1497" s="9">
        <v>0.55</v>
      </c>
      <c r="G1497" s="10"/>
      <c r="H1497" s="10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ht="14.25" customHeight="1">
      <c r="A1498" s="4">
        <v>1497.0</v>
      </c>
      <c r="B1498" s="5"/>
      <c r="C1498" s="6" t="str">
        <f>HYPERLINK("https://leetcode.com/problems/check-if-array-pairs-are-divisible-by-k", "Check If Array Pairs Are Divisible by k")</f>
        <v>Check If Array Pairs Are Divisible by k</v>
      </c>
      <c r="D1498" s="7" t="s">
        <v>8</v>
      </c>
      <c r="E1498" s="8" t="s">
        <v>474</v>
      </c>
      <c r="F1498" s="9">
        <v>0.39</v>
      </c>
      <c r="G1498" s="10"/>
      <c r="H1498" s="10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ht="14.25" customHeight="1">
      <c r="A1499" s="4">
        <v>1498.0</v>
      </c>
      <c r="B1499" s="5"/>
      <c r="C1499" s="6" t="str">
        <f>HYPERLINK("https://leetcode.com/problems/number-of-subsequences-that-satisfy-the-given-sum-condition", "Number of Subsequences That Satisfy the Given Sum Condition")</f>
        <v>Number of Subsequences That Satisfy the Given Sum Condition</v>
      </c>
      <c r="D1499" s="7" t="s">
        <v>8</v>
      </c>
      <c r="E1499" s="8" t="s">
        <v>145</v>
      </c>
      <c r="F1499" s="9">
        <v>0.37</v>
      </c>
      <c r="G1499" s="10"/>
      <c r="H1499" s="10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ht="14.25" customHeight="1">
      <c r="A1500" s="4">
        <v>1499.0</v>
      </c>
      <c r="B1500" s="5"/>
      <c r="C1500" s="6" t="str">
        <f>HYPERLINK("https://leetcode.com/problems/max-value-of-equation", "Max Value of Equation")</f>
        <v>Max Value of Equation</v>
      </c>
      <c r="D1500" s="7" t="s">
        <v>11</v>
      </c>
      <c r="E1500" s="8" t="s">
        <v>131</v>
      </c>
      <c r="F1500" s="9">
        <v>0.46</v>
      </c>
      <c r="G1500" s="10"/>
      <c r="H1500" s="10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ht="14.25" customHeight="1">
      <c r="A1501" s="11">
        <v>1500.0</v>
      </c>
      <c r="B1501" s="5"/>
      <c r="C1501" s="12" t="str">
        <f>HYPERLINK("https://leetcode.com/problems/design-a-file-sharing-system", "Design a File Sharing System")</f>
        <v>Design a File Sharing System</v>
      </c>
      <c r="D1501" s="7" t="s">
        <v>8</v>
      </c>
      <c r="E1501" s="8" t="s">
        <v>606</v>
      </c>
      <c r="F1501" s="9">
        <v>0.44</v>
      </c>
      <c r="G1501" s="10"/>
      <c r="H1501" s="10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ht="14.25" customHeight="1">
      <c r="A1502" s="11">
        <v>1501.0</v>
      </c>
      <c r="B1502" s="5"/>
      <c r="C1502" s="12" t="str">
        <f>HYPERLINK("https://leetcode.com/problems/countries-you-can-safely-invest-in", "Countries You Can Safely Invest In")</f>
        <v>Countries You Can Safely Invest In</v>
      </c>
      <c r="D1502" s="7" t="s">
        <v>8</v>
      </c>
      <c r="E1502" s="8" t="s">
        <v>101</v>
      </c>
      <c r="F1502" s="9">
        <v>0.57</v>
      </c>
      <c r="G1502" s="10"/>
      <c r="H1502" s="10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ht="14.25" customHeight="1">
      <c r="A1503" s="4">
        <v>1502.0</v>
      </c>
      <c r="B1503" s="5"/>
      <c r="C1503" s="6" t="str">
        <f>HYPERLINK("https://leetcode.com/problems/can-make-arithmetic-progression-from-sequence", "Can Make Arithmetic Progression From Sequence")</f>
        <v>Can Make Arithmetic Progression From Sequence</v>
      </c>
      <c r="D1503" s="7" t="s">
        <v>6</v>
      </c>
      <c r="E1503" s="8" t="s">
        <v>44</v>
      </c>
      <c r="F1503" s="9">
        <v>0.68</v>
      </c>
      <c r="G1503" s="10"/>
      <c r="H1503" s="10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ht="14.25" customHeight="1">
      <c r="A1504" s="4">
        <v>1503.0</v>
      </c>
      <c r="B1504" s="5"/>
      <c r="C1504" s="6" t="str">
        <f>HYPERLINK("https://leetcode.com/problems/last-moment-before-all-ants-fall-out-of-a-plank", "Last Moment Before All Ants Fall Out of a Plank")</f>
        <v>Last Moment Before All Ants Fall Out of a Plank</v>
      </c>
      <c r="D1504" s="7" t="s">
        <v>8</v>
      </c>
      <c r="E1504" s="8" t="s">
        <v>607</v>
      </c>
      <c r="F1504" s="9">
        <v>0.55</v>
      </c>
      <c r="G1504" s="10"/>
      <c r="H1504" s="10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ht="14.25" customHeight="1">
      <c r="A1505" s="4">
        <v>1504.0</v>
      </c>
      <c r="B1505" s="5"/>
      <c r="C1505" s="6" t="str">
        <f>HYPERLINK("https://leetcode.com/problems/count-submatrices-with-all-ones", "Count Submatrices With All Ones")</f>
        <v>Count Submatrices With All Ones</v>
      </c>
      <c r="D1505" s="7" t="s">
        <v>8</v>
      </c>
      <c r="E1505" s="8" t="s">
        <v>57</v>
      </c>
      <c r="F1505" s="9">
        <v>0.57</v>
      </c>
      <c r="G1505" s="10"/>
      <c r="H1505" s="10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ht="14.25" customHeight="1">
      <c r="A1506" s="4">
        <v>1505.0</v>
      </c>
      <c r="B1506" s="5"/>
      <c r="C1506" s="6" t="str">
        <f>HYPERLINK("https://leetcode.com/problems/minimum-possible-integer-after-at-most-k-adjacent-swaps-on-digits", "Minimum Possible Integer After at Most K Adjacent Swaps On Digits")</f>
        <v>Minimum Possible Integer After at Most K Adjacent Swaps On Digits</v>
      </c>
      <c r="D1506" s="7" t="s">
        <v>11</v>
      </c>
      <c r="E1506" s="8" t="s">
        <v>608</v>
      </c>
      <c r="F1506" s="9">
        <v>0.38</v>
      </c>
      <c r="G1506" s="10"/>
      <c r="H1506" s="10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ht="14.25" customHeight="1">
      <c r="A1507" s="11">
        <v>1506.0</v>
      </c>
      <c r="B1507" s="5"/>
      <c r="C1507" s="12" t="str">
        <f>HYPERLINK("https://leetcode.com/problems/find-root-of-n-ary-tree", "Find Root of N-Ary Tree")</f>
        <v>Find Root of N-Ary Tree</v>
      </c>
      <c r="D1507" s="7" t="s">
        <v>8</v>
      </c>
      <c r="E1507" s="8" t="s">
        <v>609</v>
      </c>
      <c r="F1507" s="9">
        <v>0.78</v>
      </c>
      <c r="G1507" s="10"/>
      <c r="H1507" s="10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ht="14.25" customHeight="1">
      <c r="A1508" s="4">
        <v>1507.0</v>
      </c>
      <c r="B1508" s="5"/>
      <c r="C1508" s="6" t="str">
        <f>HYPERLINK("https://leetcode.com/problems/reformat-date", "Reformat Date")</f>
        <v>Reformat Date</v>
      </c>
      <c r="D1508" s="7" t="s">
        <v>6</v>
      </c>
      <c r="E1508" s="8" t="s">
        <v>14</v>
      </c>
      <c r="F1508" s="9">
        <v>0.62</v>
      </c>
      <c r="G1508" s="10"/>
      <c r="H1508" s="10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ht="14.25" customHeight="1">
      <c r="A1509" s="4">
        <v>1508.0</v>
      </c>
      <c r="B1509" s="5"/>
      <c r="C1509" s="6" t="str">
        <f>HYPERLINK("https://leetcode.com/problems/range-sum-of-sorted-subarray-sums", "Range Sum of Sorted Subarray Sums")</f>
        <v>Range Sum of Sorted Subarray Sums</v>
      </c>
      <c r="D1509" s="7" t="s">
        <v>8</v>
      </c>
      <c r="E1509" s="8" t="s">
        <v>145</v>
      </c>
      <c r="F1509" s="9">
        <v>0.59</v>
      </c>
      <c r="G1509" s="10"/>
      <c r="H1509" s="10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ht="14.25" customHeight="1">
      <c r="A1510" s="4">
        <v>1509.0</v>
      </c>
      <c r="B1510" s="5"/>
      <c r="C1510" s="6" t="str">
        <f>HYPERLINK("https://leetcode.com/problems/minimum-difference-between-largest-and-smallest-value-in-three-moves", "Minimum Difference Between Largest and Smallest Value in Three Moves")</f>
        <v>Minimum Difference Between Largest and Smallest Value in Three Moves</v>
      </c>
      <c r="D1510" s="7" t="s">
        <v>8</v>
      </c>
      <c r="E1510" s="8" t="s">
        <v>160</v>
      </c>
      <c r="F1510" s="9">
        <v>0.54</v>
      </c>
      <c r="G1510" s="10"/>
      <c r="H1510" s="10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ht="14.25" customHeight="1">
      <c r="A1511" s="4">
        <v>1510.0</v>
      </c>
      <c r="B1511" s="5"/>
      <c r="C1511" s="6" t="str">
        <f>HYPERLINK("https://leetcode.com/problems/stone-game-iv", "Stone Game IV")</f>
        <v>Stone Game IV</v>
      </c>
      <c r="D1511" s="7" t="s">
        <v>11</v>
      </c>
      <c r="E1511" s="8" t="s">
        <v>224</v>
      </c>
      <c r="F1511" s="9">
        <v>0.6</v>
      </c>
      <c r="G1511" s="10"/>
      <c r="H1511" s="10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ht="14.25" customHeight="1">
      <c r="A1512" s="11">
        <v>1511.0</v>
      </c>
      <c r="B1512" s="5"/>
      <c r="C1512" s="12" t="str">
        <f>HYPERLINK("https://leetcode.com/problems/customer-order-frequency", "Customer Order Frequency")</f>
        <v>Customer Order Frequency</v>
      </c>
      <c r="D1512" s="7" t="s">
        <v>6</v>
      </c>
      <c r="E1512" s="8" t="s">
        <v>101</v>
      </c>
      <c r="F1512" s="9">
        <v>0.72</v>
      </c>
      <c r="G1512" s="10"/>
      <c r="H1512" s="10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ht="14.25" customHeight="1">
      <c r="A1513" s="4">
        <v>1512.0</v>
      </c>
      <c r="B1513" s="5"/>
      <c r="C1513" s="6" t="str">
        <f>HYPERLINK("https://leetcode.com/problems/number-of-good-pairs", "Number of Good Pairs")</f>
        <v>Number of Good Pairs</v>
      </c>
      <c r="D1513" s="7" t="s">
        <v>6</v>
      </c>
      <c r="E1513" s="8" t="s">
        <v>610</v>
      </c>
      <c r="F1513" s="9">
        <v>0.88</v>
      </c>
      <c r="G1513" s="10"/>
      <c r="H1513" s="10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ht="14.25" customHeight="1">
      <c r="A1514" s="4">
        <v>1513.0</v>
      </c>
      <c r="B1514" s="5"/>
      <c r="C1514" s="6" t="str">
        <f>HYPERLINK("https://leetcode.com/problems/number-of-substrings-with-only-1s", "Number of Substrings With Only 1s")</f>
        <v>Number of Substrings With Only 1s</v>
      </c>
      <c r="D1514" s="7" t="s">
        <v>8</v>
      </c>
      <c r="E1514" s="8" t="s">
        <v>97</v>
      </c>
      <c r="F1514" s="9">
        <v>0.45</v>
      </c>
      <c r="G1514" s="10"/>
      <c r="H1514" s="10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ht="14.25" customHeight="1">
      <c r="A1515" s="4">
        <v>1514.0</v>
      </c>
      <c r="B1515" s="5"/>
      <c r="C1515" s="6" t="str">
        <f>HYPERLINK("https://leetcode.com/problems/path-with-maximum-probability", "Path with Maximum Probability")</f>
        <v>Path with Maximum Probability</v>
      </c>
      <c r="D1515" s="7" t="s">
        <v>8</v>
      </c>
      <c r="E1515" s="8" t="s">
        <v>611</v>
      </c>
      <c r="F1515" s="9">
        <v>0.48</v>
      </c>
      <c r="G1515" s="10"/>
      <c r="H1515" s="10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ht="14.25" customHeight="1">
      <c r="A1516" s="4">
        <v>1515.0</v>
      </c>
      <c r="B1516" s="5"/>
      <c r="C1516" s="6" t="str">
        <f>HYPERLINK("https://leetcode.com/problems/best-position-for-a-service-centre", "Best Position for a Service Centre")</f>
        <v>Best Position for a Service Centre</v>
      </c>
      <c r="D1516" s="7" t="s">
        <v>11</v>
      </c>
      <c r="E1516" s="8" t="s">
        <v>612</v>
      </c>
      <c r="F1516" s="9">
        <v>0.37</v>
      </c>
      <c r="G1516" s="10"/>
      <c r="H1516" s="10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ht="14.25" customHeight="1">
      <c r="A1517" s="11">
        <v>1516.0</v>
      </c>
      <c r="B1517" s="5"/>
      <c r="C1517" s="12" t="str">
        <f>HYPERLINK("https://leetcode.com/problems/move-sub-tree-of-n-ary-tree", "Move Sub-Tree of N-Ary Tree")</f>
        <v>Move Sub-Tree of N-Ary Tree</v>
      </c>
      <c r="D1517" s="7" t="s">
        <v>11</v>
      </c>
      <c r="E1517" s="8" t="s">
        <v>613</v>
      </c>
      <c r="F1517" s="9">
        <v>0.63</v>
      </c>
      <c r="G1517" s="10"/>
      <c r="H1517" s="10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ht="14.25" customHeight="1">
      <c r="A1518" s="11">
        <v>1517.0</v>
      </c>
      <c r="B1518" s="5"/>
      <c r="C1518" s="12" t="str">
        <f>HYPERLINK("https://leetcode.com/problems/find-users-with-valid-e-mails", "Find Users With Valid E-Mails")</f>
        <v>Find Users With Valid E-Mails</v>
      </c>
      <c r="D1518" s="7" t="s">
        <v>6</v>
      </c>
      <c r="E1518" s="8" t="s">
        <v>101</v>
      </c>
      <c r="F1518" s="9">
        <v>0.55</v>
      </c>
      <c r="G1518" s="10"/>
      <c r="H1518" s="10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ht="14.25" customHeight="1">
      <c r="A1519" s="4">
        <v>1518.0</v>
      </c>
      <c r="B1519" s="5"/>
      <c r="C1519" s="6" t="str">
        <f>HYPERLINK("https://leetcode.com/problems/water-bottles", "Water Bottles")</f>
        <v>Water Bottles</v>
      </c>
      <c r="D1519" s="7" t="s">
        <v>6</v>
      </c>
      <c r="E1519" s="8" t="s">
        <v>498</v>
      </c>
      <c r="F1519" s="9">
        <v>0.6</v>
      </c>
      <c r="G1519" s="10"/>
      <c r="H1519" s="10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ht="14.25" customHeight="1">
      <c r="A1520" s="4">
        <v>1519.0</v>
      </c>
      <c r="B1520" s="5"/>
      <c r="C1520" s="6" t="str">
        <f>HYPERLINK("https://leetcode.com/problems/number-of-nodes-in-the-sub-tree-with-the-same-label", "Number of Nodes in the Sub-Tree With the Same Label")</f>
        <v>Number of Nodes in the Sub-Tree With the Same Label</v>
      </c>
      <c r="D1520" s="7" t="s">
        <v>8</v>
      </c>
      <c r="E1520" s="8" t="s">
        <v>614</v>
      </c>
      <c r="F1520" s="9">
        <v>0.41</v>
      </c>
      <c r="G1520" s="10"/>
      <c r="H1520" s="10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ht="14.25" customHeight="1">
      <c r="A1521" s="4">
        <v>1520.0</v>
      </c>
      <c r="B1521" s="5"/>
      <c r="C1521" s="6" t="str">
        <f>HYPERLINK("https://leetcode.com/problems/maximum-number-of-non-overlapping-substrings", "Maximum Number of Non-Overlapping Substrings")</f>
        <v>Maximum Number of Non-Overlapping Substrings</v>
      </c>
      <c r="D1521" s="7" t="s">
        <v>11</v>
      </c>
      <c r="E1521" s="8" t="s">
        <v>465</v>
      </c>
      <c r="F1521" s="9">
        <v>0.38</v>
      </c>
      <c r="G1521" s="10"/>
      <c r="H1521" s="10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ht="14.25" customHeight="1">
      <c r="A1522" s="4">
        <v>1521.0</v>
      </c>
      <c r="B1522" s="5"/>
      <c r="C1522" s="6" t="str">
        <f>HYPERLINK("https://leetcode.com/problems/find-a-value-of-a-mysterious-function-closest-to-target", "Find a Value of a Mysterious Function Closest to Target")</f>
        <v>Find a Value of a Mysterious Function Closest to Target</v>
      </c>
      <c r="D1522" s="7" t="s">
        <v>11</v>
      </c>
      <c r="E1522" s="8" t="s">
        <v>615</v>
      </c>
      <c r="F1522" s="9">
        <v>0.43</v>
      </c>
      <c r="G1522" s="10"/>
      <c r="H1522" s="10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ht="14.25" customHeight="1">
      <c r="A1523" s="11">
        <v>1522.0</v>
      </c>
      <c r="B1523" s="5"/>
      <c r="C1523" s="12" t="str">
        <f>HYPERLINK("https://leetcode.com/problems/diameter-of-n-ary-tree", "Diameter of N-Ary Tree")</f>
        <v>Diameter of N-Ary Tree</v>
      </c>
      <c r="D1523" s="7" t="s">
        <v>8</v>
      </c>
      <c r="E1523" s="8" t="s">
        <v>613</v>
      </c>
      <c r="F1523" s="9">
        <v>0.73</v>
      </c>
      <c r="G1523" s="10"/>
      <c r="H1523" s="10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ht="14.25" customHeight="1">
      <c r="A1524" s="4">
        <v>1523.0</v>
      </c>
      <c r="B1524" s="5"/>
      <c r="C1524" s="6" t="str">
        <f>HYPERLINK("https://leetcode.com/problems/count-odd-numbers-in-an-interval-range", "Count Odd Numbers in an Interval Range")</f>
        <v>Count Odd Numbers in an Interval Range</v>
      </c>
      <c r="D1524" s="7" t="s">
        <v>6</v>
      </c>
      <c r="E1524" s="8" t="s">
        <v>15</v>
      </c>
      <c r="F1524" s="9">
        <v>0.46</v>
      </c>
      <c r="G1524" s="10"/>
      <c r="H1524" s="10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ht="14.25" customHeight="1">
      <c r="A1525" s="4">
        <v>1524.0</v>
      </c>
      <c r="B1525" s="5"/>
      <c r="C1525" s="6" t="str">
        <f>HYPERLINK("https://leetcode.com/problems/number-of-sub-arrays-with-odd-sum", "Number of Sub-arrays With Odd Sum")</f>
        <v>Number of Sub-arrays With Odd Sum</v>
      </c>
      <c r="D1525" s="7" t="s">
        <v>8</v>
      </c>
      <c r="E1525" s="8" t="s">
        <v>616</v>
      </c>
      <c r="F1525" s="9">
        <v>0.43</v>
      </c>
      <c r="G1525" s="10"/>
      <c r="H1525" s="10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ht="14.25" customHeight="1">
      <c r="A1526" s="4">
        <v>1525.0</v>
      </c>
      <c r="B1526" s="5"/>
      <c r="C1526" s="6" t="str">
        <f>HYPERLINK("https://leetcode.com/problems/number-of-good-ways-to-split-a-string", "Number of Good Ways to Split a String")</f>
        <v>Number of Good Ways to Split a String</v>
      </c>
      <c r="D1526" s="7" t="s">
        <v>8</v>
      </c>
      <c r="E1526" s="8" t="s">
        <v>617</v>
      </c>
      <c r="F1526" s="9">
        <v>0.69</v>
      </c>
      <c r="G1526" s="10"/>
      <c r="H1526" s="10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ht="14.25" customHeight="1">
      <c r="A1527" s="4">
        <v>1526.0</v>
      </c>
      <c r="B1527" s="5"/>
      <c r="C1527" s="6" t="str">
        <f>HYPERLINK("https://leetcode.com/problems/minimum-number-of-increments-on-subarrays-to-form-a-target-array", "Minimum Number of Increments on Subarrays to Form a Target Array")</f>
        <v>Minimum Number of Increments on Subarrays to Form a Target Array</v>
      </c>
      <c r="D1527" s="7" t="s">
        <v>11</v>
      </c>
      <c r="E1527" s="8" t="s">
        <v>618</v>
      </c>
      <c r="F1527" s="9">
        <v>0.68</v>
      </c>
      <c r="G1527" s="10"/>
      <c r="H1527" s="10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ht="14.25" customHeight="1">
      <c r="A1528" s="4">
        <v>1527.0</v>
      </c>
      <c r="B1528" s="5"/>
      <c r="C1528" s="6" t="str">
        <f>HYPERLINK("https://leetcode.com/problems/patients-with-a-condition", "Patients With a Condition")</f>
        <v>Patients With a Condition</v>
      </c>
      <c r="D1528" s="7" t="s">
        <v>6</v>
      </c>
      <c r="E1528" s="8" t="s">
        <v>101</v>
      </c>
      <c r="F1528" s="9">
        <v>0.42</v>
      </c>
      <c r="G1528" s="10"/>
      <c r="H1528" s="10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ht="14.25" customHeight="1">
      <c r="A1529" s="4">
        <v>1528.0</v>
      </c>
      <c r="B1529" s="5"/>
      <c r="C1529" s="6" t="str">
        <f>HYPERLINK("https://leetcode.com/problems/shuffle-string", "Shuffle String")</f>
        <v>Shuffle String</v>
      </c>
      <c r="D1529" s="7" t="s">
        <v>6</v>
      </c>
      <c r="E1529" s="8" t="s">
        <v>135</v>
      </c>
      <c r="F1529" s="9">
        <v>0.85</v>
      </c>
      <c r="G1529" s="10"/>
      <c r="H1529" s="10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ht="14.25" customHeight="1">
      <c r="A1530" s="4">
        <v>1529.0</v>
      </c>
      <c r="B1530" s="5"/>
      <c r="C1530" s="6" t="str">
        <f>HYPERLINK("https://leetcode.com/problems/minimum-suffix-flips", "Minimum Suffix Flips")</f>
        <v>Minimum Suffix Flips</v>
      </c>
      <c r="D1530" s="7" t="s">
        <v>8</v>
      </c>
      <c r="E1530" s="8" t="s">
        <v>465</v>
      </c>
      <c r="F1530" s="9">
        <v>0.72</v>
      </c>
      <c r="G1530" s="10"/>
      <c r="H1530" s="10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ht="14.25" customHeight="1">
      <c r="A1531" s="4">
        <v>1530.0</v>
      </c>
      <c r="B1531" s="5"/>
      <c r="C1531" s="6" t="str">
        <f>HYPERLINK("https://leetcode.com/problems/number-of-good-leaf-nodes-pairs", "Number of Good Leaf Nodes Pairs")</f>
        <v>Number of Good Leaf Nodes Pairs</v>
      </c>
      <c r="D1531" s="7" t="s">
        <v>8</v>
      </c>
      <c r="E1531" s="8" t="s">
        <v>69</v>
      </c>
      <c r="F1531" s="9">
        <v>0.6</v>
      </c>
      <c r="G1531" s="10"/>
      <c r="H1531" s="10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ht="14.25" customHeight="1">
      <c r="A1532" s="4">
        <v>1531.0</v>
      </c>
      <c r="B1532" s="5"/>
      <c r="C1532" s="6" t="str">
        <f>HYPERLINK("https://leetcode.com/problems/string-compression-ii", "String Compression II")</f>
        <v>String Compression II</v>
      </c>
      <c r="D1532" s="7" t="s">
        <v>11</v>
      </c>
      <c r="E1532" s="8" t="s">
        <v>13</v>
      </c>
      <c r="F1532" s="9">
        <v>0.49</v>
      </c>
      <c r="G1532" s="10"/>
      <c r="H1532" s="10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ht="14.25" customHeight="1">
      <c r="A1533" s="11">
        <v>1532.0</v>
      </c>
      <c r="B1533" s="5"/>
      <c r="C1533" s="12" t="str">
        <f>HYPERLINK("https://leetcode.com/problems/the-most-recent-three-orders", "The Most Recent Three Orders")</f>
        <v>The Most Recent Three Orders</v>
      </c>
      <c r="D1533" s="7" t="s">
        <v>8</v>
      </c>
      <c r="E1533" s="8" t="s">
        <v>101</v>
      </c>
      <c r="F1533" s="9">
        <v>0.7</v>
      </c>
      <c r="G1533" s="10"/>
      <c r="H1533" s="10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ht="14.25" customHeight="1">
      <c r="A1534" s="11">
        <v>1533.0</v>
      </c>
      <c r="B1534" s="5"/>
      <c r="C1534" s="12" t="str">
        <f>HYPERLINK("https://leetcode.com/problems/find-the-index-of-the-large-integer", "Find the Index of the Large Integer")</f>
        <v>Find the Index of the Large Integer</v>
      </c>
      <c r="D1534" s="7" t="s">
        <v>8</v>
      </c>
      <c r="E1534" s="8" t="s">
        <v>357</v>
      </c>
      <c r="F1534" s="9">
        <v>0.5</v>
      </c>
      <c r="G1534" s="10"/>
      <c r="H1534" s="10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ht="14.25" customHeight="1">
      <c r="A1535" s="4">
        <v>1534.0</v>
      </c>
      <c r="B1535" s="5"/>
      <c r="C1535" s="6" t="str">
        <f>HYPERLINK("https://leetcode.com/problems/count-good-triplets", "Count Good Triplets")</f>
        <v>Count Good Triplets</v>
      </c>
      <c r="D1535" s="7" t="s">
        <v>6</v>
      </c>
      <c r="E1535" s="8" t="s">
        <v>619</v>
      </c>
      <c r="F1535" s="9">
        <v>0.8</v>
      </c>
      <c r="G1535" s="10"/>
      <c r="H1535" s="10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ht="14.25" customHeight="1">
      <c r="A1536" s="4">
        <v>1535.0</v>
      </c>
      <c r="B1536" s="5"/>
      <c r="C1536" s="6" t="str">
        <f>HYPERLINK("https://leetcode.com/problems/find-the-winner-of-an-array-game", "Find the Winner of an Array Game")</f>
        <v>Find the Winner of an Array Game</v>
      </c>
      <c r="D1536" s="7" t="s">
        <v>8</v>
      </c>
      <c r="E1536" s="8" t="s">
        <v>288</v>
      </c>
      <c r="F1536" s="9">
        <v>0.48</v>
      </c>
      <c r="G1536" s="10"/>
      <c r="H1536" s="10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ht="14.25" customHeight="1">
      <c r="A1537" s="4">
        <v>1536.0</v>
      </c>
      <c r="B1537" s="5"/>
      <c r="C1537" s="6" t="str">
        <f>HYPERLINK("https://leetcode.com/problems/minimum-swaps-to-arrange-a-binary-grid", "Minimum Swaps to Arrange a Binary Grid")</f>
        <v>Minimum Swaps to Arrange a Binary Grid</v>
      </c>
      <c r="D1537" s="7" t="s">
        <v>8</v>
      </c>
      <c r="E1537" s="8" t="s">
        <v>395</v>
      </c>
      <c r="F1537" s="9">
        <v>0.46</v>
      </c>
      <c r="G1537" s="10"/>
      <c r="H1537" s="10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ht="14.25" customHeight="1">
      <c r="A1538" s="4">
        <v>1537.0</v>
      </c>
      <c r="B1538" s="5"/>
      <c r="C1538" s="6" t="str">
        <f>HYPERLINK("https://leetcode.com/problems/get-the-maximum-score", "Get the Maximum Score")</f>
        <v>Get the Maximum Score</v>
      </c>
      <c r="D1538" s="7" t="s">
        <v>11</v>
      </c>
      <c r="E1538" s="8" t="s">
        <v>620</v>
      </c>
      <c r="F1538" s="9">
        <v>0.39</v>
      </c>
      <c r="G1538" s="10"/>
      <c r="H1538" s="10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ht="14.25" customHeight="1">
      <c r="A1539" s="11">
        <v>1538.0</v>
      </c>
      <c r="B1539" s="5"/>
      <c r="C1539" s="12" t="str">
        <f>HYPERLINK("https://leetcode.com/problems/guess-the-majority-in-a-hidden-array", "Guess the Majority in a Hidden Array")</f>
        <v>Guess the Majority in a Hidden Array</v>
      </c>
      <c r="D1539" s="7" t="s">
        <v>8</v>
      </c>
      <c r="E1539" s="8" t="s">
        <v>621</v>
      </c>
      <c r="F1539" s="9">
        <v>0.62</v>
      </c>
      <c r="G1539" s="10"/>
      <c r="H1539" s="10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ht="14.25" customHeight="1">
      <c r="A1540" s="4">
        <v>1539.0</v>
      </c>
      <c r="B1540" s="5"/>
      <c r="C1540" s="6" t="str">
        <f>HYPERLINK("https://leetcode.com/problems/kth-missing-positive-number", "Kth Missing Positive Number")</f>
        <v>Kth Missing Positive Number</v>
      </c>
      <c r="D1540" s="7" t="s">
        <v>6</v>
      </c>
      <c r="E1540" s="8" t="s">
        <v>30</v>
      </c>
      <c r="F1540" s="9">
        <v>0.55</v>
      </c>
      <c r="G1540" s="10"/>
      <c r="H1540" s="10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ht="14.25" customHeight="1">
      <c r="A1541" s="4">
        <v>1540.0</v>
      </c>
      <c r="B1541" s="5"/>
      <c r="C1541" s="6" t="str">
        <f>HYPERLINK("https://leetcode.com/problems/can-convert-string-in-k-moves", "Can Convert String in K Moves")</f>
        <v>Can Convert String in K Moves</v>
      </c>
      <c r="D1541" s="7" t="s">
        <v>8</v>
      </c>
      <c r="E1541" s="8" t="s">
        <v>110</v>
      </c>
      <c r="F1541" s="9">
        <v>0.33</v>
      </c>
      <c r="G1541" s="10"/>
      <c r="H1541" s="10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ht="14.25" customHeight="1">
      <c r="A1542" s="4">
        <v>1541.0</v>
      </c>
      <c r="B1542" s="5"/>
      <c r="C1542" s="6" t="str">
        <f>HYPERLINK("https://leetcode.com/problems/minimum-insertions-to-balance-a-parentheses-string", "Minimum Insertions to Balance a Parentheses String")</f>
        <v>Minimum Insertions to Balance a Parentheses String</v>
      </c>
      <c r="D1542" s="7" t="s">
        <v>8</v>
      </c>
      <c r="E1542" s="8" t="s">
        <v>444</v>
      </c>
      <c r="F1542" s="9">
        <v>0.49</v>
      </c>
      <c r="G1542" s="10"/>
      <c r="H1542" s="10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ht="14.25" customHeight="1">
      <c r="A1543" s="4">
        <v>1542.0</v>
      </c>
      <c r="B1543" s="5"/>
      <c r="C1543" s="6" t="str">
        <f>HYPERLINK("https://leetcode.com/problems/find-longest-awesome-substring", "Find Longest Awesome Substring")</f>
        <v>Find Longest Awesome Substring</v>
      </c>
      <c r="D1543" s="7" t="s">
        <v>11</v>
      </c>
      <c r="E1543" s="8" t="s">
        <v>148</v>
      </c>
      <c r="F1543" s="9">
        <v>0.41</v>
      </c>
      <c r="G1543" s="10"/>
      <c r="H1543" s="10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ht="14.25" customHeight="1">
      <c r="A1544" s="11">
        <v>1543.0</v>
      </c>
      <c r="B1544" s="5"/>
      <c r="C1544" s="12" t="str">
        <f>HYPERLINK("https://leetcode.com/problems/fix-product-name-format", "Fix Product Name Format")</f>
        <v>Fix Product Name Format</v>
      </c>
      <c r="D1544" s="7" t="s">
        <v>6</v>
      </c>
      <c r="E1544" s="8" t="s">
        <v>101</v>
      </c>
      <c r="F1544" s="9">
        <v>0.61</v>
      </c>
      <c r="G1544" s="10"/>
      <c r="H1544" s="10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ht="14.25" customHeight="1">
      <c r="A1545" s="4">
        <v>1544.0</v>
      </c>
      <c r="B1545" s="5"/>
      <c r="C1545" s="6" t="str">
        <f>HYPERLINK("https://leetcode.com/problems/make-the-string-great", "Make The String Great")</f>
        <v>Make The String Great</v>
      </c>
      <c r="D1545" s="7" t="s">
        <v>6</v>
      </c>
      <c r="E1545" s="8" t="s">
        <v>22</v>
      </c>
      <c r="F1545" s="9">
        <v>0.63</v>
      </c>
      <c r="G1545" s="10"/>
      <c r="H1545" s="10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ht="14.25" customHeight="1">
      <c r="A1546" s="4">
        <v>1545.0</v>
      </c>
      <c r="B1546" s="5"/>
      <c r="C1546" s="6" t="str">
        <f>HYPERLINK("https://leetcode.com/problems/find-kth-bit-in-nth-binary-string", "Find Kth Bit in Nth Binary String")</f>
        <v>Find Kth Bit in Nth Binary String</v>
      </c>
      <c r="D1546" s="7" t="s">
        <v>8</v>
      </c>
      <c r="E1546" s="8" t="s">
        <v>379</v>
      </c>
      <c r="F1546" s="9">
        <v>0.58</v>
      </c>
      <c r="G1546" s="10"/>
      <c r="H1546" s="10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ht="14.25" customHeight="1">
      <c r="A1547" s="4">
        <v>1546.0</v>
      </c>
      <c r="B1547" s="5"/>
      <c r="C1547" s="6" t="str">
        <f>HYPERLINK("https://leetcode.com/problems/maximum-number-of-non-overlapping-subarrays-with-sum-equals-target", "Maximum Number of Non-Overlapping Subarrays With Sum Equals Target")</f>
        <v>Maximum Number of Non-Overlapping Subarrays With Sum Equals Target</v>
      </c>
      <c r="D1547" s="7" t="s">
        <v>8</v>
      </c>
      <c r="E1547" s="8" t="s">
        <v>622</v>
      </c>
      <c r="F1547" s="9">
        <v>0.47</v>
      </c>
      <c r="G1547" s="10"/>
      <c r="H1547" s="10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ht="14.25" customHeight="1">
      <c r="A1548" s="4">
        <v>1547.0</v>
      </c>
      <c r="B1548" s="5"/>
      <c r="C1548" s="6" t="str">
        <f>HYPERLINK("https://leetcode.com/problems/minimum-cost-to-cut-a-stick", "Minimum Cost to Cut a Stick")</f>
        <v>Minimum Cost to Cut a Stick</v>
      </c>
      <c r="D1548" s="7" t="s">
        <v>11</v>
      </c>
      <c r="E1548" s="8" t="s">
        <v>73</v>
      </c>
      <c r="F1548" s="9">
        <v>0.57</v>
      </c>
      <c r="G1548" s="10"/>
      <c r="H1548" s="10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ht="14.25" customHeight="1">
      <c r="A1549" s="11">
        <v>1548.0</v>
      </c>
      <c r="B1549" s="5"/>
      <c r="C1549" s="12" t="str">
        <f>HYPERLINK("https://leetcode.com/problems/the-most-similar-path-in-a-graph", "The Most Similar Path in a Graph")</f>
        <v>The Most Similar Path in a Graph</v>
      </c>
      <c r="D1549" s="7" t="s">
        <v>11</v>
      </c>
      <c r="E1549" s="8" t="s">
        <v>623</v>
      </c>
      <c r="F1549" s="9">
        <v>0.56</v>
      </c>
      <c r="G1549" s="10"/>
      <c r="H1549" s="10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ht="14.25" customHeight="1">
      <c r="A1550" s="11">
        <v>1549.0</v>
      </c>
      <c r="B1550" s="5"/>
      <c r="C1550" s="12" t="str">
        <f>HYPERLINK("https://leetcode.com/problems/the-most-recent-orders-for-each-product", "The Most Recent Orders for Each Product")</f>
        <v>The Most Recent Orders for Each Product</v>
      </c>
      <c r="D1550" s="7" t="s">
        <v>8</v>
      </c>
      <c r="E1550" s="8" t="s">
        <v>101</v>
      </c>
      <c r="F1550" s="9">
        <v>0.67</v>
      </c>
      <c r="G1550" s="10"/>
      <c r="H1550" s="10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ht="14.25" customHeight="1">
      <c r="A1551" s="4">
        <v>1550.0</v>
      </c>
      <c r="B1551" s="5"/>
      <c r="C1551" s="6" t="str">
        <f>HYPERLINK("https://leetcode.com/problems/three-consecutive-odds", "Three Consecutive Odds")</f>
        <v>Three Consecutive Odds</v>
      </c>
      <c r="D1551" s="7" t="s">
        <v>6</v>
      </c>
      <c r="E1551" s="8" t="s">
        <v>45</v>
      </c>
      <c r="F1551" s="9">
        <v>0.63</v>
      </c>
      <c r="G1551" s="10"/>
      <c r="H1551" s="10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ht="14.25" customHeight="1">
      <c r="A1552" s="4">
        <v>1551.0</v>
      </c>
      <c r="B1552" s="5"/>
      <c r="C1552" s="6" t="str">
        <f>HYPERLINK("https://leetcode.com/problems/minimum-operations-to-make-array-equal", "Minimum Operations to Make Array Equal")</f>
        <v>Minimum Operations to Make Array Equal</v>
      </c>
      <c r="D1552" s="7" t="s">
        <v>8</v>
      </c>
      <c r="E1552" s="8" t="s">
        <v>15</v>
      </c>
      <c r="F1552" s="9">
        <v>0.81</v>
      </c>
      <c r="G1552" s="10"/>
      <c r="H1552" s="10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ht="14.25" customHeight="1">
      <c r="A1553" s="4">
        <v>1552.0</v>
      </c>
      <c r="B1553" s="5"/>
      <c r="C1553" s="6" t="str">
        <f>HYPERLINK("https://leetcode.com/problems/magnetic-force-between-two-balls", "Magnetic Force Between Two Balls")</f>
        <v>Magnetic Force Between Two Balls</v>
      </c>
      <c r="D1553" s="7" t="s">
        <v>8</v>
      </c>
      <c r="E1553" s="8" t="s">
        <v>260</v>
      </c>
      <c r="F1553" s="9">
        <v>0.57</v>
      </c>
      <c r="G1553" s="10"/>
      <c r="H1553" s="10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ht="14.25" customHeight="1">
      <c r="A1554" s="4">
        <v>1553.0</v>
      </c>
      <c r="B1554" s="5"/>
      <c r="C1554" s="6" t="str">
        <f>HYPERLINK("https://leetcode.com/problems/minimum-number-of-days-to-eat-n-oranges", "Minimum Number of Days to Eat N Oranges")</f>
        <v>Minimum Number of Days to Eat N Oranges</v>
      </c>
      <c r="D1554" s="7" t="s">
        <v>11</v>
      </c>
      <c r="E1554" s="8" t="s">
        <v>624</v>
      </c>
      <c r="F1554" s="9">
        <v>0.34</v>
      </c>
      <c r="G1554" s="10"/>
      <c r="H1554" s="10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ht="14.25" customHeight="1">
      <c r="A1555" s="11">
        <v>1554.0</v>
      </c>
      <c r="B1555" s="5"/>
      <c r="C1555" s="12" t="str">
        <f>HYPERLINK("https://leetcode.com/problems/strings-differ-by-one-character", "Strings Differ by One Character")</f>
        <v>Strings Differ by One Character</v>
      </c>
      <c r="D1555" s="7" t="s">
        <v>8</v>
      </c>
      <c r="E1555" s="8" t="s">
        <v>625</v>
      </c>
      <c r="F1555" s="9">
        <v>0.42</v>
      </c>
      <c r="G1555" s="10"/>
      <c r="H1555" s="10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ht="14.25" customHeight="1">
      <c r="A1556" s="11">
        <v>1555.0</v>
      </c>
      <c r="B1556" s="5"/>
      <c r="C1556" s="12" t="str">
        <f>HYPERLINK("https://leetcode.com/problems/bank-account-summary", "Bank Account Summary")</f>
        <v>Bank Account Summary</v>
      </c>
      <c r="D1556" s="7" t="s">
        <v>8</v>
      </c>
      <c r="E1556" s="8" t="s">
        <v>101</v>
      </c>
      <c r="F1556" s="9">
        <v>0.52</v>
      </c>
      <c r="G1556" s="10"/>
      <c r="H1556" s="10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ht="14.25" customHeight="1">
      <c r="A1557" s="4">
        <v>1556.0</v>
      </c>
      <c r="B1557" s="5"/>
      <c r="C1557" s="6" t="str">
        <f>HYPERLINK("https://leetcode.com/problems/thousand-separator", "Thousand Separator")</f>
        <v>Thousand Separator</v>
      </c>
      <c r="D1557" s="7" t="s">
        <v>6</v>
      </c>
      <c r="E1557" s="8" t="s">
        <v>14</v>
      </c>
      <c r="F1557" s="9">
        <v>0.54</v>
      </c>
      <c r="G1557" s="10"/>
      <c r="H1557" s="10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ht="14.25" customHeight="1">
      <c r="A1558" s="4">
        <v>1557.0</v>
      </c>
      <c r="B1558" s="5"/>
      <c r="C1558" s="6" t="str">
        <f>HYPERLINK("https://leetcode.com/problems/minimum-number-of-vertices-to-reach-all-nodes", "Minimum Number of Vertices to Reach All Nodes")</f>
        <v>Minimum Number of Vertices to Reach All Nodes</v>
      </c>
      <c r="D1558" s="7" t="s">
        <v>8</v>
      </c>
      <c r="E1558" s="8" t="s">
        <v>626</v>
      </c>
      <c r="F1558" s="9">
        <v>0.79</v>
      </c>
      <c r="G1558" s="10"/>
      <c r="H1558" s="10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ht="14.25" customHeight="1">
      <c r="A1559" s="4">
        <v>1558.0</v>
      </c>
      <c r="B1559" s="5"/>
      <c r="C1559" s="6" t="str">
        <f>HYPERLINK("https://leetcode.com/problems/minimum-numbers-of-function-calls-to-make-target-array", "Minimum Numbers of Function Calls to Make Target Array")</f>
        <v>Minimum Numbers of Function Calls to Make Target Array</v>
      </c>
      <c r="D1559" s="7" t="s">
        <v>8</v>
      </c>
      <c r="E1559" s="8" t="s">
        <v>627</v>
      </c>
      <c r="F1559" s="9">
        <v>0.64</v>
      </c>
      <c r="G1559" s="10"/>
      <c r="H1559" s="10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ht="14.25" customHeight="1">
      <c r="A1560" s="4">
        <v>1559.0</v>
      </c>
      <c r="B1560" s="5"/>
      <c r="C1560" s="6" t="str">
        <f>HYPERLINK("https://leetcode.com/problems/detect-cycles-in-2d-grid", "Detect Cycles in 2D Grid")</f>
        <v>Detect Cycles in 2D Grid</v>
      </c>
      <c r="D1560" s="7" t="s">
        <v>8</v>
      </c>
      <c r="E1560" s="8" t="s">
        <v>79</v>
      </c>
      <c r="F1560" s="9">
        <v>0.48</v>
      </c>
      <c r="G1560" s="10"/>
      <c r="H1560" s="10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ht="14.25" customHeight="1">
      <c r="A1561" s="4">
        <v>1560.0</v>
      </c>
      <c r="B1561" s="5"/>
      <c r="C1561" s="6" t="str">
        <f>HYPERLINK("https://leetcode.com/problems/most-visited-sector-in-a-circular-track", "Most Visited Sector in  a Circular Track")</f>
        <v>Most Visited Sector in  a Circular Track</v>
      </c>
      <c r="D1561" s="7" t="s">
        <v>6</v>
      </c>
      <c r="E1561" s="8" t="s">
        <v>288</v>
      </c>
      <c r="F1561" s="9">
        <v>0.58</v>
      </c>
      <c r="G1561" s="10"/>
      <c r="H1561" s="10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ht="14.25" customHeight="1">
      <c r="A1562" s="4">
        <v>1561.0</v>
      </c>
      <c r="B1562" s="5"/>
      <c r="C1562" s="6" t="str">
        <f>HYPERLINK("https://leetcode.com/problems/maximum-number-of-coins-you-can-get", "Maximum Number of Coins You Can Get")</f>
        <v>Maximum Number of Coins You Can Get</v>
      </c>
      <c r="D1562" s="7" t="s">
        <v>8</v>
      </c>
      <c r="E1562" s="8" t="s">
        <v>628</v>
      </c>
      <c r="F1562" s="9">
        <v>0.78</v>
      </c>
      <c r="G1562" s="10"/>
      <c r="H1562" s="10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ht="14.25" customHeight="1">
      <c r="A1563" s="4">
        <v>1562.0</v>
      </c>
      <c r="B1563" s="5"/>
      <c r="C1563" s="6" t="str">
        <f>HYPERLINK("https://leetcode.com/problems/find-latest-group-of-size-m", "Find Latest Group of Size M")</f>
        <v>Find Latest Group of Size M</v>
      </c>
      <c r="D1563" s="7" t="s">
        <v>8</v>
      </c>
      <c r="E1563" s="8" t="s">
        <v>629</v>
      </c>
      <c r="F1563" s="9">
        <v>0.42</v>
      </c>
      <c r="G1563" s="10"/>
      <c r="H1563" s="10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ht="14.25" customHeight="1">
      <c r="A1564" s="4">
        <v>1563.0</v>
      </c>
      <c r="B1564" s="5"/>
      <c r="C1564" s="6" t="str">
        <f>HYPERLINK("https://leetcode.com/problems/stone-game-v", "Stone Game V")</f>
        <v>Stone Game V</v>
      </c>
      <c r="D1564" s="7" t="s">
        <v>11</v>
      </c>
      <c r="E1564" s="8" t="s">
        <v>423</v>
      </c>
      <c r="F1564" s="9">
        <v>0.4</v>
      </c>
      <c r="G1564" s="10"/>
      <c r="H1564" s="10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ht="14.25" customHeight="1">
      <c r="A1565" s="11">
        <v>1564.0</v>
      </c>
      <c r="B1565" s="5"/>
      <c r="C1565" s="12" t="str">
        <f>HYPERLINK("https://leetcode.com/problems/put-boxes-into-the-warehouse-i", "Put Boxes Into the Warehouse I")</f>
        <v>Put Boxes Into the Warehouse I</v>
      </c>
      <c r="D1565" s="7" t="s">
        <v>8</v>
      </c>
      <c r="E1565" s="8" t="s">
        <v>160</v>
      </c>
      <c r="F1565" s="9">
        <v>0.67</v>
      </c>
      <c r="G1565" s="10"/>
      <c r="H1565" s="10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ht="14.25" customHeight="1">
      <c r="A1566" s="11">
        <v>1565.0</v>
      </c>
      <c r="B1566" s="5"/>
      <c r="C1566" s="12" t="str">
        <f>HYPERLINK("https://leetcode.com/problems/unique-orders-and-customers-per-month", "Unique Orders and Customers Per Month")</f>
        <v>Unique Orders and Customers Per Month</v>
      </c>
      <c r="D1566" s="7" t="s">
        <v>6</v>
      </c>
      <c r="E1566" s="8" t="s">
        <v>101</v>
      </c>
      <c r="F1566" s="9">
        <v>0.83</v>
      </c>
      <c r="G1566" s="10"/>
      <c r="H1566" s="10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ht="14.25" customHeight="1">
      <c r="A1567" s="4">
        <v>1566.0</v>
      </c>
      <c r="B1567" s="5"/>
      <c r="C1567" s="6" t="str">
        <f>HYPERLINK("https://leetcode.com/problems/detect-pattern-of-length-m-repeated-k-or-more-times", "Detect Pattern of Length M Repeated K or More Times")</f>
        <v>Detect Pattern of Length M Repeated K or More Times</v>
      </c>
      <c r="D1567" s="7" t="s">
        <v>6</v>
      </c>
      <c r="E1567" s="8" t="s">
        <v>619</v>
      </c>
      <c r="F1567" s="9">
        <v>0.43</v>
      </c>
      <c r="G1567" s="10"/>
      <c r="H1567" s="10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ht="14.25" customHeight="1">
      <c r="A1568" s="4">
        <v>1567.0</v>
      </c>
      <c r="B1568" s="5"/>
      <c r="C1568" s="6" t="str">
        <f>HYPERLINK("https://leetcode.com/problems/maximum-length-of-subarray-with-positive-product", "Maximum Length of Subarray With Positive Product")</f>
        <v>Maximum Length of Subarray With Positive Product</v>
      </c>
      <c r="D1568" s="7" t="s">
        <v>8</v>
      </c>
      <c r="E1568" s="8" t="s">
        <v>37</v>
      </c>
      <c r="F1568" s="9">
        <v>0.43</v>
      </c>
      <c r="G1568" s="10"/>
      <c r="H1568" s="10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ht="14.25" customHeight="1">
      <c r="A1569" s="4">
        <v>1568.0</v>
      </c>
      <c r="B1569" s="5"/>
      <c r="C1569" s="6" t="str">
        <f>HYPERLINK("https://leetcode.com/problems/minimum-number-of-days-to-disconnect-island", "Minimum Number of Days to Disconnect Island")</f>
        <v>Minimum Number of Days to Disconnect Island</v>
      </c>
      <c r="D1569" s="7" t="s">
        <v>11</v>
      </c>
      <c r="E1569" s="8" t="s">
        <v>630</v>
      </c>
      <c r="F1569" s="9">
        <v>0.46</v>
      </c>
      <c r="G1569" s="10"/>
      <c r="H1569" s="10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ht="14.25" customHeight="1">
      <c r="A1570" s="4">
        <v>1569.0</v>
      </c>
      <c r="B1570" s="5"/>
      <c r="C1570" s="6" t="str">
        <f>HYPERLINK("https://leetcode.com/problems/number-of-ways-to-reorder-array-to-get-same-bst", "Number of Ways to Reorder Array to Get Same BST")</f>
        <v>Number of Ways to Reorder Array to Get Same BST</v>
      </c>
      <c r="D1570" s="7" t="s">
        <v>11</v>
      </c>
      <c r="E1570" s="8" t="s">
        <v>631</v>
      </c>
      <c r="F1570" s="9">
        <v>0.48</v>
      </c>
      <c r="G1570" s="10"/>
      <c r="H1570" s="10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ht="14.25" customHeight="1">
      <c r="A1571" s="11">
        <v>1570.0</v>
      </c>
      <c r="B1571" s="5"/>
      <c r="C1571" s="12" t="str">
        <f>HYPERLINK("https://leetcode.com/problems/dot-product-of-two-sparse-vectors", "Dot Product of Two Sparse Vectors")</f>
        <v>Dot Product of Two Sparse Vectors</v>
      </c>
      <c r="D1571" s="7" t="s">
        <v>8</v>
      </c>
      <c r="E1571" s="8" t="s">
        <v>632</v>
      </c>
      <c r="F1571" s="9">
        <v>0.9</v>
      </c>
      <c r="G1571" s="10"/>
      <c r="H1571" s="10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ht="14.25" customHeight="1">
      <c r="A1572" s="11">
        <v>1571.0</v>
      </c>
      <c r="B1572" s="5"/>
      <c r="C1572" s="12" t="str">
        <f>HYPERLINK("https://leetcode.com/problems/warehouse-manager", "Warehouse Manager")</f>
        <v>Warehouse Manager</v>
      </c>
      <c r="D1572" s="7" t="s">
        <v>6</v>
      </c>
      <c r="E1572" s="8" t="s">
        <v>101</v>
      </c>
      <c r="F1572" s="9">
        <v>0.89</v>
      </c>
      <c r="G1572" s="10"/>
      <c r="H1572" s="10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ht="14.25" customHeight="1">
      <c r="A1573" s="4">
        <v>1572.0</v>
      </c>
      <c r="B1573" s="5"/>
      <c r="C1573" s="6" t="str">
        <f>HYPERLINK("https://leetcode.com/problems/matrix-diagonal-sum", "Matrix Diagonal Sum")</f>
        <v>Matrix Diagonal Sum</v>
      </c>
      <c r="D1573" s="7" t="s">
        <v>6</v>
      </c>
      <c r="E1573" s="8" t="s">
        <v>251</v>
      </c>
      <c r="F1573" s="9">
        <v>0.79</v>
      </c>
      <c r="G1573" s="10"/>
      <c r="H1573" s="10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ht="14.25" customHeight="1">
      <c r="A1574" s="4">
        <v>1573.0</v>
      </c>
      <c r="B1574" s="5"/>
      <c r="C1574" s="6" t="str">
        <f>HYPERLINK("https://leetcode.com/problems/number-of-ways-to-split-a-string", "Number of Ways to Split a String")</f>
        <v>Number of Ways to Split a String</v>
      </c>
      <c r="D1574" s="7" t="s">
        <v>8</v>
      </c>
      <c r="E1574" s="8" t="s">
        <v>97</v>
      </c>
      <c r="F1574" s="9">
        <v>0.32</v>
      </c>
      <c r="G1574" s="10"/>
      <c r="H1574" s="10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ht="14.25" customHeight="1">
      <c r="A1575" s="4">
        <v>1574.0</v>
      </c>
      <c r="B1575" s="5"/>
      <c r="C1575" s="6" t="str">
        <f>HYPERLINK("https://leetcode.com/problems/shortest-subarray-to-be-removed-to-make-array-sorted", "Shortest Subarray to be Removed to Make Array Sorted")</f>
        <v>Shortest Subarray to be Removed to Make Array Sorted</v>
      </c>
      <c r="D1575" s="7" t="s">
        <v>8</v>
      </c>
      <c r="E1575" s="8" t="s">
        <v>633</v>
      </c>
      <c r="F1575" s="9">
        <v>0.36</v>
      </c>
      <c r="G1575" s="10"/>
      <c r="H1575" s="10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ht="14.25" customHeight="1">
      <c r="A1576" s="4">
        <v>1575.0</v>
      </c>
      <c r="B1576" s="5"/>
      <c r="C1576" s="6" t="str">
        <f>HYPERLINK("https://leetcode.com/problems/count-all-possible-routes", "Count All Possible Routes")</f>
        <v>Count All Possible Routes</v>
      </c>
      <c r="D1576" s="7" t="s">
        <v>11</v>
      </c>
      <c r="E1576" s="8" t="s">
        <v>308</v>
      </c>
      <c r="F1576" s="9">
        <v>0.56</v>
      </c>
      <c r="G1576" s="10"/>
      <c r="H1576" s="10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ht="14.25" customHeight="1">
      <c r="A1577" s="4">
        <v>1576.0</v>
      </c>
      <c r="B1577" s="5"/>
      <c r="C1577" s="6" t="str">
        <f>HYPERLINK("https://leetcode.com/problems/replace-all-s-to-avoid-consecutive-repeating-characters", "Replace All ?'s to Avoid Consecutive Repeating Characters")</f>
        <v>Replace All ?'s to Avoid Consecutive Repeating Characters</v>
      </c>
      <c r="D1577" s="7" t="s">
        <v>6</v>
      </c>
      <c r="E1577" s="8" t="s">
        <v>14</v>
      </c>
      <c r="F1577" s="9">
        <v>0.48</v>
      </c>
      <c r="G1577" s="10"/>
      <c r="H1577" s="10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ht="14.25" customHeight="1">
      <c r="A1578" s="4">
        <v>1577.0</v>
      </c>
      <c r="B1578" s="5"/>
      <c r="C1578" s="6" t="str">
        <f>HYPERLINK("https://leetcode.com/problems/number-of-ways-where-square-of-number-is-equal-to-product-of-two-numbers", "Number of Ways Where Square of Number Is Equal to Product of Two Numbers")</f>
        <v>Number of Ways Where Square of Number Is Equal to Product of Two Numbers</v>
      </c>
      <c r="D1578" s="7" t="s">
        <v>8</v>
      </c>
      <c r="E1578" s="8" t="s">
        <v>634</v>
      </c>
      <c r="F1578" s="9">
        <v>0.39</v>
      </c>
      <c r="G1578" s="10"/>
      <c r="H1578" s="10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ht="14.25" customHeight="1">
      <c r="A1579" s="4">
        <v>1578.0</v>
      </c>
      <c r="B1579" s="5"/>
      <c r="C1579" s="6" t="str">
        <f>HYPERLINK("https://leetcode.com/problems/minimum-time-to-make-rope-colorful", "Minimum Time to Make Rope Colorful")</f>
        <v>Minimum Time to Make Rope Colorful</v>
      </c>
      <c r="D1579" s="7" t="s">
        <v>8</v>
      </c>
      <c r="E1579" s="8" t="s">
        <v>635</v>
      </c>
      <c r="F1579" s="9">
        <v>0.63</v>
      </c>
      <c r="G1579" s="10"/>
      <c r="H1579" s="10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ht="14.25" customHeight="1">
      <c r="A1580" s="4">
        <v>1579.0</v>
      </c>
      <c r="B1580" s="5"/>
      <c r="C1580" s="6" t="str">
        <f>HYPERLINK("https://leetcode.com/problems/remove-max-number-of-edges-to-keep-graph-fully-traversable", "Remove Max Number of Edges to Keep Graph Fully Traversable")</f>
        <v>Remove Max Number of Edges to Keep Graph Fully Traversable</v>
      </c>
      <c r="D1580" s="7" t="s">
        <v>11</v>
      </c>
      <c r="E1580" s="8" t="s">
        <v>636</v>
      </c>
      <c r="F1580" s="9">
        <v>0.52</v>
      </c>
      <c r="G1580" s="10"/>
      <c r="H1580" s="10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ht="14.25" customHeight="1">
      <c r="A1581" s="11">
        <v>1580.0</v>
      </c>
      <c r="B1581" s="5"/>
      <c r="C1581" s="12" t="str">
        <f>HYPERLINK("https://leetcode.com/problems/put-boxes-into-the-warehouse-ii", "Put Boxes Into the Warehouse II")</f>
        <v>Put Boxes Into the Warehouse II</v>
      </c>
      <c r="D1581" s="7" t="s">
        <v>8</v>
      </c>
      <c r="E1581" s="8" t="s">
        <v>160</v>
      </c>
      <c r="F1581" s="9">
        <v>0.63</v>
      </c>
      <c r="G1581" s="10"/>
      <c r="H1581" s="10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ht="14.25" customHeight="1">
      <c r="A1582" s="4">
        <v>1581.0</v>
      </c>
      <c r="B1582" s="5"/>
      <c r="C1582" s="6" t="str">
        <f>HYPERLINK("https://leetcode.com/problems/customer-who-visited-but-did-not-make-any-transactions", "Customer Who Visited but Did Not Make Any Transactions")</f>
        <v>Customer Who Visited but Did Not Make Any Transactions</v>
      </c>
      <c r="D1582" s="7" t="s">
        <v>6</v>
      </c>
      <c r="E1582" s="8" t="s">
        <v>101</v>
      </c>
      <c r="F1582" s="9">
        <v>0.87</v>
      </c>
      <c r="G1582" s="10"/>
      <c r="H1582" s="10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ht="14.25" customHeight="1">
      <c r="A1583" s="4">
        <v>1582.0</v>
      </c>
      <c r="B1583" s="5"/>
      <c r="C1583" s="6" t="str">
        <f>HYPERLINK("https://leetcode.com/problems/special-positions-in-a-binary-matrix", "Special Positions in a Binary Matrix")</f>
        <v>Special Positions in a Binary Matrix</v>
      </c>
      <c r="D1583" s="7" t="s">
        <v>6</v>
      </c>
      <c r="E1583" s="8" t="s">
        <v>251</v>
      </c>
      <c r="F1583" s="9">
        <v>0.65</v>
      </c>
      <c r="G1583" s="10"/>
      <c r="H1583" s="10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ht="14.25" customHeight="1">
      <c r="A1584" s="4">
        <v>1583.0</v>
      </c>
      <c r="B1584" s="5"/>
      <c r="C1584" s="6" t="str">
        <f>HYPERLINK("https://leetcode.com/problems/count-unhappy-friends", "Count Unhappy Friends")</f>
        <v>Count Unhappy Friends</v>
      </c>
      <c r="D1584" s="7" t="s">
        <v>8</v>
      </c>
      <c r="E1584" s="8" t="s">
        <v>288</v>
      </c>
      <c r="F1584" s="9">
        <v>0.6</v>
      </c>
      <c r="G1584" s="10"/>
      <c r="H1584" s="10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ht="14.25" customHeight="1">
      <c r="A1585" s="4">
        <v>1584.0</v>
      </c>
      <c r="B1585" s="5"/>
      <c r="C1585" s="6" t="str">
        <f>HYPERLINK("https://leetcode.com/problems/min-cost-to-connect-all-points", "Min Cost to Connect All Points")</f>
        <v>Min Cost to Connect All Points</v>
      </c>
      <c r="D1585" s="7" t="s">
        <v>8</v>
      </c>
      <c r="E1585" s="8" t="s">
        <v>637</v>
      </c>
      <c r="F1585" s="9">
        <v>0.63</v>
      </c>
      <c r="G1585" s="10"/>
      <c r="H1585" s="10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ht="14.25" customHeight="1">
      <c r="A1586" s="4">
        <v>1585.0</v>
      </c>
      <c r="B1586" s="5"/>
      <c r="C1586" s="6" t="str">
        <f>HYPERLINK("https://leetcode.com/problems/check-if-string-is-transformable-with-substring-sort-operations", "Check If String Is Transformable With Substring Sort Operations")</f>
        <v>Check If String Is Transformable With Substring Sort Operations</v>
      </c>
      <c r="D1586" s="7" t="s">
        <v>11</v>
      </c>
      <c r="E1586" s="8" t="s">
        <v>588</v>
      </c>
      <c r="F1586" s="9">
        <v>0.48</v>
      </c>
      <c r="G1586" s="10"/>
      <c r="H1586" s="10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ht="14.25" customHeight="1">
      <c r="A1587" s="11">
        <v>1586.0</v>
      </c>
      <c r="B1587" s="5"/>
      <c r="C1587" s="12" t="str">
        <f>HYPERLINK("https://leetcode.com/problems/binary-search-tree-iterator-ii", "Binary Search Tree Iterator II")</f>
        <v>Binary Search Tree Iterator II</v>
      </c>
      <c r="D1587" s="7" t="s">
        <v>8</v>
      </c>
      <c r="E1587" s="8" t="s">
        <v>100</v>
      </c>
      <c r="F1587" s="9">
        <v>0.7</v>
      </c>
      <c r="G1587" s="10"/>
      <c r="H1587" s="10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ht="14.25" customHeight="1">
      <c r="A1588" s="4">
        <v>1587.0</v>
      </c>
      <c r="B1588" s="5"/>
      <c r="C1588" s="6" t="str">
        <f>HYPERLINK("https://leetcode.com/problems/bank-account-summary-ii", "Bank Account Summary II")</f>
        <v>Bank Account Summary II</v>
      </c>
      <c r="D1588" s="7" t="s">
        <v>6</v>
      </c>
      <c r="E1588" s="8" t="s">
        <v>101</v>
      </c>
      <c r="F1588" s="9">
        <v>0.88</v>
      </c>
      <c r="G1588" s="10"/>
      <c r="H1588" s="10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ht="14.25" customHeight="1">
      <c r="A1589" s="4">
        <v>1588.0</v>
      </c>
      <c r="B1589" s="5"/>
      <c r="C1589" s="6" t="str">
        <f>HYPERLINK("https://leetcode.com/problems/sum-of-all-odd-length-subarrays", "Sum of All Odd Length Subarrays")</f>
        <v>Sum of All Odd Length Subarrays</v>
      </c>
      <c r="D1589" s="7" t="s">
        <v>6</v>
      </c>
      <c r="E1589" s="8" t="s">
        <v>638</v>
      </c>
      <c r="F1589" s="9">
        <v>0.83</v>
      </c>
      <c r="G1589" s="10"/>
      <c r="H1589" s="10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ht="14.25" customHeight="1">
      <c r="A1590" s="4">
        <v>1589.0</v>
      </c>
      <c r="B1590" s="5"/>
      <c r="C1590" s="6" t="str">
        <f>HYPERLINK("https://leetcode.com/problems/maximum-sum-obtained-of-any-permutation", "Maximum Sum Obtained of Any Permutation")</f>
        <v>Maximum Sum Obtained of Any Permutation</v>
      </c>
      <c r="D1590" s="7" t="s">
        <v>8</v>
      </c>
      <c r="E1590" s="8" t="s">
        <v>639</v>
      </c>
      <c r="F1590" s="9">
        <v>0.37</v>
      </c>
      <c r="G1590" s="10"/>
      <c r="H1590" s="10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ht="14.25" customHeight="1">
      <c r="A1591" s="4">
        <v>1590.0</v>
      </c>
      <c r="B1591" s="5"/>
      <c r="C1591" s="6" t="str">
        <f>HYPERLINK("https://leetcode.com/problems/make-sum-divisible-by-p", "Make Sum Divisible by P")</f>
        <v>Make Sum Divisible by P</v>
      </c>
      <c r="D1591" s="7" t="s">
        <v>8</v>
      </c>
      <c r="E1591" s="8" t="s">
        <v>191</v>
      </c>
      <c r="F1591" s="9">
        <v>0.28</v>
      </c>
      <c r="G1591" s="10"/>
      <c r="H1591" s="10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ht="14.25" customHeight="1">
      <c r="A1592" s="4">
        <v>1591.0</v>
      </c>
      <c r="B1592" s="5"/>
      <c r="C1592" s="6" t="str">
        <f>HYPERLINK("https://leetcode.com/problems/strange-printer-ii", "Strange Printer II")</f>
        <v>Strange Printer II</v>
      </c>
      <c r="D1592" s="7" t="s">
        <v>11</v>
      </c>
      <c r="E1592" s="8" t="s">
        <v>640</v>
      </c>
      <c r="F1592" s="9">
        <v>0.58</v>
      </c>
      <c r="G1592" s="10"/>
      <c r="H1592" s="10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ht="14.25" customHeight="1">
      <c r="A1593" s="4">
        <v>1592.0</v>
      </c>
      <c r="B1593" s="5"/>
      <c r="C1593" s="6" t="str">
        <f>HYPERLINK("https://leetcode.com/problems/rearrange-spaces-between-words", "Rearrange Spaces Between Words")</f>
        <v>Rearrange Spaces Between Words</v>
      </c>
      <c r="D1593" s="7" t="s">
        <v>6</v>
      </c>
      <c r="E1593" s="8" t="s">
        <v>14</v>
      </c>
      <c r="F1593" s="9">
        <v>0.43</v>
      </c>
      <c r="G1593" s="10"/>
      <c r="H1593" s="10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ht="14.25" customHeight="1">
      <c r="A1594" s="4">
        <v>1593.0</v>
      </c>
      <c r="B1594" s="5"/>
      <c r="C1594" s="6" t="str">
        <f>HYPERLINK("https://leetcode.com/problems/split-a-string-into-the-max-number-of-unique-substrings", "Split a String Into the Max Number of Unique Substrings")</f>
        <v>Split a String Into the Max Number of Unique Substrings</v>
      </c>
      <c r="D1594" s="7" t="s">
        <v>8</v>
      </c>
      <c r="E1594" s="8" t="s">
        <v>20</v>
      </c>
      <c r="F1594" s="9">
        <v>0.55</v>
      </c>
      <c r="G1594" s="10"/>
      <c r="H1594" s="10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ht="14.25" customHeight="1">
      <c r="A1595" s="4">
        <v>1594.0</v>
      </c>
      <c r="B1595" s="5"/>
      <c r="C1595" s="6" t="str">
        <f>HYPERLINK("https://leetcode.com/problems/maximum-non-negative-product-in-a-matrix", "Maximum Non Negative Product in a Matrix")</f>
        <v>Maximum Non Negative Product in a Matrix</v>
      </c>
      <c r="D1595" s="7" t="s">
        <v>8</v>
      </c>
      <c r="E1595" s="8" t="s">
        <v>47</v>
      </c>
      <c r="F1595" s="9">
        <v>0.33</v>
      </c>
      <c r="G1595" s="10"/>
      <c r="H1595" s="10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ht="14.25" customHeight="1">
      <c r="A1596" s="4">
        <v>1595.0</v>
      </c>
      <c r="B1596" s="5"/>
      <c r="C1596" s="6" t="str">
        <f>HYPERLINK("https://leetcode.com/problems/minimum-cost-to-connect-two-groups-of-points", "Minimum Cost to Connect Two Groups of Points")</f>
        <v>Minimum Cost to Connect Two Groups of Points</v>
      </c>
      <c r="D1596" s="7" t="s">
        <v>11</v>
      </c>
      <c r="E1596" s="8" t="s">
        <v>563</v>
      </c>
      <c r="F1596" s="9">
        <v>0.46</v>
      </c>
      <c r="G1596" s="10"/>
      <c r="H1596" s="10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ht="14.25" customHeight="1">
      <c r="A1597" s="11">
        <v>1596.0</v>
      </c>
      <c r="B1597" s="5"/>
      <c r="C1597" s="12" t="str">
        <f>HYPERLINK("https://leetcode.com/problems/the-most-frequently-ordered-products-for-each-customer", "The Most Frequently Ordered Products for Each Customer")</f>
        <v>The Most Frequently Ordered Products for Each Customer</v>
      </c>
      <c r="D1597" s="7" t="s">
        <v>8</v>
      </c>
      <c r="E1597" s="8" t="s">
        <v>101</v>
      </c>
      <c r="F1597" s="9">
        <v>0.84</v>
      </c>
      <c r="G1597" s="10"/>
      <c r="H1597" s="10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ht="14.25" customHeight="1">
      <c r="A1598" s="11">
        <v>1597.0</v>
      </c>
      <c r="B1598" s="5"/>
      <c r="C1598" s="12" t="str">
        <f>HYPERLINK("https://leetcode.com/problems/build-binary-expression-tree-from-infix-expression", "Build Binary Expression Tree From Infix Expression")</f>
        <v>Build Binary Expression Tree From Infix Expression</v>
      </c>
      <c r="D1598" s="7" t="s">
        <v>11</v>
      </c>
      <c r="E1598" s="8" t="s">
        <v>193</v>
      </c>
      <c r="F1598" s="9">
        <v>0.62</v>
      </c>
      <c r="G1598" s="10"/>
      <c r="H1598" s="10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ht="14.25" customHeight="1">
      <c r="A1599" s="4">
        <v>1598.0</v>
      </c>
      <c r="B1599" s="5"/>
      <c r="C1599" s="6" t="str">
        <f>HYPERLINK("https://leetcode.com/problems/crawler-log-folder", "Crawler Log Folder")</f>
        <v>Crawler Log Folder</v>
      </c>
      <c r="D1599" s="7" t="s">
        <v>6</v>
      </c>
      <c r="E1599" s="8" t="s">
        <v>641</v>
      </c>
      <c r="F1599" s="9">
        <v>0.64</v>
      </c>
      <c r="G1599" s="10"/>
      <c r="H1599" s="10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ht="14.25" customHeight="1">
      <c r="A1600" s="4">
        <v>1599.0</v>
      </c>
      <c r="B1600" s="5"/>
      <c r="C1600" s="6" t="str">
        <f>HYPERLINK("https://leetcode.com/problems/maximum-profit-of-operating-a-centennial-wheel", "Maximum Profit of Operating a Centennial Wheel")</f>
        <v>Maximum Profit of Operating a Centennial Wheel</v>
      </c>
      <c r="D1600" s="7" t="s">
        <v>8</v>
      </c>
      <c r="E1600" s="8" t="s">
        <v>288</v>
      </c>
      <c r="F1600" s="9">
        <v>0.43</v>
      </c>
      <c r="G1600" s="10"/>
      <c r="H1600" s="10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ht="14.25" customHeight="1">
      <c r="A1601" s="4">
        <v>1600.0</v>
      </c>
      <c r="B1601" s="5"/>
      <c r="C1601" s="6" t="str">
        <f>HYPERLINK("https://leetcode.com/problems/throne-inheritance", "Throne Inheritance")</f>
        <v>Throne Inheritance</v>
      </c>
      <c r="D1601" s="7" t="s">
        <v>8</v>
      </c>
      <c r="E1601" s="8" t="s">
        <v>642</v>
      </c>
      <c r="F1601" s="9">
        <v>0.63</v>
      </c>
      <c r="G1601" s="10"/>
      <c r="H1601" s="10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ht="14.25" customHeight="1">
      <c r="A1602" s="4">
        <v>1601.0</v>
      </c>
      <c r="B1602" s="5"/>
      <c r="C1602" s="6" t="str">
        <f>HYPERLINK("https://leetcode.com/problems/maximum-number-of-achievable-transfer-requests", "Maximum Number of Achievable Transfer Requests")</f>
        <v>Maximum Number of Achievable Transfer Requests</v>
      </c>
      <c r="D1602" s="7" t="s">
        <v>11</v>
      </c>
      <c r="E1602" s="8" t="s">
        <v>643</v>
      </c>
      <c r="F1602" s="9">
        <v>0.51</v>
      </c>
      <c r="G1602" s="10"/>
      <c r="H1602" s="10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ht="14.25" customHeight="1">
      <c r="A1603" s="11">
        <v>1602.0</v>
      </c>
      <c r="B1603" s="5"/>
      <c r="C1603" s="12" t="str">
        <f>HYPERLINK("https://leetcode.com/problems/find-nearest-right-node-in-binary-tree", "Find Nearest Right Node in Binary Tree")</f>
        <v>Find Nearest Right Node in Binary Tree</v>
      </c>
      <c r="D1603" s="7" t="s">
        <v>8</v>
      </c>
      <c r="E1603" s="8" t="s">
        <v>65</v>
      </c>
      <c r="F1603" s="9">
        <v>0.75</v>
      </c>
      <c r="G1603" s="10"/>
      <c r="H1603" s="10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ht="14.25" customHeight="1">
      <c r="A1604" s="4">
        <v>1603.0</v>
      </c>
      <c r="B1604" s="5"/>
      <c r="C1604" s="6" t="str">
        <f>HYPERLINK("https://leetcode.com/problems/design-parking-system", "Design Parking System")</f>
        <v>Design Parking System</v>
      </c>
      <c r="D1604" s="7" t="s">
        <v>6</v>
      </c>
      <c r="E1604" s="8" t="s">
        <v>644</v>
      </c>
      <c r="F1604" s="9">
        <v>0.88</v>
      </c>
      <c r="G1604" s="10"/>
      <c r="H1604" s="10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ht="14.25" customHeight="1">
      <c r="A1605" s="4">
        <v>1604.0</v>
      </c>
      <c r="B1605" s="5"/>
      <c r="C1605" s="6" t="str">
        <f>HYPERLINK("https://leetcode.com/problems/alert-using-same-key-card-three-or-more-times-in-a-one-hour-period", "Alert Using Same Key-Card Three or More Times in a One Hour Period")</f>
        <v>Alert Using Same Key-Card Three or More Times in a One Hour Period</v>
      </c>
      <c r="D1605" s="7" t="s">
        <v>8</v>
      </c>
      <c r="E1605" s="8" t="s">
        <v>39</v>
      </c>
      <c r="F1605" s="9">
        <v>0.47</v>
      </c>
      <c r="G1605" s="10"/>
      <c r="H1605" s="10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ht="14.25" customHeight="1">
      <c r="A1606" s="4">
        <v>1605.0</v>
      </c>
      <c r="B1606" s="5"/>
      <c r="C1606" s="6" t="str">
        <f>HYPERLINK("https://leetcode.com/problems/find-valid-matrix-given-row-and-column-sums", "Find Valid Matrix Given Row and Column Sums")</f>
        <v>Find Valid Matrix Given Row and Column Sums</v>
      </c>
      <c r="D1606" s="7" t="s">
        <v>8</v>
      </c>
      <c r="E1606" s="8" t="s">
        <v>395</v>
      </c>
      <c r="F1606" s="9">
        <v>0.77</v>
      </c>
      <c r="G1606" s="10"/>
      <c r="H1606" s="10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ht="14.25" customHeight="1">
      <c r="A1607" s="4">
        <v>1606.0</v>
      </c>
      <c r="B1607" s="5"/>
      <c r="C1607" s="6" t="str">
        <f>HYPERLINK("https://leetcode.com/problems/find-servers-that-handled-most-number-of-requests", "Find Servers That Handled Most Number of Requests")</f>
        <v>Find Servers That Handled Most Number of Requests</v>
      </c>
      <c r="D1607" s="7" t="s">
        <v>11</v>
      </c>
      <c r="E1607" s="8" t="s">
        <v>645</v>
      </c>
      <c r="F1607" s="9">
        <v>0.43</v>
      </c>
      <c r="G1607" s="10"/>
      <c r="H1607" s="10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ht="14.25" customHeight="1">
      <c r="A1608" s="11">
        <v>1607.0</v>
      </c>
      <c r="B1608" s="5"/>
      <c r="C1608" s="12" t="str">
        <f>HYPERLINK("https://leetcode.com/problems/sellers-with-no-sales", "Sellers With No Sales")</f>
        <v>Sellers With No Sales</v>
      </c>
      <c r="D1608" s="7" t="s">
        <v>6</v>
      </c>
      <c r="E1608" s="8" t="s">
        <v>101</v>
      </c>
      <c r="F1608" s="9">
        <v>0.55</v>
      </c>
      <c r="G1608" s="10"/>
      <c r="H1608" s="10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ht="14.25" customHeight="1">
      <c r="A1609" s="4">
        <v>1608.0</v>
      </c>
      <c r="B1609" s="5"/>
      <c r="C1609" s="6" t="str">
        <f>HYPERLINK("https://leetcode.com/problems/special-array-with-x-elements-greater-than-or-equal-x", "Special Array With X Elements Greater Than or Equal X")</f>
        <v>Special Array With X Elements Greater Than or Equal X</v>
      </c>
      <c r="D1609" s="7" t="s">
        <v>6</v>
      </c>
      <c r="E1609" s="8" t="s">
        <v>260</v>
      </c>
      <c r="F1609" s="9">
        <v>0.6</v>
      </c>
      <c r="G1609" s="10"/>
      <c r="H1609" s="10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ht="14.25" customHeight="1">
      <c r="A1610" s="4">
        <v>1609.0</v>
      </c>
      <c r="B1610" s="5"/>
      <c r="C1610" s="6" t="str">
        <f>HYPERLINK("https://leetcode.com/problems/even-odd-tree", "Even Odd Tree")</f>
        <v>Even Odd Tree</v>
      </c>
      <c r="D1610" s="7" t="s">
        <v>8</v>
      </c>
      <c r="E1610" s="8" t="s">
        <v>65</v>
      </c>
      <c r="F1610" s="9">
        <v>0.53</v>
      </c>
      <c r="G1610" s="10"/>
      <c r="H1610" s="10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ht="14.25" customHeight="1">
      <c r="A1611" s="4">
        <v>1610.0</v>
      </c>
      <c r="B1611" s="5"/>
      <c r="C1611" s="6" t="str">
        <f>HYPERLINK("https://leetcode.com/problems/maximum-number-of-visible-points", "Maximum Number of Visible Points")</f>
        <v>Maximum Number of Visible Points</v>
      </c>
      <c r="D1611" s="7" t="s">
        <v>11</v>
      </c>
      <c r="E1611" s="8" t="s">
        <v>646</v>
      </c>
      <c r="F1611" s="9">
        <v>0.37</v>
      </c>
      <c r="G1611" s="10"/>
      <c r="H1611" s="10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ht="14.25" customHeight="1">
      <c r="A1612" s="4">
        <v>1611.0</v>
      </c>
      <c r="B1612" s="5"/>
      <c r="C1612" s="6" t="str">
        <f>HYPERLINK("https://leetcode.com/problems/minimum-one-bit-operations-to-make-integers-zero", "Minimum One Bit Operations to Make Integers Zero")</f>
        <v>Minimum One Bit Operations to Make Integers Zero</v>
      </c>
      <c r="D1612" s="7" t="s">
        <v>11</v>
      </c>
      <c r="E1612" s="8" t="s">
        <v>647</v>
      </c>
      <c r="F1612" s="9">
        <v>0.63</v>
      </c>
      <c r="G1612" s="10"/>
      <c r="H1612" s="10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ht="14.25" customHeight="1">
      <c r="A1613" s="11">
        <v>1612.0</v>
      </c>
      <c r="B1613" s="5"/>
      <c r="C1613" s="12" t="str">
        <f>HYPERLINK("https://leetcode.com/problems/check-if-two-expression-trees-are-equivalent", "Check If Two Expression Trees are Equivalent")</f>
        <v>Check If Two Expression Trees are Equivalent</v>
      </c>
      <c r="D1613" s="7" t="s">
        <v>8</v>
      </c>
      <c r="E1613" s="8" t="s">
        <v>69</v>
      </c>
      <c r="F1613" s="9">
        <v>0.7</v>
      </c>
      <c r="G1613" s="10"/>
      <c r="H1613" s="10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ht="14.25" customHeight="1">
      <c r="A1614" s="11">
        <v>1613.0</v>
      </c>
      <c r="B1614" s="5"/>
      <c r="C1614" s="12" t="str">
        <f>HYPERLINK("https://leetcode.com/problems/find-the-missing-ids", "Find the Missing IDs")</f>
        <v>Find the Missing IDs</v>
      </c>
      <c r="D1614" s="7" t="s">
        <v>8</v>
      </c>
      <c r="E1614" s="8" t="s">
        <v>101</v>
      </c>
      <c r="F1614" s="9">
        <v>0.75</v>
      </c>
      <c r="G1614" s="10"/>
      <c r="H1614" s="10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ht="14.25" customHeight="1">
      <c r="A1615" s="4">
        <v>1614.0</v>
      </c>
      <c r="B1615" s="5"/>
      <c r="C1615" s="6" t="str">
        <f>HYPERLINK("https://leetcode.com/problems/maximum-nesting-depth-of-the-parentheses", "Maximum Nesting Depth of the Parentheses")</f>
        <v>Maximum Nesting Depth of the Parentheses</v>
      </c>
      <c r="D1615" s="7" t="s">
        <v>6</v>
      </c>
      <c r="E1615" s="8" t="s">
        <v>22</v>
      </c>
      <c r="F1615" s="9">
        <v>0.82</v>
      </c>
      <c r="G1615" s="10"/>
      <c r="H1615" s="10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ht="14.25" customHeight="1">
      <c r="A1616" s="4">
        <v>1615.0</v>
      </c>
      <c r="B1616" s="5"/>
      <c r="C1616" s="6" t="str">
        <f>HYPERLINK("https://leetcode.com/problems/maximal-network-rank", "Maximal Network Rank")</f>
        <v>Maximal Network Rank</v>
      </c>
      <c r="D1616" s="7" t="s">
        <v>8</v>
      </c>
      <c r="E1616" s="8" t="s">
        <v>626</v>
      </c>
      <c r="F1616" s="9">
        <v>0.58</v>
      </c>
      <c r="G1616" s="10"/>
      <c r="H1616" s="10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ht="14.25" customHeight="1">
      <c r="A1617" s="4">
        <v>1616.0</v>
      </c>
      <c r="B1617" s="5"/>
      <c r="C1617" s="6" t="str">
        <f>HYPERLINK("https://leetcode.com/problems/split-two-strings-to-make-palindrome", "Split Two Strings to Make Palindrome")</f>
        <v>Split Two Strings to Make Palindrome</v>
      </c>
      <c r="D1617" s="7" t="s">
        <v>8</v>
      </c>
      <c r="E1617" s="8" t="s">
        <v>75</v>
      </c>
      <c r="F1617" s="9">
        <v>0.31</v>
      </c>
      <c r="G1617" s="10"/>
      <c r="H1617" s="10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ht="14.25" customHeight="1">
      <c r="A1618" s="4">
        <v>1617.0</v>
      </c>
      <c r="B1618" s="5"/>
      <c r="C1618" s="6" t="str">
        <f>HYPERLINK("https://leetcode.com/problems/count-subtrees-with-max-distance-between-cities", "Count Subtrees With Max Distance Between Cities")</f>
        <v>Count Subtrees With Max Distance Between Cities</v>
      </c>
      <c r="D1618" s="7" t="s">
        <v>11</v>
      </c>
      <c r="E1618" s="8" t="s">
        <v>648</v>
      </c>
      <c r="F1618" s="9">
        <v>0.65</v>
      </c>
      <c r="G1618" s="10"/>
      <c r="H1618" s="10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ht="14.25" customHeight="1">
      <c r="A1619" s="11">
        <v>1618.0</v>
      </c>
      <c r="B1619" s="5"/>
      <c r="C1619" s="12" t="str">
        <f>HYPERLINK("https://leetcode.com/problems/maximum-font-to-fit-a-sentence-in-a-screen", "Maximum Font to Fit a Sentence in a Screen")</f>
        <v>Maximum Font to Fit a Sentence in a Screen</v>
      </c>
      <c r="D1619" s="7" t="s">
        <v>8</v>
      </c>
      <c r="E1619" s="8" t="s">
        <v>649</v>
      </c>
      <c r="F1619" s="9">
        <v>0.59</v>
      </c>
      <c r="G1619" s="10"/>
      <c r="H1619" s="10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ht="14.25" customHeight="1">
      <c r="A1620" s="4">
        <v>1619.0</v>
      </c>
      <c r="B1620" s="5"/>
      <c r="C1620" s="6" t="str">
        <f>HYPERLINK("https://leetcode.com/problems/mean-of-array-after-removing-some-elements", "Mean of Array After Removing Some Elements")</f>
        <v>Mean of Array After Removing Some Elements</v>
      </c>
      <c r="D1620" s="7" t="s">
        <v>6</v>
      </c>
      <c r="E1620" s="8" t="s">
        <v>44</v>
      </c>
      <c r="F1620" s="9">
        <v>0.64</v>
      </c>
      <c r="G1620" s="10"/>
      <c r="H1620" s="10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ht="14.25" customHeight="1">
      <c r="A1621" s="4">
        <v>1620.0</v>
      </c>
      <c r="B1621" s="5"/>
      <c r="C1621" s="6" t="str">
        <f>HYPERLINK("https://leetcode.com/problems/coordinate-with-maximum-network-quality", "Coordinate With Maximum Network Quality")</f>
        <v>Coordinate With Maximum Network Quality</v>
      </c>
      <c r="D1621" s="7" t="s">
        <v>8</v>
      </c>
      <c r="E1621" s="8" t="s">
        <v>619</v>
      </c>
      <c r="F1621" s="9">
        <v>0.37</v>
      </c>
      <c r="G1621" s="10"/>
      <c r="H1621" s="10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ht="14.25" customHeight="1">
      <c r="A1622" s="4">
        <v>1621.0</v>
      </c>
      <c r="B1622" s="5"/>
      <c r="C1622" s="6" t="str">
        <f>HYPERLINK("https://leetcode.com/problems/number-of-sets-of-k-non-overlapping-line-segments", "Number of Sets of K Non-Overlapping Line Segments")</f>
        <v>Number of Sets of K Non-Overlapping Line Segments</v>
      </c>
      <c r="D1622" s="7" t="s">
        <v>8</v>
      </c>
      <c r="E1622" s="8" t="s">
        <v>201</v>
      </c>
      <c r="F1622" s="9">
        <v>0.42</v>
      </c>
      <c r="G1622" s="10"/>
      <c r="H1622" s="10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ht="14.25" customHeight="1">
      <c r="A1623" s="4">
        <v>1622.0</v>
      </c>
      <c r="B1623" s="5"/>
      <c r="C1623" s="6" t="str">
        <f>HYPERLINK("https://leetcode.com/problems/fancy-sequence", "Fancy Sequence")</f>
        <v>Fancy Sequence</v>
      </c>
      <c r="D1623" s="7" t="s">
        <v>11</v>
      </c>
      <c r="E1623" s="8" t="s">
        <v>650</v>
      </c>
      <c r="F1623" s="9">
        <v>0.15</v>
      </c>
      <c r="G1623" s="10"/>
      <c r="H1623" s="10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ht="14.25" customHeight="1">
      <c r="A1624" s="11">
        <v>1623.0</v>
      </c>
      <c r="B1624" s="5"/>
      <c r="C1624" s="12" t="str">
        <f>HYPERLINK("https://leetcode.com/problems/all-valid-triplets-that-can-represent-a-country", "All Valid Triplets That Can Represent a Country")</f>
        <v>All Valid Triplets That Can Represent a Country</v>
      </c>
      <c r="D1624" s="7" t="s">
        <v>6</v>
      </c>
      <c r="E1624" s="8" t="s">
        <v>101</v>
      </c>
      <c r="F1624" s="9">
        <v>0.87</v>
      </c>
      <c r="G1624" s="10"/>
      <c r="H1624" s="10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ht="14.25" customHeight="1">
      <c r="A1625" s="4">
        <v>1624.0</v>
      </c>
      <c r="B1625" s="5"/>
      <c r="C1625" s="6" t="str">
        <f>HYPERLINK("https://leetcode.com/problems/largest-substring-between-two-equal-characters", "Largest Substring Between Two Equal Characters")</f>
        <v>Largest Substring Between Two Equal Characters</v>
      </c>
      <c r="D1625" s="7" t="s">
        <v>6</v>
      </c>
      <c r="E1625" s="8" t="s">
        <v>110</v>
      </c>
      <c r="F1625" s="9">
        <v>0.59</v>
      </c>
      <c r="G1625" s="10"/>
      <c r="H1625" s="10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ht="14.25" customHeight="1">
      <c r="A1626" s="4">
        <v>1625.0</v>
      </c>
      <c r="B1626" s="5"/>
      <c r="C1626" s="6" t="str">
        <f>HYPERLINK("https://leetcode.com/problems/lexicographically-smallest-string-after-applying-operations", "Lexicographically Smallest String After Applying Operations")</f>
        <v>Lexicographically Smallest String After Applying Operations</v>
      </c>
      <c r="D1626" s="7" t="s">
        <v>8</v>
      </c>
      <c r="E1626" s="8" t="s">
        <v>416</v>
      </c>
      <c r="F1626" s="9">
        <v>0.65</v>
      </c>
      <c r="G1626" s="10"/>
      <c r="H1626" s="10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ht="14.25" customHeight="1">
      <c r="A1627" s="4">
        <v>1626.0</v>
      </c>
      <c r="B1627" s="5"/>
      <c r="C1627" s="6" t="str">
        <f>HYPERLINK("https://leetcode.com/problems/best-team-with-no-conflicts", "Best Team With No Conflicts")</f>
        <v>Best Team With No Conflicts</v>
      </c>
      <c r="D1627" s="7" t="s">
        <v>8</v>
      </c>
      <c r="E1627" s="8" t="s">
        <v>561</v>
      </c>
      <c r="F1627" s="9">
        <v>0.41</v>
      </c>
      <c r="G1627" s="10"/>
      <c r="H1627" s="10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ht="14.25" customHeight="1">
      <c r="A1628" s="4">
        <v>1627.0</v>
      </c>
      <c r="B1628" s="5"/>
      <c r="C1628" s="6" t="str">
        <f>HYPERLINK("https://leetcode.com/problems/graph-connectivity-with-threshold", "Graph Connectivity With Threshold")</f>
        <v>Graph Connectivity With Threshold</v>
      </c>
      <c r="D1628" s="7" t="s">
        <v>11</v>
      </c>
      <c r="E1628" s="8" t="s">
        <v>456</v>
      </c>
      <c r="F1628" s="9">
        <v>0.46</v>
      </c>
      <c r="G1628" s="10"/>
      <c r="H1628" s="10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ht="14.25" customHeight="1">
      <c r="A1629" s="11">
        <v>1628.0</v>
      </c>
      <c r="B1629" s="5"/>
      <c r="C1629" s="12" t="str">
        <f>HYPERLINK("https://leetcode.com/problems/design-an-expression-tree-with-evaluate-function", "Design an Expression Tree With Evaluate Function")</f>
        <v>Design an Expression Tree With Evaluate Function</v>
      </c>
      <c r="D1629" s="7" t="s">
        <v>8</v>
      </c>
      <c r="E1629" s="8" t="s">
        <v>651</v>
      </c>
      <c r="F1629" s="9">
        <v>0.82</v>
      </c>
      <c r="G1629" s="10"/>
      <c r="H1629" s="10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ht="14.25" customHeight="1">
      <c r="A1630" s="4">
        <v>1629.0</v>
      </c>
      <c r="B1630" s="5"/>
      <c r="C1630" s="6" t="str">
        <f>HYPERLINK("https://leetcode.com/problems/slowest-key", "Slowest Key")</f>
        <v>Slowest Key</v>
      </c>
      <c r="D1630" s="7" t="s">
        <v>6</v>
      </c>
      <c r="E1630" s="8" t="s">
        <v>135</v>
      </c>
      <c r="F1630" s="9">
        <v>0.59</v>
      </c>
      <c r="G1630" s="10"/>
      <c r="H1630" s="10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ht="14.25" customHeight="1">
      <c r="A1631" s="4">
        <v>1630.0</v>
      </c>
      <c r="B1631" s="5"/>
      <c r="C1631" s="6" t="str">
        <f>HYPERLINK("https://leetcode.com/problems/arithmetic-subarrays", "Arithmetic Subarrays")</f>
        <v>Arithmetic Subarrays</v>
      </c>
      <c r="D1631" s="7" t="s">
        <v>8</v>
      </c>
      <c r="E1631" s="8" t="s">
        <v>44</v>
      </c>
      <c r="F1631" s="9">
        <v>0.8</v>
      </c>
      <c r="G1631" s="10"/>
      <c r="H1631" s="10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ht="14.25" customHeight="1">
      <c r="A1632" s="4">
        <v>1631.0</v>
      </c>
      <c r="B1632" s="5"/>
      <c r="C1632" s="6" t="str">
        <f>HYPERLINK("https://leetcode.com/problems/path-with-minimum-effort", "Path With Minimum Effort")</f>
        <v>Path With Minimum Effort</v>
      </c>
      <c r="D1632" s="7" t="s">
        <v>8</v>
      </c>
      <c r="E1632" s="8" t="s">
        <v>385</v>
      </c>
      <c r="F1632" s="9">
        <v>0.55</v>
      </c>
      <c r="G1632" s="10"/>
      <c r="H1632" s="10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ht="14.25" customHeight="1">
      <c r="A1633" s="4">
        <v>1632.0</v>
      </c>
      <c r="B1633" s="5"/>
      <c r="C1633" s="6" t="str">
        <f>HYPERLINK("https://leetcode.com/problems/rank-transform-of-a-matrix", "Rank Transform of a Matrix")</f>
        <v>Rank Transform of a Matrix</v>
      </c>
      <c r="D1633" s="7" t="s">
        <v>11</v>
      </c>
      <c r="E1633" s="8" t="s">
        <v>652</v>
      </c>
      <c r="F1633" s="9">
        <v>0.41</v>
      </c>
      <c r="G1633" s="10"/>
      <c r="H1633" s="10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ht="14.25" customHeight="1">
      <c r="A1634" s="11">
        <v>1633.0</v>
      </c>
      <c r="B1634" s="5"/>
      <c r="C1634" s="12" t="str">
        <f>HYPERLINK("https://leetcode.com/problems/percentage-of-users-attended-a-contest", "Percentage of Users Attended a Contest")</f>
        <v>Percentage of Users Attended a Contest</v>
      </c>
      <c r="D1634" s="7" t="s">
        <v>6</v>
      </c>
      <c r="E1634" s="8" t="s">
        <v>101</v>
      </c>
      <c r="F1634" s="9">
        <v>0.68</v>
      </c>
      <c r="G1634" s="10"/>
      <c r="H1634" s="10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ht="14.25" customHeight="1">
      <c r="A1635" s="11">
        <v>1634.0</v>
      </c>
      <c r="B1635" s="5"/>
      <c r="C1635" s="12" t="str">
        <f>HYPERLINK("https://leetcode.com/problems/add-two-polynomials-represented-as-linked-lists", "Add Two Polynomials Represented as Linked Lists")</f>
        <v>Add Two Polynomials Represented as Linked Lists</v>
      </c>
      <c r="D1635" s="7" t="s">
        <v>8</v>
      </c>
      <c r="E1635" s="8" t="s">
        <v>653</v>
      </c>
      <c r="F1635" s="9">
        <v>0.53</v>
      </c>
      <c r="G1635" s="10"/>
      <c r="H1635" s="10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ht="14.25" customHeight="1">
      <c r="A1636" s="11">
        <v>1635.0</v>
      </c>
      <c r="B1636" s="5"/>
      <c r="C1636" s="12" t="str">
        <f>HYPERLINK("https://leetcode.com/problems/hopper-company-queries-i", "Hopper Company Queries I")</f>
        <v>Hopper Company Queries I</v>
      </c>
      <c r="D1636" s="7" t="s">
        <v>11</v>
      </c>
      <c r="E1636" s="8" t="s">
        <v>101</v>
      </c>
      <c r="F1636" s="9">
        <v>0.52</v>
      </c>
      <c r="G1636" s="10"/>
      <c r="H1636" s="10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ht="14.25" customHeight="1">
      <c r="A1637" s="4">
        <v>1636.0</v>
      </c>
      <c r="B1637" s="5"/>
      <c r="C1637" s="6" t="str">
        <f>HYPERLINK("https://leetcode.com/problems/sort-array-by-increasing-frequency", "Sort Array by Increasing Frequency")</f>
        <v>Sort Array by Increasing Frequency</v>
      </c>
      <c r="D1637" s="7" t="s">
        <v>6</v>
      </c>
      <c r="E1637" s="8" t="s">
        <v>118</v>
      </c>
      <c r="F1637" s="9">
        <v>0.68</v>
      </c>
      <c r="G1637" s="10"/>
      <c r="H1637" s="10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ht="14.25" customHeight="1">
      <c r="A1638" s="4">
        <v>1637.0</v>
      </c>
      <c r="B1638" s="5"/>
      <c r="C1638" s="6" t="str">
        <f>HYPERLINK("https://leetcode.com/problems/widest-vertical-area-between-two-points-containing-no-points", "Widest Vertical Area Between Two Points Containing No Points")</f>
        <v>Widest Vertical Area Between Two Points Containing No Points</v>
      </c>
      <c r="D1638" s="7" t="s">
        <v>8</v>
      </c>
      <c r="E1638" s="8" t="s">
        <v>44</v>
      </c>
      <c r="F1638" s="9">
        <v>0.84</v>
      </c>
      <c r="G1638" s="10"/>
      <c r="H1638" s="10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ht="14.25" customHeight="1">
      <c r="A1639" s="4">
        <v>1638.0</v>
      </c>
      <c r="B1639" s="5"/>
      <c r="C1639" s="6" t="str">
        <f>HYPERLINK("https://leetcode.com/problems/count-substrings-that-differ-by-one-character", "Count Substrings That Differ by One Character")</f>
        <v>Count Substrings That Differ by One Character</v>
      </c>
      <c r="D1639" s="7" t="s">
        <v>8</v>
      </c>
      <c r="E1639" s="8" t="s">
        <v>403</v>
      </c>
      <c r="F1639" s="9">
        <v>0.71</v>
      </c>
      <c r="G1639" s="10"/>
      <c r="H1639" s="10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ht="14.25" customHeight="1">
      <c r="A1640" s="4">
        <v>1639.0</v>
      </c>
      <c r="B1640" s="5"/>
      <c r="C1640" s="6" t="str">
        <f>HYPERLINK("https://leetcode.com/problems/number-of-ways-to-form-a-target-string-given-a-dictionary", "Number of Ways to Form a Target String Given a Dictionary")</f>
        <v>Number of Ways to Form a Target String Given a Dictionary</v>
      </c>
      <c r="D1640" s="7" t="s">
        <v>11</v>
      </c>
      <c r="E1640" s="8" t="s">
        <v>276</v>
      </c>
      <c r="F1640" s="9">
        <v>0.43</v>
      </c>
      <c r="G1640" s="10"/>
      <c r="H1640" s="10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ht="14.25" customHeight="1">
      <c r="A1641" s="4">
        <v>1640.0</v>
      </c>
      <c r="B1641" s="5"/>
      <c r="C1641" s="6" t="str">
        <f>HYPERLINK("https://leetcode.com/problems/check-array-formation-through-concatenation", "Check Array Formation Through Concatenation")</f>
        <v>Check Array Formation Through Concatenation</v>
      </c>
      <c r="D1641" s="7" t="s">
        <v>6</v>
      </c>
      <c r="E1641" s="8" t="s">
        <v>7</v>
      </c>
      <c r="F1641" s="9">
        <v>0.56</v>
      </c>
      <c r="G1641" s="10"/>
      <c r="H1641" s="10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ht="14.25" customHeight="1">
      <c r="A1642" s="4">
        <v>1641.0</v>
      </c>
      <c r="B1642" s="5"/>
      <c r="C1642" s="6" t="str">
        <f>HYPERLINK("https://leetcode.com/problems/count-sorted-vowel-strings", "Count Sorted Vowel Strings")</f>
        <v>Count Sorted Vowel Strings</v>
      </c>
      <c r="D1642" s="7" t="s">
        <v>8</v>
      </c>
      <c r="E1642" s="8" t="s">
        <v>156</v>
      </c>
      <c r="F1642" s="9">
        <v>0.77</v>
      </c>
      <c r="G1642" s="10"/>
      <c r="H1642" s="10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ht="14.25" customHeight="1">
      <c r="A1643" s="4">
        <v>1642.0</v>
      </c>
      <c r="B1643" s="5"/>
      <c r="C1643" s="6" t="str">
        <f>HYPERLINK("https://leetcode.com/problems/furthest-building-you-can-reach", "Furthest Building You Can Reach")</f>
        <v>Furthest Building You Can Reach</v>
      </c>
      <c r="D1643" s="7" t="s">
        <v>8</v>
      </c>
      <c r="E1643" s="8" t="s">
        <v>326</v>
      </c>
      <c r="F1643" s="9">
        <v>0.48</v>
      </c>
      <c r="G1643" s="10"/>
      <c r="H1643" s="10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ht="14.25" customHeight="1">
      <c r="A1644" s="4">
        <v>1643.0</v>
      </c>
      <c r="B1644" s="5"/>
      <c r="C1644" s="6" t="str">
        <f>HYPERLINK("https://leetcode.com/problems/kth-smallest-instructions", "Kth Smallest Instructions")</f>
        <v>Kth Smallest Instructions</v>
      </c>
      <c r="D1644" s="7" t="s">
        <v>11</v>
      </c>
      <c r="E1644" s="8" t="s">
        <v>654</v>
      </c>
      <c r="F1644" s="9">
        <v>0.46</v>
      </c>
      <c r="G1644" s="10"/>
      <c r="H1644" s="10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ht="14.25" customHeight="1">
      <c r="A1645" s="11">
        <v>1644.0</v>
      </c>
      <c r="B1645" s="5"/>
      <c r="C1645" s="12" t="str">
        <f>HYPERLINK("https://leetcode.com/problems/lowest-common-ancestor-of-a-binary-tree-ii", "Lowest Common Ancestor of a Binary Tree II")</f>
        <v>Lowest Common Ancestor of a Binary Tree II</v>
      </c>
      <c r="D1645" s="7" t="s">
        <v>8</v>
      </c>
      <c r="E1645" s="8" t="s">
        <v>69</v>
      </c>
      <c r="F1645" s="9">
        <v>0.59</v>
      </c>
      <c r="G1645" s="10"/>
      <c r="H1645" s="10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ht="14.25" customHeight="1">
      <c r="A1646" s="11">
        <v>1645.0</v>
      </c>
      <c r="B1646" s="5"/>
      <c r="C1646" s="12" t="str">
        <f>HYPERLINK("https://leetcode.com/problems/hopper-company-queries-ii", "Hopper Company Queries II")</f>
        <v>Hopper Company Queries II</v>
      </c>
      <c r="D1646" s="7" t="s">
        <v>11</v>
      </c>
      <c r="E1646" s="8" t="s">
        <v>101</v>
      </c>
      <c r="F1646" s="9">
        <v>0.38</v>
      </c>
      <c r="G1646" s="10"/>
      <c r="H1646" s="10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ht="14.25" customHeight="1">
      <c r="A1647" s="4">
        <v>1646.0</v>
      </c>
      <c r="B1647" s="5"/>
      <c r="C1647" s="6" t="str">
        <f>HYPERLINK("https://leetcode.com/problems/get-maximum-in-generated-array", "Get Maximum in Generated Array")</f>
        <v>Get Maximum in Generated Array</v>
      </c>
      <c r="D1647" s="7" t="s">
        <v>6</v>
      </c>
      <c r="E1647" s="8" t="s">
        <v>655</v>
      </c>
      <c r="F1647" s="9">
        <v>0.5</v>
      </c>
      <c r="G1647" s="10"/>
      <c r="H1647" s="10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ht="14.25" customHeight="1">
      <c r="A1648" s="4">
        <v>1647.0</v>
      </c>
      <c r="B1648" s="5"/>
      <c r="C1648" s="6" t="str">
        <f>HYPERLINK("https://leetcode.com/problems/minimum-deletions-to-make-character-frequencies-unique", "Minimum Deletions to Make Character Frequencies Unique")</f>
        <v>Minimum Deletions to Make Character Frequencies Unique</v>
      </c>
      <c r="D1648" s="7" t="s">
        <v>8</v>
      </c>
      <c r="E1648" s="8" t="s">
        <v>656</v>
      </c>
      <c r="F1648" s="9">
        <v>0.59</v>
      </c>
      <c r="G1648" s="10"/>
      <c r="H1648" s="10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ht="14.25" customHeight="1">
      <c r="A1649" s="4">
        <v>1648.0</v>
      </c>
      <c r="B1649" s="5"/>
      <c r="C1649" s="6" t="str">
        <f>HYPERLINK("https://leetcode.com/problems/sell-diminishing-valued-colored-balls", "Sell Diminishing-Valued Colored Balls")</f>
        <v>Sell Diminishing-Valued Colored Balls</v>
      </c>
      <c r="D1649" s="7" t="s">
        <v>8</v>
      </c>
      <c r="E1649" s="8" t="s">
        <v>657</v>
      </c>
      <c r="F1649" s="9">
        <v>0.3</v>
      </c>
      <c r="G1649" s="10"/>
      <c r="H1649" s="10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ht="14.25" customHeight="1">
      <c r="A1650" s="4">
        <v>1649.0</v>
      </c>
      <c r="B1650" s="5"/>
      <c r="C1650" s="6" t="str">
        <f>HYPERLINK("https://leetcode.com/problems/create-sorted-array-through-instructions", "Create Sorted Array through Instructions")</f>
        <v>Create Sorted Array through Instructions</v>
      </c>
      <c r="D1650" s="7" t="s">
        <v>11</v>
      </c>
      <c r="E1650" s="8" t="s">
        <v>183</v>
      </c>
      <c r="F1650" s="9">
        <v>0.37</v>
      </c>
      <c r="G1650" s="10"/>
      <c r="H1650" s="10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ht="14.25" customHeight="1">
      <c r="A1651" s="11">
        <v>1650.0</v>
      </c>
      <c r="B1651" s="5"/>
      <c r="C1651" s="12" t="str">
        <f>HYPERLINK("https://leetcode.com/problems/lowest-common-ancestor-of-a-binary-tree-iii", "Lowest Common Ancestor of a Binary Tree III")</f>
        <v>Lowest Common Ancestor of a Binary Tree III</v>
      </c>
      <c r="D1651" s="7" t="s">
        <v>8</v>
      </c>
      <c r="E1651" s="8" t="s">
        <v>658</v>
      </c>
      <c r="F1651" s="9">
        <v>0.77</v>
      </c>
      <c r="G1651" s="10"/>
      <c r="H1651" s="10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ht="14.25" customHeight="1">
      <c r="A1652" s="11">
        <v>1651.0</v>
      </c>
      <c r="B1652" s="5"/>
      <c r="C1652" s="12" t="str">
        <f>HYPERLINK("https://leetcode.com/problems/hopper-company-queries-iii", "Hopper Company Queries III")</f>
        <v>Hopper Company Queries III</v>
      </c>
      <c r="D1652" s="7" t="s">
        <v>11</v>
      </c>
      <c r="E1652" s="8" t="s">
        <v>101</v>
      </c>
      <c r="F1652" s="9">
        <v>0.67</v>
      </c>
      <c r="G1652" s="10"/>
      <c r="H1652" s="10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ht="14.25" customHeight="1">
      <c r="A1653" s="4">
        <v>1652.0</v>
      </c>
      <c r="B1653" s="5"/>
      <c r="C1653" s="6" t="str">
        <f>HYPERLINK("https://leetcode.com/problems/defuse-the-bomb", "Defuse the Bomb")</f>
        <v>Defuse the Bomb</v>
      </c>
      <c r="D1653" s="7" t="s">
        <v>6</v>
      </c>
      <c r="E1653" s="8" t="s">
        <v>45</v>
      </c>
      <c r="F1653" s="9">
        <v>0.61</v>
      </c>
      <c r="G1653" s="10"/>
      <c r="H1653" s="10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ht="14.25" customHeight="1">
      <c r="A1654" s="4">
        <v>1653.0</v>
      </c>
      <c r="B1654" s="5"/>
      <c r="C1654" s="6" t="str">
        <f>HYPERLINK("https://leetcode.com/problems/minimum-deletions-to-make-string-balanced", "Minimum Deletions to Make String Balanced")</f>
        <v>Minimum Deletions to Make String Balanced</v>
      </c>
      <c r="D1654" s="7" t="s">
        <v>8</v>
      </c>
      <c r="E1654" s="8" t="s">
        <v>29</v>
      </c>
      <c r="F1654" s="9">
        <v>0.58</v>
      </c>
      <c r="G1654" s="10"/>
      <c r="H1654" s="10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ht="14.25" customHeight="1">
      <c r="A1655" s="4">
        <v>1654.0</v>
      </c>
      <c r="B1655" s="5"/>
      <c r="C1655" s="6" t="str">
        <f>HYPERLINK("https://leetcode.com/problems/minimum-jumps-to-reach-home", "Minimum Jumps to Reach Home")</f>
        <v>Minimum Jumps to Reach Home</v>
      </c>
      <c r="D1655" s="7" t="s">
        <v>8</v>
      </c>
      <c r="E1655" s="8" t="s">
        <v>189</v>
      </c>
      <c r="F1655" s="9">
        <v>0.28</v>
      </c>
      <c r="G1655" s="10"/>
      <c r="H1655" s="10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ht="14.25" customHeight="1">
      <c r="A1656" s="4">
        <v>1655.0</v>
      </c>
      <c r="B1656" s="5"/>
      <c r="C1656" s="6" t="str">
        <f>HYPERLINK("https://leetcode.com/problems/distribute-repeating-integers", "Distribute Repeating Integers")</f>
        <v>Distribute Repeating Integers</v>
      </c>
      <c r="D1656" s="7" t="s">
        <v>11</v>
      </c>
      <c r="E1656" s="8" t="s">
        <v>273</v>
      </c>
      <c r="F1656" s="9">
        <v>0.39</v>
      </c>
      <c r="G1656" s="10"/>
      <c r="H1656" s="10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ht="14.25" customHeight="1">
      <c r="A1657" s="4">
        <v>1656.0</v>
      </c>
      <c r="B1657" s="5"/>
      <c r="C1657" s="6" t="str">
        <f>HYPERLINK("https://leetcode.com/problems/design-an-ordered-stream", "Design an Ordered Stream")</f>
        <v>Design an Ordered Stream</v>
      </c>
      <c r="D1657" s="7" t="s">
        <v>6</v>
      </c>
      <c r="E1657" s="8" t="s">
        <v>659</v>
      </c>
      <c r="F1657" s="9">
        <v>0.85</v>
      </c>
      <c r="G1657" s="10"/>
      <c r="H1657" s="10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ht="14.25" customHeight="1">
      <c r="A1658" s="4">
        <v>1657.0</v>
      </c>
      <c r="B1658" s="5"/>
      <c r="C1658" s="6" t="str">
        <f>HYPERLINK("https://leetcode.com/problems/determine-if-two-strings-are-close", "Determine if Two Strings Are Close")</f>
        <v>Determine if Two Strings Are Close</v>
      </c>
      <c r="D1658" s="7" t="s">
        <v>8</v>
      </c>
      <c r="E1658" s="8" t="s">
        <v>134</v>
      </c>
      <c r="F1658" s="9">
        <v>0.56</v>
      </c>
      <c r="G1658" s="10"/>
      <c r="H1658" s="10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ht="14.25" customHeight="1">
      <c r="A1659" s="4">
        <v>1658.0</v>
      </c>
      <c r="B1659" s="5"/>
      <c r="C1659" s="6" t="str">
        <f>HYPERLINK("https://leetcode.com/problems/minimum-operations-to-reduce-x-to-zero", "Minimum Operations to Reduce X to Zero")</f>
        <v>Minimum Operations to Reduce X to Zero</v>
      </c>
      <c r="D1659" s="7" t="s">
        <v>8</v>
      </c>
      <c r="E1659" s="8" t="s">
        <v>660</v>
      </c>
      <c r="F1659" s="9">
        <v>0.37</v>
      </c>
      <c r="G1659" s="10"/>
      <c r="H1659" s="10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ht="14.25" customHeight="1">
      <c r="A1660" s="4">
        <v>1659.0</v>
      </c>
      <c r="B1660" s="5"/>
      <c r="C1660" s="6" t="str">
        <f>HYPERLINK("https://leetcode.com/problems/maximize-grid-happiness", "Maximize Grid Happiness")</f>
        <v>Maximize Grid Happiness</v>
      </c>
      <c r="D1660" s="7" t="s">
        <v>11</v>
      </c>
      <c r="E1660" s="8" t="s">
        <v>661</v>
      </c>
      <c r="F1660" s="9">
        <v>0.38</v>
      </c>
      <c r="G1660" s="10"/>
      <c r="H1660" s="10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ht="14.25" customHeight="1">
      <c r="A1661" s="11">
        <v>1660.0</v>
      </c>
      <c r="B1661" s="5"/>
      <c r="C1661" s="12" t="str">
        <f>HYPERLINK("https://leetcode.com/problems/correct-a-binary-tree", "Correct a Binary Tree")</f>
        <v>Correct a Binary Tree</v>
      </c>
      <c r="D1661" s="7" t="s">
        <v>8</v>
      </c>
      <c r="E1661" s="8" t="s">
        <v>182</v>
      </c>
      <c r="F1661" s="9">
        <v>0.72</v>
      </c>
      <c r="G1661" s="10"/>
      <c r="H1661" s="10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ht="14.25" customHeight="1">
      <c r="A1662" s="11">
        <v>1661.0</v>
      </c>
      <c r="B1662" s="5"/>
      <c r="C1662" s="12" t="str">
        <f>HYPERLINK("https://leetcode.com/problems/average-time-of-process-per-machine", "Average Time of Process per Machine")</f>
        <v>Average Time of Process per Machine</v>
      </c>
      <c r="D1662" s="7" t="s">
        <v>6</v>
      </c>
      <c r="E1662" s="8" t="s">
        <v>101</v>
      </c>
      <c r="F1662" s="9">
        <v>0.79</v>
      </c>
      <c r="G1662" s="10"/>
      <c r="H1662" s="10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ht="14.25" customHeight="1">
      <c r="A1663" s="4">
        <v>1662.0</v>
      </c>
      <c r="B1663" s="5"/>
      <c r="C1663" s="6" t="str">
        <f>HYPERLINK("https://leetcode.com/problems/check-if-two-string-arrays-are-equivalent", "Check If Two String Arrays are Equivalent")</f>
        <v>Check If Two String Arrays are Equivalent</v>
      </c>
      <c r="D1663" s="7" t="s">
        <v>6</v>
      </c>
      <c r="E1663" s="8" t="s">
        <v>135</v>
      </c>
      <c r="F1663" s="9">
        <v>0.83</v>
      </c>
      <c r="G1663" s="10"/>
      <c r="H1663" s="10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ht="14.25" customHeight="1">
      <c r="A1664" s="4">
        <v>1663.0</v>
      </c>
      <c r="B1664" s="5"/>
      <c r="C1664" s="6" t="str">
        <f>HYPERLINK("https://leetcode.com/problems/smallest-string-with-a-given-numeric-value", "Smallest String With A Given Numeric Value")</f>
        <v>Smallest String With A Given Numeric Value</v>
      </c>
      <c r="D1664" s="7" t="s">
        <v>8</v>
      </c>
      <c r="E1664" s="8" t="s">
        <v>465</v>
      </c>
      <c r="F1664" s="9">
        <v>0.66</v>
      </c>
      <c r="G1664" s="10"/>
      <c r="H1664" s="10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ht="14.25" customHeight="1">
      <c r="A1665" s="4">
        <v>1664.0</v>
      </c>
      <c r="B1665" s="5"/>
      <c r="C1665" s="6" t="str">
        <f>HYPERLINK("https://leetcode.com/problems/ways-to-make-a-fair-array", "Ways to Make a Fair Array")</f>
        <v>Ways to Make a Fair Array</v>
      </c>
      <c r="D1665" s="7" t="s">
        <v>8</v>
      </c>
      <c r="E1665" s="8" t="s">
        <v>73</v>
      </c>
      <c r="F1665" s="9">
        <v>0.63</v>
      </c>
      <c r="G1665" s="10"/>
      <c r="H1665" s="10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ht="14.25" customHeight="1">
      <c r="A1666" s="4">
        <v>1665.0</v>
      </c>
      <c r="B1666" s="5"/>
      <c r="C1666" s="6" t="str">
        <f>HYPERLINK("https://leetcode.com/problems/minimum-initial-energy-to-finish-tasks", "Minimum Initial Energy to Finish Tasks")</f>
        <v>Minimum Initial Energy to Finish Tasks</v>
      </c>
      <c r="D1666" s="7" t="s">
        <v>11</v>
      </c>
      <c r="E1666" s="8" t="s">
        <v>160</v>
      </c>
      <c r="F1666" s="9">
        <v>0.56</v>
      </c>
      <c r="G1666" s="10"/>
      <c r="H1666" s="10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ht="14.25" customHeight="1">
      <c r="A1667" s="11">
        <v>1666.0</v>
      </c>
      <c r="B1667" s="5"/>
      <c r="C1667" s="12" t="str">
        <f>HYPERLINK("https://leetcode.com/problems/change-the-root-of-a-binary-tree", "Change the Root of a Binary Tree")</f>
        <v>Change the Root of a Binary Tree</v>
      </c>
      <c r="D1667" s="7" t="s">
        <v>8</v>
      </c>
      <c r="E1667" s="8" t="s">
        <v>69</v>
      </c>
      <c r="F1667" s="9">
        <v>0.69</v>
      </c>
      <c r="G1667" s="10"/>
      <c r="H1667" s="10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ht="14.25" customHeight="1">
      <c r="A1668" s="4">
        <v>1667.0</v>
      </c>
      <c r="B1668" s="5"/>
      <c r="C1668" s="6" t="str">
        <f>HYPERLINK("https://leetcode.com/problems/fix-names-in-a-table", "Fix Names in a Table")</f>
        <v>Fix Names in a Table</v>
      </c>
      <c r="D1668" s="7" t="s">
        <v>6</v>
      </c>
      <c r="E1668" s="8" t="s">
        <v>101</v>
      </c>
      <c r="F1668" s="9">
        <v>0.66</v>
      </c>
      <c r="G1668" s="10"/>
      <c r="H1668" s="10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ht="14.25" customHeight="1">
      <c r="A1669" s="4">
        <v>1668.0</v>
      </c>
      <c r="B1669" s="5"/>
      <c r="C1669" s="6" t="str">
        <f>HYPERLINK("https://leetcode.com/problems/maximum-repeating-substring", "Maximum Repeating Substring")</f>
        <v>Maximum Repeating Substring</v>
      </c>
      <c r="D1669" s="7" t="s">
        <v>6</v>
      </c>
      <c r="E1669" s="8" t="s">
        <v>270</v>
      </c>
      <c r="F1669" s="9">
        <v>0.39</v>
      </c>
      <c r="G1669" s="10"/>
      <c r="H1669" s="10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ht="14.25" customHeight="1">
      <c r="A1670" s="4">
        <v>1669.0</v>
      </c>
      <c r="B1670" s="5"/>
      <c r="C1670" s="6" t="str">
        <f>HYPERLINK("https://leetcode.com/problems/merge-in-between-linked-lists", "Merge In Between Linked Lists")</f>
        <v>Merge In Between Linked Lists</v>
      </c>
      <c r="D1670" s="7" t="s">
        <v>8</v>
      </c>
      <c r="E1670" s="8" t="s">
        <v>55</v>
      </c>
      <c r="F1670" s="9">
        <v>0.74</v>
      </c>
      <c r="G1670" s="10"/>
      <c r="H1670" s="10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ht="14.25" customHeight="1">
      <c r="A1671" s="4">
        <v>1670.0</v>
      </c>
      <c r="B1671" s="5"/>
      <c r="C1671" s="6" t="str">
        <f>HYPERLINK("https://leetcode.com/problems/design-front-middle-back-queue", "Design Front Middle Back Queue")</f>
        <v>Design Front Middle Back Queue</v>
      </c>
      <c r="D1671" s="7" t="s">
        <v>8</v>
      </c>
      <c r="E1671" s="8" t="s">
        <v>662</v>
      </c>
      <c r="F1671" s="9">
        <v>0.56</v>
      </c>
      <c r="G1671" s="10"/>
      <c r="H1671" s="10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ht="14.25" customHeight="1">
      <c r="A1672" s="4">
        <v>1671.0</v>
      </c>
      <c r="B1672" s="5"/>
      <c r="C1672" s="6" t="str">
        <f>HYPERLINK("https://leetcode.com/problems/minimum-number-of-removals-to-make-mountain-array", "Minimum Number of Removals to Make Mountain Array")</f>
        <v>Minimum Number of Removals to Make Mountain Array</v>
      </c>
      <c r="D1672" s="7" t="s">
        <v>11</v>
      </c>
      <c r="E1672" s="8" t="s">
        <v>245</v>
      </c>
      <c r="F1672" s="9">
        <v>0.42</v>
      </c>
      <c r="G1672" s="10"/>
      <c r="H1672" s="10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ht="14.25" customHeight="1">
      <c r="A1673" s="4">
        <v>1672.0</v>
      </c>
      <c r="B1673" s="5"/>
      <c r="C1673" s="6" t="str">
        <f>HYPERLINK("https://leetcode.com/problems/richest-customer-wealth", "Richest Customer Wealth")</f>
        <v>Richest Customer Wealth</v>
      </c>
      <c r="D1673" s="7" t="s">
        <v>6</v>
      </c>
      <c r="E1673" s="8" t="s">
        <v>251</v>
      </c>
      <c r="F1673" s="9">
        <v>0.88</v>
      </c>
      <c r="G1673" s="10"/>
      <c r="H1673" s="10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ht="14.25" customHeight="1">
      <c r="A1674" s="4">
        <v>1673.0</v>
      </c>
      <c r="B1674" s="5"/>
      <c r="C1674" s="6" t="str">
        <f>HYPERLINK("https://leetcode.com/problems/find-the-most-competitive-subsequence", "Find the Most Competitive Subsequence")</f>
        <v>Find the Most Competitive Subsequence</v>
      </c>
      <c r="D1674" s="7" t="s">
        <v>8</v>
      </c>
      <c r="E1674" s="8" t="s">
        <v>663</v>
      </c>
      <c r="F1674" s="9">
        <v>0.49</v>
      </c>
      <c r="G1674" s="10"/>
      <c r="H1674" s="10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ht="14.25" customHeight="1">
      <c r="A1675" s="4">
        <v>1674.0</v>
      </c>
      <c r="B1675" s="5"/>
      <c r="C1675" s="6" t="str">
        <f>HYPERLINK("https://leetcode.com/problems/minimum-moves-to-make-array-complementary", "Minimum Moves to Make Array Complementary")</f>
        <v>Minimum Moves to Make Array Complementary</v>
      </c>
      <c r="D1675" s="7" t="s">
        <v>8</v>
      </c>
      <c r="E1675" s="8" t="s">
        <v>191</v>
      </c>
      <c r="F1675" s="9">
        <v>0.38</v>
      </c>
      <c r="G1675" s="10"/>
      <c r="H1675" s="10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ht="14.25" customHeight="1">
      <c r="A1676" s="4">
        <v>1675.0</v>
      </c>
      <c r="B1676" s="5"/>
      <c r="C1676" s="6" t="str">
        <f>HYPERLINK("https://leetcode.com/problems/minimize-deviation-in-array", "Minimize Deviation in Array")</f>
        <v>Minimize Deviation in Array</v>
      </c>
      <c r="D1676" s="7" t="s">
        <v>11</v>
      </c>
      <c r="E1676" s="8" t="s">
        <v>645</v>
      </c>
      <c r="F1676" s="9">
        <v>0.52</v>
      </c>
      <c r="G1676" s="10"/>
      <c r="H1676" s="10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ht="14.25" customHeight="1">
      <c r="A1677" s="11">
        <v>1676.0</v>
      </c>
      <c r="B1677" s="5"/>
      <c r="C1677" s="12" t="str">
        <f>HYPERLINK("https://leetcode.com/problems/lowest-common-ancestor-of-a-binary-tree-iv", "Lowest Common Ancestor of a Binary Tree IV")</f>
        <v>Lowest Common Ancestor of a Binary Tree IV</v>
      </c>
      <c r="D1677" s="7" t="s">
        <v>8</v>
      </c>
      <c r="E1677" s="8" t="s">
        <v>69</v>
      </c>
      <c r="F1677" s="9">
        <v>0.79</v>
      </c>
      <c r="G1677" s="10"/>
      <c r="H1677" s="10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ht="14.25" customHeight="1">
      <c r="A1678" s="11">
        <v>1677.0</v>
      </c>
      <c r="B1678" s="5"/>
      <c r="C1678" s="12" t="str">
        <f>HYPERLINK("https://leetcode.com/problems/products-worth-over-invoices", "Product's Worth Over Invoices")</f>
        <v>Product's Worth Over Invoices</v>
      </c>
      <c r="D1678" s="7" t="s">
        <v>6</v>
      </c>
      <c r="E1678" s="8" t="s">
        <v>101</v>
      </c>
      <c r="F1678" s="9">
        <v>0.39</v>
      </c>
      <c r="G1678" s="10"/>
      <c r="H1678" s="10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ht="14.25" customHeight="1">
      <c r="A1679" s="4">
        <v>1678.0</v>
      </c>
      <c r="B1679" s="5"/>
      <c r="C1679" s="6" t="str">
        <f>HYPERLINK("https://leetcode.com/problems/goal-parser-interpretation", "Goal Parser Interpretation")</f>
        <v>Goal Parser Interpretation</v>
      </c>
      <c r="D1679" s="7" t="s">
        <v>6</v>
      </c>
      <c r="E1679" s="8" t="s">
        <v>14</v>
      </c>
      <c r="F1679" s="9">
        <v>0.86</v>
      </c>
      <c r="G1679" s="10"/>
      <c r="H1679" s="10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ht="14.25" customHeight="1">
      <c r="A1680" s="4">
        <v>1679.0</v>
      </c>
      <c r="B1680" s="5"/>
      <c r="C1680" s="6" t="str">
        <f>HYPERLINK("https://leetcode.com/problems/max-number-of-k-sum-pairs", "Max Number of K-Sum Pairs")</f>
        <v>Max Number of K-Sum Pairs</v>
      </c>
      <c r="D1680" s="7" t="s">
        <v>8</v>
      </c>
      <c r="E1680" s="8" t="s">
        <v>664</v>
      </c>
      <c r="F1680" s="9">
        <v>0.57</v>
      </c>
      <c r="G1680" s="10"/>
      <c r="H1680" s="10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ht="14.25" customHeight="1">
      <c r="A1681" s="4">
        <v>1680.0</v>
      </c>
      <c r="B1681" s="5"/>
      <c r="C1681" s="6" t="str">
        <f>HYPERLINK("https://leetcode.com/problems/concatenation-of-consecutive-binary-numbers", "Concatenation of Consecutive Binary Numbers")</f>
        <v>Concatenation of Consecutive Binary Numbers</v>
      </c>
      <c r="D1681" s="7" t="s">
        <v>8</v>
      </c>
      <c r="E1681" s="8" t="s">
        <v>665</v>
      </c>
      <c r="F1681" s="9">
        <v>0.56</v>
      </c>
      <c r="G1681" s="10"/>
      <c r="H1681" s="10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ht="14.25" customHeight="1">
      <c r="A1682" s="4">
        <v>1681.0</v>
      </c>
      <c r="B1682" s="5"/>
      <c r="C1682" s="6" t="str">
        <f>HYPERLINK("https://leetcode.com/problems/minimum-incompatibility", "Minimum Incompatibility")</f>
        <v>Minimum Incompatibility</v>
      </c>
      <c r="D1682" s="7" t="s">
        <v>11</v>
      </c>
      <c r="E1682" s="8" t="s">
        <v>503</v>
      </c>
      <c r="F1682" s="9">
        <v>0.37</v>
      </c>
      <c r="G1682" s="10"/>
      <c r="H1682" s="10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ht="14.25" customHeight="1">
      <c r="A1683" s="11">
        <v>1682.0</v>
      </c>
      <c r="B1683" s="5"/>
      <c r="C1683" s="12" t="str">
        <f>HYPERLINK("https://leetcode.com/problems/longest-palindromic-subsequence-ii", "Longest Palindromic Subsequence II")</f>
        <v>Longest Palindromic Subsequence II</v>
      </c>
      <c r="D1683" s="7" t="s">
        <v>8</v>
      </c>
      <c r="E1683" s="8" t="s">
        <v>13</v>
      </c>
      <c r="F1683" s="9">
        <v>0.49</v>
      </c>
      <c r="G1683" s="10"/>
      <c r="H1683" s="10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ht="14.25" customHeight="1">
      <c r="A1684" s="11">
        <v>1683.0</v>
      </c>
      <c r="B1684" s="5"/>
      <c r="C1684" s="12" t="str">
        <f>HYPERLINK("https://leetcode.com/problems/invalid-tweets", "Invalid Tweets")</f>
        <v>Invalid Tweets</v>
      </c>
      <c r="D1684" s="7" t="s">
        <v>6</v>
      </c>
      <c r="E1684" s="8" t="s">
        <v>101</v>
      </c>
      <c r="F1684" s="9">
        <v>0.9</v>
      </c>
      <c r="G1684" s="10"/>
      <c r="H1684" s="10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ht="14.25" customHeight="1">
      <c r="A1685" s="4">
        <v>1684.0</v>
      </c>
      <c r="B1685" s="5"/>
      <c r="C1685" s="6" t="str">
        <f>HYPERLINK("https://leetcode.com/problems/count-the-number-of-consistent-strings", "Count the Number of Consistent Strings")</f>
        <v>Count the Number of Consistent Strings</v>
      </c>
      <c r="D1685" s="7" t="s">
        <v>6</v>
      </c>
      <c r="E1685" s="8" t="s">
        <v>666</v>
      </c>
      <c r="F1685" s="9">
        <v>0.81</v>
      </c>
      <c r="G1685" s="10"/>
      <c r="H1685" s="10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ht="14.25" customHeight="1">
      <c r="A1686" s="4">
        <v>1685.0</v>
      </c>
      <c r="B1686" s="5"/>
      <c r="C1686" s="6" t="str">
        <f>HYPERLINK("https://leetcode.com/problems/sum-of-absolute-differences-in-a-sorted-array", "Sum of Absolute Differences in a Sorted Array")</f>
        <v>Sum of Absolute Differences in a Sorted Array</v>
      </c>
      <c r="D1686" s="7" t="s">
        <v>8</v>
      </c>
      <c r="E1686" s="8" t="s">
        <v>638</v>
      </c>
      <c r="F1686" s="9">
        <v>0.64</v>
      </c>
      <c r="G1686" s="10"/>
      <c r="H1686" s="10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ht="14.25" customHeight="1">
      <c r="A1687" s="4">
        <v>1686.0</v>
      </c>
      <c r="B1687" s="5"/>
      <c r="C1687" s="6" t="str">
        <f>HYPERLINK("https://leetcode.com/problems/stone-game-vi", "Stone Game VI")</f>
        <v>Stone Game VI</v>
      </c>
      <c r="D1687" s="7" t="s">
        <v>8</v>
      </c>
      <c r="E1687" s="8" t="s">
        <v>667</v>
      </c>
      <c r="F1687" s="9">
        <v>0.54</v>
      </c>
      <c r="G1687" s="10"/>
      <c r="H1687" s="10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ht="14.25" customHeight="1">
      <c r="A1688" s="4">
        <v>1687.0</v>
      </c>
      <c r="B1688" s="5"/>
      <c r="C1688" s="6" t="str">
        <f>HYPERLINK("https://leetcode.com/problems/delivering-boxes-from-storage-to-ports", "Delivering Boxes from Storage to Ports")</f>
        <v>Delivering Boxes from Storage to Ports</v>
      </c>
      <c r="D1688" s="7" t="s">
        <v>11</v>
      </c>
      <c r="E1688" s="8" t="s">
        <v>668</v>
      </c>
      <c r="F1688" s="9">
        <v>0.38</v>
      </c>
      <c r="G1688" s="10"/>
      <c r="H1688" s="10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ht="14.25" customHeight="1">
      <c r="A1689" s="4">
        <v>1688.0</v>
      </c>
      <c r="B1689" s="5"/>
      <c r="C1689" s="6" t="str">
        <f>HYPERLINK("https://leetcode.com/problems/count-of-matches-in-tournament", "Count of Matches in Tournament")</f>
        <v>Count of Matches in Tournament</v>
      </c>
      <c r="D1689" s="7" t="s">
        <v>6</v>
      </c>
      <c r="E1689" s="8" t="s">
        <v>498</v>
      </c>
      <c r="F1689" s="9">
        <v>0.83</v>
      </c>
      <c r="G1689" s="10"/>
      <c r="H1689" s="10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ht="14.25" customHeight="1">
      <c r="A1690" s="4">
        <v>1689.0</v>
      </c>
      <c r="B1690" s="5"/>
      <c r="C1690" s="6" t="str">
        <f>HYPERLINK("https://leetcode.com/problems/partitioning-into-minimum-number-of-deci-binary-numbers", "Partitioning Into Minimum Number Of Deci-Binary Numbers")</f>
        <v>Partitioning Into Minimum Number Of Deci-Binary Numbers</v>
      </c>
      <c r="D1690" s="7" t="s">
        <v>8</v>
      </c>
      <c r="E1690" s="8" t="s">
        <v>465</v>
      </c>
      <c r="F1690" s="9">
        <v>0.89</v>
      </c>
      <c r="G1690" s="10"/>
      <c r="H1690" s="10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ht="14.25" customHeight="1">
      <c r="A1691" s="4">
        <v>1690.0</v>
      </c>
      <c r="B1691" s="5"/>
      <c r="C1691" s="6" t="str">
        <f>HYPERLINK("https://leetcode.com/problems/stone-game-vii", "Stone Game VII")</f>
        <v>Stone Game VII</v>
      </c>
      <c r="D1691" s="7" t="s">
        <v>8</v>
      </c>
      <c r="E1691" s="8" t="s">
        <v>423</v>
      </c>
      <c r="F1691" s="9">
        <v>0.58</v>
      </c>
      <c r="G1691" s="10"/>
      <c r="H1691" s="10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ht="14.25" customHeight="1">
      <c r="A1692" s="4">
        <v>1691.0</v>
      </c>
      <c r="B1692" s="5"/>
      <c r="C1692" s="6" t="str">
        <f>HYPERLINK("https://leetcode.com/problems/maximum-height-by-stacking-cuboids", "Maximum Height by Stacking Cuboids ")</f>
        <v>Maximum Height by Stacking Cuboids </v>
      </c>
      <c r="D1692" s="7" t="s">
        <v>11</v>
      </c>
      <c r="E1692" s="8" t="s">
        <v>561</v>
      </c>
      <c r="F1692" s="9">
        <v>0.54</v>
      </c>
      <c r="G1692" s="10"/>
      <c r="H1692" s="10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ht="14.25" customHeight="1">
      <c r="A1693" s="11">
        <v>1692.0</v>
      </c>
      <c r="B1693" s="5"/>
      <c r="C1693" s="12" t="str">
        <f>HYPERLINK("https://leetcode.com/problems/count-ways-to-distribute-candies", "Count Ways to Distribute Candies")</f>
        <v>Count Ways to Distribute Candies</v>
      </c>
      <c r="D1693" s="7" t="s">
        <v>11</v>
      </c>
      <c r="E1693" s="8" t="s">
        <v>156</v>
      </c>
      <c r="F1693" s="9">
        <v>0.62</v>
      </c>
      <c r="G1693" s="10"/>
      <c r="H1693" s="10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ht="14.25" customHeight="1">
      <c r="A1694" s="4">
        <v>1693.0</v>
      </c>
      <c r="B1694" s="5"/>
      <c r="C1694" s="6" t="str">
        <f>HYPERLINK("https://leetcode.com/problems/daily-leads-and-partners", "Daily Leads and Partners")</f>
        <v>Daily Leads and Partners</v>
      </c>
      <c r="D1694" s="7" t="s">
        <v>6</v>
      </c>
      <c r="E1694" s="8" t="s">
        <v>101</v>
      </c>
      <c r="F1694" s="9">
        <v>0.89</v>
      </c>
      <c r="G1694" s="10"/>
      <c r="H1694" s="10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ht="14.25" customHeight="1">
      <c r="A1695" s="4">
        <v>1694.0</v>
      </c>
      <c r="B1695" s="5"/>
      <c r="C1695" s="6" t="str">
        <f>HYPERLINK("https://leetcode.com/problems/reformat-phone-number", "Reformat Phone Number")</f>
        <v>Reformat Phone Number</v>
      </c>
      <c r="D1695" s="7" t="s">
        <v>6</v>
      </c>
      <c r="E1695" s="8" t="s">
        <v>14</v>
      </c>
      <c r="F1695" s="9">
        <v>0.64</v>
      </c>
      <c r="G1695" s="10"/>
      <c r="H1695" s="10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ht="14.25" customHeight="1">
      <c r="A1696" s="4">
        <v>1695.0</v>
      </c>
      <c r="B1696" s="5"/>
      <c r="C1696" s="6" t="str">
        <f>HYPERLINK("https://leetcode.com/problems/maximum-erasure-value", "Maximum Erasure Value")</f>
        <v>Maximum Erasure Value</v>
      </c>
      <c r="D1696" s="7" t="s">
        <v>8</v>
      </c>
      <c r="E1696" s="8" t="s">
        <v>120</v>
      </c>
      <c r="F1696" s="9">
        <v>0.57</v>
      </c>
      <c r="G1696" s="10"/>
      <c r="H1696" s="10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ht="14.25" customHeight="1">
      <c r="A1697" s="4">
        <v>1696.0</v>
      </c>
      <c r="B1697" s="5"/>
      <c r="C1697" s="6" t="str">
        <f>HYPERLINK("https://leetcode.com/problems/jump-game-vi", "Jump Game VI")</f>
        <v>Jump Game VI</v>
      </c>
      <c r="D1697" s="7" t="s">
        <v>8</v>
      </c>
      <c r="E1697" s="8" t="s">
        <v>584</v>
      </c>
      <c r="F1697" s="9">
        <v>0.46</v>
      </c>
      <c r="G1697" s="10"/>
      <c r="H1697" s="10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ht="14.25" customHeight="1">
      <c r="A1698" s="4">
        <v>1697.0</v>
      </c>
      <c r="B1698" s="5"/>
      <c r="C1698" s="6" t="str">
        <f>HYPERLINK("https://leetcode.com/problems/checking-existence-of-edge-length-limited-paths", "Checking Existence of Edge Length Limited Paths")</f>
        <v>Checking Existence of Edge Length Limited Paths</v>
      </c>
      <c r="D1698" s="7" t="s">
        <v>11</v>
      </c>
      <c r="E1698" s="8" t="s">
        <v>669</v>
      </c>
      <c r="F1698" s="9">
        <v>0.5</v>
      </c>
      <c r="G1698" s="10"/>
      <c r="H1698" s="10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ht="14.25" customHeight="1">
      <c r="A1699" s="11">
        <v>1698.0</v>
      </c>
      <c r="B1699" s="5"/>
      <c r="C1699" s="12" t="str">
        <f>HYPERLINK("https://leetcode.com/problems/number-of-distinct-substrings-in-a-string", "Number of Distinct Substrings in a String")</f>
        <v>Number of Distinct Substrings in a String</v>
      </c>
      <c r="D1699" s="7" t="s">
        <v>8</v>
      </c>
      <c r="E1699" s="8" t="s">
        <v>670</v>
      </c>
      <c r="F1699" s="9">
        <v>0.63</v>
      </c>
      <c r="G1699" s="10"/>
      <c r="H1699" s="10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ht="14.25" customHeight="1">
      <c r="A1700" s="11">
        <v>1699.0</v>
      </c>
      <c r="B1700" s="5"/>
      <c r="C1700" s="12" t="str">
        <f>HYPERLINK("https://leetcode.com/problems/number-of-calls-between-two-persons", "Number of Calls Between Two Persons")</f>
        <v>Number of Calls Between Two Persons</v>
      </c>
      <c r="D1700" s="7" t="s">
        <v>8</v>
      </c>
      <c r="E1700" s="8" t="s">
        <v>101</v>
      </c>
      <c r="F1700" s="9">
        <v>0.85</v>
      </c>
      <c r="G1700" s="10"/>
      <c r="H1700" s="10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ht="14.25" customHeight="1">
      <c r="A1701" s="4">
        <v>1700.0</v>
      </c>
      <c r="B1701" s="5"/>
      <c r="C1701" s="6" t="str">
        <f>HYPERLINK("https://leetcode.com/problems/number-of-students-unable-to-eat-lunch", "Number of Students Unable to Eat Lunch")</f>
        <v>Number of Students Unable to Eat Lunch</v>
      </c>
      <c r="D1701" s="7" t="s">
        <v>6</v>
      </c>
      <c r="E1701" s="8" t="s">
        <v>671</v>
      </c>
      <c r="F1701" s="9">
        <v>0.67</v>
      </c>
      <c r="G1701" s="10"/>
      <c r="H1701" s="10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ht="14.25" customHeight="1">
      <c r="A1702" s="4">
        <v>1701.0</v>
      </c>
      <c r="B1702" s="5"/>
      <c r="C1702" s="6" t="str">
        <f>HYPERLINK("https://leetcode.com/problems/average-waiting-time", "Average Waiting Time")</f>
        <v>Average Waiting Time</v>
      </c>
      <c r="D1702" s="7" t="s">
        <v>8</v>
      </c>
      <c r="E1702" s="8" t="s">
        <v>288</v>
      </c>
      <c r="F1702" s="9">
        <v>0.62</v>
      </c>
      <c r="G1702" s="10"/>
      <c r="H1702" s="10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ht="14.25" customHeight="1">
      <c r="A1703" s="4">
        <v>1702.0</v>
      </c>
      <c r="B1703" s="5"/>
      <c r="C1703" s="6" t="str">
        <f>HYPERLINK("https://leetcode.com/problems/maximum-binary-string-after-change", "Maximum Binary String After Change")</f>
        <v>Maximum Binary String After Change</v>
      </c>
      <c r="D1703" s="7" t="s">
        <v>8</v>
      </c>
      <c r="E1703" s="8" t="s">
        <v>465</v>
      </c>
      <c r="F1703" s="9">
        <v>0.46</v>
      </c>
      <c r="G1703" s="10"/>
      <c r="H1703" s="10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ht="14.25" customHeight="1">
      <c r="A1704" s="4">
        <v>1703.0</v>
      </c>
      <c r="B1704" s="5"/>
      <c r="C1704" s="6" t="str">
        <f>HYPERLINK("https://leetcode.com/problems/minimum-adjacent-swaps-for-k-consecutive-ones", "Minimum Adjacent Swaps for K Consecutive Ones")</f>
        <v>Minimum Adjacent Swaps for K Consecutive Ones</v>
      </c>
      <c r="D1704" s="7" t="s">
        <v>11</v>
      </c>
      <c r="E1704" s="8" t="s">
        <v>672</v>
      </c>
      <c r="F1704" s="9">
        <v>0.42</v>
      </c>
      <c r="G1704" s="10"/>
      <c r="H1704" s="10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ht="14.25" customHeight="1">
      <c r="A1705" s="4">
        <v>1704.0</v>
      </c>
      <c r="B1705" s="5"/>
      <c r="C1705" s="6" t="str">
        <f>HYPERLINK("https://leetcode.com/problems/determine-if-string-halves-are-alike", "Determine if String Halves Are Alike")</f>
        <v>Determine if String Halves Are Alike</v>
      </c>
      <c r="D1705" s="7" t="s">
        <v>6</v>
      </c>
      <c r="E1705" s="8" t="s">
        <v>582</v>
      </c>
      <c r="F1705" s="9">
        <v>0.77</v>
      </c>
      <c r="G1705" s="10"/>
      <c r="H1705" s="10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ht="14.25" customHeight="1">
      <c r="A1706" s="4">
        <v>1705.0</v>
      </c>
      <c r="B1706" s="5"/>
      <c r="C1706" s="6" t="str">
        <f>HYPERLINK("https://leetcode.com/problems/maximum-number-of-eaten-apples", "Maximum Number of Eaten Apples")</f>
        <v>Maximum Number of Eaten Apples</v>
      </c>
      <c r="D1706" s="7" t="s">
        <v>8</v>
      </c>
      <c r="E1706" s="8" t="s">
        <v>326</v>
      </c>
      <c r="F1706" s="9">
        <v>0.37</v>
      </c>
      <c r="G1706" s="10"/>
      <c r="H1706" s="10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ht="14.25" customHeight="1">
      <c r="A1707" s="4">
        <v>1706.0</v>
      </c>
      <c r="B1707" s="5"/>
      <c r="C1707" s="6" t="str">
        <f>HYPERLINK("https://leetcode.com/problems/where-will-the-ball-fall", "Where Will the Ball Fall")</f>
        <v>Where Will the Ball Fall</v>
      </c>
      <c r="D1707" s="7" t="s">
        <v>8</v>
      </c>
      <c r="E1707" s="8" t="s">
        <v>673</v>
      </c>
      <c r="F1707" s="9">
        <v>0.71</v>
      </c>
      <c r="G1707" s="10"/>
      <c r="H1707" s="10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ht="14.25" customHeight="1">
      <c r="A1708" s="4">
        <v>1707.0</v>
      </c>
      <c r="B1708" s="5"/>
      <c r="C1708" s="6" t="str">
        <f>HYPERLINK("https://leetcode.com/problems/maximum-xor-with-an-element-from-array", "Maximum XOR With an Element From Array")</f>
        <v>Maximum XOR With an Element From Array</v>
      </c>
      <c r="D1708" s="7" t="s">
        <v>11</v>
      </c>
      <c r="E1708" s="8" t="s">
        <v>674</v>
      </c>
      <c r="F1708" s="9">
        <v>0.44</v>
      </c>
      <c r="G1708" s="10"/>
      <c r="H1708" s="10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ht="14.25" customHeight="1">
      <c r="A1709" s="11">
        <v>1708.0</v>
      </c>
      <c r="B1709" s="5"/>
      <c r="C1709" s="12" t="str">
        <f>HYPERLINK("https://leetcode.com/problems/largest-subarray-length-k", "Largest Subarray Length K")</f>
        <v>Largest Subarray Length K</v>
      </c>
      <c r="D1709" s="7" t="s">
        <v>6</v>
      </c>
      <c r="E1709" s="8" t="s">
        <v>81</v>
      </c>
      <c r="F1709" s="9">
        <v>0.63</v>
      </c>
      <c r="G1709" s="10"/>
      <c r="H1709" s="10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ht="14.25" customHeight="1">
      <c r="A1710" s="11">
        <v>1709.0</v>
      </c>
      <c r="B1710" s="5"/>
      <c r="C1710" s="12" t="str">
        <f>HYPERLINK("https://leetcode.com/problems/biggest-window-between-visits", "Biggest Window Between Visits")</f>
        <v>Biggest Window Between Visits</v>
      </c>
      <c r="D1710" s="7" t="s">
        <v>8</v>
      </c>
      <c r="E1710" s="8" t="s">
        <v>101</v>
      </c>
      <c r="F1710" s="9">
        <v>0.77</v>
      </c>
      <c r="G1710" s="10"/>
      <c r="H1710" s="10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ht="14.25" customHeight="1">
      <c r="A1711" s="4">
        <v>1710.0</v>
      </c>
      <c r="B1711" s="5"/>
      <c r="C1711" s="6" t="str">
        <f>HYPERLINK("https://leetcode.com/problems/maximum-units-on-a-truck", "Maximum Units on a Truck")</f>
        <v>Maximum Units on a Truck</v>
      </c>
      <c r="D1711" s="7" t="s">
        <v>6</v>
      </c>
      <c r="E1711" s="8" t="s">
        <v>160</v>
      </c>
      <c r="F1711" s="9">
        <v>0.73</v>
      </c>
      <c r="G1711" s="10"/>
      <c r="H1711" s="10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ht="14.25" customHeight="1">
      <c r="A1712" s="4">
        <v>1711.0</v>
      </c>
      <c r="B1712" s="5"/>
      <c r="C1712" s="6" t="str">
        <f>HYPERLINK("https://leetcode.com/problems/count-good-meals", "Count Good Meals")</f>
        <v>Count Good Meals</v>
      </c>
      <c r="D1712" s="7" t="s">
        <v>8</v>
      </c>
      <c r="E1712" s="8" t="s">
        <v>7</v>
      </c>
      <c r="F1712" s="9">
        <v>0.29</v>
      </c>
      <c r="G1712" s="10"/>
      <c r="H1712" s="10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ht="14.25" customHeight="1">
      <c r="A1713" s="4">
        <v>1712.0</v>
      </c>
      <c r="B1713" s="5"/>
      <c r="C1713" s="6" t="str">
        <f>HYPERLINK("https://leetcode.com/problems/ways-to-split-array-into-three-subarrays", "Ways to Split Array Into Three Subarrays")</f>
        <v>Ways to Split Array Into Three Subarrays</v>
      </c>
      <c r="D1713" s="7" t="s">
        <v>8</v>
      </c>
      <c r="E1713" s="8" t="s">
        <v>675</v>
      </c>
      <c r="F1713" s="9">
        <v>0.32</v>
      </c>
      <c r="G1713" s="10"/>
      <c r="H1713" s="10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ht="14.25" customHeight="1">
      <c r="A1714" s="4">
        <v>1713.0</v>
      </c>
      <c r="B1714" s="5"/>
      <c r="C1714" s="6" t="str">
        <f>HYPERLINK("https://leetcode.com/problems/minimum-operations-to-make-a-subsequence", "Minimum Operations to Make a Subsequence")</f>
        <v>Minimum Operations to Make a Subsequence</v>
      </c>
      <c r="D1714" s="7" t="s">
        <v>11</v>
      </c>
      <c r="E1714" s="8" t="s">
        <v>676</v>
      </c>
      <c r="F1714" s="9">
        <v>0.49</v>
      </c>
      <c r="G1714" s="10"/>
      <c r="H1714" s="10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ht="14.25" customHeight="1">
      <c r="A1715" s="11">
        <v>1714.0</v>
      </c>
      <c r="B1715" s="5"/>
      <c r="C1715" s="12" t="str">
        <f>HYPERLINK("https://leetcode.com/problems/sum-of-special-evenly-spaced-elements-in-array", "Sum Of Special Evenly-Spaced Elements In Array")</f>
        <v>Sum Of Special Evenly-Spaced Elements In Array</v>
      </c>
      <c r="D1715" s="7" t="s">
        <v>11</v>
      </c>
      <c r="E1715" s="8" t="s">
        <v>73</v>
      </c>
      <c r="F1715" s="9">
        <v>0.49</v>
      </c>
      <c r="G1715" s="10"/>
      <c r="H1715" s="10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ht="14.25" customHeight="1">
      <c r="A1716" s="11">
        <v>1715.0</v>
      </c>
      <c r="B1716" s="5"/>
      <c r="C1716" s="12" t="str">
        <f>HYPERLINK("https://leetcode.com/problems/count-apples-and-oranges", "Count Apples and Oranges")</f>
        <v>Count Apples and Oranges</v>
      </c>
      <c r="D1716" s="7" t="s">
        <v>8</v>
      </c>
      <c r="E1716" s="8" t="s">
        <v>101</v>
      </c>
      <c r="F1716" s="9">
        <v>0.76</v>
      </c>
      <c r="G1716" s="10"/>
      <c r="H1716" s="10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ht="14.25" customHeight="1">
      <c r="A1717" s="4">
        <v>1716.0</v>
      </c>
      <c r="B1717" s="5"/>
      <c r="C1717" s="6" t="str">
        <f>HYPERLINK("https://leetcode.com/problems/calculate-money-in-leetcode-bank", "Calculate Money in Leetcode Bank")</f>
        <v>Calculate Money in Leetcode Bank</v>
      </c>
      <c r="D1717" s="7" t="s">
        <v>6</v>
      </c>
      <c r="E1717" s="8" t="s">
        <v>15</v>
      </c>
      <c r="F1717" s="9">
        <v>0.65</v>
      </c>
      <c r="G1717" s="10"/>
      <c r="H1717" s="10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ht="14.25" customHeight="1">
      <c r="A1718" s="4">
        <v>1717.0</v>
      </c>
      <c r="B1718" s="5"/>
      <c r="C1718" s="6" t="str">
        <f>HYPERLINK("https://leetcode.com/problems/maximum-score-from-removing-substrings", "Maximum Score From Removing Substrings")</f>
        <v>Maximum Score From Removing Substrings</v>
      </c>
      <c r="D1718" s="7" t="s">
        <v>8</v>
      </c>
      <c r="E1718" s="8" t="s">
        <v>444</v>
      </c>
      <c r="F1718" s="9">
        <v>0.46</v>
      </c>
      <c r="G1718" s="10"/>
      <c r="H1718" s="10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ht="14.25" customHeight="1">
      <c r="A1719" s="4">
        <v>1718.0</v>
      </c>
      <c r="B1719" s="5"/>
      <c r="C1719" s="6" t="str">
        <f>HYPERLINK("https://leetcode.com/problems/construct-the-lexicographically-largest-valid-sequence", "Construct the Lexicographically Largest Valid Sequence")</f>
        <v>Construct the Lexicographically Largest Valid Sequence</v>
      </c>
      <c r="D1719" s="7" t="s">
        <v>8</v>
      </c>
      <c r="E1719" s="8" t="s">
        <v>33</v>
      </c>
      <c r="F1719" s="9">
        <v>0.51</v>
      </c>
      <c r="G1719" s="10"/>
      <c r="H1719" s="10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ht="14.25" customHeight="1">
      <c r="A1720" s="4">
        <v>1719.0</v>
      </c>
      <c r="B1720" s="5"/>
      <c r="C1720" s="6" t="str">
        <f>HYPERLINK("https://leetcode.com/problems/number-of-ways-to-reconstruct-a-tree", "Number Of Ways To Reconstruct A Tree")</f>
        <v>Number Of Ways To Reconstruct A Tree</v>
      </c>
      <c r="D1720" s="7" t="s">
        <v>11</v>
      </c>
      <c r="E1720" s="8" t="s">
        <v>677</v>
      </c>
      <c r="F1720" s="9">
        <v>0.43</v>
      </c>
      <c r="G1720" s="10"/>
      <c r="H1720" s="10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ht="14.25" customHeight="1">
      <c r="A1721" s="4">
        <v>1720.0</v>
      </c>
      <c r="B1721" s="5"/>
      <c r="C1721" s="6" t="str">
        <f>HYPERLINK("https://leetcode.com/problems/decode-xored-array", "Decode XORed Array")</f>
        <v>Decode XORed Array</v>
      </c>
      <c r="D1721" s="7" t="s">
        <v>6</v>
      </c>
      <c r="E1721" s="8" t="s">
        <v>82</v>
      </c>
      <c r="F1721" s="9">
        <v>0.85</v>
      </c>
      <c r="G1721" s="10"/>
      <c r="H1721" s="10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ht="14.25" customHeight="1">
      <c r="A1722" s="4">
        <v>1721.0</v>
      </c>
      <c r="B1722" s="5"/>
      <c r="C1722" s="6" t="str">
        <f>HYPERLINK("https://leetcode.com/problems/swapping-nodes-in-a-linked-list", "Swapping Nodes in a Linked List")</f>
        <v>Swapping Nodes in a Linked List</v>
      </c>
      <c r="D1722" s="7" t="s">
        <v>8</v>
      </c>
      <c r="E1722" s="8" t="s">
        <v>21</v>
      </c>
      <c r="F1722" s="9">
        <v>0.67</v>
      </c>
      <c r="G1722" s="10"/>
      <c r="H1722" s="10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ht="14.25" customHeight="1">
      <c r="A1723" s="4">
        <v>1722.0</v>
      </c>
      <c r="B1723" s="5"/>
      <c r="C1723" s="6" t="str">
        <f>HYPERLINK("https://leetcode.com/problems/minimize-hamming-distance-after-swap-operations", "Minimize Hamming Distance After Swap Operations")</f>
        <v>Minimize Hamming Distance After Swap Operations</v>
      </c>
      <c r="D1723" s="7" t="s">
        <v>8</v>
      </c>
      <c r="E1723" s="8" t="s">
        <v>678</v>
      </c>
      <c r="F1723" s="9">
        <v>0.48</v>
      </c>
      <c r="G1723" s="10"/>
      <c r="H1723" s="10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ht="14.25" customHeight="1">
      <c r="A1724" s="4">
        <v>1723.0</v>
      </c>
      <c r="B1724" s="5"/>
      <c r="C1724" s="6" t="str">
        <f>HYPERLINK("https://leetcode.com/problems/find-minimum-time-to-finish-all-jobs", "Find Minimum Time to Finish All Jobs")</f>
        <v>Find Minimum Time to Finish All Jobs</v>
      </c>
      <c r="D1724" s="7" t="s">
        <v>11</v>
      </c>
      <c r="E1724" s="8" t="s">
        <v>273</v>
      </c>
      <c r="F1724" s="9">
        <v>0.42</v>
      </c>
      <c r="G1724" s="10"/>
      <c r="H1724" s="10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ht="14.25" customHeight="1">
      <c r="A1725" s="11">
        <v>1724.0</v>
      </c>
      <c r="B1725" s="5"/>
      <c r="C1725" s="12" t="str">
        <f>HYPERLINK("https://leetcode.com/problems/checking-existence-of-edge-length-limited-paths-ii", "Checking Existence of Edge Length Limited Paths II")</f>
        <v>Checking Existence of Edge Length Limited Paths II</v>
      </c>
      <c r="D1725" s="7" t="s">
        <v>11</v>
      </c>
      <c r="E1725" s="8" t="s">
        <v>511</v>
      </c>
      <c r="F1725" s="9">
        <v>0.51</v>
      </c>
      <c r="G1725" s="10"/>
      <c r="H1725" s="10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ht="14.25" customHeight="1">
      <c r="A1726" s="4">
        <v>1725.0</v>
      </c>
      <c r="B1726" s="5"/>
      <c r="C1726" s="6" t="str">
        <f>HYPERLINK("https://leetcode.com/problems/number-of-rectangles-that-can-form-the-largest-square", "Number Of Rectangles That Can Form The Largest Square")</f>
        <v>Number Of Rectangles That Can Form The Largest Square</v>
      </c>
      <c r="D1726" s="7" t="s">
        <v>6</v>
      </c>
      <c r="E1726" s="8" t="s">
        <v>45</v>
      </c>
      <c r="F1726" s="9">
        <v>0.78</v>
      </c>
      <c r="G1726" s="10"/>
      <c r="H1726" s="10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ht="14.25" customHeight="1">
      <c r="A1727" s="4">
        <v>1726.0</v>
      </c>
      <c r="B1727" s="5"/>
      <c r="C1727" s="6" t="str">
        <f>HYPERLINK("https://leetcode.com/problems/tuple-with-same-product", "Tuple with Same Product")</f>
        <v>Tuple with Same Product</v>
      </c>
      <c r="D1727" s="7" t="s">
        <v>8</v>
      </c>
      <c r="E1727" s="8" t="s">
        <v>7</v>
      </c>
      <c r="F1727" s="9">
        <v>0.6</v>
      </c>
      <c r="G1727" s="10"/>
      <c r="H1727" s="10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ht="14.25" customHeight="1">
      <c r="A1728" s="4">
        <v>1727.0</v>
      </c>
      <c r="B1728" s="5"/>
      <c r="C1728" s="6" t="str">
        <f>HYPERLINK("https://leetcode.com/problems/largest-submatrix-with-rearrangements", "Largest Submatrix With Rearrangements")</f>
        <v>Largest Submatrix With Rearrangements</v>
      </c>
      <c r="D1728" s="7" t="s">
        <v>8</v>
      </c>
      <c r="E1728" s="8" t="s">
        <v>679</v>
      </c>
      <c r="F1728" s="9">
        <v>0.61</v>
      </c>
      <c r="G1728" s="10"/>
      <c r="H1728" s="10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ht="14.25" customHeight="1">
      <c r="A1729" s="4">
        <v>1728.0</v>
      </c>
      <c r="B1729" s="5"/>
      <c r="C1729" s="6" t="str">
        <f>HYPERLINK("https://leetcode.com/problems/cat-and-mouse-ii", "Cat and Mouse II")</f>
        <v>Cat and Mouse II</v>
      </c>
      <c r="D1729" s="7" t="s">
        <v>11</v>
      </c>
      <c r="E1729" s="8" t="s">
        <v>680</v>
      </c>
      <c r="F1729" s="9">
        <v>0.4</v>
      </c>
      <c r="G1729" s="10"/>
      <c r="H1729" s="10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ht="14.25" customHeight="1">
      <c r="A1730" s="4">
        <v>1729.0</v>
      </c>
      <c r="B1730" s="5"/>
      <c r="C1730" s="6" t="str">
        <f>HYPERLINK("https://leetcode.com/problems/find-followers-count", "Find Followers Count")</f>
        <v>Find Followers Count</v>
      </c>
      <c r="D1730" s="7" t="s">
        <v>6</v>
      </c>
      <c r="E1730" s="8" t="s">
        <v>101</v>
      </c>
      <c r="F1730" s="9">
        <v>0.71</v>
      </c>
      <c r="G1730" s="10"/>
      <c r="H1730" s="10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ht="14.25" customHeight="1">
      <c r="A1731" s="11">
        <v>1730.0</v>
      </c>
      <c r="B1731" s="5"/>
      <c r="C1731" s="12" t="str">
        <f>HYPERLINK("https://leetcode.com/problems/shortest-path-to-get-food", "Shortest Path to Get Food")</f>
        <v>Shortest Path to Get Food</v>
      </c>
      <c r="D1731" s="7" t="s">
        <v>8</v>
      </c>
      <c r="E1731" s="8" t="s">
        <v>164</v>
      </c>
      <c r="F1731" s="9">
        <v>0.54</v>
      </c>
      <c r="G1731" s="10"/>
      <c r="H1731" s="10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ht="14.25" customHeight="1">
      <c r="A1732" s="11">
        <v>1731.0</v>
      </c>
      <c r="B1732" s="5"/>
      <c r="C1732" s="12" t="str">
        <f>HYPERLINK("https://leetcode.com/problems/the-number-of-employees-which-report-to-each-employee", "The Number of Employees Which Report to Each Employee")</f>
        <v>The Number of Employees Which Report to Each Employee</v>
      </c>
      <c r="D1732" s="7" t="s">
        <v>6</v>
      </c>
      <c r="E1732" s="8" t="s">
        <v>101</v>
      </c>
      <c r="F1732" s="9">
        <v>0.5</v>
      </c>
      <c r="G1732" s="10"/>
      <c r="H1732" s="10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ht="14.25" customHeight="1">
      <c r="A1733" s="4">
        <v>1732.0</v>
      </c>
      <c r="B1733" s="5"/>
      <c r="C1733" s="6" t="str">
        <f>HYPERLINK("https://leetcode.com/problems/find-the-highest-altitude", "Find the Highest Altitude")</f>
        <v>Find the Highest Altitude</v>
      </c>
      <c r="D1733" s="7" t="s">
        <v>6</v>
      </c>
      <c r="E1733" s="8" t="s">
        <v>130</v>
      </c>
      <c r="F1733" s="9">
        <v>0.78</v>
      </c>
      <c r="G1733" s="10"/>
      <c r="H1733" s="10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ht="14.25" customHeight="1">
      <c r="A1734" s="4">
        <v>1733.0</v>
      </c>
      <c r="B1734" s="5"/>
      <c r="C1734" s="6" t="str">
        <f>HYPERLINK("https://leetcode.com/problems/minimum-number-of-people-to-teach", "Minimum Number of People to Teach")</f>
        <v>Minimum Number of People to Teach</v>
      </c>
      <c r="D1734" s="7" t="s">
        <v>8</v>
      </c>
      <c r="E1734" s="8" t="s">
        <v>81</v>
      </c>
      <c r="F1734" s="9">
        <v>0.41</v>
      </c>
      <c r="G1734" s="10"/>
      <c r="H1734" s="10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ht="14.25" customHeight="1">
      <c r="A1735" s="4">
        <v>1734.0</v>
      </c>
      <c r="B1735" s="5"/>
      <c r="C1735" s="6" t="str">
        <f>HYPERLINK("https://leetcode.com/problems/decode-xored-permutation", "Decode XORed Permutation")</f>
        <v>Decode XORed Permutation</v>
      </c>
      <c r="D1735" s="7" t="s">
        <v>8</v>
      </c>
      <c r="E1735" s="8" t="s">
        <v>82</v>
      </c>
      <c r="F1735" s="9">
        <v>0.62</v>
      </c>
      <c r="G1735" s="10"/>
      <c r="H1735" s="10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ht="14.25" customHeight="1">
      <c r="A1736" s="4">
        <v>1735.0</v>
      </c>
      <c r="B1736" s="5"/>
      <c r="C1736" s="6" t="str">
        <f>HYPERLINK("https://leetcode.com/problems/count-ways-to-make-array-with-product", "Count Ways to Make Array With Product")</f>
        <v>Count Ways to Make Array With Product</v>
      </c>
      <c r="D1736" s="7" t="s">
        <v>11</v>
      </c>
      <c r="E1736" s="8" t="s">
        <v>681</v>
      </c>
      <c r="F1736" s="9">
        <v>0.5</v>
      </c>
      <c r="G1736" s="10"/>
      <c r="H1736" s="10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ht="14.25" customHeight="1">
      <c r="A1737" s="4">
        <v>1736.0</v>
      </c>
      <c r="B1737" s="5"/>
      <c r="C1737" s="6" t="str">
        <f>HYPERLINK("https://leetcode.com/problems/latest-time-by-replacing-hidden-digits", "Latest Time by Replacing Hidden Digits")</f>
        <v>Latest Time by Replacing Hidden Digits</v>
      </c>
      <c r="D1737" s="7" t="s">
        <v>6</v>
      </c>
      <c r="E1737" s="8" t="s">
        <v>465</v>
      </c>
      <c r="F1737" s="9">
        <v>0.42</v>
      </c>
      <c r="G1737" s="10"/>
      <c r="H1737" s="10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ht="14.25" customHeight="1">
      <c r="A1738" s="4">
        <v>1737.0</v>
      </c>
      <c r="B1738" s="5"/>
      <c r="C1738" s="6" t="str">
        <f>HYPERLINK("https://leetcode.com/problems/change-minimum-characters-to-satisfy-one-of-three-conditions", "Change Minimum Characters to Satisfy One of Three Conditions")</f>
        <v>Change Minimum Characters to Satisfy One of Three Conditions</v>
      </c>
      <c r="D1738" s="7" t="s">
        <v>8</v>
      </c>
      <c r="E1738" s="8" t="s">
        <v>682</v>
      </c>
      <c r="F1738" s="9">
        <v>0.35</v>
      </c>
      <c r="G1738" s="10"/>
      <c r="H1738" s="10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ht="14.25" customHeight="1">
      <c r="A1739" s="4">
        <v>1738.0</v>
      </c>
      <c r="B1739" s="5"/>
      <c r="C1739" s="6" t="str">
        <f>HYPERLINK("https://leetcode.com/problems/find-kth-largest-xor-coordinate-value", "Find Kth Largest XOR Coordinate Value")</f>
        <v>Find Kth Largest XOR Coordinate Value</v>
      </c>
      <c r="D1739" s="7" t="s">
        <v>8</v>
      </c>
      <c r="E1739" s="8" t="s">
        <v>683</v>
      </c>
      <c r="F1739" s="9">
        <v>0.61</v>
      </c>
      <c r="G1739" s="10"/>
      <c r="H1739" s="10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ht="14.25" customHeight="1">
      <c r="A1740" s="4">
        <v>1739.0</v>
      </c>
      <c r="B1740" s="5"/>
      <c r="C1740" s="6" t="str">
        <f>HYPERLINK("https://leetcode.com/problems/building-boxes", "Building Boxes")</f>
        <v>Building Boxes</v>
      </c>
      <c r="D1740" s="7" t="s">
        <v>11</v>
      </c>
      <c r="E1740" s="8" t="s">
        <v>684</v>
      </c>
      <c r="F1740" s="9">
        <v>0.52</v>
      </c>
      <c r="G1740" s="10"/>
      <c r="H1740" s="10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ht="14.25" customHeight="1">
      <c r="A1741" s="11">
        <v>1740.0</v>
      </c>
      <c r="B1741" s="5"/>
      <c r="C1741" s="12" t="str">
        <f>HYPERLINK("https://leetcode.com/problems/find-distance-in-a-binary-tree", "Find Distance in a Binary Tree")</f>
        <v>Find Distance in a Binary Tree</v>
      </c>
      <c r="D1741" s="7" t="s">
        <v>8</v>
      </c>
      <c r="E1741" s="8" t="s">
        <v>182</v>
      </c>
      <c r="F1741" s="9">
        <v>0.68</v>
      </c>
      <c r="G1741" s="10"/>
      <c r="H1741" s="10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ht="14.25" customHeight="1">
      <c r="A1742" s="4">
        <v>1741.0</v>
      </c>
      <c r="B1742" s="5"/>
      <c r="C1742" s="6" t="str">
        <f>HYPERLINK("https://leetcode.com/problems/find-total-time-spent-by-each-employee", "Find Total Time Spent by Each Employee")</f>
        <v>Find Total Time Spent by Each Employee</v>
      </c>
      <c r="D1742" s="7" t="s">
        <v>6</v>
      </c>
      <c r="E1742" s="8" t="s">
        <v>101</v>
      </c>
      <c r="F1742" s="9">
        <v>0.91</v>
      </c>
      <c r="G1742" s="10"/>
      <c r="H1742" s="10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ht="14.25" customHeight="1">
      <c r="A1743" s="4">
        <v>1742.0</v>
      </c>
      <c r="B1743" s="5"/>
      <c r="C1743" s="6" t="str">
        <f>HYPERLINK("https://leetcode.com/problems/maximum-number-of-balls-in-a-box", "Maximum Number of Balls in a Box")</f>
        <v>Maximum Number of Balls in a Box</v>
      </c>
      <c r="D1743" s="7" t="s">
        <v>6</v>
      </c>
      <c r="E1743" s="8" t="s">
        <v>685</v>
      </c>
      <c r="F1743" s="9">
        <v>0.73</v>
      </c>
      <c r="G1743" s="10"/>
      <c r="H1743" s="10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ht="14.25" customHeight="1">
      <c r="A1744" s="4">
        <v>1743.0</v>
      </c>
      <c r="B1744" s="5"/>
      <c r="C1744" s="6" t="str">
        <f>HYPERLINK("https://leetcode.com/problems/restore-the-array-from-adjacent-pairs", "Restore the Array From Adjacent Pairs")</f>
        <v>Restore the Array From Adjacent Pairs</v>
      </c>
      <c r="D1744" s="7" t="s">
        <v>8</v>
      </c>
      <c r="E1744" s="8" t="s">
        <v>7</v>
      </c>
      <c r="F1744" s="9">
        <v>0.68</v>
      </c>
      <c r="G1744" s="10"/>
      <c r="H1744" s="10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ht="14.25" customHeight="1">
      <c r="A1745" s="4">
        <v>1744.0</v>
      </c>
      <c r="B1745" s="5"/>
      <c r="C1745" s="6" t="str">
        <f>HYPERLINK("https://leetcode.com/problems/can-you-eat-your-favorite-candy-on-your-favorite-day", "Can You Eat Your Favorite Candy on Your Favorite Day?")</f>
        <v>Can You Eat Your Favorite Candy on Your Favorite Day?</v>
      </c>
      <c r="D1745" s="7" t="s">
        <v>8</v>
      </c>
      <c r="E1745" s="8" t="s">
        <v>130</v>
      </c>
      <c r="F1745" s="9">
        <v>0.32</v>
      </c>
      <c r="G1745" s="10"/>
      <c r="H1745" s="10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ht="14.25" customHeight="1">
      <c r="A1746" s="4">
        <v>1745.0</v>
      </c>
      <c r="B1746" s="5"/>
      <c r="C1746" s="6" t="str">
        <f>HYPERLINK("https://leetcode.com/problems/palindrome-partitioning-iv", "Palindrome Partitioning IV")</f>
        <v>Palindrome Partitioning IV</v>
      </c>
      <c r="D1746" s="7" t="s">
        <v>11</v>
      </c>
      <c r="E1746" s="8" t="s">
        <v>13</v>
      </c>
      <c r="F1746" s="9">
        <v>0.45</v>
      </c>
      <c r="G1746" s="10"/>
      <c r="H1746" s="10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ht="14.25" customHeight="1">
      <c r="A1747" s="11">
        <v>1746.0</v>
      </c>
      <c r="B1747" s="5"/>
      <c r="C1747" s="12" t="str">
        <f>HYPERLINK("https://leetcode.com/problems/maximum-subarray-sum-after-one-operation", "Maximum Subarray Sum After One Operation")</f>
        <v>Maximum Subarray Sum After One Operation</v>
      </c>
      <c r="D1747" s="7" t="s">
        <v>8</v>
      </c>
      <c r="E1747" s="8" t="s">
        <v>73</v>
      </c>
      <c r="F1747" s="9">
        <v>0.62</v>
      </c>
      <c r="G1747" s="10"/>
      <c r="H1747" s="10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ht="14.25" customHeight="1">
      <c r="A1748" s="11">
        <v>1747.0</v>
      </c>
      <c r="B1748" s="5"/>
      <c r="C1748" s="12" t="str">
        <f>HYPERLINK("https://leetcode.com/problems/leetflex-banned-accounts", "Leetflex Banned Accounts")</f>
        <v>Leetflex Banned Accounts</v>
      </c>
      <c r="D1748" s="7" t="s">
        <v>8</v>
      </c>
      <c r="E1748" s="8" t="s">
        <v>101</v>
      </c>
      <c r="F1748" s="9">
        <v>0.68</v>
      </c>
      <c r="G1748" s="10"/>
      <c r="H1748" s="10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ht="14.25" customHeight="1">
      <c r="A1749" s="4">
        <v>1748.0</v>
      </c>
      <c r="B1749" s="5"/>
      <c r="C1749" s="6" t="str">
        <f>HYPERLINK("https://leetcode.com/problems/sum-of-unique-elements", "Sum of Unique Elements")</f>
        <v>Sum of Unique Elements</v>
      </c>
      <c r="D1749" s="7" t="s">
        <v>6</v>
      </c>
      <c r="E1749" s="8" t="s">
        <v>474</v>
      </c>
      <c r="F1749" s="9">
        <v>0.75</v>
      </c>
      <c r="G1749" s="10"/>
      <c r="H1749" s="10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ht="14.25" customHeight="1">
      <c r="A1750" s="4">
        <v>1749.0</v>
      </c>
      <c r="B1750" s="5"/>
      <c r="C1750" s="6" t="str">
        <f>HYPERLINK("https://leetcode.com/problems/maximum-absolute-sum-of-any-subarray", "Maximum Absolute Sum of Any Subarray")</f>
        <v>Maximum Absolute Sum of Any Subarray</v>
      </c>
      <c r="D1750" s="7" t="s">
        <v>8</v>
      </c>
      <c r="E1750" s="8" t="s">
        <v>73</v>
      </c>
      <c r="F1750" s="9">
        <v>0.58</v>
      </c>
      <c r="G1750" s="10"/>
      <c r="H1750" s="10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ht="14.25" customHeight="1">
      <c r="A1751" s="4">
        <v>1750.0</v>
      </c>
      <c r="B1751" s="5"/>
      <c r="C1751" s="6" t="str">
        <f>HYPERLINK("https://leetcode.com/problems/minimum-length-of-string-after-deleting-similar-ends", "Minimum Length of String After Deleting Similar Ends")</f>
        <v>Minimum Length of String After Deleting Similar Ends</v>
      </c>
      <c r="D1751" s="7" t="s">
        <v>8</v>
      </c>
      <c r="E1751" s="8" t="s">
        <v>75</v>
      </c>
      <c r="F1751" s="9">
        <v>0.43</v>
      </c>
      <c r="G1751" s="10"/>
      <c r="H1751" s="10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ht="14.25" customHeight="1">
      <c r="A1752" s="4">
        <v>1751.0</v>
      </c>
      <c r="B1752" s="5"/>
      <c r="C1752" s="6" t="str">
        <f>HYPERLINK("https://leetcode.com/problems/maximum-number-of-events-that-can-be-attended-ii", "Maximum Number of Events That Can Be Attended II")</f>
        <v>Maximum Number of Events That Can Be Attended II</v>
      </c>
      <c r="D1752" s="7" t="s">
        <v>11</v>
      </c>
      <c r="E1752" s="8" t="s">
        <v>173</v>
      </c>
      <c r="F1752" s="9">
        <v>0.56</v>
      </c>
      <c r="G1752" s="10"/>
      <c r="H1752" s="10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ht="14.25" customHeight="1">
      <c r="A1753" s="4">
        <v>1752.0</v>
      </c>
      <c r="B1753" s="5"/>
      <c r="C1753" s="6" t="str">
        <f>HYPERLINK("https://leetcode.com/problems/check-if-array-is-sorted-and-rotated", "Check if Array Is Sorted and Rotated")</f>
        <v>Check if Array Is Sorted and Rotated</v>
      </c>
      <c r="D1753" s="7" t="s">
        <v>6</v>
      </c>
      <c r="E1753" s="8" t="s">
        <v>45</v>
      </c>
      <c r="F1753" s="9">
        <v>0.49</v>
      </c>
      <c r="G1753" s="10"/>
      <c r="H1753" s="10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ht="14.25" customHeight="1">
      <c r="A1754" s="4">
        <v>1753.0</v>
      </c>
      <c r="B1754" s="5"/>
      <c r="C1754" s="6" t="str">
        <f>HYPERLINK("https://leetcode.com/problems/maximum-score-from-removing-stones", "Maximum Score From Removing Stones")</f>
        <v>Maximum Score From Removing Stones</v>
      </c>
      <c r="D1754" s="7" t="s">
        <v>8</v>
      </c>
      <c r="E1754" s="8" t="s">
        <v>520</v>
      </c>
      <c r="F1754" s="9">
        <v>0.66</v>
      </c>
      <c r="G1754" s="10"/>
      <c r="H1754" s="10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ht="14.25" customHeight="1">
      <c r="A1755" s="4">
        <v>1754.0</v>
      </c>
      <c r="B1755" s="5"/>
      <c r="C1755" s="6" t="str">
        <f>HYPERLINK("https://leetcode.com/problems/largest-merge-of-two-strings", "Largest Merge Of Two Strings")</f>
        <v>Largest Merge Of Two Strings</v>
      </c>
      <c r="D1755" s="7" t="s">
        <v>8</v>
      </c>
      <c r="E1755" s="8" t="s">
        <v>348</v>
      </c>
      <c r="F1755" s="9">
        <v>0.45</v>
      </c>
      <c r="G1755" s="10"/>
      <c r="H1755" s="10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ht="14.25" customHeight="1">
      <c r="A1756" s="4">
        <v>1755.0</v>
      </c>
      <c r="B1756" s="5"/>
      <c r="C1756" s="6" t="str">
        <f>HYPERLINK("https://leetcode.com/problems/closest-subsequence-sum", "Closest Subsequence Sum")</f>
        <v>Closest Subsequence Sum</v>
      </c>
      <c r="D1756" s="7" t="s">
        <v>11</v>
      </c>
      <c r="E1756" s="8" t="s">
        <v>686</v>
      </c>
      <c r="F1756" s="9">
        <v>0.36</v>
      </c>
      <c r="G1756" s="10"/>
      <c r="H1756" s="10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ht="14.25" customHeight="1">
      <c r="A1757" s="11">
        <v>1756.0</v>
      </c>
      <c r="B1757" s="5"/>
      <c r="C1757" s="12" t="str">
        <f>HYPERLINK("https://leetcode.com/problems/design-most-recently-used-queue", "Design Most Recently Used Queue")</f>
        <v>Design Most Recently Used Queue</v>
      </c>
      <c r="D1757" s="7" t="s">
        <v>8</v>
      </c>
      <c r="E1757" s="8" t="s">
        <v>687</v>
      </c>
      <c r="F1757" s="9">
        <v>0.78</v>
      </c>
      <c r="G1757" s="10"/>
      <c r="H1757" s="10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ht="14.25" customHeight="1">
      <c r="A1758" s="4">
        <v>1757.0</v>
      </c>
      <c r="B1758" s="5"/>
      <c r="C1758" s="6" t="str">
        <f>HYPERLINK("https://leetcode.com/problems/recyclable-and-low-fat-products", "Recyclable and Low Fat Products")</f>
        <v>Recyclable and Low Fat Products</v>
      </c>
      <c r="D1758" s="7" t="s">
        <v>6</v>
      </c>
      <c r="E1758" s="8" t="s">
        <v>101</v>
      </c>
      <c r="F1758" s="9">
        <v>0.93</v>
      </c>
      <c r="G1758" s="10"/>
      <c r="H1758" s="10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ht="14.25" customHeight="1">
      <c r="A1759" s="4">
        <v>1758.0</v>
      </c>
      <c r="B1759" s="5"/>
      <c r="C1759" s="6" t="str">
        <f>HYPERLINK("https://leetcode.com/problems/minimum-changes-to-make-alternating-binary-string", "Minimum Changes To Make Alternating Binary String")</f>
        <v>Minimum Changes To Make Alternating Binary String</v>
      </c>
      <c r="D1759" s="7" t="s">
        <v>6</v>
      </c>
      <c r="E1759" s="8" t="s">
        <v>14</v>
      </c>
      <c r="F1759" s="9">
        <v>0.58</v>
      </c>
      <c r="G1759" s="10"/>
      <c r="H1759" s="10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ht="14.25" customHeight="1">
      <c r="A1760" s="4">
        <v>1759.0</v>
      </c>
      <c r="B1760" s="5"/>
      <c r="C1760" s="6" t="str">
        <f>HYPERLINK("https://leetcode.com/problems/count-number-of-homogenous-substrings", "Count Number of Homogenous Substrings")</f>
        <v>Count Number of Homogenous Substrings</v>
      </c>
      <c r="D1760" s="7" t="s">
        <v>8</v>
      </c>
      <c r="E1760" s="8" t="s">
        <v>97</v>
      </c>
      <c r="F1760" s="9">
        <v>0.48</v>
      </c>
      <c r="G1760" s="10"/>
      <c r="H1760" s="10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ht="14.25" customHeight="1">
      <c r="A1761" s="4">
        <v>1760.0</v>
      </c>
      <c r="B1761" s="5"/>
      <c r="C1761" s="6" t="str">
        <f>HYPERLINK("https://leetcode.com/problems/minimum-limit-of-balls-in-a-bag", "Minimum Limit of Balls in a Bag")</f>
        <v>Minimum Limit of Balls in a Bag</v>
      </c>
      <c r="D1761" s="7" t="s">
        <v>8</v>
      </c>
      <c r="E1761" s="8" t="s">
        <v>30</v>
      </c>
      <c r="F1761" s="9">
        <v>0.6</v>
      </c>
      <c r="G1761" s="10"/>
      <c r="H1761" s="10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ht="14.25" customHeight="1">
      <c r="A1762" s="4">
        <v>1761.0</v>
      </c>
      <c r="B1762" s="5"/>
      <c r="C1762" s="6" t="str">
        <f>HYPERLINK("https://leetcode.com/problems/minimum-degree-of-a-connected-trio-in-a-graph", "Minimum Degree of a Connected Trio in a Graph")</f>
        <v>Minimum Degree of a Connected Trio in a Graph</v>
      </c>
      <c r="D1762" s="7" t="s">
        <v>11</v>
      </c>
      <c r="E1762" s="8" t="s">
        <v>626</v>
      </c>
      <c r="F1762" s="9">
        <v>0.41</v>
      </c>
      <c r="G1762" s="10"/>
      <c r="H1762" s="10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ht="14.25" customHeight="1">
      <c r="A1763" s="11">
        <v>1762.0</v>
      </c>
      <c r="B1763" s="5"/>
      <c r="C1763" s="12" t="str">
        <f>HYPERLINK("https://leetcode.com/problems/buildings-with-an-ocean-view", "Buildings With an Ocean View")</f>
        <v>Buildings With an Ocean View</v>
      </c>
      <c r="D1763" s="7" t="s">
        <v>8</v>
      </c>
      <c r="E1763" s="8" t="s">
        <v>56</v>
      </c>
      <c r="F1763" s="9">
        <v>0.79</v>
      </c>
      <c r="G1763" s="10"/>
      <c r="H1763" s="10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ht="14.25" customHeight="1">
      <c r="A1764" s="4">
        <v>1763.0</v>
      </c>
      <c r="B1764" s="5"/>
      <c r="C1764" s="6" t="str">
        <f>HYPERLINK("https://leetcode.com/problems/longest-nice-substring", "Longest Nice Substring")</f>
        <v>Longest Nice Substring</v>
      </c>
      <c r="D1764" s="7" t="s">
        <v>6</v>
      </c>
      <c r="E1764" s="8" t="s">
        <v>688</v>
      </c>
      <c r="F1764" s="9">
        <v>0.61</v>
      </c>
      <c r="G1764" s="10"/>
      <c r="H1764" s="10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ht="14.25" customHeight="1">
      <c r="A1765" s="4">
        <v>1764.0</v>
      </c>
      <c r="B1765" s="5"/>
      <c r="C1765" s="6" t="str">
        <f>HYPERLINK("https://leetcode.com/problems/form-array-by-concatenating-subarrays-of-another-array", "Form Array by Concatenating Subarrays of Another Array")</f>
        <v>Form Array by Concatenating Subarrays of Another Array</v>
      </c>
      <c r="D1765" s="7" t="s">
        <v>8</v>
      </c>
      <c r="E1765" s="8" t="s">
        <v>689</v>
      </c>
      <c r="F1765" s="9">
        <v>0.52</v>
      </c>
      <c r="G1765" s="10"/>
      <c r="H1765" s="10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ht="14.25" customHeight="1">
      <c r="A1766" s="4">
        <v>1765.0</v>
      </c>
      <c r="B1766" s="5"/>
      <c r="C1766" s="6" t="str">
        <f>HYPERLINK("https://leetcode.com/problems/map-of-highest-peak", "Map of Highest Peak")</f>
        <v>Map of Highest Peak</v>
      </c>
      <c r="D1766" s="7" t="s">
        <v>8</v>
      </c>
      <c r="E1766" s="8" t="s">
        <v>164</v>
      </c>
      <c r="F1766" s="9">
        <v>0.6</v>
      </c>
      <c r="G1766" s="10"/>
      <c r="H1766" s="10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ht="14.25" customHeight="1">
      <c r="A1767" s="4">
        <v>1766.0</v>
      </c>
      <c r="B1767" s="5"/>
      <c r="C1767" s="6" t="str">
        <f>HYPERLINK("https://leetcode.com/problems/tree-of-coprimes", "Tree of Coprimes")</f>
        <v>Tree of Coprimes</v>
      </c>
      <c r="D1767" s="7" t="s">
        <v>11</v>
      </c>
      <c r="E1767" s="8" t="s">
        <v>690</v>
      </c>
      <c r="F1767" s="9">
        <v>0.39</v>
      </c>
      <c r="G1767" s="10"/>
      <c r="H1767" s="10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ht="14.25" customHeight="1">
      <c r="A1768" s="11">
        <v>1767.0</v>
      </c>
      <c r="B1768" s="5"/>
      <c r="C1768" s="12" t="str">
        <f>HYPERLINK("https://leetcode.com/problems/find-the-subtasks-that-did-not-execute", "Find the Subtasks That Did Not Execute")</f>
        <v>Find the Subtasks That Did Not Execute</v>
      </c>
      <c r="D1768" s="7" t="s">
        <v>11</v>
      </c>
      <c r="E1768" s="8" t="s">
        <v>101</v>
      </c>
      <c r="F1768" s="9">
        <v>0.84</v>
      </c>
      <c r="G1768" s="10"/>
      <c r="H1768" s="10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ht="14.25" customHeight="1">
      <c r="A1769" s="4">
        <v>1768.0</v>
      </c>
      <c r="B1769" s="5"/>
      <c r="C1769" s="6" t="str">
        <f>HYPERLINK("https://leetcode.com/problems/merge-strings-alternately", "Merge Strings Alternately")</f>
        <v>Merge Strings Alternately</v>
      </c>
      <c r="D1769" s="7" t="s">
        <v>6</v>
      </c>
      <c r="E1769" s="8" t="s">
        <v>75</v>
      </c>
      <c r="F1769" s="9">
        <v>0.76</v>
      </c>
      <c r="G1769" s="10"/>
      <c r="H1769" s="10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ht="14.25" customHeight="1">
      <c r="A1770" s="4">
        <v>1769.0</v>
      </c>
      <c r="B1770" s="5"/>
      <c r="C1770" s="6" t="str">
        <f>HYPERLINK("https://leetcode.com/problems/minimum-number-of-operations-to-move-all-balls-to-each-box", "Minimum Number of Operations to Move All Balls to Each Box")</f>
        <v>Minimum Number of Operations to Move All Balls to Each Box</v>
      </c>
      <c r="D1770" s="7" t="s">
        <v>8</v>
      </c>
      <c r="E1770" s="8" t="s">
        <v>135</v>
      </c>
      <c r="F1770" s="9">
        <v>0.85</v>
      </c>
      <c r="G1770" s="10"/>
      <c r="H1770" s="10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ht="14.25" customHeight="1">
      <c r="A1771" s="4">
        <v>1770.0</v>
      </c>
      <c r="B1771" s="5"/>
      <c r="C1771" s="6" t="str">
        <f>HYPERLINK("https://leetcode.com/problems/maximum-score-from-performing-multiplication-operations", "Maximum Score from Performing Multiplication Operations")</f>
        <v>Maximum Score from Performing Multiplication Operations</v>
      </c>
      <c r="D1771" s="7" t="s">
        <v>11</v>
      </c>
      <c r="E1771" s="8" t="s">
        <v>73</v>
      </c>
      <c r="F1771" s="9">
        <v>0.36</v>
      </c>
      <c r="G1771" s="10"/>
      <c r="H1771" s="10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ht="14.25" customHeight="1">
      <c r="A1772" s="4">
        <v>1771.0</v>
      </c>
      <c r="B1772" s="5"/>
      <c r="C1772" s="6" t="str">
        <f>HYPERLINK("https://leetcode.com/problems/maximize-palindrome-length-from-subsequences", "Maximize Palindrome Length From Subsequences")</f>
        <v>Maximize Palindrome Length From Subsequences</v>
      </c>
      <c r="D1772" s="7" t="s">
        <v>11</v>
      </c>
      <c r="E1772" s="8" t="s">
        <v>13</v>
      </c>
      <c r="F1772" s="9">
        <v>0.35</v>
      </c>
      <c r="G1772" s="10"/>
      <c r="H1772" s="10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ht="14.25" customHeight="1">
      <c r="A1773" s="11">
        <v>1772.0</v>
      </c>
      <c r="B1773" s="5"/>
      <c r="C1773" s="12" t="str">
        <f>HYPERLINK("https://leetcode.com/problems/sort-features-by-popularity", "Sort Features by Popularity")</f>
        <v>Sort Features by Popularity</v>
      </c>
      <c r="D1773" s="7" t="s">
        <v>8</v>
      </c>
      <c r="E1773" s="8" t="s">
        <v>39</v>
      </c>
      <c r="F1773" s="9">
        <v>0.64</v>
      </c>
      <c r="G1773" s="10"/>
      <c r="H1773" s="10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ht="14.25" customHeight="1">
      <c r="A1774" s="4">
        <v>1773.0</v>
      </c>
      <c r="B1774" s="5"/>
      <c r="C1774" s="6" t="str">
        <f>HYPERLINK("https://leetcode.com/problems/count-items-matching-a-rule", "Count Items Matching a Rule")</f>
        <v>Count Items Matching a Rule</v>
      </c>
      <c r="D1774" s="7" t="s">
        <v>6</v>
      </c>
      <c r="E1774" s="8" t="s">
        <v>135</v>
      </c>
      <c r="F1774" s="9">
        <v>0.84</v>
      </c>
      <c r="G1774" s="10"/>
      <c r="H1774" s="10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ht="14.25" customHeight="1">
      <c r="A1775" s="4">
        <v>1774.0</v>
      </c>
      <c r="B1775" s="5"/>
      <c r="C1775" s="6" t="str">
        <f>HYPERLINK("https://leetcode.com/problems/closest-dessert-cost", "Closest Dessert Cost")</f>
        <v>Closest Dessert Cost</v>
      </c>
      <c r="D1775" s="7" t="s">
        <v>8</v>
      </c>
      <c r="E1775" s="8" t="s">
        <v>287</v>
      </c>
      <c r="F1775" s="9">
        <v>0.47</v>
      </c>
      <c r="G1775" s="10"/>
      <c r="H1775" s="10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ht="14.25" customHeight="1">
      <c r="A1776" s="4">
        <v>1775.0</v>
      </c>
      <c r="B1776" s="5"/>
      <c r="C1776" s="6" t="str">
        <f>HYPERLINK("https://leetcode.com/problems/equal-sum-arrays-with-minimum-number-of-operations", "Equal Sum Arrays With Minimum Number of Operations")</f>
        <v>Equal Sum Arrays With Minimum Number of Operations</v>
      </c>
      <c r="D1776" s="7" t="s">
        <v>8</v>
      </c>
      <c r="E1776" s="8" t="s">
        <v>691</v>
      </c>
      <c r="F1776" s="9">
        <v>0.52</v>
      </c>
      <c r="G1776" s="10"/>
      <c r="H1776" s="10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ht="14.25" customHeight="1">
      <c r="A1777" s="4">
        <v>1776.0</v>
      </c>
      <c r="B1777" s="5"/>
      <c r="C1777" s="6" t="str">
        <f>HYPERLINK("https://leetcode.com/problems/car-fleet-ii", "Car Fleet II")</f>
        <v>Car Fleet II</v>
      </c>
      <c r="D1777" s="7" t="s">
        <v>11</v>
      </c>
      <c r="E1777" s="8" t="s">
        <v>692</v>
      </c>
      <c r="F1777" s="9">
        <v>0.53</v>
      </c>
      <c r="G1777" s="10"/>
      <c r="H1777" s="10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ht="14.25" customHeight="1">
      <c r="A1778" s="11">
        <v>1777.0</v>
      </c>
      <c r="B1778" s="5"/>
      <c r="C1778" s="12" t="str">
        <f>HYPERLINK("https://leetcode.com/problems/products-price-for-each-store", "Product's Price for Each Store")</f>
        <v>Product's Price for Each Store</v>
      </c>
      <c r="D1778" s="7" t="s">
        <v>6</v>
      </c>
      <c r="E1778" s="8" t="s">
        <v>101</v>
      </c>
      <c r="F1778" s="9">
        <v>0.85</v>
      </c>
      <c r="G1778" s="10"/>
      <c r="H1778" s="10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ht="14.25" customHeight="1">
      <c r="A1779" s="11">
        <v>1778.0</v>
      </c>
      <c r="B1779" s="5"/>
      <c r="C1779" s="12" t="str">
        <f>HYPERLINK("https://leetcode.com/problems/shortest-path-in-a-hidden-grid", "Shortest Path in a Hidden Grid")</f>
        <v>Shortest Path in a Hidden Grid</v>
      </c>
      <c r="D1779" s="7" t="s">
        <v>8</v>
      </c>
      <c r="E1779" s="8" t="s">
        <v>693</v>
      </c>
      <c r="F1779" s="9">
        <v>0.39</v>
      </c>
      <c r="G1779" s="10"/>
      <c r="H1779" s="10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ht="14.25" customHeight="1">
      <c r="A1780" s="4">
        <v>1779.0</v>
      </c>
      <c r="B1780" s="5"/>
      <c r="C1780" s="6" t="str">
        <f>HYPERLINK("https://leetcode.com/problems/find-nearest-point-that-has-the-same-x-or-y-coordinate", "Find Nearest Point That Has the Same X or Y Coordinate")</f>
        <v>Find Nearest Point That Has the Same X or Y Coordinate</v>
      </c>
      <c r="D1780" s="7" t="s">
        <v>6</v>
      </c>
      <c r="E1780" s="8" t="s">
        <v>45</v>
      </c>
      <c r="F1780" s="9">
        <v>0.67</v>
      </c>
      <c r="G1780" s="10"/>
      <c r="H1780" s="10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ht="14.25" customHeight="1">
      <c r="A1781" s="4">
        <v>1780.0</v>
      </c>
      <c r="B1781" s="5"/>
      <c r="C1781" s="6" t="str">
        <f>HYPERLINK("https://leetcode.com/problems/check-if-number-is-a-sum-of-powers-of-three", "Check if Number is a Sum of Powers of Three")</f>
        <v>Check if Number is a Sum of Powers of Three</v>
      </c>
      <c r="D1781" s="7" t="s">
        <v>8</v>
      </c>
      <c r="E1781" s="8" t="s">
        <v>15</v>
      </c>
      <c r="F1781" s="9">
        <v>0.65</v>
      </c>
      <c r="G1781" s="10"/>
      <c r="H1781" s="10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ht="14.25" customHeight="1">
      <c r="A1782" s="4">
        <v>1781.0</v>
      </c>
      <c r="B1782" s="5"/>
      <c r="C1782" s="6" t="str">
        <f>HYPERLINK("https://leetcode.com/problems/sum-of-beauty-of-all-substrings", "Sum of Beauty of All Substrings")</f>
        <v>Sum of Beauty of All Substrings</v>
      </c>
      <c r="D1782" s="7" t="s">
        <v>8</v>
      </c>
      <c r="E1782" s="8" t="s">
        <v>172</v>
      </c>
      <c r="F1782" s="9">
        <v>0.6</v>
      </c>
      <c r="G1782" s="10"/>
      <c r="H1782" s="10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ht="14.25" customHeight="1">
      <c r="A1783" s="4">
        <v>1782.0</v>
      </c>
      <c r="B1783" s="5"/>
      <c r="C1783" s="6" t="str">
        <f>HYPERLINK("https://leetcode.com/problems/count-pairs-of-nodes", "Count Pairs Of Nodes")</f>
        <v>Count Pairs Of Nodes</v>
      </c>
      <c r="D1783" s="7" t="s">
        <v>11</v>
      </c>
      <c r="E1783" s="8" t="s">
        <v>694</v>
      </c>
      <c r="F1783" s="9">
        <v>0.38</v>
      </c>
      <c r="G1783" s="10"/>
      <c r="H1783" s="10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ht="14.25" customHeight="1">
      <c r="A1784" s="11">
        <v>1783.0</v>
      </c>
      <c r="B1784" s="5"/>
      <c r="C1784" s="12" t="str">
        <f>HYPERLINK("https://leetcode.com/problems/grand-slam-titles", "Grand Slam Titles")</f>
        <v>Grand Slam Titles</v>
      </c>
      <c r="D1784" s="7" t="s">
        <v>8</v>
      </c>
      <c r="E1784" s="8" t="s">
        <v>101</v>
      </c>
      <c r="F1784" s="9">
        <v>0.88</v>
      </c>
      <c r="G1784" s="10"/>
      <c r="H1784" s="10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ht="14.25" customHeight="1">
      <c r="A1785" s="4">
        <v>1784.0</v>
      </c>
      <c r="B1785" s="5"/>
      <c r="C1785" s="6" t="str">
        <f>HYPERLINK("https://leetcode.com/problems/check-if-binary-string-has-at-most-one-segment-of-ones", "Check if Binary String Has at Most One Segment of Ones")</f>
        <v>Check if Binary String Has at Most One Segment of Ones</v>
      </c>
      <c r="D1785" s="7" t="s">
        <v>6</v>
      </c>
      <c r="E1785" s="8" t="s">
        <v>14</v>
      </c>
      <c r="F1785" s="9">
        <v>0.4</v>
      </c>
      <c r="G1785" s="10"/>
      <c r="H1785" s="10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ht="14.25" customHeight="1">
      <c r="A1786" s="4">
        <v>1785.0</v>
      </c>
      <c r="B1786" s="5"/>
      <c r="C1786" s="6" t="str">
        <f>HYPERLINK("https://leetcode.com/problems/minimum-elements-to-add-to-form-a-given-sum", "Minimum Elements to Add to Form a Given Sum")</f>
        <v>Minimum Elements to Add to Form a Given Sum</v>
      </c>
      <c r="D1786" s="7" t="s">
        <v>8</v>
      </c>
      <c r="E1786" s="8" t="s">
        <v>81</v>
      </c>
      <c r="F1786" s="9">
        <v>0.42</v>
      </c>
      <c r="G1786" s="10"/>
      <c r="H1786" s="10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ht="14.25" customHeight="1">
      <c r="A1787" s="4">
        <v>1786.0</v>
      </c>
      <c r="B1787" s="5"/>
      <c r="C1787" s="6" t="str">
        <f>HYPERLINK("https://leetcode.com/problems/number-of-restricted-paths-from-first-to-last-node", "Number of Restricted Paths From First to Last Node")</f>
        <v>Number of Restricted Paths From First to Last Node</v>
      </c>
      <c r="D1787" s="7" t="s">
        <v>8</v>
      </c>
      <c r="E1787" s="8" t="s">
        <v>695</v>
      </c>
      <c r="F1787" s="9">
        <v>0.39</v>
      </c>
      <c r="G1787" s="10"/>
      <c r="H1787" s="10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ht="14.25" customHeight="1">
      <c r="A1788" s="4">
        <v>1787.0</v>
      </c>
      <c r="B1788" s="5"/>
      <c r="C1788" s="6" t="str">
        <f>HYPERLINK("https://leetcode.com/problems/make-the-xor-of-all-segments-equal-to-zero", "Make the XOR of All Segments Equal to Zero")</f>
        <v>Make the XOR of All Segments Equal to Zero</v>
      </c>
      <c r="D1788" s="7" t="s">
        <v>11</v>
      </c>
      <c r="E1788" s="8" t="s">
        <v>431</v>
      </c>
      <c r="F1788" s="9">
        <v>0.39</v>
      </c>
      <c r="G1788" s="10"/>
      <c r="H1788" s="10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ht="14.25" customHeight="1">
      <c r="A1789" s="11">
        <v>1788.0</v>
      </c>
      <c r="B1789" s="5"/>
      <c r="C1789" s="12" t="str">
        <f>HYPERLINK("https://leetcode.com/problems/maximize-the-beauty-of-the-garden", "Maximize the Beauty of the Garden")</f>
        <v>Maximize the Beauty of the Garden</v>
      </c>
      <c r="D1789" s="7" t="s">
        <v>11</v>
      </c>
      <c r="E1789" s="8" t="s">
        <v>696</v>
      </c>
      <c r="F1789" s="9">
        <v>0.66</v>
      </c>
      <c r="G1789" s="10"/>
      <c r="H1789" s="10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ht="14.25" customHeight="1">
      <c r="A1790" s="11">
        <v>1789.0</v>
      </c>
      <c r="B1790" s="5"/>
      <c r="C1790" s="12" t="str">
        <f>HYPERLINK("https://leetcode.com/problems/primary-department-for-each-employee", "Primary Department for Each Employee")</f>
        <v>Primary Department for Each Employee</v>
      </c>
      <c r="D1790" s="7" t="s">
        <v>6</v>
      </c>
      <c r="E1790" s="8" t="s">
        <v>101</v>
      </c>
      <c r="F1790" s="9">
        <v>0.79</v>
      </c>
      <c r="G1790" s="10"/>
      <c r="H1790" s="10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ht="14.25" customHeight="1">
      <c r="A1791" s="4">
        <v>1790.0</v>
      </c>
      <c r="B1791" s="5"/>
      <c r="C1791" s="6" t="str">
        <f>HYPERLINK("https://leetcode.com/problems/check-if-one-string-swap-can-make-strings-equal", "Check if One String Swap Can Make Strings Equal")</f>
        <v>Check if One String Swap Can Make Strings Equal</v>
      </c>
      <c r="D1791" s="7" t="s">
        <v>6</v>
      </c>
      <c r="E1791" s="8" t="s">
        <v>172</v>
      </c>
      <c r="F1791" s="9">
        <v>0.45</v>
      </c>
      <c r="G1791" s="10"/>
      <c r="H1791" s="10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ht="14.25" customHeight="1">
      <c r="A1792" s="4">
        <v>1791.0</v>
      </c>
      <c r="B1792" s="5"/>
      <c r="C1792" s="6" t="str">
        <f>HYPERLINK("https://leetcode.com/problems/find-center-of-star-graph", "Find Center of Star Graph")</f>
        <v>Find Center of Star Graph</v>
      </c>
      <c r="D1792" s="7" t="s">
        <v>6</v>
      </c>
      <c r="E1792" s="8" t="s">
        <v>626</v>
      </c>
      <c r="F1792" s="9">
        <v>0.83</v>
      </c>
      <c r="G1792" s="10"/>
      <c r="H1792" s="10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ht="14.25" customHeight="1">
      <c r="A1793" s="4">
        <v>1792.0</v>
      </c>
      <c r="B1793" s="5"/>
      <c r="C1793" s="6" t="str">
        <f>HYPERLINK("https://leetcode.com/problems/maximum-average-pass-ratio", "Maximum Average Pass Ratio")</f>
        <v>Maximum Average Pass Ratio</v>
      </c>
      <c r="D1793" s="7" t="s">
        <v>8</v>
      </c>
      <c r="E1793" s="8" t="s">
        <v>326</v>
      </c>
      <c r="F1793" s="9">
        <v>0.52</v>
      </c>
      <c r="G1793" s="10"/>
      <c r="H1793" s="10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ht="14.25" customHeight="1">
      <c r="A1794" s="4">
        <v>1793.0</v>
      </c>
      <c r="B1794" s="5"/>
      <c r="C1794" s="6" t="str">
        <f>HYPERLINK("https://leetcode.com/problems/maximum-score-of-a-good-subarray", "Maximum Score of a Good Subarray")</f>
        <v>Maximum Score of a Good Subarray</v>
      </c>
      <c r="D1794" s="7" t="s">
        <v>11</v>
      </c>
      <c r="E1794" s="8" t="s">
        <v>633</v>
      </c>
      <c r="F1794" s="9">
        <v>0.53</v>
      </c>
      <c r="G1794" s="10"/>
      <c r="H1794" s="10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ht="14.25" customHeight="1">
      <c r="A1795" s="11">
        <v>1794.0</v>
      </c>
      <c r="B1795" s="5"/>
      <c r="C1795" s="12" t="str">
        <f>HYPERLINK("https://leetcode.com/problems/count-pairs-of-equal-substrings-with-minimum-difference", "Count Pairs of Equal Substrings With Minimum Difference")</f>
        <v>Count Pairs of Equal Substrings With Minimum Difference</v>
      </c>
      <c r="D1795" s="7" t="s">
        <v>8</v>
      </c>
      <c r="E1795" s="8" t="s">
        <v>244</v>
      </c>
      <c r="F1795" s="9">
        <v>0.65</v>
      </c>
      <c r="G1795" s="10"/>
      <c r="H1795" s="10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ht="14.25" customHeight="1">
      <c r="A1796" s="4">
        <v>1795.0</v>
      </c>
      <c r="B1796" s="5"/>
      <c r="C1796" s="6" t="str">
        <f>HYPERLINK("https://leetcode.com/problems/rearrange-products-table", "Rearrange Products Table")</f>
        <v>Rearrange Products Table</v>
      </c>
      <c r="D1796" s="7" t="s">
        <v>6</v>
      </c>
      <c r="E1796" s="8" t="s">
        <v>101</v>
      </c>
      <c r="F1796" s="9">
        <v>0.88</v>
      </c>
      <c r="G1796" s="10"/>
      <c r="H1796" s="10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ht="14.25" customHeight="1">
      <c r="A1797" s="4">
        <v>1796.0</v>
      </c>
      <c r="B1797" s="5"/>
      <c r="C1797" s="6" t="str">
        <f>HYPERLINK("https://leetcode.com/problems/second-largest-digit-in-a-string", "Second Largest Digit in a String")</f>
        <v>Second Largest Digit in a String</v>
      </c>
      <c r="D1797" s="7" t="s">
        <v>6</v>
      </c>
      <c r="E1797" s="8" t="s">
        <v>110</v>
      </c>
      <c r="F1797" s="9">
        <v>0.49</v>
      </c>
      <c r="G1797" s="10"/>
      <c r="H1797" s="10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ht="14.25" customHeight="1">
      <c r="A1798" s="4">
        <v>1797.0</v>
      </c>
      <c r="B1798" s="5"/>
      <c r="C1798" s="6" t="str">
        <f>HYPERLINK("https://leetcode.com/problems/design-authentication-manager", "Design Authentication Manager")</f>
        <v>Design Authentication Manager</v>
      </c>
      <c r="D1798" s="7" t="s">
        <v>8</v>
      </c>
      <c r="E1798" s="8" t="s">
        <v>214</v>
      </c>
      <c r="F1798" s="9">
        <v>0.56</v>
      </c>
      <c r="G1798" s="10"/>
      <c r="H1798" s="10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ht="14.25" customHeight="1">
      <c r="A1799" s="4">
        <v>1798.0</v>
      </c>
      <c r="B1799" s="5"/>
      <c r="C1799" s="6" t="str">
        <f>HYPERLINK("https://leetcode.com/problems/maximum-number-of-consecutive-values-you-can-make", "Maximum Number of Consecutive Values You Can Make")</f>
        <v>Maximum Number of Consecutive Values You Can Make</v>
      </c>
      <c r="D1799" s="7" t="s">
        <v>8</v>
      </c>
      <c r="E1799" s="8" t="s">
        <v>81</v>
      </c>
      <c r="F1799" s="9">
        <v>0.54</v>
      </c>
      <c r="G1799" s="10"/>
      <c r="H1799" s="10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ht="14.25" customHeight="1">
      <c r="A1800" s="4">
        <v>1799.0</v>
      </c>
      <c r="B1800" s="5"/>
      <c r="C1800" s="6" t="str">
        <f>HYPERLINK("https://leetcode.com/problems/maximize-score-after-n-operations", "Maximize Score After N Operations")</f>
        <v>Maximize Score After N Operations</v>
      </c>
      <c r="D1800" s="7" t="s">
        <v>11</v>
      </c>
      <c r="E1800" s="8" t="s">
        <v>697</v>
      </c>
      <c r="F1800" s="9">
        <v>0.45</v>
      </c>
      <c r="G1800" s="10"/>
      <c r="H1800" s="10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ht="14.25" customHeight="1">
      <c r="A1801" s="4">
        <v>1800.0</v>
      </c>
      <c r="B1801" s="5"/>
      <c r="C1801" s="6" t="str">
        <f>HYPERLINK("https://leetcode.com/problems/maximum-ascending-subarray-sum", "Maximum Ascending Subarray Sum")</f>
        <v>Maximum Ascending Subarray Sum</v>
      </c>
      <c r="D1801" s="7" t="s">
        <v>6</v>
      </c>
      <c r="E1801" s="8" t="s">
        <v>45</v>
      </c>
      <c r="F1801" s="9">
        <v>0.63</v>
      </c>
      <c r="G1801" s="10"/>
      <c r="H1801" s="10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ht="14.25" customHeight="1">
      <c r="A1802" s="4">
        <v>1801.0</v>
      </c>
      <c r="B1802" s="5"/>
      <c r="C1802" s="6" t="str">
        <f>HYPERLINK("https://leetcode.com/problems/number-of-orders-in-the-backlog", "Number of Orders in the Backlog")</f>
        <v>Number of Orders in the Backlog</v>
      </c>
      <c r="D1802" s="7" t="s">
        <v>8</v>
      </c>
      <c r="E1802" s="8" t="s">
        <v>698</v>
      </c>
      <c r="F1802" s="9">
        <v>0.47</v>
      </c>
      <c r="G1802" s="10"/>
      <c r="H1802" s="10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ht="14.25" customHeight="1">
      <c r="A1803" s="4">
        <v>1802.0</v>
      </c>
      <c r="B1803" s="5"/>
      <c r="C1803" s="6" t="str">
        <f>HYPERLINK("https://leetcode.com/problems/maximum-value-at-a-given-index-in-a-bounded-array", "Maximum Value at a Given Index in a Bounded Array")</f>
        <v>Maximum Value at a Given Index in a Bounded Array</v>
      </c>
      <c r="D1803" s="7" t="s">
        <v>8</v>
      </c>
      <c r="E1803" s="8" t="s">
        <v>699</v>
      </c>
      <c r="F1803" s="9">
        <v>0.31</v>
      </c>
      <c r="G1803" s="10"/>
      <c r="H1803" s="10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ht="14.25" customHeight="1">
      <c r="A1804" s="4">
        <v>1803.0</v>
      </c>
      <c r="B1804" s="5"/>
      <c r="C1804" s="6" t="str">
        <f>HYPERLINK("https://leetcode.com/problems/count-pairs-with-xor-in-a-range", "Count Pairs With XOR in a Range")</f>
        <v>Count Pairs With XOR in a Range</v>
      </c>
      <c r="D1804" s="7" t="s">
        <v>11</v>
      </c>
      <c r="E1804" s="8" t="s">
        <v>674</v>
      </c>
      <c r="F1804" s="9">
        <v>0.46</v>
      </c>
      <c r="G1804" s="10"/>
      <c r="H1804" s="10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ht="14.25" customHeight="1">
      <c r="A1805" s="11">
        <v>1804.0</v>
      </c>
      <c r="B1805" s="5"/>
      <c r="C1805" s="12" t="str">
        <f>HYPERLINK("https://leetcode.com/problems/implement-trie-ii-prefix-tree", "Implement Trie II (Prefix Tree)")</f>
        <v>Implement Trie II (Prefix Tree)</v>
      </c>
      <c r="D1805" s="7" t="s">
        <v>8</v>
      </c>
      <c r="E1805" s="8" t="s">
        <v>112</v>
      </c>
      <c r="F1805" s="9">
        <v>0.59</v>
      </c>
      <c r="G1805" s="10"/>
      <c r="H1805" s="10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ht="14.25" customHeight="1">
      <c r="A1806" s="4">
        <v>1805.0</v>
      </c>
      <c r="B1806" s="5"/>
      <c r="C1806" s="6" t="str">
        <f>HYPERLINK("https://leetcode.com/problems/number-of-different-integers-in-a-string", "Number of Different Integers in a String")</f>
        <v>Number of Different Integers in a String</v>
      </c>
      <c r="D1806" s="7" t="s">
        <v>6</v>
      </c>
      <c r="E1806" s="8" t="s">
        <v>110</v>
      </c>
      <c r="F1806" s="9">
        <v>0.36</v>
      </c>
      <c r="G1806" s="10"/>
      <c r="H1806" s="10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ht="14.25" customHeight="1">
      <c r="A1807" s="4">
        <v>1806.0</v>
      </c>
      <c r="B1807" s="5"/>
      <c r="C1807" s="6" t="str">
        <f>HYPERLINK("https://leetcode.com/problems/minimum-number-of-operations-to-reinitialize-a-permutation", "Minimum Number of Operations to Reinitialize a Permutation")</f>
        <v>Minimum Number of Operations to Reinitialize a Permutation</v>
      </c>
      <c r="D1807" s="7" t="s">
        <v>8</v>
      </c>
      <c r="E1807" s="8" t="s">
        <v>539</v>
      </c>
      <c r="F1807" s="9">
        <v>0.71</v>
      </c>
      <c r="G1807" s="10"/>
      <c r="H1807" s="10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ht="14.25" customHeight="1">
      <c r="A1808" s="4">
        <v>1807.0</v>
      </c>
      <c r="B1808" s="5"/>
      <c r="C1808" s="6" t="str">
        <f>HYPERLINK("https://leetcode.com/problems/evaluate-the-bracket-pairs-of-a-string", "Evaluate the Bracket Pairs of a String")</f>
        <v>Evaluate the Bracket Pairs of a String</v>
      </c>
      <c r="D1808" s="7" t="s">
        <v>8</v>
      </c>
      <c r="E1808" s="8" t="s">
        <v>139</v>
      </c>
      <c r="F1808" s="9">
        <v>0.66</v>
      </c>
      <c r="G1808" s="10"/>
      <c r="H1808" s="10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ht="14.25" customHeight="1">
      <c r="A1809" s="4">
        <v>1808.0</v>
      </c>
      <c r="B1809" s="5"/>
      <c r="C1809" s="6" t="str">
        <f>HYPERLINK("https://leetcode.com/problems/maximize-number-of-nice-divisors", "Maximize Number of Nice Divisors")</f>
        <v>Maximize Number of Nice Divisors</v>
      </c>
      <c r="D1809" s="7" t="s">
        <v>11</v>
      </c>
      <c r="E1809" s="8" t="s">
        <v>40</v>
      </c>
      <c r="F1809" s="9">
        <v>0.31</v>
      </c>
      <c r="G1809" s="10"/>
      <c r="H1809" s="10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ht="14.25" customHeight="1">
      <c r="A1810" s="11">
        <v>1809.0</v>
      </c>
      <c r="B1810" s="5"/>
      <c r="C1810" s="12" t="str">
        <f>HYPERLINK("https://leetcode.com/problems/ad-free-sessions", "Ad-Free Sessions")</f>
        <v>Ad-Free Sessions</v>
      </c>
      <c r="D1810" s="7" t="s">
        <v>6</v>
      </c>
      <c r="E1810" s="8" t="s">
        <v>101</v>
      </c>
      <c r="F1810" s="9">
        <v>0.59</v>
      </c>
      <c r="G1810" s="10"/>
      <c r="H1810" s="10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ht="14.25" customHeight="1">
      <c r="A1811" s="11">
        <v>1810.0</v>
      </c>
      <c r="B1811" s="5"/>
      <c r="C1811" s="12" t="str">
        <f>HYPERLINK("https://leetcode.com/problems/minimum-path-cost-in-a-hidden-grid", "Minimum Path Cost in a Hidden Grid")</f>
        <v>Minimum Path Cost in a Hidden Grid</v>
      </c>
      <c r="D1811" s="7" t="s">
        <v>8</v>
      </c>
      <c r="E1811" s="8" t="s">
        <v>700</v>
      </c>
      <c r="F1811" s="9">
        <v>0.54</v>
      </c>
      <c r="G1811" s="10"/>
      <c r="H1811" s="10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ht="14.25" customHeight="1">
      <c r="A1812" s="11">
        <v>1811.0</v>
      </c>
      <c r="B1812" s="5"/>
      <c r="C1812" s="12" t="str">
        <f>HYPERLINK("https://leetcode.com/problems/find-interview-candidates", "Find Interview Candidates")</f>
        <v>Find Interview Candidates</v>
      </c>
      <c r="D1812" s="7" t="s">
        <v>8</v>
      </c>
      <c r="E1812" s="8" t="s">
        <v>101</v>
      </c>
      <c r="F1812" s="9">
        <v>0.64</v>
      </c>
      <c r="G1812" s="10"/>
      <c r="H1812" s="10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ht="14.25" customHeight="1">
      <c r="A1813" s="4">
        <v>1812.0</v>
      </c>
      <c r="B1813" s="5"/>
      <c r="C1813" s="6" t="str">
        <f>HYPERLINK("https://leetcode.com/problems/determine-color-of-a-chessboard-square", "Determine Color of a Chessboard Square")</f>
        <v>Determine Color of a Chessboard Square</v>
      </c>
      <c r="D1813" s="7" t="s">
        <v>6</v>
      </c>
      <c r="E1813" s="8" t="s">
        <v>97</v>
      </c>
      <c r="F1813" s="9">
        <v>0.77</v>
      </c>
      <c r="G1813" s="10"/>
      <c r="H1813" s="10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ht="14.25" customHeight="1">
      <c r="A1814" s="4">
        <v>1813.0</v>
      </c>
      <c r="B1814" s="5"/>
      <c r="C1814" s="6" t="str">
        <f>HYPERLINK("https://leetcode.com/problems/sentence-similarity-iii", "Sentence Similarity III")</f>
        <v>Sentence Similarity III</v>
      </c>
      <c r="D1814" s="7" t="s">
        <v>8</v>
      </c>
      <c r="E1814" s="8" t="s">
        <v>397</v>
      </c>
      <c r="F1814" s="9">
        <v>0.33</v>
      </c>
      <c r="G1814" s="10"/>
      <c r="H1814" s="10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ht="14.25" customHeight="1">
      <c r="A1815" s="4">
        <v>1814.0</v>
      </c>
      <c r="B1815" s="5"/>
      <c r="C1815" s="6" t="str">
        <f>HYPERLINK("https://leetcode.com/problems/count-nice-pairs-in-an-array", "Count Nice Pairs in an Array")</f>
        <v>Count Nice Pairs in an Array</v>
      </c>
      <c r="D1815" s="7" t="s">
        <v>8</v>
      </c>
      <c r="E1815" s="8" t="s">
        <v>610</v>
      </c>
      <c r="F1815" s="9">
        <v>0.42</v>
      </c>
      <c r="G1815" s="10"/>
      <c r="H1815" s="10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ht="14.25" customHeight="1">
      <c r="A1816" s="4">
        <v>1815.0</v>
      </c>
      <c r="B1816" s="5"/>
      <c r="C1816" s="6" t="str">
        <f>HYPERLINK("https://leetcode.com/problems/maximum-number-of-groups-getting-fresh-donuts", "Maximum Number of Groups Getting Fresh Donuts")</f>
        <v>Maximum Number of Groups Getting Fresh Donuts</v>
      </c>
      <c r="D1816" s="7" t="s">
        <v>11</v>
      </c>
      <c r="E1816" s="8" t="s">
        <v>701</v>
      </c>
      <c r="F1816" s="9">
        <v>0.4</v>
      </c>
      <c r="G1816" s="10"/>
      <c r="H1816" s="10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ht="14.25" customHeight="1">
      <c r="A1817" s="4">
        <v>1816.0</v>
      </c>
      <c r="B1817" s="5"/>
      <c r="C1817" s="6" t="str">
        <f>HYPERLINK("https://leetcode.com/problems/truncate-sentence", "Truncate Sentence")</f>
        <v>Truncate Sentence</v>
      </c>
      <c r="D1817" s="7" t="s">
        <v>6</v>
      </c>
      <c r="E1817" s="8" t="s">
        <v>135</v>
      </c>
      <c r="F1817" s="9">
        <v>0.82</v>
      </c>
      <c r="G1817" s="10"/>
      <c r="H1817" s="10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ht="14.25" customHeight="1">
      <c r="A1818" s="4">
        <v>1817.0</v>
      </c>
      <c r="B1818" s="5"/>
      <c r="C1818" s="6" t="str">
        <f>HYPERLINK("https://leetcode.com/problems/finding-the-users-active-minutes", "Finding the Users Active Minutes")</f>
        <v>Finding the Users Active Minutes</v>
      </c>
      <c r="D1818" s="7" t="s">
        <v>8</v>
      </c>
      <c r="E1818" s="8" t="s">
        <v>7</v>
      </c>
      <c r="F1818" s="9">
        <v>0.8</v>
      </c>
      <c r="G1818" s="10"/>
      <c r="H1818" s="10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ht="14.25" customHeight="1">
      <c r="A1819" s="4">
        <v>1818.0</v>
      </c>
      <c r="B1819" s="5"/>
      <c r="C1819" s="6" t="str">
        <f>HYPERLINK("https://leetcode.com/problems/minimum-absolute-sum-difference", "Minimum Absolute Sum Difference")</f>
        <v>Minimum Absolute Sum Difference</v>
      </c>
      <c r="D1819" s="7" t="s">
        <v>8</v>
      </c>
      <c r="E1819" s="8" t="s">
        <v>702</v>
      </c>
      <c r="F1819" s="9">
        <v>0.3</v>
      </c>
      <c r="G1819" s="10"/>
      <c r="H1819" s="10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ht="14.25" customHeight="1">
      <c r="A1820" s="4">
        <v>1819.0</v>
      </c>
      <c r="B1820" s="5"/>
      <c r="C1820" s="6" t="str">
        <f>HYPERLINK("https://leetcode.com/problems/number-of-different-subsequences-gcds", "Number of Different Subsequences GCDs")</f>
        <v>Number of Different Subsequences GCDs</v>
      </c>
      <c r="D1820" s="7" t="s">
        <v>11</v>
      </c>
      <c r="E1820" s="8" t="s">
        <v>703</v>
      </c>
      <c r="F1820" s="9">
        <v>0.38</v>
      </c>
      <c r="G1820" s="10"/>
      <c r="H1820" s="10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ht="14.25" customHeight="1">
      <c r="A1821" s="11">
        <v>1820.0</v>
      </c>
      <c r="B1821" s="5"/>
      <c r="C1821" s="12" t="str">
        <f>HYPERLINK("https://leetcode.com/problems/maximum-number-of-accepted-invitations", "Maximum Number of Accepted Invitations")</f>
        <v>Maximum Number of Accepted Invitations</v>
      </c>
      <c r="D1821" s="7" t="s">
        <v>8</v>
      </c>
      <c r="E1821" s="8" t="s">
        <v>32</v>
      </c>
      <c r="F1821" s="9">
        <v>0.49</v>
      </c>
      <c r="G1821" s="10"/>
      <c r="H1821" s="10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ht="14.25" customHeight="1">
      <c r="A1822" s="11">
        <v>1821.0</v>
      </c>
      <c r="B1822" s="5"/>
      <c r="C1822" s="12" t="str">
        <f>HYPERLINK("https://leetcode.com/problems/find-customers-with-positive-revenue-this-year", "Find Customers With Positive Revenue this Year")</f>
        <v>Find Customers With Positive Revenue this Year</v>
      </c>
      <c r="D1822" s="7" t="s">
        <v>6</v>
      </c>
      <c r="E1822" s="8" t="s">
        <v>101</v>
      </c>
      <c r="F1822" s="9">
        <v>0.89</v>
      </c>
      <c r="G1822" s="10"/>
      <c r="H1822" s="10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ht="14.25" customHeight="1">
      <c r="A1823" s="4">
        <v>1822.0</v>
      </c>
      <c r="B1823" s="5"/>
      <c r="C1823" s="6" t="str">
        <f>HYPERLINK("https://leetcode.com/problems/sign-of-the-product-of-an-array", "Sign of the Product of an Array")</f>
        <v>Sign of the Product of an Array</v>
      </c>
      <c r="D1823" s="7" t="s">
        <v>6</v>
      </c>
      <c r="E1823" s="8" t="s">
        <v>48</v>
      </c>
      <c r="F1823" s="9">
        <v>0.65</v>
      </c>
      <c r="G1823" s="10"/>
      <c r="H1823" s="10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ht="14.25" customHeight="1">
      <c r="A1824" s="4">
        <v>1823.0</v>
      </c>
      <c r="B1824" s="5"/>
      <c r="C1824" s="6" t="str">
        <f>HYPERLINK("https://leetcode.com/problems/find-the-winner-of-the-circular-game", "Find the Winner of the Circular Game")</f>
        <v>Find the Winner of the Circular Game</v>
      </c>
      <c r="D1824" s="7" t="s">
        <v>8</v>
      </c>
      <c r="E1824" s="8" t="s">
        <v>704</v>
      </c>
      <c r="F1824" s="9">
        <v>0.77</v>
      </c>
      <c r="G1824" s="10"/>
      <c r="H1824" s="10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ht="14.25" customHeight="1">
      <c r="A1825" s="4">
        <v>1824.0</v>
      </c>
      <c r="B1825" s="5"/>
      <c r="C1825" s="6" t="str">
        <f>HYPERLINK("https://leetcode.com/problems/minimum-sideway-jumps", "Minimum Sideway Jumps")</f>
        <v>Minimum Sideway Jumps</v>
      </c>
      <c r="D1825" s="7" t="s">
        <v>8</v>
      </c>
      <c r="E1825" s="8" t="s">
        <v>37</v>
      </c>
      <c r="F1825" s="9">
        <v>0.49</v>
      </c>
      <c r="G1825" s="10"/>
      <c r="H1825" s="10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ht="14.25" customHeight="1">
      <c r="A1826" s="4">
        <v>1825.0</v>
      </c>
      <c r="B1826" s="5"/>
      <c r="C1826" s="6" t="str">
        <f>HYPERLINK("https://leetcode.com/problems/finding-mk-average", "Finding MK Average")</f>
        <v>Finding MK Average</v>
      </c>
      <c r="D1826" s="7" t="s">
        <v>11</v>
      </c>
      <c r="E1826" s="8" t="s">
        <v>705</v>
      </c>
      <c r="F1826" s="9">
        <v>0.35</v>
      </c>
      <c r="G1826" s="10"/>
      <c r="H1826" s="10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ht="14.25" customHeight="1">
      <c r="A1827" s="11">
        <v>1826.0</v>
      </c>
      <c r="B1827" s="5"/>
      <c r="C1827" s="12" t="str">
        <f>HYPERLINK("https://leetcode.com/problems/faulty-sensor", "Faulty Sensor")</f>
        <v>Faulty Sensor</v>
      </c>
      <c r="D1827" s="7" t="s">
        <v>6</v>
      </c>
      <c r="E1827" s="8" t="s">
        <v>26</v>
      </c>
      <c r="F1827" s="9">
        <v>0.49</v>
      </c>
      <c r="G1827" s="10"/>
      <c r="H1827" s="10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ht="14.25" customHeight="1">
      <c r="A1828" s="4">
        <v>1827.0</v>
      </c>
      <c r="B1828" s="5"/>
      <c r="C1828" s="6" t="str">
        <f>HYPERLINK("https://leetcode.com/problems/minimum-operations-to-make-the-array-increasing", "Minimum Operations to Make the Array Increasing")</f>
        <v>Minimum Operations to Make the Array Increasing</v>
      </c>
      <c r="D1828" s="7" t="s">
        <v>6</v>
      </c>
      <c r="E1828" s="8" t="s">
        <v>81</v>
      </c>
      <c r="F1828" s="9">
        <v>0.78</v>
      </c>
      <c r="G1828" s="10"/>
      <c r="H1828" s="10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ht="14.25" customHeight="1">
      <c r="A1829" s="4">
        <v>1828.0</v>
      </c>
      <c r="B1829" s="5"/>
      <c r="C1829" s="6" t="str">
        <f>HYPERLINK("https://leetcode.com/problems/queries-on-number-of-points-inside-a-circle", "Queries on Number of Points Inside a Circle")</f>
        <v>Queries on Number of Points Inside a Circle</v>
      </c>
      <c r="D1829" s="7" t="s">
        <v>8</v>
      </c>
      <c r="E1829" s="8" t="s">
        <v>196</v>
      </c>
      <c r="F1829" s="9">
        <v>0.86</v>
      </c>
      <c r="G1829" s="10"/>
      <c r="H1829" s="10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ht="14.25" customHeight="1">
      <c r="A1830" s="4">
        <v>1829.0</v>
      </c>
      <c r="B1830" s="5"/>
      <c r="C1830" s="6" t="str">
        <f>HYPERLINK("https://leetcode.com/problems/maximum-xor-for-each-query", "Maximum XOR for Each Query")</f>
        <v>Maximum XOR for Each Query</v>
      </c>
      <c r="D1830" s="7" t="s">
        <v>8</v>
      </c>
      <c r="E1830" s="8" t="s">
        <v>554</v>
      </c>
      <c r="F1830" s="9">
        <v>0.76</v>
      </c>
      <c r="G1830" s="10"/>
      <c r="H1830" s="10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ht="14.25" customHeight="1">
      <c r="A1831" s="4">
        <v>1830.0</v>
      </c>
      <c r="B1831" s="5"/>
      <c r="C1831" s="6" t="str">
        <f>HYPERLINK("https://leetcode.com/problems/minimum-number-of-operations-to-make-string-sorted", "Minimum Number of Operations to Make String Sorted")</f>
        <v>Minimum Number of Operations to Make String Sorted</v>
      </c>
      <c r="D1831" s="7" t="s">
        <v>11</v>
      </c>
      <c r="E1831" s="8" t="s">
        <v>706</v>
      </c>
      <c r="F1831" s="9">
        <v>0.49</v>
      </c>
      <c r="G1831" s="10"/>
      <c r="H1831" s="10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ht="14.25" customHeight="1">
      <c r="A1832" s="11">
        <v>1831.0</v>
      </c>
      <c r="B1832" s="5"/>
      <c r="C1832" s="12" t="str">
        <f>HYPERLINK("https://leetcode.com/problems/maximum-transaction-each-day", "Maximum Transaction Each Day")</f>
        <v>Maximum Transaction Each Day</v>
      </c>
      <c r="D1832" s="7" t="s">
        <v>8</v>
      </c>
      <c r="E1832" s="8" t="s">
        <v>101</v>
      </c>
      <c r="F1832" s="9">
        <v>0.84</v>
      </c>
      <c r="G1832" s="10"/>
      <c r="H1832" s="10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ht="14.25" customHeight="1">
      <c r="A1833" s="4">
        <v>1832.0</v>
      </c>
      <c r="B1833" s="5"/>
      <c r="C1833" s="6" t="str">
        <f>HYPERLINK("https://leetcode.com/problems/check-if-the-sentence-is-pangram", "Check if the Sentence Is Pangram")</f>
        <v>Check if the Sentence Is Pangram</v>
      </c>
      <c r="D1833" s="7" t="s">
        <v>6</v>
      </c>
      <c r="E1833" s="8" t="s">
        <v>110</v>
      </c>
      <c r="F1833" s="9">
        <v>0.83</v>
      </c>
      <c r="G1833" s="10"/>
      <c r="H1833" s="10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ht="14.25" customHeight="1">
      <c r="A1834" s="4">
        <v>1833.0</v>
      </c>
      <c r="B1834" s="5"/>
      <c r="C1834" s="6" t="str">
        <f>HYPERLINK("https://leetcode.com/problems/maximum-ice-cream-bars", "Maximum Ice Cream Bars")</f>
        <v>Maximum Ice Cream Bars</v>
      </c>
      <c r="D1834" s="7" t="s">
        <v>8</v>
      </c>
      <c r="E1834" s="8" t="s">
        <v>160</v>
      </c>
      <c r="F1834" s="9">
        <v>0.65</v>
      </c>
      <c r="G1834" s="10"/>
      <c r="H1834" s="10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ht="14.25" customHeight="1">
      <c r="A1835" s="4">
        <v>1834.0</v>
      </c>
      <c r="B1835" s="5"/>
      <c r="C1835" s="6" t="str">
        <f>HYPERLINK("https://leetcode.com/problems/single-threaded-cpu", "Single-Threaded CPU")</f>
        <v>Single-Threaded CPU</v>
      </c>
      <c r="D1835" s="7" t="s">
        <v>8</v>
      </c>
      <c r="E1835" s="8" t="s">
        <v>293</v>
      </c>
      <c r="F1835" s="9">
        <v>0.42</v>
      </c>
      <c r="G1835" s="10"/>
      <c r="H1835" s="10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ht="14.25" customHeight="1">
      <c r="A1836" s="4">
        <v>1835.0</v>
      </c>
      <c r="B1836" s="5"/>
      <c r="C1836" s="6" t="str">
        <f>HYPERLINK("https://leetcode.com/problems/find-xor-sum-of-all-pairs-bitwise-and", "Find XOR Sum of All Pairs Bitwise AND")</f>
        <v>Find XOR Sum of All Pairs Bitwise AND</v>
      </c>
      <c r="D1836" s="7" t="s">
        <v>11</v>
      </c>
      <c r="E1836" s="8" t="s">
        <v>277</v>
      </c>
      <c r="F1836" s="9">
        <v>0.6</v>
      </c>
      <c r="G1836" s="10"/>
      <c r="H1836" s="10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ht="14.25" customHeight="1">
      <c r="A1837" s="11">
        <v>1836.0</v>
      </c>
      <c r="B1837" s="5"/>
      <c r="C1837" s="12" t="str">
        <f>HYPERLINK("https://leetcode.com/problems/remove-duplicates-from-an-unsorted-linked-list", "Remove Duplicates From an Unsorted Linked List")</f>
        <v>Remove Duplicates From an Unsorted Linked List</v>
      </c>
      <c r="D1837" s="7" t="s">
        <v>8</v>
      </c>
      <c r="E1837" s="8" t="s">
        <v>83</v>
      </c>
      <c r="F1837" s="9">
        <v>0.69</v>
      </c>
      <c r="G1837" s="10"/>
      <c r="H1837" s="10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ht="14.25" customHeight="1">
      <c r="A1838" s="4">
        <v>1837.0</v>
      </c>
      <c r="B1838" s="5"/>
      <c r="C1838" s="6" t="str">
        <f>HYPERLINK("https://leetcode.com/problems/sum-of-digits-in-base-k", "Sum of Digits in Base K")</f>
        <v>Sum of Digits in Base K</v>
      </c>
      <c r="D1838" s="7" t="s">
        <v>6</v>
      </c>
      <c r="E1838" s="8" t="s">
        <v>15</v>
      </c>
      <c r="F1838" s="9">
        <v>0.76</v>
      </c>
      <c r="G1838" s="10"/>
      <c r="H1838" s="10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ht="14.25" customHeight="1">
      <c r="A1839" s="4">
        <v>1838.0</v>
      </c>
      <c r="B1839" s="5"/>
      <c r="C1839" s="6" t="str">
        <f>HYPERLINK("https://leetcode.com/problems/frequency-of-the-most-frequent-element", "Frequency of the Most Frequent Element")</f>
        <v>Frequency of the Most Frequent Element</v>
      </c>
      <c r="D1839" s="7" t="s">
        <v>8</v>
      </c>
      <c r="E1839" s="8" t="s">
        <v>707</v>
      </c>
      <c r="F1839" s="9">
        <v>0.38</v>
      </c>
      <c r="G1839" s="10"/>
      <c r="H1839" s="10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ht="14.25" customHeight="1">
      <c r="A1840" s="4">
        <v>1839.0</v>
      </c>
      <c r="B1840" s="5"/>
      <c r="C1840" s="6" t="str">
        <f>HYPERLINK("https://leetcode.com/problems/longest-substring-of-all-vowels-in-order", "Longest Substring Of All Vowels in Order")</f>
        <v>Longest Substring Of All Vowels in Order</v>
      </c>
      <c r="D1840" s="7" t="s">
        <v>8</v>
      </c>
      <c r="E1840" s="8" t="s">
        <v>509</v>
      </c>
      <c r="F1840" s="9">
        <v>0.48</v>
      </c>
      <c r="G1840" s="10"/>
      <c r="H1840" s="10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ht="14.25" customHeight="1">
      <c r="A1841" s="4">
        <v>1840.0</v>
      </c>
      <c r="B1841" s="5"/>
      <c r="C1841" s="6" t="str">
        <f>HYPERLINK("https://leetcode.com/problems/maximum-building-height", "Maximum Building Height")</f>
        <v>Maximum Building Height</v>
      </c>
      <c r="D1841" s="7" t="s">
        <v>11</v>
      </c>
      <c r="E1841" s="8" t="s">
        <v>48</v>
      </c>
      <c r="F1841" s="9">
        <v>0.35</v>
      </c>
      <c r="G1841" s="10"/>
      <c r="H1841" s="10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ht="14.25" customHeight="1">
      <c r="A1842" s="11">
        <v>1841.0</v>
      </c>
      <c r="B1842" s="5"/>
      <c r="C1842" s="12" t="str">
        <f>HYPERLINK("https://leetcode.com/problems/league-statistics", "League Statistics")</f>
        <v>League Statistics</v>
      </c>
      <c r="D1842" s="7" t="s">
        <v>8</v>
      </c>
      <c r="E1842" s="8" t="s">
        <v>101</v>
      </c>
      <c r="F1842" s="9">
        <v>0.56</v>
      </c>
      <c r="G1842" s="10"/>
      <c r="H1842" s="10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ht="14.25" customHeight="1">
      <c r="A1843" s="11">
        <v>1842.0</v>
      </c>
      <c r="B1843" s="5"/>
      <c r="C1843" s="12" t="str">
        <f>HYPERLINK("https://leetcode.com/problems/next-palindrome-using-same-digits", "Next Palindrome Using Same Digits")</f>
        <v>Next Palindrome Using Same Digits</v>
      </c>
      <c r="D1843" s="7" t="s">
        <v>11</v>
      </c>
      <c r="E1843" s="8" t="s">
        <v>75</v>
      </c>
      <c r="F1843" s="9">
        <v>0.53</v>
      </c>
      <c r="G1843" s="10"/>
      <c r="H1843" s="10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ht="14.25" customHeight="1">
      <c r="A1844" s="11">
        <v>1843.0</v>
      </c>
      <c r="B1844" s="5"/>
      <c r="C1844" s="12" t="str">
        <f>HYPERLINK("https://leetcode.com/problems/suspicious-bank-accounts", "Suspicious Bank Accounts")</f>
        <v>Suspicious Bank Accounts</v>
      </c>
      <c r="D1844" s="7" t="s">
        <v>8</v>
      </c>
      <c r="E1844" s="8" t="s">
        <v>101</v>
      </c>
      <c r="F1844" s="9">
        <v>0.47</v>
      </c>
      <c r="G1844" s="10"/>
      <c r="H1844" s="10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ht="14.25" customHeight="1">
      <c r="A1845" s="4">
        <v>1844.0</v>
      </c>
      <c r="B1845" s="5"/>
      <c r="C1845" s="6" t="str">
        <f>HYPERLINK("https://leetcode.com/problems/replace-all-digits-with-characters", "Replace All Digits with Characters")</f>
        <v>Replace All Digits with Characters</v>
      </c>
      <c r="D1845" s="7" t="s">
        <v>6</v>
      </c>
      <c r="E1845" s="8" t="s">
        <v>14</v>
      </c>
      <c r="F1845" s="9">
        <v>0.79</v>
      </c>
      <c r="G1845" s="10"/>
      <c r="H1845" s="10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ht="14.25" customHeight="1">
      <c r="A1846" s="4">
        <v>1845.0</v>
      </c>
      <c r="B1846" s="5"/>
      <c r="C1846" s="6" t="str">
        <f>HYPERLINK("https://leetcode.com/problems/seat-reservation-manager", "Seat Reservation Manager")</f>
        <v>Seat Reservation Manager</v>
      </c>
      <c r="D1846" s="7" t="s">
        <v>8</v>
      </c>
      <c r="E1846" s="8" t="s">
        <v>708</v>
      </c>
      <c r="F1846" s="9">
        <v>0.64</v>
      </c>
      <c r="G1846" s="10"/>
      <c r="H1846" s="10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ht="14.25" customHeight="1">
      <c r="A1847" s="4">
        <v>1846.0</v>
      </c>
      <c r="B1847" s="5"/>
      <c r="C1847" s="6" t="str">
        <f>HYPERLINK("https://leetcode.com/problems/maximum-element-after-decreasing-and-rearranging", "Maximum Element After Decreasing and Rearranging")</f>
        <v>Maximum Element After Decreasing and Rearranging</v>
      </c>
      <c r="D1847" s="7" t="s">
        <v>8</v>
      </c>
      <c r="E1847" s="8" t="s">
        <v>160</v>
      </c>
      <c r="F1847" s="9">
        <v>0.59</v>
      </c>
      <c r="G1847" s="10"/>
      <c r="H1847" s="10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ht="14.25" customHeight="1">
      <c r="A1848" s="4">
        <v>1847.0</v>
      </c>
      <c r="B1848" s="5"/>
      <c r="C1848" s="6" t="str">
        <f>HYPERLINK("https://leetcode.com/problems/closest-room", "Closest Room")</f>
        <v>Closest Room</v>
      </c>
      <c r="D1848" s="7" t="s">
        <v>11</v>
      </c>
      <c r="E1848" s="8" t="s">
        <v>260</v>
      </c>
      <c r="F1848" s="9">
        <v>0.35</v>
      </c>
      <c r="G1848" s="10"/>
      <c r="H1848" s="10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ht="14.25" customHeight="1">
      <c r="A1849" s="4">
        <v>1848.0</v>
      </c>
      <c r="B1849" s="5"/>
      <c r="C1849" s="6" t="str">
        <f>HYPERLINK("https://leetcode.com/problems/minimum-distance-to-the-target-element", "Minimum Distance to the Target Element")</f>
        <v>Minimum Distance to the Target Element</v>
      </c>
      <c r="D1849" s="7" t="s">
        <v>6</v>
      </c>
      <c r="E1849" s="8" t="s">
        <v>45</v>
      </c>
      <c r="F1849" s="9">
        <v>0.58</v>
      </c>
      <c r="G1849" s="10"/>
      <c r="H1849" s="10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ht="14.25" customHeight="1">
      <c r="A1850" s="4">
        <v>1849.0</v>
      </c>
      <c r="B1850" s="5"/>
      <c r="C1850" s="6" t="str">
        <f>HYPERLINK("https://leetcode.com/problems/splitting-a-string-into-descending-consecutive-values", "Splitting a String Into Descending Consecutive Values")</f>
        <v>Splitting a String Into Descending Consecutive Values</v>
      </c>
      <c r="D1850" s="7" t="s">
        <v>8</v>
      </c>
      <c r="E1850" s="8" t="s">
        <v>59</v>
      </c>
      <c r="F1850" s="9">
        <v>0.32</v>
      </c>
      <c r="G1850" s="10"/>
      <c r="H1850" s="10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ht="14.25" customHeight="1">
      <c r="A1851" s="4">
        <v>1850.0</v>
      </c>
      <c r="B1851" s="5"/>
      <c r="C1851" s="6" t="str">
        <f>HYPERLINK("https://leetcode.com/problems/minimum-adjacent-swaps-to-reach-the-kth-smallest-number", "Minimum Adjacent Swaps to Reach the Kth Smallest Number")</f>
        <v>Minimum Adjacent Swaps to Reach the Kth Smallest Number</v>
      </c>
      <c r="D1851" s="7" t="s">
        <v>8</v>
      </c>
      <c r="E1851" s="8" t="s">
        <v>348</v>
      </c>
      <c r="F1851" s="9">
        <v>0.71</v>
      </c>
      <c r="G1851" s="10"/>
      <c r="H1851" s="10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ht="14.25" customHeight="1">
      <c r="A1852" s="4">
        <v>1851.0</v>
      </c>
      <c r="B1852" s="5"/>
      <c r="C1852" s="6" t="str">
        <f>HYPERLINK("https://leetcode.com/problems/minimum-interval-to-include-each-query", "Minimum Interval to Include Each Query")</f>
        <v>Minimum Interval to Include Each Query</v>
      </c>
      <c r="D1852" s="7" t="s">
        <v>11</v>
      </c>
      <c r="E1852" s="8" t="s">
        <v>709</v>
      </c>
      <c r="F1852" s="9">
        <v>0.47</v>
      </c>
      <c r="G1852" s="10"/>
      <c r="H1852" s="10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ht="14.25" customHeight="1">
      <c r="A1853" s="11">
        <v>1852.0</v>
      </c>
      <c r="B1853" s="5"/>
      <c r="C1853" s="12" t="str">
        <f>HYPERLINK("https://leetcode.com/problems/distinct-numbers-in-each-subarray", "Distinct Numbers in Each Subarray")</f>
        <v>Distinct Numbers in Each Subarray</v>
      </c>
      <c r="D1853" s="7" t="s">
        <v>8</v>
      </c>
      <c r="E1853" s="8" t="s">
        <v>120</v>
      </c>
      <c r="F1853" s="9">
        <v>0.7</v>
      </c>
      <c r="G1853" s="10"/>
      <c r="H1853" s="10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ht="14.25" customHeight="1">
      <c r="A1854" s="11">
        <v>1853.0</v>
      </c>
      <c r="B1854" s="5"/>
      <c r="C1854" s="12" t="str">
        <f>HYPERLINK("https://leetcode.com/problems/convert-date-format", "Convert Date Format")</f>
        <v>Convert Date Format</v>
      </c>
      <c r="D1854" s="7" t="s">
        <v>6</v>
      </c>
      <c r="E1854" s="8" t="s">
        <v>101</v>
      </c>
      <c r="F1854" s="9">
        <v>0.87</v>
      </c>
      <c r="G1854" s="10"/>
      <c r="H1854" s="10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ht="14.25" customHeight="1">
      <c r="A1855" s="4">
        <v>1854.0</v>
      </c>
      <c r="B1855" s="5"/>
      <c r="C1855" s="6" t="str">
        <f>HYPERLINK("https://leetcode.com/problems/maximum-population-year", "Maximum Population Year")</f>
        <v>Maximum Population Year</v>
      </c>
      <c r="D1855" s="7" t="s">
        <v>6</v>
      </c>
      <c r="E1855" s="8" t="s">
        <v>710</v>
      </c>
      <c r="F1855" s="9">
        <v>0.59</v>
      </c>
      <c r="G1855" s="10"/>
      <c r="H1855" s="10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ht="14.25" customHeight="1">
      <c r="A1856" s="4">
        <v>1855.0</v>
      </c>
      <c r="B1856" s="5"/>
      <c r="C1856" s="6" t="str">
        <f>HYPERLINK("https://leetcode.com/problems/maximum-distance-between-a-pair-of-values", "Maximum Distance Between a Pair of Values")</f>
        <v>Maximum Distance Between a Pair of Values</v>
      </c>
      <c r="D1856" s="7" t="s">
        <v>8</v>
      </c>
      <c r="E1856" s="8" t="s">
        <v>711</v>
      </c>
      <c r="F1856" s="9">
        <v>0.52</v>
      </c>
      <c r="G1856" s="10"/>
      <c r="H1856" s="10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ht="14.25" customHeight="1">
      <c r="A1857" s="4">
        <v>1856.0</v>
      </c>
      <c r="B1857" s="5"/>
      <c r="C1857" s="6" t="str">
        <f>HYPERLINK("https://leetcode.com/problems/maximum-subarray-min-product", "Maximum Subarray Min-Product")</f>
        <v>Maximum Subarray Min-Product</v>
      </c>
      <c r="D1857" s="7" t="s">
        <v>8</v>
      </c>
      <c r="E1857" s="8" t="s">
        <v>712</v>
      </c>
      <c r="F1857" s="9">
        <v>0.37</v>
      </c>
      <c r="G1857" s="10"/>
      <c r="H1857" s="10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ht="14.25" customHeight="1">
      <c r="A1858" s="4">
        <v>1857.0</v>
      </c>
      <c r="B1858" s="5"/>
      <c r="C1858" s="6" t="str">
        <f>HYPERLINK("https://leetcode.com/problems/largest-color-value-in-a-directed-graph", "Largest Color Value in a Directed Graph")</f>
        <v>Largest Color Value in a Directed Graph</v>
      </c>
      <c r="D1858" s="7" t="s">
        <v>11</v>
      </c>
      <c r="E1858" s="8" t="s">
        <v>713</v>
      </c>
      <c r="F1858" s="9">
        <v>0.4</v>
      </c>
      <c r="G1858" s="10"/>
      <c r="H1858" s="10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ht="14.25" customHeight="1">
      <c r="A1859" s="11">
        <v>1858.0</v>
      </c>
      <c r="B1859" s="5"/>
      <c r="C1859" s="12" t="str">
        <f>HYPERLINK("https://leetcode.com/problems/longest-word-with-all-prefixes", "Longest Word With All Prefixes")</f>
        <v>Longest Word With All Prefixes</v>
      </c>
      <c r="D1859" s="7" t="s">
        <v>8</v>
      </c>
      <c r="E1859" s="8" t="s">
        <v>231</v>
      </c>
      <c r="F1859" s="9">
        <v>0.66</v>
      </c>
      <c r="G1859" s="10"/>
      <c r="H1859" s="10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ht="14.25" customHeight="1">
      <c r="A1860" s="4">
        <v>1859.0</v>
      </c>
      <c r="B1860" s="5"/>
      <c r="C1860" s="6" t="str">
        <f>HYPERLINK("https://leetcode.com/problems/sorting-the-sentence", "Sorting the Sentence")</f>
        <v>Sorting the Sentence</v>
      </c>
      <c r="D1860" s="7" t="s">
        <v>6</v>
      </c>
      <c r="E1860" s="8" t="s">
        <v>595</v>
      </c>
      <c r="F1860" s="9">
        <v>0.84</v>
      </c>
      <c r="G1860" s="10"/>
      <c r="H1860" s="10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ht="14.25" customHeight="1">
      <c r="A1861" s="4">
        <v>1860.0</v>
      </c>
      <c r="B1861" s="5"/>
      <c r="C1861" s="6" t="str">
        <f>HYPERLINK("https://leetcode.com/problems/incremental-memory-leak", "Incremental Memory Leak")</f>
        <v>Incremental Memory Leak</v>
      </c>
      <c r="D1861" s="7" t="s">
        <v>8</v>
      </c>
      <c r="E1861" s="8" t="s">
        <v>714</v>
      </c>
      <c r="F1861" s="9">
        <v>0.71</v>
      </c>
      <c r="G1861" s="10"/>
      <c r="H1861" s="10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ht="14.25" customHeight="1">
      <c r="A1862" s="4">
        <v>1861.0</v>
      </c>
      <c r="B1862" s="5"/>
      <c r="C1862" s="6" t="str">
        <f>HYPERLINK("https://leetcode.com/problems/rotating-the-box", "Rotating the Box")</f>
        <v>Rotating the Box</v>
      </c>
      <c r="D1862" s="7" t="s">
        <v>8</v>
      </c>
      <c r="E1862" s="8" t="s">
        <v>715</v>
      </c>
      <c r="F1862" s="9">
        <v>0.64</v>
      </c>
      <c r="G1862" s="10"/>
      <c r="H1862" s="10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ht="14.25" customHeight="1">
      <c r="A1863" s="4">
        <v>1862.0</v>
      </c>
      <c r="B1863" s="5"/>
      <c r="C1863" s="6" t="str">
        <f>HYPERLINK("https://leetcode.com/problems/sum-of-floored-pairs", "Sum of Floored Pairs")</f>
        <v>Sum of Floored Pairs</v>
      </c>
      <c r="D1863" s="7" t="s">
        <v>11</v>
      </c>
      <c r="E1863" s="8" t="s">
        <v>716</v>
      </c>
      <c r="F1863" s="9">
        <v>0.28</v>
      </c>
      <c r="G1863" s="10"/>
      <c r="H1863" s="10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ht="14.25" customHeight="1">
      <c r="A1864" s="4">
        <v>1863.0</v>
      </c>
      <c r="B1864" s="5"/>
      <c r="C1864" s="6" t="str">
        <f>HYPERLINK("https://leetcode.com/problems/sum-of-all-subset-xor-totals", "Sum of All Subset XOR Totals")</f>
        <v>Sum of All Subset XOR Totals</v>
      </c>
      <c r="D1864" s="7" t="s">
        <v>6</v>
      </c>
      <c r="E1864" s="8" t="s">
        <v>717</v>
      </c>
      <c r="F1864" s="9">
        <v>0.79</v>
      </c>
      <c r="G1864" s="10"/>
      <c r="H1864" s="10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ht="14.25" customHeight="1">
      <c r="A1865" s="4">
        <v>1864.0</v>
      </c>
      <c r="B1865" s="5"/>
      <c r="C1865" s="6" t="str">
        <f>HYPERLINK("https://leetcode.com/problems/minimum-number-of-swaps-to-make-the-binary-string-alternating", "Minimum Number of Swaps to Make the Binary String Alternating")</f>
        <v>Minimum Number of Swaps to Make the Binary String Alternating</v>
      </c>
      <c r="D1865" s="7" t="s">
        <v>8</v>
      </c>
      <c r="E1865" s="8" t="s">
        <v>465</v>
      </c>
      <c r="F1865" s="9">
        <v>0.42</v>
      </c>
      <c r="G1865" s="10"/>
      <c r="H1865" s="10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ht="14.25" customHeight="1">
      <c r="A1866" s="4">
        <v>1865.0</v>
      </c>
      <c r="B1866" s="5"/>
      <c r="C1866" s="6" t="str">
        <f>HYPERLINK("https://leetcode.com/problems/finding-pairs-with-a-certain-sum", "Finding Pairs With a Certain Sum")</f>
        <v>Finding Pairs With a Certain Sum</v>
      </c>
      <c r="D1866" s="7" t="s">
        <v>8</v>
      </c>
      <c r="E1866" s="8" t="s">
        <v>566</v>
      </c>
      <c r="F1866" s="9">
        <v>0.5</v>
      </c>
      <c r="G1866" s="10"/>
      <c r="H1866" s="10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ht="14.25" customHeight="1">
      <c r="A1867" s="4">
        <v>1866.0</v>
      </c>
      <c r="B1867" s="5"/>
      <c r="C1867" s="6" t="str">
        <f>HYPERLINK("https://leetcode.com/problems/number-of-ways-to-rearrange-sticks-with-k-sticks-visible", "Number of Ways to Rearrange Sticks With K Sticks Visible")</f>
        <v>Number of Ways to Rearrange Sticks With K Sticks Visible</v>
      </c>
      <c r="D1867" s="7" t="s">
        <v>11</v>
      </c>
      <c r="E1867" s="8" t="s">
        <v>46</v>
      </c>
      <c r="F1867" s="9">
        <v>0.55</v>
      </c>
      <c r="G1867" s="10"/>
      <c r="H1867" s="10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ht="14.25" customHeight="1">
      <c r="A1868" s="11">
        <v>1867.0</v>
      </c>
      <c r="B1868" s="5"/>
      <c r="C1868" s="12" t="str">
        <f>HYPERLINK("https://leetcode.com/problems/orders-with-maximum-quantity-above-average", "Orders With Maximum Quantity Above Average")</f>
        <v>Orders With Maximum Quantity Above Average</v>
      </c>
      <c r="D1868" s="7" t="s">
        <v>8</v>
      </c>
      <c r="E1868" s="8" t="s">
        <v>101</v>
      </c>
      <c r="F1868" s="9">
        <v>0.75</v>
      </c>
      <c r="G1868" s="10"/>
      <c r="H1868" s="10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ht="14.25" customHeight="1">
      <c r="A1869" s="11">
        <v>1868.0</v>
      </c>
      <c r="B1869" s="5"/>
      <c r="C1869" s="12" t="str">
        <f>HYPERLINK("https://leetcode.com/problems/product-of-two-run-length-encoded-arrays", "Product of Two Run-Length Encoded Arrays")</f>
        <v>Product of Two Run-Length Encoded Arrays</v>
      </c>
      <c r="D1869" s="7" t="s">
        <v>8</v>
      </c>
      <c r="E1869" s="8" t="s">
        <v>26</v>
      </c>
      <c r="F1869" s="9">
        <v>0.57</v>
      </c>
      <c r="G1869" s="10"/>
      <c r="H1869" s="10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ht="14.25" customHeight="1">
      <c r="A1870" s="4">
        <v>1869.0</v>
      </c>
      <c r="B1870" s="5"/>
      <c r="C1870" s="6" t="str">
        <f>HYPERLINK("https://leetcode.com/problems/longer-contiguous-segments-of-ones-than-zeros", "Longer Contiguous Segments of Ones than Zeros")</f>
        <v>Longer Contiguous Segments of Ones than Zeros</v>
      </c>
      <c r="D1870" s="7" t="s">
        <v>6</v>
      </c>
      <c r="E1870" s="8" t="s">
        <v>14</v>
      </c>
      <c r="F1870" s="9">
        <v>0.6</v>
      </c>
      <c r="G1870" s="10"/>
      <c r="H1870" s="10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ht="14.25" customHeight="1">
      <c r="A1871" s="4">
        <v>1870.0</v>
      </c>
      <c r="B1871" s="5"/>
      <c r="C1871" s="6" t="str">
        <f>HYPERLINK("https://leetcode.com/problems/minimum-speed-to-arrive-on-time", "Minimum Speed to Arrive on Time")</f>
        <v>Minimum Speed to Arrive on Time</v>
      </c>
      <c r="D1871" s="7" t="s">
        <v>8</v>
      </c>
      <c r="E1871" s="8" t="s">
        <v>30</v>
      </c>
      <c r="F1871" s="9">
        <v>0.37</v>
      </c>
      <c r="G1871" s="10"/>
      <c r="H1871" s="10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ht="14.25" customHeight="1">
      <c r="A1872" s="4">
        <v>1871.0</v>
      </c>
      <c r="B1872" s="5"/>
      <c r="C1872" s="6" t="str">
        <f>HYPERLINK("https://leetcode.com/problems/jump-game-vii", "Jump Game VII")</f>
        <v>Jump Game VII</v>
      </c>
      <c r="D1872" s="7" t="s">
        <v>8</v>
      </c>
      <c r="E1872" s="8" t="s">
        <v>718</v>
      </c>
      <c r="F1872" s="9">
        <v>0.25</v>
      </c>
      <c r="G1872" s="10"/>
      <c r="H1872" s="10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ht="14.25" customHeight="1">
      <c r="A1873" s="4">
        <v>1872.0</v>
      </c>
      <c r="B1873" s="5"/>
      <c r="C1873" s="6" t="str">
        <f>HYPERLINK("https://leetcode.com/problems/stone-game-viii", "Stone Game VIII")</f>
        <v>Stone Game VIII</v>
      </c>
      <c r="D1873" s="7" t="s">
        <v>11</v>
      </c>
      <c r="E1873" s="8" t="s">
        <v>719</v>
      </c>
      <c r="F1873" s="9">
        <v>0.52</v>
      </c>
      <c r="G1873" s="10"/>
      <c r="H1873" s="10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ht="14.25" customHeight="1">
      <c r="A1874" s="4">
        <v>1873.0</v>
      </c>
      <c r="B1874" s="5"/>
      <c r="C1874" s="6" t="str">
        <f>HYPERLINK("https://leetcode.com/problems/calculate-special-bonus", "Calculate Special Bonus")</f>
        <v>Calculate Special Bonus</v>
      </c>
      <c r="D1874" s="7" t="s">
        <v>6</v>
      </c>
      <c r="E1874" s="8" t="s">
        <v>101</v>
      </c>
      <c r="F1874" s="9">
        <v>0.62</v>
      </c>
      <c r="G1874" s="10"/>
      <c r="H1874" s="10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ht="14.25" customHeight="1">
      <c r="A1875" s="11">
        <v>1874.0</v>
      </c>
      <c r="B1875" s="5"/>
      <c r="C1875" s="12" t="str">
        <f>HYPERLINK("https://leetcode.com/problems/minimize-product-sum-of-two-arrays", "Minimize Product Sum of Two Arrays")</f>
        <v>Minimize Product Sum of Two Arrays</v>
      </c>
      <c r="D1875" s="7" t="s">
        <v>8</v>
      </c>
      <c r="E1875" s="8" t="s">
        <v>160</v>
      </c>
      <c r="F1875" s="9">
        <v>0.9</v>
      </c>
      <c r="G1875" s="10"/>
      <c r="H1875" s="10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ht="14.25" customHeight="1">
      <c r="A1876" s="11">
        <v>1875.0</v>
      </c>
      <c r="B1876" s="5"/>
      <c r="C1876" s="12" t="str">
        <f>HYPERLINK("https://leetcode.com/problems/group-employees-of-the-same-salary", "Group Employees of the Same Salary")</f>
        <v>Group Employees of the Same Salary</v>
      </c>
      <c r="D1876" s="7" t="s">
        <v>8</v>
      </c>
      <c r="E1876" s="8" t="s">
        <v>101</v>
      </c>
      <c r="F1876" s="9">
        <v>0.75</v>
      </c>
      <c r="G1876" s="10"/>
      <c r="H1876" s="10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ht="14.25" customHeight="1">
      <c r="A1877" s="4">
        <v>1876.0</v>
      </c>
      <c r="B1877" s="5"/>
      <c r="C1877" s="6" t="str">
        <f>HYPERLINK("https://leetcode.com/problems/substrings-of-size-three-with-distinct-characters", "Substrings of Size Three with Distinct Characters")</f>
        <v>Substrings of Size Three with Distinct Characters</v>
      </c>
      <c r="D1877" s="7" t="s">
        <v>6</v>
      </c>
      <c r="E1877" s="8" t="s">
        <v>720</v>
      </c>
      <c r="F1877" s="9">
        <v>0.7</v>
      </c>
      <c r="G1877" s="10"/>
      <c r="H1877" s="10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ht="14.25" customHeight="1">
      <c r="A1878" s="4">
        <v>1877.0</v>
      </c>
      <c r="B1878" s="5"/>
      <c r="C1878" s="6" t="str">
        <f>HYPERLINK("https://leetcode.com/problems/minimize-maximum-pair-sum-in-array", "Minimize Maximum Pair Sum in Array")</f>
        <v>Minimize Maximum Pair Sum in Array</v>
      </c>
      <c r="D1878" s="7" t="s">
        <v>8</v>
      </c>
      <c r="E1878" s="8" t="s">
        <v>267</v>
      </c>
      <c r="F1878" s="9">
        <v>0.8</v>
      </c>
      <c r="G1878" s="10"/>
      <c r="H1878" s="10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ht="14.25" customHeight="1">
      <c r="A1879" s="4">
        <v>1878.0</v>
      </c>
      <c r="B1879" s="5"/>
      <c r="C1879" s="6" t="str">
        <f>HYPERLINK("https://leetcode.com/problems/get-biggest-three-rhombus-sums-in-a-grid", "Get Biggest Three Rhombus Sums in a Grid")</f>
        <v>Get Biggest Three Rhombus Sums in a Grid</v>
      </c>
      <c r="D1879" s="7" t="s">
        <v>8</v>
      </c>
      <c r="E1879" s="8" t="s">
        <v>721</v>
      </c>
      <c r="F1879" s="9">
        <v>0.46</v>
      </c>
      <c r="G1879" s="10"/>
      <c r="H1879" s="10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ht="14.25" customHeight="1">
      <c r="A1880" s="4">
        <v>1879.0</v>
      </c>
      <c r="B1880" s="5"/>
      <c r="C1880" s="6" t="str">
        <f>HYPERLINK("https://leetcode.com/problems/minimum-xor-sum-of-two-arrays", "Minimum XOR Sum of Two Arrays")</f>
        <v>Minimum XOR Sum of Two Arrays</v>
      </c>
      <c r="D1880" s="7" t="s">
        <v>11</v>
      </c>
      <c r="E1880" s="8" t="s">
        <v>503</v>
      </c>
      <c r="F1880" s="9">
        <v>0.44</v>
      </c>
      <c r="G1880" s="10"/>
      <c r="H1880" s="10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ht="14.25" customHeight="1">
      <c r="A1881" s="4">
        <v>1880.0</v>
      </c>
      <c r="B1881" s="5"/>
      <c r="C1881" s="6" t="str">
        <f>HYPERLINK("https://leetcode.com/problems/check-if-word-equals-summation-of-two-words", "Check if Word Equals Summation of Two Words")</f>
        <v>Check if Word Equals Summation of Two Words</v>
      </c>
      <c r="D1881" s="7" t="s">
        <v>6</v>
      </c>
      <c r="E1881" s="8" t="s">
        <v>14</v>
      </c>
      <c r="F1881" s="9">
        <v>0.73</v>
      </c>
      <c r="G1881" s="10"/>
      <c r="H1881" s="10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ht="14.25" customHeight="1">
      <c r="A1882" s="4">
        <v>1881.0</v>
      </c>
      <c r="B1882" s="5"/>
      <c r="C1882" s="6" t="str">
        <f>HYPERLINK("https://leetcode.com/problems/maximum-value-after-insertion", "Maximum Value after Insertion")</f>
        <v>Maximum Value after Insertion</v>
      </c>
      <c r="D1882" s="7" t="s">
        <v>8</v>
      </c>
      <c r="E1882" s="8" t="s">
        <v>465</v>
      </c>
      <c r="F1882" s="9">
        <v>0.36</v>
      </c>
      <c r="G1882" s="10"/>
      <c r="H1882" s="10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ht="14.25" customHeight="1">
      <c r="A1883" s="4">
        <v>1882.0</v>
      </c>
      <c r="B1883" s="5"/>
      <c r="C1883" s="6" t="str">
        <f>HYPERLINK("https://leetcode.com/problems/process-tasks-using-servers", "Process Tasks Using Servers")</f>
        <v>Process Tasks Using Servers</v>
      </c>
      <c r="D1883" s="7" t="s">
        <v>8</v>
      </c>
      <c r="E1883" s="8" t="s">
        <v>223</v>
      </c>
      <c r="F1883" s="9">
        <v>0.39</v>
      </c>
      <c r="G1883" s="10"/>
      <c r="H1883" s="10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ht="14.25" customHeight="1">
      <c r="A1884" s="4">
        <v>1883.0</v>
      </c>
      <c r="B1884" s="5"/>
      <c r="C1884" s="6" t="str">
        <f>HYPERLINK("https://leetcode.com/problems/minimum-skips-to-arrive-at-meeting-on-time", "Minimum Skips to Arrive at Meeting On Time")</f>
        <v>Minimum Skips to Arrive at Meeting On Time</v>
      </c>
      <c r="D1884" s="7" t="s">
        <v>11</v>
      </c>
      <c r="E1884" s="8" t="s">
        <v>73</v>
      </c>
      <c r="F1884" s="9">
        <v>0.38</v>
      </c>
      <c r="G1884" s="10"/>
      <c r="H1884" s="10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ht="14.25" customHeight="1">
      <c r="A1885" s="4">
        <v>1884.0</v>
      </c>
      <c r="B1885" s="5"/>
      <c r="C1885" s="6" t="str">
        <f>HYPERLINK("https://leetcode.com/problems/egg-drop-with-2-eggs-and-n-floors", "Egg Drop With 2 Eggs and N Floors")</f>
        <v>Egg Drop With 2 Eggs and N Floors</v>
      </c>
      <c r="D1885" s="7" t="s">
        <v>8</v>
      </c>
      <c r="E1885" s="8" t="s">
        <v>201</v>
      </c>
      <c r="F1885" s="9">
        <v>0.7</v>
      </c>
      <c r="G1885" s="10"/>
      <c r="H1885" s="10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ht="14.25" customHeight="1">
      <c r="A1886" s="11">
        <v>1885.0</v>
      </c>
      <c r="B1886" s="5"/>
      <c r="C1886" s="12" t="str">
        <f>HYPERLINK("https://leetcode.com/problems/count-pairs-in-two-arrays", "Count Pairs in Two Arrays")</f>
        <v>Count Pairs in Two Arrays</v>
      </c>
      <c r="D1886" s="7" t="s">
        <v>8</v>
      </c>
      <c r="E1886" s="8" t="s">
        <v>260</v>
      </c>
      <c r="F1886" s="9">
        <v>0.59</v>
      </c>
      <c r="G1886" s="10"/>
      <c r="H1886" s="10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ht="14.25" customHeight="1">
      <c r="A1887" s="4">
        <v>1886.0</v>
      </c>
      <c r="B1887" s="5"/>
      <c r="C1887" s="6" t="str">
        <f>HYPERLINK("https://leetcode.com/problems/determine-whether-matrix-can-be-obtained-by-rotation", "Determine Whether Matrix Can Be Obtained By Rotation")</f>
        <v>Determine Whether Matrix Can Be Obtained By Rotation</v>
      </c>
      <c r="D1887" s="7" t="s">
        <v>6</v>
      </c>
      <c r="E1887" s="8" t="s">
        <v>251</v>
      </c>
      <c r="F1887" s="9">
        <v>0.55</v>
      </c>
      <c r="G1887" s="10"/>
      <c r="H1887" s="10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ht="14.25" customHeight="1">
      <c r="A1888" s="4">
        <v>1887.0</v>
      </c>
      <c r="B1888" s="5"/>
      <c r="C1888" s="6" t="str">
        <f>HYPERLINK("https://leetcode.com/problems/reduction-operations-to-make-the-array-elements-equal", "Reduction Operations to Make the Array Elements Equal")</f>
        <v>Reduction Operations to Make the Array Elements Equal</v>
      </c>
      <c r="D1888" s="7" t="s">
        <v>8</v>
      </c>
      <c r="E1888" s="8" t="s">
        <v>44</v>
      </c>
      <c r="F1888" s="9">
        <v>0.62</v>
      </c>
      <c r="G1888" s="10"/>
      <c r="H1888" s="10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ht="14.25" customHeight="1">
      <c r="A1889" s="4">
        <v>1888.0</v>
      </c>
      <c r="B1889" s="5"/>
      <c r="C1889" s="6" t="str">
        <f>HYPERLINK("https://leetcode.com/problems/minimum-number-of-flips-to-make-the-binary-string-alternating", "Minimum Number of Flips to Make the Binary String Alternating")</f>
        <v>Minimum Number of Flips to Make the Binary String Alternating</v>
      </c>
      <c r="D1889" s="7" t="s">
        <v>8</v>
      </c>
      <c r="E1889" s="8" t="s">
        <v>722</v>
      </c>
      <c r="F1889" s="9">
        <v>0.38</v>
      </c>
      <c r="G1889" s="10"/>
      <c r="H1889" s="10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ht="14.25" customHeight="1">
      <c r="A1890" s="4">
        <v>1889.0</v>
      </c>
      <c r="B1890" s="5"/>
      <c r="C1890" s="6" t="str">
        <f>HYPERLINK("https://leetcode.com/problems/minimum-space-wasted-from-packaging", "Minimum Space Wasted From Packaging")</f>
        <v>Minimum Space Wasted From Packaging</v>
      </c>
      <c r="D1890" s="7" t="s">
        <v>11</v>
      </c>
      <c r="E1890" s="8" t="s">
        <v>723</v>
      </c>
      <c r="F1890" s="9">
        <v>0.3</v>
      </c>
      <c r="G1890" s="10"/>
      <c r="H1890" s="10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ht="14.25" customHeight="1">
      <c r="A1891" s="4">
        <v>1890.0</v>
      </c>
      <c r="B1891" s="5"/>
      <c r="C1891" s="6" t="str">
        <f>HYPERLINK("https://leetcode.com/problems/the-latest-login-in-2020", "The Latest Login in 2020")</f>
        <v>The Latest Login in 2020</v>
      </c>
      <c r="D1891" s="7" t="s">
        <v>6</v>
      </c>
      <c r="E1891" s="8" t="s">
        <v>101</v>
      </c>
      <c r="F1891" s="9">
        <v>0.81</v>
      </c>
      <c r="G1891" s="10"/>
      <c r="H1891" s="10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ht="14.25" customHeight="1">
      <c r="A1892" s="11">
        <v>1891.0</v>
      </c>
      <c r="B1892" s="5"/>
      <c r="C1892" s="12" t="str">
        <f>HYPERLINK("https://leetcode.com/problems/cutting-ribbons", "Cutting Ribbons")</f>
        <v>Cutting Ribbons</v>
      </c>
      <c r="D1892" s="7" t="s">
        <v>8</v>
      </c>
      <c r="E1892" s="8" t="s">
        <v>30</v>
      </c>
      <c r="F1892" s="9">
        <v>0.48</v>
      </c>
      <c r="G1892" s="10"/>
      <c r="H1892" s="10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ht="14.25" customHeight="1">
      <c r="A1893" s="11">
        <v>1892.0</v>
      </c>
      <c r="B1893" s="5"/>
      <c r="C1893" s="12" t="str">
        <f>HYPERLINK("https://leetcode.com/problems/page-recommendations-ii", "Page Recommendations II")</f>
        <v>Page Recommendations II</v>
      </c>
      <c r="D1893" s="7" t="s">
        <v>11</v>
      </c>
      <c r="E1893" s="8" t="s">
        <v>101</v>
      </c>
      <c r="F1893" s="9">
        <v>0.44</v>
      </c>
      <c r="G1893" s="10"/>
      <c r="H1893" s="10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ht="14.25" customHeight="1">
      <c r="A1894" s="4">
        <v>1893.0</v>
      </c>
      <c r="B1894" s="5"/>
      <c r="C1894" s="6" t="str">
        <f>HYPERLINK("https://leetcode.com/problems/check-if-all-the-integers-in-a-range-are-covered", "Check if All the Integers in a Range Are Covered")</f>
        <v>Check if All the Integers in a Range Are Covered</v>
      </c>
      <c r="D1894" s="7" t="s">
        <v>6</v>
      </c>
      <c r="E1894" s="8" t="s">
        <v>191</v>
      </c>
      <c r="F1894" s="9">
        <v>0.5</v>
      </c>
      <c r="G1894" s="10"/>
      <c r="H1894" s="10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ht="14.25" customHeight="1">
      <c r="A1895" s="4">
        <v>1894.0</v>
      </c>
      <c r="B1895" s="5"/>
      <c r="C1895" s="6" t="str">
        <f>HYPERLINK("https://leetcode.com/problems/find-the-student-that-will-replace-the-chalk", "Find the Student that Will Replace the Chalk")</f>
        <v>Find the Student that Will Replace the Chalk</v>
      </c>
      <c r="D1895" s="7" t="s">
        <v>8</v>
      </c>
      <c r="E1895" s="8" t="s">
        <v>724</v>
      </c>
      <c r="F1895" s="9">
        <v>0.43</v>
      </c>
      <c r="G1895" s="10"/>
      <c r="H1895" s="10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ht="14.25" customHeight="1">
      <c r="A1896" s="4">
        <v>1895.0</v>
      </c>
      <c r="B1896" s="5"/>
      <c r="C1896" s="6" t="str">
        <f>HYPERLINK("https://leetcode.com/problems/largest-magic-square", "Largest Magic Square")</f>
        <v>Largest Magic Square</v>
      </c>
      <c r="D1896" s="7" t="s">
        <v>8</v>
      </c>
      <c r="E1896" s="8" t="s">
        <v>556</v>
      </c>
      <c r="F1896" s="9">
        <v>0.51</v>
      </c>
      <c r="G1896" s="10"/>
      <c r="H1896" s="10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ht="14.25" customHeight="1">
      <c r="A1897" s="4">
        <v>1896.0</v>
      </c>
      <c r="B1897" s="5"/>
      <c r="C1897" s="6" t="str">
        <f>HYPERLINK("https://leetcode.com/problems/minimum-cost-to-change-the-final-value-of-expression", "Minimum Cost to Change the Final Value of Expression")</f>
        <v>Minimum Cost to Change the Final Value of Expression</v>
      </c>
      <c r="D1897" s="7" t="s">
        <v>11</v>
      </c>
      <c r="E1897" s="8" t="s">
        <v>725</v>
      </c>
      <c r="F1897" s="9">
        <v>0.54</v>
      </c>
      <c r="G1897" s="10"/>
      <c r="H1897" s="10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ht="14.25" customHeight="1">
      <c r="A1898" s="4">
        <v>1897.0</v>
      </c>
      <c r="B1898" s="5"/>
      <c r="C1898" s="6" t="str">
        <f>HYPERLINK("https://leetcode.com/problems/redistribute-characters-to-make-all-strings-equal", "Redistribute Characters to Make All Strings Equal")</f>
        <v>Redistribute Characters to Make All Strings Equal</v>
      </c>
      <c r="D1898" s="7" t="s">
        <v>6</v>
      </c>
      <c r="E1898" s="8" t="s">
        <v>172</v>
      </c>
      <c r="F1898" s="9">
        <v>0.59</v>
      </c>
      <c r="G1898" s="10"/>
      <c r="H1898" s="10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ht="14.25" customHeight="1">
      <c r="A1899" s="4">
        <v>1898.0</v>
      </c>
      <c r="B1899" s="5"/>
      <c r="C1899" s="6" t="str">
        <f>HYPERLINK("https://leetcode.com/problems/maximum-number-of-removable-characters", "Maximum Number of Removable Characters")</f>
        <v>Maximum Number of Removable Characters</v>
      </c>
      <c r="D1899" s="7" t="s">
        <v>8</v>
      </c>
      <c r="E1899" s="8" t="s">
        <v>726</v>
      </c>
      <c r="F1899" s="9">
        <v>0.39</v>
      </c>
      <c r="G1899" s="10"/>
      <c r="H1899" s="10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ht="14.25" customHeight="1">
      <c r="A1900" s="4">
        <v>1899.0</v>
      </c>
      <c r="B1900" s="5"/>
      <c r="C1900" s="6" t="str">
        <f>HYPERLINK("https://leetcode.com/problems/merge-triplets-to-form-target-triplet", "Merge Triplets to Form Target Triplet")</f>
        <v>Merge Triplets to Form Target Triplet</v>
      </c>
      <c r="D1900" s="7" t="s">
        <v>8</v>
      </c>
      <c r="E1900" s="8" t="s">
        <v>81</v>
      </c>
      <c r="F1900" s="9">
        <v>0.64</v>
      </c>
      <c r="G1900" s="10"/>
      <c r="H1900" s="10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ht="14.25" customHeight="1">
      <c r="A1901" s="4">
        <v>1900.0</v>
      </c>
      <c r="B1901" s="5"/>
      <c r="C1901" s="6" t="str">
        <f>HYPERLINK("https://leetcode.com/problems/the-earliest-and-latest-rounds-where-players-compete", "The Earliest and Latest Rounds Where Players Compete")</f>
        <v>The Earliest and Latest Rounds Where Players Compete</v>
      </c>
      <c r="D1901" s="7" t="s">
        <v>11</v>
      </c>
      <c r="E1901" s="8" t="s">
        <v>624</v>
      </c>
      <c r="F1901" s="9">
        <v>0.51</v>
      </c>
      <c r="G1901" s="10"/>
      <c r="H1901" s="10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ht="14.25" customHeight="1">
      <c r="A1902" s="4">
        <v>1901.0</v>
      </c>
      <c r="B1902" s="5"/>
      <c r="C1902" s="6" t="str">
        <f>HYPERLINK("https://leetcode.com/problems/find-a-peak-element-ii", "Find a Peak Element II")</f>
        <v>Find a Peak Element II</v>
      </c>
      <c r="D1902" s="7" t="s">
        <v>8</v>
      </c>
      <c r="E1902" s="8" t="s">
        <v>53</v>
      </c>
      <c r="F1902" s="9">
        <v>0.53</v>
      </c>
      <c r="G1902" s="10"/>
      <c r="H1902" s="10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ht="14.25" customHeight="1">
      <c r="A1903" s="11">
        <v>1902.0</v>
      </c>
      <c r="B1903" s="5"/>
      <c r="C1903" s="12" t="str">
        <f>HYPERLINK("https://leetcode.com/problems/depth-of-bst-given-insertion-order", "Depth of BST Given Insertion Order")</f>
        <v>Depth of BST Given Insertion Order</v>
      </c>
      <c r="D1903" s="7" t="s">
        <v>8</v>
      </c>
      <c r="E1903" s="8" t="s">
        <v>727</v>
      </c>
      <c r="F1903" s="9">
        <v>0.44</v>
      </c>
      <c r="G1903" s="10"/>
      <c r="H1903" s="10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ht="14.25" customHeight="1">
      <c r="A1904" s="4">
        <v>1903.0</v>
      </c>
      <c r="B1904" s="5"/>
      <c r="C1904" s="6" t="str">
        <f>HYPERLINK("https://leetcode.com/problems/largest-odd-number-in-string", "Largest Odd Number in String")</f>
        <v>Largest Odd Number in String</v>
      </c>
      <c r="D1904" s="7" t="s">
        <v>6</v>
      </c>
      <c r="E1904" s="8" t="s">
        <v>536</v>
      </c>
      <c r="F1904" s="9">
        <v>0.55</v>
      </c>
      <c r="G1904" s="10"/>
      <c r="H1904" s="10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ht="14.25" customHeight="1">
      <c r="A1905" s="4">
        <v>1904.0</v>
      </c>
      <c r="B1905" s="5"/>
      <c r="C1905" s="6" t="str">
        <f>HYPERLINK("https://leetcode.com/problems/the-number-of-full-rounds-you-have-played", "The Number of Full Rounds You Have Played")</f>
        <v>The Number of Full Rounds You Have Played</v>
      </c>
      <c r="D1905" s="7" t="s">
        <v>8</v>
      </c>
      <c r="E1905" s="8" t="s">
        <v>97</v>
      </c>
      <c r="F1905" s="9">
        <v>0.45</v>
      </c>
      <c r="G1905" s="10"/>
      <c r="H1905" s="10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ht="14.25" customHeight="1">
      <c r="A1906" s="4">
        <v>1905.0</v>
      </c>
      <c r="B1906" s="5"/>
      <c r="C1906" s="6" t="str">
        <f>HYPERLINK("https://leetcode.com/problems/count-sub-islands", "Count Sub Islands")</f>
        <v>Count Sub Islands</v>
      </c>
      <c r="D1906" s="7" t="s">
        <v>8</v>
      </c>
      <c r="E1906" s="8" t="s">
        <v>79</v>
      </c>
      <c r="F1906" s="9">
        <v>0.67</v>
      </c>
      <c r="G1906" s="10"/>
      <c r="H1906" s="10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ht="14.25" customHeight="1">
      <c r="A1907" s="4">
        <v>1906.0</v>
      </c>
      <c r="B1907" s="5"/>
      <c r="C1907" s="6" t="str">
        <f>HYPERLINK("https://leetcode.com/problems/minimum-absolute-difference-queries", "Minimum Absolute Difference Queries")</f>
        <v>Minimum Absolute Difference Queries</v>
      </c>
      <c r="D1907" s="7" t="s">
        <v>8</v>
      </c>
      <c r="E1907" s="8" t="s">
        <v>7</v>
      </c>
      <c r="F1907" s="9">
        <v>0.43</v>
      </c>
      <c r="G1907" s="10"/>
      <c r="H1907" s="10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ht="14.25" customHeight="1">
      <c r="A1908" s="11">
        <v>1907.0</v>
      </c>
      <c r="B1908" s="5"/>
      <c r="C1908" s="12" t="str">
        <f>HYPERLINK("https://leetcode.com/problems/count-salary-categories", "Count Salary Categories")</f>
        <v>Count Salary Categories</v>
      </c>
      <c r="D1908" s="7" t="s">
        <v>8</v>
      </c>
      <c r="E1908" s="8" t="s">
        <v>101</v>
      </c>
      <c r="F1908" s="9">
        <v>0.64</v>
      </c>
      <c r="G1908" s="10"/>
      <c r="H1908" s="10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ht="14.25" customHeight="1">
      <c r="A1909" s="11">
        <v>1908.0</v>
      </c>
      <c r="B1909" s="5"/>
      <c r="C1909" s="12" t="str">
        <f>HYPERLINK("https://leetcode.com/problems/game-of-nim", "Game of Nim")</f>
        <v>Game of Nim</v>
      </c>
      <c r="D1909" s="7" t="s">
        <v>8</v>
      </c>
      <c r="E1909" s="8" t="s">
        <v>728</v>
      </c>
      <c r="F1909" s="9">
        <v>0.57</v>
      </c>
      <c r="G1909" s="10"/>
      <c r="H1909" s="10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ht="14.25" customHeight="1">
      <c r="A1910" s="4">
        <v>1909.0</v>
      </c>
      <c r="B1910" s="5"/>
      <c r="C1910" s="6" t="str">
        <f>HYPERLINK("https://leetcode.com/problems/remove-one-element-to-make-the-array-strictly-increasing", "Remove One Element to Make the Array Strictly Increasing")</f>
        <v>Remove One Element to Make the Array Strictly Increasing</v>
      </c>
      <c r="D1910" s="7" t="s">
        <v>6</v>
      </c>
      <c r="E1910" s="8" t="s">
        <v>45</v>
      </c>
      <c r="F1910" s="9">
        <v>0.26</v>
      </c>
      <c r="G1910" s="10"/>
      <c r="H1910" s="10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ht="14.25" customHeight="1">
      <c r="A1911" s="4">
        <v>1910.0</v>
      </c>
      <c r="B1911" s="5"/>
      <c r="C1911" s="6" t="str">
        <f>HYPERLINK("https://leetcode.com/problems/remove-all-occurrences-of-a-substring", "Remove All Occurrences of a Substring")</f>
        <v>Remove All Occurrences of a Substring</v>
      </c>
      <c r="D1911" s="7" t="s">
        <v>8</v>
      </c>
      <c r="E1911" s="8" t="s">
        <v>14</v>
      </c>
      <c r="F1911" s="9">
        <v>0.74</v>
      </c>
      <c r="G1911" s="10"/>
      <c r="H1911" s="10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ht="14.25" customHeight="1">
      <c r="A1912" s="4">
        <v>1911.0</v>
      </c>
      <c r="B1912" s="5"/>
      <c r="C1912" s="6" t="str">
        <f>HYPERLINK("https://leetcode.com/problems/maximum-alternating-subsequence-sum", "Maximum Alternating Subsequence Sum")</f>
        <v>Maximum Alternating Subsequence Sum</v>
      </c>
      <c r="D1912" s="7" t="s">
        <v>8</v>
      </c>
      <c r="E1912" s="8" t="s">
        <v>73</v>
      </c>
      <c r="F1912" s="9">
        <v>0.59</v>
      </c>
      <c r="G1912" s="10"/>
      <c r="H1912" s="10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ht="14.25" customHeight="1">
      <c r="A1913" s="4">
        <v>1912.0</v>
      </c>
      <c r="B1913" s="5"/>
      <c r="C1913" s="6" t="str">
        <f>HYPERLINK("https://leetcode.com/problems/design-movie-rental-system", "Design Movie Rental System")</f>
        <v>Design Movie Rental System</v>
      </c>
      <c r="D1913" s="7" t="s">
        <v>11</v>
      </c>
      <c r="E1913" s="8" t="s">
        <v>729</v>
      </c>
      <c r="F1913" s="9">
        <v>0.4</v>
      </c>
      <c r="G1913" s="10"/>
      <c r="H1913" s="10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ht="14.25" customHeight="1">
      <c r="A1914" s="4">
        <v>1913.0</v>
      </c>
      <c r="B1914" s="5"/>
      <c r="C1914" s="6" t="str">
        <f>HYPERLINK("https://leetcode.com/problems/maximum-product-difference-between-two-pairs", "Maximum Product Difference Between Two Pairs")</f>
        <v>Maximum Product Difference Between Two Pairs</v>
      </c>
      <c r="D1914" s="7" t="s">
        <v>6</v>
      </c>
      <c r="E1914" s="8" t="s">
        <v>44</v>
      </c>
      <c r="F1914" s="9">
        <v>0.81</v>
      </c>
      <c r="G1914" s="10"/>
      <c r="H1914" s="10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ht="14.25" customHeight="1">
      <c r="A1915" s="4">
        <v>1914.0</v>
      </c>
      <c r="B1915" s="5"/>
      <c r="C1915" s="6" t="str">
        <f>HYPERLINK("https://leetcode.com/problems/cyclically-rotating-a-grid", "Cyclically Rotating a Grid")</f>
        <v>Cyclically Rotating a Grid</v>
      </c>
      <c r="D1915" s="7" t="s">
        <v>8</v>
      </c>
      <c r="E1915" s="8" t="s">
        <v>43</v>
      </c>
      <c r="F1915" s="9">
        <v>0.48</v>
      </c>
      <c r="G1915" s="10"/>
      <c r="H1915" s="10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ht="14.25" customHeight="1">
      <c r="A1916" s="4">
        <v>1915.0</v>
      </c>
      <c r="B1916" s="5"/>
      <c r="C1916" s="6" t="str">
        <f>HYPERLINK("https://leetcode.com/problems/number-of-wonderful-substrings", "Number of Wonderful Substrings")</f>
        <v>Number of Wonderful Substrings</v>
      </c>
      <c r="D1916" s="7" t="s">
        <v>8</v>
      </c>
      <c r="E1916" s="8" t="s">
        <v>514</v>
      </c>
      <c r="F1916" s="9">
        <v>0.45</v>
      </c>
      <c r="G1916" s="10"/>
      <c r="H1916" s="10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ht="14.25" customHeight="1">
      <c r="A1917" s="4">
        <v>1916.0</v>
      </c>
      <c r="B1917" s="5"/>
      <c r="C1917" s="6" t="str">
        <f>HYPERLINK("https://leetcode.com/problems/count-ways-to-build-rooms-in-an-ant-colony", "Count Ways to Build Rooms in an Ant Colony")</f>
        <v>Count Ways to Build Rooms in an Ant Colony</v>
      </c>
      <c r="D1917" s="7" t="s">
        <v>11</v>
      </c>
      <c r="E1917" s="8" t="s">
        <v>730</v>
      </c>
      <c r="F1917" s="9">
        <v>0.49</v>
      </c>
      <c r="G1917" s="10"/>
      <c r="H1917" s="10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ht="14.25" customHeight="1">
      <c r="A1918" s="11">
        <v>1917.0</v>
      </c>
      <c r="B1918" s="5"/>
      <c r="C1918" s="12" t="str">
        <f>HYPERLINK("https://leetcode.com/problems/leetcodify-friends-recommendations", "Leetcodify Friends Recommendations")</f>
        <v>Leetcodify Friends Recommendations</v>
      </c>
      <c r="D1918" s="7" t="s">
        <v>11</v>
      </c>
      <c r="E1918" s="8" t="s">
        <v>101</v>
      </c>
      <c r="F1918" s="9">
        <v>0.28</v>
      </c>
      <c r="G1918" s="10"/>
      <c r="H1918" s="10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ht="14.25" customHeight="1">
      <c r="A1919" s="11">
        <v>1918.0</v>
      </c>
      <c r="B1919" s="5"/>
      <c r="C1919" s="12" t="str">
        <f>HYPERLINK("https://leetcode.com/problems/kth-smallest-subarray-sum", "Kth Smallest Subarray Sum")</f>
        <v>Kth Smallest Subarray Sum</v>
      </c>
      <c r="D1919" s="7" t="s">
        <v>8</v>
      </c>
      <c r="E1919" s="8" t="s">
        <v>731</v>
      </c>
      <c r="F1919" s="9">
        <v>0.52</v>
      </c>
      <c r="G1919" s="10"/>
      <c r="H1919" s="10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ht="14.25" customHeight="1">
      <c r="A1920" s="11">
        <v>1919.0</v>
      </c>
      <c r="B1920" s="5"/>
      <c r="C1920" s="12" t="str">
        <f>HYPERLINK("https://leetcode.com/problems/leetcodify-similar-friends", "Leetcodify Similar Friends")</f>
        <v>Leetcodify Similar Friends</v>
      </c>
      <c r="D1920" s="7" t="s">
        <v>11</v>
      </c>
      <c r="E1920" s="8" t="s">
        <v>101</v>
      </c>
      <c r="F1920" s="9">
        <v>0.43</v>
      </c>
      <c r="G1920" s="10"/>
      <c r="H1920" s="10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ht="14.25" customHeight="1">
      <c r="A1921" s="4">
        <v>1920.0</v>
      </c>
      <c r="B1921" s="5"/>
      <c r="C1921" s="6" t="str">
        <f>HYPERLINK("https://leetcode.com/problems/build-array-from-permutation", "Build Array from Permutation")</f>
        <v>Build Array from Permutation</v>
      </c>
      <c r="D1921" s="7" t="s">
        <v>6</v>
      </c>
      <c r="E1921" s="8" t="s">
        <v>288</v>
      </c>
      <c r="F1921" s="9">
        <v>0.91</v>
      </c>
      <c r="G1921" s="10"/>
      <c r="H1921" s="10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ht="14.25" customHeight="1">
      <c r="A1922" s="4">
        <v>1921.0</v>
      </c>
      <c r="B1922" s="5"/>
      <c r="C1922" s="6" t="str">
        <f>HYPERLINK("https://leetcode.com/problems/eliminate-maximum-number-of-monsters", "Eliminate Maximum Number of Monsters")</f>
        <v>Eliminate Maximum Number of Monsters</v>
      </c>
      <c r="D1922" s="7" t="s">
        <v>8</v>
      </c>
      <c r="E1922" s="8" t="s">
        <v>160</v>
      </c>
      <c r="F1922" s="9">
        <v>0.37</v>
      </c>
      <c r="G1922" s="10"/>
      <c r="H1922" s="10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ht="14.25" customHeight="1">
      <c r="A1923" s="4">
        <v>1922.0</v>
      </c>
      <c r="B1923" s="5"/>
      <c r="C1923" s="6" t="str">
        <f>HYPERLINK("https://leetcode.com/problems/count-good-numbers", "Count Good Numbers")</f>
        <v>Count Good Numbers</v>
      </c>
      <c r="D1923" s="7" t="s">
        <v>8</v>
      </c>
      <c r="E1923" s="8" t="s">
        <v>40</v>
      </c>
      <c r="F1923" s="9">
        <v>0.38</v>
      </c>
      <c r="G1923" s="10"/>
      <c r="H1923" s="10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ht="14.25" customHeight="1">
      <c r="A1924" s="4">
        <v>1923.0</v>
      </c>
      <c r="B1924" s="5"/>
      <c r="C1924" s="6" t="str">
        <f>HYPERLINK("https://leetcode.com/problems/longest-common-subpath", "Longest Common Subpath")</f>
        <v>Longest Common Subpath</v>
      </c>
      <c r="D1924" s="7" t="s">
        <v>11</v>
      </c>
      <c r="E1924" s="8" t="s">
        <v>732</v>
      </c>
      <c r="F1924" s="9">
        <v>0.27</v>
      </c>
      <c r="G1924" s="10"/>
      <c r="H1924" s="10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ht="14.25" customHeight="1">
      <c r="A1925" s="11">
        <v>1924.0</v>
      </c>
      <c r="B1925" s="5"/>
      <c r="C1925" s="12" t="str">
        <f>HYPERLINK("https://leetcode.com/problems/erect-the-fence-ii", "Erect the Fence II")</f>
        <v>Erect the Fence II</v>
      </c>
      <c r="D1925" s="7" t="s">
        <v>11</v>
      </c>
      <c r="E1925" s="8" t="s">
        <v>196</v>
      </c>
      <c r="F1925" s="9">
        <v>0.53</v>
      </c>
      <c r="G1925" s="10"/>
      <c r="H1925" s="10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ht="14.25" customHeight="1">
      <c r="A1926" s="4">
        <v>1925.0</v>
      </c>
      <c r="B1926" s="5"/>
      <c r="C1926" s="6" t="str">
        <f>HYPERLINK("https://leetcode.com/problems/count-square-sum-triples", "Count Square Sum Triples")</f>
        <v>Count Square Sum Triples</v>
      </c>
      <c r="D1926" s="7" t="s">
        <v>6</v>
      </c>
      <c r="E1926" s="8" t="s">
        <v>404</v>
      </c>
      <c r="F1926" s="9">
        <v>0.68</v>
      </c>
      <c r="G1926" s="10"/>
      <c r="H1926" s="10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ht="14.25" customHeight="1">
      <c r="A1927" s="4">
        <v>1926.0</v>
      </c>
      <c r="B1927" s="5"/>
      <c r="C1927" s="6" t="str">
        <f>HYPERLINK("https://leetcode.com/problems/nearest-exit-from-entrance-in-maze", "Nearest Exit from Entrance in Maze")</f>
        <v>Nearest Exit from Entrance in Maze</v>
      </c>
      <c r="D1927" s="7" t="s">
        <v>8</v>
      </c>
      <c r="E1927" s="8" t="s">
        <v>164</v>
      </c>
      <c r="F1927" s="9">
        <v>0.48</v>
      </c>
      <c r="G1927" s="10"/>
      <c r="H1927" s="10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ht="14.25" customHeight="1">
      <c r="A1928" s="4">
        <v>1927.0</v>
      </c>
      <c r="B1928" s="5"/>
      <c r="C1928" s="6" t="str">
        <f>HYPERLINK("https://leetcode.com/problems/sum-game", "Sum Game")</f>
        <v>Sum Game</v>
      </c>
      <c r="D1928" s="7" t="s">
        <v>8</v>
      </c>
      <c r="E1928" s="8" t="s">
        <v>733</v>
      </c>
      <c r="F1928" s="9">
        <v>0.46</v>
      </c>
      <c r="G1928" s="10"/>
      <c r="H1928" s="10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ht="14.25" customHeight="1">
      <c r="A1929" s="4">
        <v>1928.0</v>
      </c>
      <c r="B1929" s="5"/>
      <c r="C1929" s="6" t="str">
        <f>HYPERLINK("https://leetcode.com/problems/minimum-cost-to-reach-destination-in-time", "Minimum Cost to Reach Destination in Time")</f>
        <v>Minimum Cost to Reach Destination in Time</v>
      </c>
      <c r="D1929" s="7" t="s">
        <v>11</v>
      </c>
      <c r="E1929" s="8" t="s">
        <v>623</v>
      </c>
      <c r="F1929" s="9">
        <v>0.37</v>
      </c>
      <c r="G1929" s="10"/>
      <c r="H1929" s="10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ht="14.25" customHeight="1">
      <c r="A1930" s="4">
        <v>1929.0</v>
      </c>
      <c r="B1930" s="5"/>
      <c r="C1930" s="6" t="str">
        <f>HYPERLINK("https://leetcode.com/problems/concatenation-of-array", "Concatenation of Array")</f>
        <v>Concatenation of Array</v>
      </c>
      <c r="D1930" s="7" t="s">
        <v>6</v>
      </c>
      <c r="E1930" s="8" t="s">
        <v>45</v>
      </c>
      <c r="F1930" s="9">
        <v>0.91</v>
      </c>
      <c r="G1930" s="10"/>
      <c r="H1930" s="10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ht="14.25" customHeight="1">
      <c r="A1931" s="4">
        <v>1930.0</v>
      </c>
      <c r="B1931" s="5"/>
      <c r="C1931" s="6" t="str">
        <f>HYPERLINK("https://leetcode.com/problems/unique-length-3-palindromic-subsequences", "Unique Length-3 Palindromic Subsequences")</f>
        <v>Unique Length-3 Palindromic Subsequences</v>
      </c>
      <c r="D1931" s="7" t="s">
        <v>8</v>
      </c>
      <c r="E1931" s="8" t="s">
        <v>734</v>
      </c>
      <c r="F1931" s="9">
        <v>0.51</v>
      </c>
      <c r="G1931" s="10"/>
      <c r="H1931" s="10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ht="14.25" customHeight="1">
      <c r="A1932" s="4">
        <v>1931.0</v>
      </c>
      <c r="B1932" s="5"/>
      <c r="C1932" s="6" t="str">
        <f>HYPERLINK("https://leetcode.com/problems/painting-a-grid-with-three-different-colors", "Painting a Grid With Three Different Colors")</f>
        <v>Painting a Grid With Three Different Colors</v>
      </c>
      <c r="D1932" s="7" t="s">
        <v>11</v>
      </c>
      <c r="E1932" s="8" t="s">
        <v>156</v>
      </c>
      <c r="F1932" s="9">
        <v>0.57</v>
      </c>
      <c r="G1932" s="10"/>
      <c r="H1932" s="10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ht="14.25" customHeight="1">
      <c r="A1933" s="4">
        <v>1932.0</v>
      </c>
      <c r="B1933" s="5"/>
      <c r="C1933" s="6" t="str">
        <f>HYPERLINK("https://leetcode.com/problems/merge-bsts-to-create-single-bst", "Merge BSTs to Create Single BST")</f>
        <v>Merge BSTs to Create Single BST</v>
      </c>
      <c r="D1933" s="7" t="s">
        <v>11</v>
      </c>
      <c r="E1933" s="8" t="s">
        <v>735</v>
      </c>
      <c r="F1933" s="9">
        <v>0.35</v>
      </c>
      <c r="G1933" s="10"/>
      <c r="H1933" s="10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ht="14.25" customHeight="1">
      <c r="A1934" s="11">
        <v>1933.0</v>
      </c>
      <c r="B1934" s="5"/>
      <c r="C1934" s="12" t="str">
        <f>HYPERLINK("https://leetcode.com/problems/check-if-string-is-decomposable-into-value-equal-substrings", "Check if String Is Decomposable Into Value-Equal Substrings")</f>
        <v>Check if String Is Decomposable Into Value-Equal Substrings</v>
      </c>
      <c r="D1934" s="7" t="s">
        <v>6</v>
      </c>
      <c r="E1934" s="8" t="s">
        <v>14</v>
      </c>
      <c r="F1934" s="9">
        <v>0.5</v>
      </c>
      <c r="G1934" s="10"/>
      <c r="H1934" s="10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ht="14.25" customHeight="1">
      <c r="A1935" s="11">
        <v>1934.0</v>
      </c>
      <c r="B1935" s="5"/>
      <c r="C1935" s="12" t="str">
        <f>HYPERLINK("https://leetcode.com/problems/confirmation-rate", "Confirmation Rate")</f>
        <v>Confirmation Rate</v>
      </c>
      <c r="D1935" s="7" t="s">
        <v>8</v>
      </c>
      <c r="E1935" s="8" t="s">
        <v>101</v>
      </c>
      <c r="F1935" s="9">
        <v>0.77</v>
      </c>
      <c r="G1935" s="10"/>
      <c r="H1935" s="10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ht="14.25" customHeight="1">
      <c r="A1936" s="4">
        <v>1935.0</v>
      </c>
      <c r="B1936" s="5"/>
      <c r="C1936" s="6" t="str">
        <f>HYPERLINK("https://leetcode.com/problems/maximum-number-of-words-you-can-type", "Maximum Number of Words You Can Type")</f>
        <v>Maximum Number of Words You Can Type</v>
      </c>
      <c r="D1936" s="7" t="s">
        <v>6</v>
      </c>
      <c r="E1936" s="8" t="s">
        <v>110</v>
      </c>
      <c r="F1936" s="9">
        <v>0.71</v>
      </c>
      <c r="G1936" s="10"/>
      <c r="H1936" s="10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ht="14.25" customHeight="1">
      <c r="A1937" s="4">
        <v>1936.0</v>
      </c>
      <c r="B1937" s="5"/>
      <c r="C1937" s="6" t="str">
        <f>HYPERLINK("https://leetcode.com/problems/add-minimum-number-of-rungs", "Add Minimum Number of Rungs")</f>
        <v>Add Minimum Number of Rungs</v>
      </c>
      <c r="D1937" s="7" t="s">
        <v>8</v>
      </c>
      <c r="E1937" s="8" t="s">
        <v>81</v>
      </c>
      <c r="F1937" s="9">
        <v>0.42</v>
      </c>
      <c r="G1937" s="10"/>
      <c r="H1937" s="10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ht="14.25" customHeight="1">
      <c r="A1938" s="4">
        <v>1937.0</v>
      </c>
      <c r="B1938" s="5"/>
      <c r="C1938" s="6" t="str">
        <f>HYPERLINK("https://leetcode.com/problems/maximum-number-of-points-with-cost", "Maximum Number of Points with Cost")</f>
        <v>Maximum Number of Points with Cost</v>
      </c>
      <c r="D1938" s="7" t="s">
        <v>8</v>
      </c>
      <c r="E1938" s="8" t="s">
        <v>73</v>
      </c>
      <c r="F1938" s="9">
        <v>0.36</v>
      </c>
      <c r="G1938" s="10"/>
      <c r="H1938" s="10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ht="14.25" customHeight="1">
      <c r="A1939" s="4">
        <v>1938.0</v>
      </c>
      <c r="B1939" s="5"/>
      <c r="C1939" s="6" t="str">
        <f>HYPERLINK("https://leetcode.com/problems/maximum-genetic-difference-query", "Maximum Genetic Difference Query")</f>
        <v>Maximum Genetic Difference Query</v>
      </c>
      <c r="D1939" s="7" t="s">
        <v>11</v>
      </c>
      <c r="E1939" s="8" t="s">
        <v>674</v>
      </c>
      <c r="F1939" s="9">
        <v>0.39</v>
      </c>
      <c r="G1939" s="10"/>
      <c r="H1939" s="10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ht="14.25" customHeight="1">
      <c r="A1940" s="11">
        <v>1939.0</v>
      </c>
      <c r="B1940" s="5"/>
      <c r="C1940" s="12" t="str">
        <f>HYPERLINK("https://leetcode.com/problems/users-that-actively-request-confirmation-messages", "Users That Actively Request Confirmation Messages")</f>
        <v>Users That Actively Request Confirmation Messages</v>
      </c>
      <c r="D1940" s="7" t="s">
        <v>6</v>
      </c>
      <c r="E1940" s="8" t="s">
        <v>101</v>
      </c>
      <c r="F1940" s="9">
        <v>0.61</v>
      </c>
      <c r="G1940" s="10"/>
      <c r="H1940" s="10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ht="14.25" customHeight="1">
      <c r="A1941" s="11">
        <v>1940.0</v>
      </c>
      <c r="B1941" s="5"/>
      <c r="C1941" s="12" t="str">
        <f>HYPERLINK("https://leetcode.com/problems/longest-common-subsequence-between-sorted-arrays", "Longest Common Subsequence Between Sorted Arrays")</f>
        <v>Longest Common Subsequence Between Sorted Arrays</v>
      </c>
      <c r="D1941" s="7" t="s">
        <v>8</v>
      </c>
      <c r="E1941" s="8" t="s">
        <v>474</v>
      </c>
      <c r="F1941" s="9">
        <v>0.79</v>
      </c>
      <c r="G1941" s="10"/>
      <c r="H1941" s="10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ht="14.25" customHeight="1">
      <c r="A1942" s="4">
        <v>1941.0</v>
      </c>
      <c r="B1942" s="5"/>
      <c r="C1942" s="6" t="str">
        <f>HYPERLINK("https://leetcode.com/problems/check-if-all-characters-have-equal-number-of-occurrences", "Check if All Characters Have Equal Number of Occurrences")</f>
        <v>Check if All Characters Have Equal Number of Occurrences</v>
      </c>
      <c r="D1942" s="7" t="s">
        <v>6</v>
      </c>
      <c r="E1942" s="8" t="s">
        <v>172</v>
      </c>
      <c r="F1942" s="9">
        <v>0.76</v>
      </c>
      <c r="G1942" s="10"/>
      <c r="H1942" s="10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ht="14.25" customHeight="1">
      <c r="A1943" s="4">
        <v>1942.0</v>
      </c>
      <c r="B1943" s="5"/>
      <c r="C1943" s="6" t="str">
        <f>HYPERLINK("https://leetcode.com/problems/the-number-of-the-smallest-unoccupied-chair", "The Number of the Smallest Unoccupied Chair")</f>
        <v>The Number of the Smallest Unoccupied Chair</v>
      </c>
      <c r="D1943" s="7" t="s">
        <v>8</v>
      </c>
      <c r="E1943" s="8" t="s">
        <v>736</v>
      </c>
      <c r="F1943" s="9">
        <v>0.4</v>
      </c>
      <c r="G1943" s="10"/>
      <c r="H1943" s="10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ht="14.25" customHeight="1">
      <c r="A1944" s="4">
        <v>1943.0</v>
      </c>
      <c r="B1944" s="5"/>
      <c r="C1944" s="6" t="str">
        <f>HYPERLINK("https://leetcode.com/problems/describe-the-painting", "Describe the Painting")</f>
        <v>Describe the Painting</v>
      </c>
      <c r="D1944" s="7" t="s">
        <v>8</v>
      </c>
      <c r="E1944" s="8" t="s">
        <v>130</v>
      </c>
      <c r="F1944" s="9">
        <v>0.48</v>
      </c>
      <c r="G1944" s="10"/>
      <c r="H1944" s="10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ht="14.25" customHeight="1">
      <c r="A1945" s="4">
        <v>1944.0</v>
      </c>
      <c r="B1945" s="5"/>
      <c r="C1945" s="6" t="str">
        <f>HYPERLINK("https://leetcode.com/problems/number-of-visible-people-in-a-queue", "Number of Visible People in a Queue")</f>
        <v>Number of Visible People in a Queue</v>
      </c>
      <c r="D1945" s="7" t="s">
        <v>11</v>
      </c>
      <c r="E1945" s="8" t="s">
        <v>56</v>
      </c>
      <c r="F1945" s="9">
        <v>0.69</v>
      </c>
      <c r="G1945" s="10"/>
      <c r="H1945" s="10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ht="14.25" customHeight="1">
      <c r="A1946" s="4">
        <v>1945.0</v>
      </c>
      <c r="B1946" s="5"/>
      <c r="C1946" s="6" t="str">
        <f>HYPERLINK("https://leetcode.com/problems/sum-of-digits-of-string-after-convert", "Sum of Digits of String After Convert")</f>
        <v>Sum of Digits of String After Convert</v>
      </c>
      <c r="D1946" s="7" t="s">
        <v>6</v>
      </c>
      <c r="E1946" s="8" t="s">
        <v>340</v>
      </c>
      <c r="F1946" s="9">
        <v>0.61</v>
      </c>
      <c r="G1946" s="10"/>
      <c r="H1946" s="10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ht="14.25" customHeight="1">
      <c r="A1947" s="4">
        <v>1946.0</v>
      </c>
      <c r="B1947" s="5"/>
      <c r="C1947" s="6" t="str">
        <f>HYPERLINK("https://leetcode.com/problems/largest-number-after-mutating-substring", "Largest Number After Mutating Substring")</f>
        <v>Largest Number After Mutating Substring</v>
      </c>
      <c r="D1947" s="7" t="s">
        <v>8</v>
      </c>
      <c r="E1947" s="8" t="s">
        <v>309</v>
      </c>
      <c r="F1947" s="9">
        <v>0.34</v>
      </c>
      <c r="G1947" s="10"/>
      <c r="H1947" s="10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ht="14.25" customHeight="1">
      <c r="A1948" s="4">
        <v>1947.0</v>
      </c>
      <c r="B1948" s="5"/>
      <c r="C1948" s="6" t="str">
        <f>HYPERLINK("https://leetcode.com/problems/maximum-compatibility-score-sum", "Maximum Compatibility Score Sum")</f>
        <v>Maximum Compatibility Score Sum</v>
      </c>
      <c r="D1948" s="7" t="s">
        <v>8</v>
      </c>
      <c r="E1948" s="8" t="s">
        <v>273</v>
      </c>
      <c r="F1948" s="9">
        <v>0.6</v>
      </c>
      <c r="G1948" s="10"/>
      <c r="H1948" s="10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ht="14.25" customHeight="1">
      <c r="A1949" s="4">
        <v>1948.0</v>
      </c>
      <c r="B1949" s="5"/>
      <c r="C1949" s="6" t="str">
        <f>HYPERLINK("https://leetcode.com/problems/delete-duplicate-folders-in-system", "Delete Duplicate Folders in System")</f>
        <v>Delete Duplicate Folders in System</v>
      </c>
      <c r="D1949" s="7" t="s">
        <v>11</v>
      </c>
      <c r="E1949" s="8" t="s">
        <v>737</v>
      </c>
      <c r="F1949" s="9">
        <v>0.57</v>
      </c>
      <c r="G1949" s="10"/>
      <c r="H1949" s="10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ht="14.25" customHeight="1">
      <c r="A1950" s="11">
        <v>1949.0</v>
      </c>
      <c r="B1950" s="5"/>
      <c r="C1950" s="12" t="str">
        <f>HYPERLINK("https://leetcode.com/problems/strong-friendship", "Strong Friendship")</f>
        <v>Strong Friendship</v>
      </c>
      <c r="D1950" s="7" t="s">
        <v>8</v>
      </c>
      <c r="E1950" s="8" t="s">
        <v>101</v>
      </c>
      <c r="F1950" s="9">
        <v>0.58</v>
      </c>
      <c r="G1950" s="10"/>
      <c r="H1950" s="10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ht="14.25" customHeight="1">
      <c r="A1951" s="11">
        <v>1950.0</v>
      </c>
      <c r="B1951" s="5"/>
      <c r="C1951" s="12" t="str">
        <f>HYPERLINK("https://leetcode.com/problems/maximum-of-minimum-values-in-all-subarrays", "Maximum of Minimum Values in All Subarrays")</f>
        <v>Maximum of Minimum Values in All Subarrays</v>
      </c>
      <c r="D1951" s="7" t="s">
        <v>8</v>
      </c>
      <c r="E1951" s="8" t="s">
        <v>56</v>
      </c>
      <c r="F1951" s="9">
        <v>0.5</v>
      </c>
      <c r="G1951" s="10"/>
      <c r="H1951" s="10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ht="14.25" customHeight="1">
      <c r="A1952" s="11">
        <v>1951.0</v>
      </c>
      <c r="B1952" s="5"/>
      <c r="C1952" s="12" t="str">
        <f>HYPERLINK("https://leetcode.com/problems/all-the-pairs-with-the-maximum-number-of-common-followers", "All the Pairs With the Maximum Number of Common Followers")</f>
        <v>All the Pairs With the Maximum Number of Common Followers</v>
      </c>
      <c r="D1952" s="7" t="s">
        <v>8</v>
      </c>
      <c r="E1952" s="8" t="s">
        <v>101</v>
      </c>
      <c r="F1952" s="9">
        <v>0.72</v>
      </c>
      <c r="G1952" s="10"/>
      <c r="H1952" s="10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ht="14.25" customHeight="1">
      <c r="A1953" s="4">
        <v>1952.0</v>
      </c>
      <c r="B1953" s="5"/>
      <c r="C1953" s="6" t="str">
        <f>HYPERLINK("https://leetcode.com/problems/three-divisors", "Three Divisors")</f>
        <v>Three Divisors</v>
      </c>
      <c r="D1953" s="7" t="s">
        <v>6</v>
      </c>
      <c r="E1953" s="8" t="s">
        <v>15</v>
      </c>
      <c r="F1953" s="9">
        <v>0.57</v>
      </c>
      <c r="G1953" s="10"/>
      <c r="H1953" s="10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ht="14.25" customHeight="1">
      <c r="A1954" s="4">
        <v>1953.0</v>
      </c>
      <c r="B1954" s="5"/>
      <c r="C1954" s="6" t="str">
        <f>HYPERLINK("https://leetcode.com/problems/maximum-number-of-weeks-for-which-you-can-work", "Maximum Number of Weeks for Which You Can Work")</f>
        <v>Maximum Number of Weeks for Which You Can Work</v>
      </c>
      <c r="D1954" s="7" t="s">
        <v>8</v>
      </c>
      <c r="E1954" s="8" t="s">
        <v>81</v>
      </c>
      <c r="F1954" s="9">
        <v>0.39</v>
      </c>
      <c r="G1954" s="10"/>
      <c r="H1954" s="10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ht="14.25" customHeight="1">
      <c r="A1955" s="4">
        <v>1954.0</v>
      </c>
      <c r="B1955" s="5"/>
      <c r="C1955" s="6" t="str">
        <f>HYPERLINK("https://leetcode.com/problems/minimum-garden-perimeter-to-collect-enough-apples", "Minimum Garden Perimeter to Collect Enough Apples")</f>
        <v>Minimum Garden Perimeter to Collect Enough Apples</v>
      </c>
      <c r="D1955" s="7" t="s">
        <v>8</v>
      </c>
      <c r="E1955" s="8" t="s">
        <v>51</v>
      </c>
      <c r="F1955" s="9">
        <v>0.53</v>
      </c>
      <c r="G1955" s="10"/>
      <c r="H1955" s="10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ht="14.25" customHeight="1">
      <c r="A1956" s="4">
        <v>1955.0</v>
      </c>
      <c r="B1956" s="5"/>
      <c r="C1956" s="6" t="str">
        <f>HYPERLINK("https://leetcode.com/problems/count-number-of-special-subsequences", "Count Number of Special Subsequences")</f>
        <v>Count Number of Special Subsequences</v>
      </c>
      <c r="D1956" s="7" t="s">
        <v>11</v>
      </c>
      <c r="E1956" s="8" t="s">
        <v>73</v>
      </c>
      <c r="F1956" s="9">
        <v>0.51</v>
      </c>
      <c r="G1956" s="10"/>
      <c r="H1956" s="10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ht="14.25" customHeight="1">
      <c r="A1957" s="11">
        <v>1956.0</v>
      </c>
      <c r="B1957" s="5"/>
      <c r="C1957" s="12" t="str">
        <f>HYPERLINK("https://leetcode.com/problems/minimum-time-for-k-virus-variants-to-spread", "Minimum Time For K Virus Variants to Spread")</f>
        <v>Minimum Time For K Virus Variants to Spread</v>
      </c>
      <c r="D1957" s="7" t="s">
        <v>11</v>
      </c>
      <c r="E1957" s="8" t="s">
        <v>738</v>
      </c>
      <c r="F1957" s="9">
        <v>0.47</v>
      </c>
      <c r="G1957" s="10"/>
      <c r="H1957" s="10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ht="14.25" customHeight="1">
      <c r="A1958" s="4">
        <v>1957.0</v>
      </c>
      <c r="B1958" s="5"/>
      <c r="C1958" s="6" t="str">
        <f>HYPERLINK("https://leetcode.com/problems/delete-characters-to-make-fancy-string", "Delete Characters to Make Fancy String")</f>
        <v>Delete Characters to Make Fancy String</v>
      </c>
      <c r="D1958" s="7" t="s">
        <v>6</v>
      </c>
      <c r="E1958" s="8" t="s">
        <v>14</v>
      </c>
      <c r="F1958" s="9">
        <v>0.56</v>
      </c>
      <c r="G1958" s="10"/>
      <c r="H1958" s="10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ht="14.25" customHeight="1">
      <c r="A1959" s="4">
        <v>1958.0</v>
      </c>
      <c r="B1959" s="5"/>
      <c r="C1959" s="6" t="str">
        <f>HYPERLINK("https://leetcode.com/problems/check-if-move-is-legal", "Check if Move is Legal")</f>
        <v>Check if Move is Legal</v>
      </c>
      <c r="D1959" s="7" t="s">
        <v>8</v>
      </c>
      <c r="E1959" s="8" t="s">
        <v>739</v>
      </c>
      <c r="F1959" s="9">
        <v>0.44</v>
      </c>
      <c r="G1959" s="10"/>
      <c r="H1959" s="10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ht="14.25" customHeight="1">
      <c r="A1960" s="4">
        <v>1959.0</v>
      </c>
      <c r="B1960" s="5"/>
      <c r="C1960" s="6" t="str">
        <f>HYPERLINK("https://leetcode.com/problems/minimum-total-space-wasted-with-k-resizing-operations", "Minimum Total Space Wasted With K Resizing Operations")</f>
        <v>Minimum Total Space Wasted With K Resizing Operations</v>
      </c>
      <c r="D1960" s="7" t="s">
        <v>8</v>
      </c>
      <c r="E1960" s="8" t="s">
        <v>73</v>
      </c>
      <c r="F1960" s="9">
        <v>0.42</v>
      </c>
      <c r="G1960" s="10"/>
      <c r="H1960" s="10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ht="14.25" customHeight="1">
      <c r="A1961" s="4">
        <v>1960.0</v>
      </c>
      <c r="B1961" s="5"/>
      <c r="C1961" s="6" t="str">
        <f>HYPERLINK("https://leetcode.com/problems/maximum-product-of-the-length-of-two-palindromic-substrings", "Maximum Product of the Length of Two Palindromic Substrings")</f>
        <v>Maximum Product of the Length of Two Palindromic Substrings</v>
      </c>
      <c r="D1961" s="7" t="s">
        <v>11</v>
      </c>
      <c r="E1961" s="8" t="s">
        <v>740</v>
      </c>
      <c r="F1961" s="9">
        <v>0.29</v>
      </c>
      <c r="G1961" s="10"/>
      <c r="H1961" s="10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ht="14.25" customHeight="1">
      <c r="A1962" s="4">
        <v>1961.0</v>
      </c>
      <c r="B1962" s="5"/>
      <c r="C1962" s="6" t="str">
        <f>HYPERLINK("https://leetcode.com/problems/check-if-string-is-a-prefix-of-array", "Check If String Is a Prefix of Array")</f>
        <v>Check If String Is a Prefix of Array</v>
      </c>
      <c r="D1962" s="7" t="s">
        <v>6</v>
      </c>
      <c r="E1962" s="8" t="s">
        <v>135</v>
      </c>
      <c r="F1962" s="9">
        <v>0.53</v>
      </c>
      <c r="G1962" s="10"/>
      <c r="H1962" s="10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ht="14.25" customHeight="1">
      <c r="A1963" s="4">
        <v>1962.0</v>
      </c>
      <c r="B1963" s="5"/>
      <c r="C1963" s="6" t="str">
        <f>HYPERLINK("https://leetcode.com/problems/remove-stones-to-minimize-the-total", "Remove Stones to Minimize the Total")</f>
        <v>Remove Stones to Minimize the Total</v>
      </c>
      <c r="D1963" s="7" t="s">
        <v>8</v>
      </c>
      <c r="E1963" s="8" t="s">
        <v>223</v>
      </c>
      <c r="F1963" s="9">
        <v>0.59</v>
      </c>
      <c r="G1963" s="10"/>
      <c r="H1963" s="10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ht="14.25" customHeight="1">
      <c r="A1964" s="4">
        <v>1963.0</v>
      </c>
      <c r="B1964" s="5"/>
      <c r="C1964" s="6" t="str">
        <f>HYPERLINK("https://leetcode.com/problems/minimum-number-of-swaps-to-make-the-string-balanced", "Minimum Number of Swaps to Make the String Balanced")</f>
        <v>Minimum Number of Swaps to Make the String Balanced</v>
      </c>
      <c r="D1964" s="7" t="s">
        <v>8</v>
      </c>
      <c r="E1964" s="8" t="s">
        <v>741</v>
      </c>
      <c r="F1964" s="9">
        <v>0.68</v>
      </c>
      <c r="G1964" s="10"/>
      <c r="H1964" s="10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ht="14.25" customHeight="1">
      <c r="A1965" s="4">
        <v>1964.0</v>
      </c>
      <c r="B1965" s="5"/>
      <c r="C1965" s="6" t="str">
        <f>HYPERLINK("https://leetcode.com/problems/find-the-longest-valid-obstacle-course-at-each-position", "Find the Longest Valid Obstacle Course at Each Position")</f>
        <v>Find the Longest Valid Obstacle Course at Each Position</v>
      </c>
      <c r="D1965" s="7" t="s">
        <v>11</v>
      </c>
      <c r="E1965" s="8" t="s">
        <v>742</v>
      </c>
      <c r="F1965" s="9">
        <v>0.47</v>
      </c>
      <c r="G1965" s="10"/>
      <c r="H1965" s="10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ht="14.25" customHeight="1">
      <c r="A1966" s="4">
        <v>1965.0</v>
      </c>
      <c r="B1966" s="5"/>
      <c r="C1966" s="6" t="str">
        <f>HYPERLINK("https://leetcode.com/problems/employees-with-missing-information", "Employees With Missing Information")</f>
        <v>Employees With Missing Information</v>
      </c>
      <c r="D1966" s="7" t="s">
        <v>6</v>
      </c>
      <c r="E1966" s="8" t="s">
        <v>101</v>
      </c>
      <c r="F1966" s="9">
        <v>0.79</v>
      </c>
      <c r="G1966" s="10"/>
      <c r="H1966" s="10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ht="14.25" customHeight="1">
      <c r="A1967" s="11">
        <v>1966.0</v>
      </c>
      <c r="B1967" s="5"/>
      <c r="C1967" s="12" t="str">
        <f>HYPERLINK("https://leetcode.com/problems/binary-searchable-numbers-in-an-unsorted-array", "Binary Searchable Numbers in an Unsorted Array")</f>
        <v>Binary Searchable Numbers in an Unsorted Array</v>
      </c>
      <c r="D1967" s="7" t="s">
        <v>8</v>
      </c>
      <c r="E1967" s="8" t="s">
        <v>30</v>
      </c>
      <c r="F1967" s="9">
        <v>0.65</v>
      </c>
      <c r="G1967" s="10"/>
      <c r="H1967" s="10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ht="14.25" customHeight="1">
      <c r="A1968" s="4">
        <v>1967.0</v>
      </c>
      <c r="B1968" s="5"/>
      <c r="C1968" s="6" t="str">
        <f>HYPERLINK("https://leetcode.com/problems/number-of-strings-that-appear-as-substrings-in-word", "Number of Strings That Appear as Substrings in Word")</f>
        <v>Number of Strings That Appear as Substrings in Word</v>
      </c>
      <c r="D1968" s="7" t="s">
        <v>6</v>
      </c>
      <c r="E1968" s="8" t="s">
        <v>14</v>
      </c>
      <c r="F1968" s="9">
        <v>0.79</v>
      </c>
      <c r="G1968" s="10"/>
      <c r="H1968" s="10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ht="14.25" customHeight="1">
      <c r="A1969" s="4">
        <v>1968.0</v>
      </c>
      <c r="B1969" s="5"/>
      <c r="C1969" s="6" t="str">
        <f>HYPERLINK("https://leetcode.com/problems/array-with-elements-not-equal-to-average-of-neighbors", "Array With Elements Not Equal to Average of Neighbors")</f>
        <v>Array With Elements Not Equal to Average of Neighbors</v>
      </c>
      <c r="D1969" s="7" t="s">
        <v>8</v>
      </c>
      <c r="E1969" s="8" t="s">
        <v>160</v>
      </c>
      <c r="F1969" s="9">
        <v>0.49</v>
      </c>
      <c r="G1969" s="10"/>
      <c r="H1969" s="10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ht="14.25" customHeight="1">
      <c r="A1970" s="4">
        <v>1969.0</v>
      </c>
      <c r="B1970" s="5"/>
      <c r="C1970" s="6" t="str">
        <f>HYPERLINK("https://leetcode.com/problems/minimum-non-zero-product-of-the-array-elements", "Minimum Non-Zero Product of the Array Elements")</f>
        <v>Minimum Non-Zero Product of the Array Elements</v>
      </c>
      <c r="D1970" s="7" t="s">
        <v>8</v>
      </c>
      <c r="E1970" s="8" t="s">
        <v>743</v>
      </c>
      <c r="F1970" s="9">
        <v>0.33</v>
      </c>
      <c r="G1970" s="10"/>
      <c r="H1970" s="10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ht="14.25" customHeight="1">
      <c r="A1971" s="4">
        <v>1970.0</v>
      </c>
      <c r="B1971" s="5"/>
      <c r="C1971" s="6" t="str">
        <f>HYPERLINK("https://leetcode.com/problems/last-day-where-you-can-still-cross", "Last Day Where You Can Still Cross")</f>
        <v>Last Day Where You Can Still Cross</v>
      </c>
      <c r="D1971" s="7" t="s">
        <v>11</v>
      </c>
      <c r="E1971" s="8" t="s">
        <v>744</v>
      </c>
      <c r="F1971" s="9">
        <v>0.49</v>
      </c>
      <c r="G1971" s="10"/>
      <c r="H1971" s="10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ht="14.25" customHeight="1">
      <c r="A1972" s="4">
        <v>1971.0</v>
      </c>
      <c r="B1972" s="5"/>
      <c r="C1972" s="6" t="str">
        <f>HYPERLINK("https://leetcode.com/problems/find-if-path-exists-in-graph", "Find if Path Exists in Graph")</f>
        <v>Find if Path Exists in Graph</v>
      </c>
      <c r="D1972" s="7" t="s">
        <v>6</v>
      </c>
      <c r="E1972" s="8" t="s">
        <v>146</v>
      </c>
      <c r="F1972" s="9">
        <v>0.52</v>
      </c>
      <c r="G1972" s="10"/>
      <c r="H1972" s="10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ht="14.25" customHeight="1">
      <c r="A1973" s="11">
        <v>1972.0</v>
      </c>
      <c r="B1973" s="5"/>
      <c r="C1973" s="12" t="str">
        <f>HYPERLINK("https://leetcode.com/problems/first-and-last-call-on-the-same-day", "First and Last Call On the Same Day")</f>
        <v>First and Last Call On the Same Day</v>
      </c>
      <c r="D1973" s="7" t="s">
        <v>11</v>
      </c>
      <c r="E1973" s="8" t="s">
        <v>101</v>
      </c>
      <c r="F1973" s="9">
        <v>0.53</v>
      </c>
      <c r="G1973" s="10"/>
      <c r="H1973" s="10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ht="14.25" customHeight="1">
      <c r="A1974" s="11">
        <v>1973.0</v>
      </c>
      <c r="B1974" s="5"/>
      <c r="C1974" s="12" t="str">
        <f>HYPERLINK("https://leetcode.com/problems/count-nodes-equal-to-sum-of-descendants", "Count Nodes Equal to Sum of Descendants")</f>
        <v>Count Nodes Equal to Sum of Descendants</v>
      </c>
      <c r="D1974" s="7" t="s">
        <v>8</v>
      </c>
      <c r="E1974" s="8" t="s">
        <v>63</v>
      </c>
      <c r="F1974" s="9">
        <v>0.75</v>
      </c>
      <c r="G1974" s="10"/>
      <c r="H1974" s="10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ht="14.25" customHeight="1">
      <c r="A1975" s="4">
        <v>1974.0</v>
      </c>
      <c r="B1975" s="5"/>
      <c r="C1975" s="6" t="str">
        <f>HYPERLINK("https://leetcode.com/problems/minimum-time-to-type-word-using-special-typewriter", "Minimum Time to Type Word Using Special Typewriter")</f>
        <v>Minimum Time to Type Word Using Special Typewriter</v>
      </c>
      <c r="D1975" s="7" t="s">
        <v>6</v>
      </c>
      <c r="E1975" s="8" t="s">
        <v>465</v>
      </c>
      <c r="F1975" s="9">
        <v>0.71</v>
      </c>
      <c r="G1975" s="10"/>
      <c r="H1975" s="10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ht="14.25" customHeight="1">
      <c r="A1976" s="4">
        <v>1975.0</v>
      </c>
      <c r="B1976" s="5"/>
      <c r="C1976" s="6" t="str">
        <f>HYPERLINK("https://leetcode.com/problems/maximum-matrix-sum", "Maximum Matrix Sum")</f>
        <v>Maximum Matrix Sum</v>
      </c>
      <c r="D1976" s="7" t="s">
        <v>8</v>
      </c>
      <c r="E1976" s="8" t="s">
        <v>395</v>
      </c>
      <c r="F1976" s="9">
        <v>0.45</v>
      </c>
      <c r="G1976" s="10"/>
      <c r="H1976" s="10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ht="14.25" customHeight="1">
      <c r="A1977" s="4">
        <v>1976.0</v>
      </c>
      <c r="B1977" s="5"/>
      <c r="C1977" s="6" t="str">
        <f>HYPERLINK("https://leetcode.com/problems/number-of-ways-to-arrive-at-destination", "Number of Ways to Arrive at Destination")</f>
        <v>Number of Ways to Arrive at Destination</v>
      </c>
      <c r="D1977" s="7" t="s">
        <v>8</v>
      </c>
      <c r="E1977" s="8" t="s">
        <v>745</v>
      </c>
      <c r="F1977" s="9">
        <v>0.32</v>
      </c>
      <c r="G1977" s="10"/>
      <c r="H1977" s="10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ht="14.25" customHeight="1">
      <c r="A1978" s="4">
        <v>1977.0</v>
      </c>
      <c r="B1978" s="5"/>
      <c r="C1978" s="6" t="str">
        <f>HYPERLINK("https://leetcode.com/problems/number-of-ways-to-separate-numbers", "Number of Ways to Separate Numbers")</f>
        <v>Number of Ways to Separate Numbers</v>
      </c>
      <c r="D1978" s="7" t="s">
        <v>11</v>
      </c>
      <c r="E1978" s="8" t="s">
        <v>746</v>
      </c>
      <c r="F1978" s="9">
        <v>0.2</v>
      </c>
      <c r="G1978" s="10"/>
      <c r="H1978" s="10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ht="14.25" customHeight="1">
      <c r="A1979" s="11">
        <v>1978.0</v>
      </c>
      <c r="B1979" s="5"/>
      <c r="C1979" s="12" t="str">
        <f>HYPERLINK("https://leetcode.com/problems/employees-whose-manager-left-the-company", "Employees Whose Manager Left the Company")</f>
        <v>Employees Whose Manager Left the Company</v>
      </c>
      <c r="D1979" s="7" t="s">
        <v>6</v>
      </c>
      <c r="E1979" s="8" t="s">
        <v>101</v>
      </c>
      <c r="F1979" s="9">
        <v>0.5</v>
      </c>
      <c r="G1979" s="10"/>
      <c r="H1979" s="10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ht="14.25" customHeight="1">
      <c r="A1980" s="4">
        <v>1979.0</v>
      </c>
      <c r="B1980" s="5"/>
      <c r="C1980" s="6" t="str">
        <f>HYPERLINK("https://leetcode.com/problems/find-greatest-common-divisor-of-array", "Find Greatest Common Divisor of Array")</f>
        <v>Find Greatest Common Divisor of Array</v>
      </c>
      <c r="D1980" s="7" t="s">
        <v>6</v>
      </c>
      <c r="E1980" s="8" t="s">
        <v>538</v>
      </c>
      <c r="F1980" s="9">
        <v>0.76</v>
      </c>
      <c r="G1980" s="10"/>
      <c r="H1980" s="10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ht="14.25" customHeight="1">
      <c r="A1981" s="4">
        <v>1980.0</v>
      </c>
      <c r="B1981" s="5"/>
      <c r="C1981" s="6" t="str">
        <f>HYPERLINK("https://leetcode.com/problems/find-unique-binary-string", "Find Unique Binary String")</f>
        <v>Find Unique Binary String</v>
      </c>
      <c r="D1981" s="7" t="s">
        <v>8</v>
      </c>
      <c r="E1981" s="8" t="s">
        <v>747</v>
      </c>
      <c r="F1981" s="9">
        <v>0.64</v>
      </c>
      <c r="G1981" s="10"/>
      <c r="H1981" s="10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ht="14.25" customHeight="1">
      <c r="A1982" s="4">
        <v>1981.0</v>
      </c>
      <c r="B1982" s="5"/>
      <c r="C1982" s="6" t="str">
        <f>HYPERLINK("https://leetcode.com/problems/minimize-the-difference-between-target-and-chosen-elements", "Minimize the Difference Between Target and Chosen Elements")</f>
        <v>Minimize the Difference Between Target and Chosen Elements</v>
      </c>
      <c r="D1982" s="7" t="s">
        <v>8</v>
      </c>
      <c r="E1982" s="8" t="s">
        <v>47</v>
      </c>
      <c r="F1982" s="9">
        <v>0.32</v>
      </c>
      <c r="G1982" s="10"/>
      <c r="H1982" s="10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ht="14.25" customHeight="1">
      <c r="A1983" s="4">
        <v>1982.0</v>
      </c>
      <c r="B1983" s="5"/>
      <c r="C1983" s="6" t="str">
        <f>HYPERLINK("https://leetcode.com/problems/find-array-given-subset-sums", "Find Array Given Subset Sums")</f>
        <v>Find Array Given Subset Sums</v>
      </c>
      <c r="D1983" s="7" t="s">
        <v>11</v>
      </c>
      <c r="E1983" s="8" t="s">
        <v>748</v>
      </c>
      <c r="F1983" s="9">
        <v>0.48</v>
      </c>
      <c r="G1983" s="10"/>
      <c r="H1983" s="10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ht="14.25" customHeight="1">
      <c r="A1984" s="11">
        <v>1983.0</v>
      </c>
      <c r="B1984" s="5"/>
      <c r="C1984" s="12" t="str">
        <f>HYPERLINK("https://leetcode.com/problems/widest-pair-of-indices-with-equal-range-sum", "Widest Pair of Indices With Equal Range Sum")</f>
        <v>Widest Pair of Indices With Equal Range Sum</v>
      </c>
      <c r="D1984" s="7" t="s">
        <v>8</v>
      </c>
      <c r="E1984" s="8" t="s">
        <v>191</v>
      </c>
      <c r="F1984" s="9">
        <v>0.54</v>
      </c>
      <c r="G1984" s="10"/>
      <c r="H1984" s="10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ht="14.25" customHeight="1">
      <c r="A1985" s="4">
        <v>1984.0</v>
      </c>
      <c r="B1985" s="5"/>
      <c r="C1985" s="6" t="str">
        <f>HYPERLINK("https://leetcode.com/problems/minimum-difference-between-highest-and-lowest-of-k-scores", "Minimum Difference Between Highest and Lowest of K Scores")</f>
        <v>Minimum Difference Between Highest and Lowest of K Scores</v>
      </c>
      <c r="D1985" s="7" t="s">
        <v>6</v>
      </c>
      <c r="E1985" s="8" t="s">
        <v>749</v>
      </c>
      <c r="F1985" s="9">
        <v>0.53</v>
      </c>
      <c r="G1985" s="10"/>
      <c r="H1985" s="10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ht="14.25" customHeight="1">
      <c r="A1986" s="4">
        <v>1985.0</v>
      </c>
      <c r="B1986" s="5"/>
      <c r="C1986" s="6" t="str">
        <f>HYPERLINK("https://leetcode.com/problems/find-the-kth-largest-integer-in-the-array", "Find the Kth Largest Integer in the Array")</f>
        <v>Find the Kth Largest Integer in the Array</v>
      </c>
      <c r="D1986" s="7" t="s">
        <v>8</v>
      </c>
      <c r="E1986" s="8" t="s">
        <v>750</v>
      </c>
      <c r="F1986" s="9">
        <v>0.44</v>
      </c>
      <c r="G1986" s="10"/>
      <c r="H1986" s="10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ht="14.25" customHeight="1">
      <c r="A1987" s="4">
        <v>1986.0</v>
      </c>
      <c r="B1987" s="5"/>
      <c r="C1987" s="6" t="str">
        <f>HYPERLINK("https://leetcode.com/problems/minimum-number-of-work-sessions-to-finish-the-tasks", "Minimum Number of Work Sessions to Finish the Tasks")</f>
        <v>Minimum Number of Work Sessions to Finish the Tasks</v>
      </c>
      <c r="D1987" s="7" t="s">
        <v>8</v>
      </c>
      <c r="E1987" s="8" t="s">
        <v>273</v>
      </c>
      <c r="F1987" s="9">
        <v>0.32</v>
      </c>
      <c r="G1987" s="10"/>
      <c r="H1987" s="10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ht="14.25" customHeight="1">
      <c r="A1988" s="4">
        <v>1987.0</v>
      </c>
      <c r="B1988" s="5"/>
      <c r="C1988" s="6" t="str">
        <f>HYPERLINK("https://leetcode.com/problems/number-of-unique-good-subsequences", "Number of Unique Good Subsequences")</f>
        <v>Number of Unique Good Subsequences</v>
      </c>
      <c r="D1988" s="7" t="s">
        <v>11</v>
      </c>
      <c r="E1988" s="8" t="s">
        <v>13</v>
      </c>
      <c r="F1988" s="9">
        <v>0.52</v>
      </c>
      <c r="G1988" s="10"/>
      <c r="H1988" s="10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ht="14.25" customHeight="1">
      <c r="A1989" s="11">
        <v>1988.0</v>
      </c>
      <c r="B1989" s="5"/>
      <c r="C1989" s="12" t="str">
        <f>HYPERLINK("https://leetcode.com/problems/find-cutoff-score-for-each-school", "Find Cutoff Score for Each School")</f>
        <v>Find Cutoff Score for Each School</v>
      </c>
      <c r="D1989" s="7" t="s">
        <v>8</v>
      </c>
      <c r="E1989" s="8" t="s">
        <v>101</v>
      </c>
      <c r="F1989" s="9">
        <v>0.69</v>
      </c>
      <c r="G1989" s="10"/>
      <c r="H1989" s="10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ht="14.25" customHeight="1">
      <c r="A1990" s="11">
        <v>1989.0</v>
      </c>
      <c r="B1990" s="5"/>
      <c r="C1990" s="12" t="str">
        <f>HYPERLINK("https://leetcode.com/problems/maximum-number-of-people-that-can-be-caught-in-tag", "Maximum Number of People That Can Be Caught in Tag")</f>
        <v>Maximum Number of People That Can Be Caught in Tag</v>
      </c>
      <c r="D1990" s="7" t="s">
        <v>8</v>
      </c>
      <c r="E1990" s="8" t="s">
        <v>81</v>
      </c>
      <c r="F1990" s="9">
        <v>0.53</v>
      </c>
      <c r="G1990" s="10"/>
      <c r="H1990" s="10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ht="14.25" customHeight="1">
      <c r="A1991" s="11">
        <v>1990.0</v>
      </c>
      <c r="B1991" s="5"/>
      <c r="C1991" s="12" t="str">
        <f>HYPERLINK("https://leetcode.com/problems/count-the-number-of-experiments", "Count the Number of Experiments")</f>
        <v>Count the Number of Experiments</v>
      </c>
      <c r="D1991" s="7" t="s">
        <v>8</v>
      </c>
      <c r="E1991" s="8" t="s">
        <v>101</v>
      </c>
      <c r="F1991" s="9">
        <v>0.51</v>
      </c>
      <c r="G1991" s="10"/>
      <c r="H1991" s="10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ht="14.25" customHeight="1">
      <c r="A1992" s="4">
        <v>1991.0</v>
      </c>
      <c r="B1992" s="5"/>
      <c r="C1992" s="6" t="str">
        <f>HYPERLINK("https://leetcode.com/problems/find-the-middle-index-in-array", "Find the Middle Index in Array")</f>
        <v>Find the Middle Index in Array</v>
      </c>
      <c r="D1992" s="7" t="s">
        <v>6</v>
      </c>
      <c r="E1992" s="8" t="s">
        <v>130</v>
      </c>
      <c r="F1992" s="9">
        <v>0.67</v>
      </c>
      <c r="G1992" s="10"/>
      <c r="H1992" s="10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ht="14.25" customHeight="1">
      <c r="A1993" s="4">
        <v>1992.0</v>
      </c>
      <c r="B1993" s="5"/>
      <c r="C1993" s="6" t="str">
        <f>HYPERLINK("https://leetcode.com/problems/find-all-groups-of-farmland", "Find All Groups of Farmland")</f>
        <v>Find All Groups of Farmland</v>
      </c>
      <c r="D1993" s="7" t="s">
        <v>8</v>
      </c>
      <c r="E1993" s="8" t="s">
        <v>246</v>
      </c>
      <c r="F1993" s="9">
        <v>0.68</v>
      </c>
      <c r="G1993" s="10"/>
      <c r="H1993" s="10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ht="14.25" customHeight="1">
      <c r="A1994" s="4">
        <v>1993.0</v>
      </c>
      <c r="B1994" s="5"/>
      <c r="C1994" s="6" t="str">
        <f>HYPERLINK("https://leetcode.com/problems/operations-on-tree", "Operations on Tree")</f>
        <v>Operations on Tree</v>
      </c>
      <c r="D1994" s="7" t="s">
        <v>8</v>
      </c>
      <c r="E1994" s="8" t="s">
        <v>751</v>
      </c>
      <c r="F1994" s="9">
        <v>0.43</v>
      </c>
      <c r="G1994" s="10"/>
      <c r="H1994" s="10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ht="14.25" customHeight="1">
      <c r="A1995" s="4">
        <v>1994.0</v>
      </c>
      <c r="B1995" s="5"/>
      <c r="C1995" s="6" t="str">
        <f>HYPERLINK("https://leetcode.com/problems/the-number-of-good-subsets", "The Number of Good Subsets")</f>
        <v>The Number of Good Subsets</v>
      </c>
      <c r="D1995" s="7" t="s">
        <v>11</v>
      </c>
      <c r="E1995" s="8" t="s">
        <v>394</v>
      </c>
      <c r="F1995" s="9">
        <v>0.34</v>
      </c>
      <c r="G1995" s="10"/>
      <c r="H1995" s="10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ht="14.25" customHeight="1">
      <c r="A1996" s="4">
        <v>1995.0</v>
      </c>
      <c r="B1996" s="5"/>
      <c r="C1996" s="6" t="str">
        <f>HYPERLINK("https://leetcode.com/problems/count-special-quadruplets", "Count Special Quadruplets")</f>
        <v>Count Special Quadruplets</v>
      </c>
      <c r="D1996" s="7" t="s">
        <v>6</v>
      </c>
      <c r="E1996" s="8" t="s">
        <v>619</v>
      </c>
      <c r="F1996" s="9">
        <v>0.59</v>
      </c>
      <c r="G1996" s="10"/>
      <c r="H1996" s="10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ht="14.25" customHeight="1">
      <c r="A1997" s="4">
        <v>1996.0</v>
      </c>
      <c r="B1997" s="5"/>
      <c r="C1997" s="6" t="str">
        <f>HYPERLINK("https://leetcode.com/problems/the-number-of-weak-characters-in-the-game", "The Number of Weak Characters in the Game")</f>
        <v>The Number of Weak Characters in the Game</v>
      </c>
      <c r="D1997" s="7" t="s">
        <v>8</v>
      </c>
      <c r="E1997" s="8" t="s">
        <v>382</v>
      </c>
      <c r="F1997" s="9">
        <v>0.44</v>
      </c>
      <c r="G1997" s="10"/>
      <c r="H1997" s="10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ht="14.25" customHeight="1">
      <c r="A1998" s="4">
        <v>1997.0</v>
      </c>
      <c r="B1998" s="5"/>
      <c r="C1998" s="6" t="str">
        <f>HYPERLINK("https://leetcode.com/problems/first-day-where-you-have-been-in-all-the-rooms", "First Day Where You Have Been in All the Rooms")</f>
        <v>First Day Where You Have Been in All the Rooms</v>
      </c>
      <c r="D1998" s="7" t="s">
        <v>8</v>
      </c>
      <c r="E1998" s="8" t="s">
        <v>73</v>
      </c>
      <c r="F1998" s="9">
        <v>0.36</v>
      </c>
      <c r="G1998" s="10"/>
      <c r="H1998" s="10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ht="14.25" customHeight="1">
      <c r="A1999" s="4">
        <v>1998.0</v>
      </c>
      <c r="B1999" s="5"/>
      <c r="C1999" s="6" t="str">
        <f>HYPERLINK("https://leetcode.com/problems/gcd-sort-of-an-array", "GCD Sort of an Array")</f>
        <v>GCD Sort of an Array</v>
      </c>
      <c r="D1999" s="7" t="s">
        <v>11</v>
      </c>
      <c r="E1999" s="8" t="s">
        <v>752</v>
      </c>
      <c r="F1999" s="9">
        <v>0.45</v>
      </c>
      <c r="G1999" s="10"/>
      <c r="H1999" s="10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ht="14.25" customHeight="1">
      <c r="A2000" s="11">
        <v>1999.0</v>
      </c>
      <c r="B2000" s="5"/>
      <c r="C2000" s="12" t="str">
        <f>HYPERLINK("https://leetcode.com/problems/smallest-greater-multiple-made-of-two-digits", "Smallest Greater Multiple Made of Two Digits")</f>
        <v>Smallest Greater Multiple Made of Two Digits</v>
      </c>
      <c r="D2000" s="7" t="s">
        <v>8</v>
      </c>
      <c r="E2000" s="8" t="s">
        <v>404</v>
      </c>
      <c r="F2000" s="9">
        <v>0.49</v>
      </c>
      <c r="G2000" s="10"/>
      <c r="H2000" s="10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ht="14.25" customHeight="1">
      <c r="A2001" s="4">
        <v>2000.0</v>
      </c>
      <c r="B2001" s="5"/>
      <c r="C2001" s="6" t="str">
        <f>HYPERLINK("https://leetcode.com/problems/reverse-prefix-of-word", "Reverse Prefix of Word")</f>
        <v>Reverse Prefix of Word</v>
      </c>
      <c r="D2001" s="7" t="s">
        <v>6</v>
      </c>
      <c r="E2001" s="8" t="s">
        <v>75</v>
      </c>
      <c r="F2001" s="9">
        <v>0.77</v>
      </c>
      <c r="G2001" s="10"/>
      <c r="H2001" s="10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ht="14.25" customHeight="1">
      <c r="A2002" s="4">
        <v>2001.0</v>
      </c>
      <c r="B2002" s="5"/>
      <c r="C2002" s="6" t="str">
        <f>HYPERLINK("https://leetcode.com/problems/number-of-pairs-of-interchangeable-rectangles", "Number of Pairs of Interchangeable Rectangles")</f>
        <v>Number of Pairs of Interchangeable Rectangles</v>
      </c>
      <c r="D2002" s="7" t="s">
        <v>8</v>
      </c>
      <c r="E2002" s="8" t="s">
        <v>441</v>
      </c>
      <c r="F2002" s="9">
        <v>0.45</v>
      </c>
      <c r="G2002" s="10"/>
      <c r="H2002" s="10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ht="14.25" customHeight="1">
      <c r="A2003" s="4">
        <v>2002.0</v>
      </c>
      <c r="B2003" s="5"/>
      <c r="C2003" s="6" t="str">
        <f>HYPERLINK("https://leetcode.com/problems/maximum-product-of-the-length-of-two-palindromic-subsequences", "Maximum Product of the Length of Two Palindromic Subsequences")</f>
        <v>Maximum Product of the Length of Two Palindromic Subsequences</v>
      </c>
      <c r="D2003" s="7" t="s">
        <v>8</v>
      </c>
      <c r="E2003" s="8" t="s">
        <v>753</v>
      </c>
      <c r="F2003" s="9">
        <v>0.53</v>
      </c>
      <c r="G2003" s="10"/>
      <c r="H2003" s="10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ht="14.25" customHeight="1">
      <c r="A2004" s="4">
        <v>2003.0</v>
      </c>
      <c r="B2004" s="5"/>
      <c r="C2004" s="6" t="str">
        <f>HYPERLINK("https://leetcode.com/problems/smallest-missing-genetic-value-in-each-subtree", "Smallest Missing Genetic Value in Each Subtree")</f>
        <v>Smallest Missing Genetic Value in Each Subtree</v>
      </c>
      <c r="D2004" s="7" t="s">
        <v>11</v>
      </c>
      <c r="E2004" s="8" t="s">
        <v>754</v>
      </c>
      <c r="F2004" s="9">
        <v>0.44</v>
      </c>
      <c r="G2004" s="10"/>
      <c r="H2004" s="10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ht="14.25" customHeight="1">
      <c r="A2005" s="11">
        <v>2004.0</v>
      </c>
      <c r="B2005" s="5"/>
      <c r="C2005" s="12" t="str">
        <f>HYPERLINK("https://leetcode.com/problems/the-number-of-seniors-and-juniors-to-join-the-company", "The Number of Seniors and Juniors to Join the Company")</f>
        <v>The Number of Seniors and Juniors to Join the Company</v>
      </c>
      <c r="D2005" s="7" t="s">
        <v>11</v>
      </c>
      <c r="E2005" s="8" t="s">
        <v>101</v>
      </c>
      <c r="F2005" s="9">
        <v>0.39</v>
      </c>
      <c r="G2005" s="10"/>
      <c r="H2005" s="10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ht="14.25" customHeight="1">
      <c r="A2006" s="11">
        <v>2005.0</v>
      </c>
      <c r="B2006" s="5"/>
      <c r="C2006" s="12" t="str">
        <f>HYPERLINK("https://leetcode.com/problems/subtree-removal-game-with-fibonacci-tree", "Subtree Removal Game with Fibonacci Tree")</f>
        <v>Subtree Removal Game with Fibonacci Tree</v>
      </c>
      <c r="D2006" s="7" t="s">
        <v>11</v>
      </c>
      <c r="E2006" s="8" t="s">
        <v>755</v>
      </c>
      <c r="F2006" s="9">
        <v>0.61</v>
      </c>
      <c r="G2006" s="10"/>
      <c r="H2006" s="10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ht="14.25" customHeight="1">
      <c r="A2007" s="4">
        <v>2006.0</v>
      </c>
      <c r="B2007" s="5"/>
      <c r="C2007" s="6" t="str">
        <f>HYPERLINK("https://leetcode.com/problems/count-number-of-pairs-with-absolute-difference-k", "Count Number of Pairs With Absolute Difference K")</f>
        <v>Count Number of Pairs With Absolute Difference K</v>
      </c>
      <c r="D2007" s="7" t="s">
        <v>6</v>
      </c>
      <c r="E2007" s="8" t="s">
        <v>474</v>
      </c>
      <c r="F2007" s="9">
        <v>0.82</v>
      </c>
      <c r="G2007" s="10"/>
      <c r="H2007" s="10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ht="14.25" customHeight="1">
      <c r="A2008" s="4">
        <v>2007.0</v>
      </c>
      <c r="B2008" s="5"/>
      <c r="C2008" s="6" t="str">
        <f>HYPERLINK("https://leetcode.com/problems/find-original-array-from-doubled-array", "Find Original Array From Doubled Array")</f>
        <v>Find Original Array From Doubled Array</v>
      </c>
      <c r="D2008" s="7" t="s">
        <v>8</v>
      </c>
      <c r="E2008" s="8" t="s">
        <v>411</v>
      </c>
      <c r="F2008" s="9">
        <v>0.4</v>
      </c>
      <c r="G2008" s="10"/>
      <c r="H2008" s="10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ht="14.25" customHeight="1">
      <c r="A2009" s="4">
        <v>2008.0</v>
      </c>
      <c r="B2009" s="5"/>
      <c r="C2009" s="6" t="str">
        <f>HYPERLINK("https://leetcode.com/problems/maximum-earnings-from-taxi", "Maximum Earnings From Taxi")</f>
        <v>Maximum Earnings From Taxi</v>
      </c>
      <c r="D2009" s="7" t="s">
        <v>8</v>
      </c>
      <c r="E2009" s="8" t="s">
        <v>209</v>
      </c>
      <c r="F2009" s="9">
        <v>0.43</v>
      </c>
      <c r="G2009" s="10"/>
      <c r="H2009" s="10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ht="14.25" customHeight="1">
      <c r="A2010" s="4">
        <v>2009.0</v>
      </c>
      <c r="B2010" s="5"/>
      <c r="C2010" s="6" t="str">
        <f>HYPERLINK("https://leetcode.com/problems/minimum-number-of-operations-to-make-array-continuous", "Minimum Number of Operations to Make Array Continuous")</f>
        <v>Minimum Number of Operations to Make Array Continuous</v>
      </c>
      <c r="D2010" s="7" t="s">
        <v>11</v>
      </c>
      <c r="E2010" s="8" t="s">
        <v>30</v>
      </c>
      <c r="F2010" s="9">
        <v>0.45</v>
      </c>
      <c r="G2010" s="10"/>
      <c r="H2010" s="10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ht="14.25" customHeight="1">
      <c r="A2011" s="11">
        <v>2010.0</v>
      </c>
      <c r="B2011" s="5"/>
      <c r="C2011" s="12" t="str">
        <f>HYPERLINK("https://leetcode.com/problems/the-number-of-seniors-and-juniors-to-join-the-company-ii", "The Number of Seniors and Juniors to Join the Company II")</f>
        <v>The Number of Seniors and Juniors to Join the Company II</v>
      </c>
      <c r="D2011" s="7" t="s">
        <v>11</v>
      </c>
      <c r="E2011" s="8" t="s">
        <v>101</v>
      </c>
      <c r="F2011" s="9">
        <v>0.58</v>
      </c>
      <c r="G2011" s="10"/>
      <c r="H2011" s="10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ht="14.25" customHeight="1">
      <c r="A2012" s="4">
        <v>2011.0</v>
      </c>
      <c r="B2012" s="5"/>
      <c r="C2012" s="6" t="str">
        <f>HYPERLINK("https://leetcode.com/problems/final-value-of-variable-after-performing-operations", "Final Value of Variable After Performing Operations")</f>
        <v>Final Value of Variable After Performing Operations</v>
      </c>
      <c r="D2012" s="7" t="s">
        <v>6</v>
      </c>
      <c r="E2012" s="8" t="s">
        <v>50</v>
      </c>
      <c r="F2012" s="9">
        <v>0.88</v>
      </c>
      <c r="G2012" s="10"/>
      <c r="H2012" s="10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ht="14.25" customHeight="1">
      <c r="A2013" s="4">
        <v>2012.0</v>
      </c>
      <c r="B2013" s="5"/>
      <c r="C2013" s="6" t="str">
        <f>HYPERLINK("https://leetcode.com/problems/sum-of-beauty-in-the-array", "Sum of Beauty in the Array")</f>
        <v>Sum of Beauty in the Array</v>
      </c>
      <c r="D2013" s="7" t="s">
        <v>8</v>
      </c>
      <c r="E2013" s="8" t="s">
        <v>45</v>
      </c>
      <c r="F2013" s="9">
        <v>0.46</v>
      </c>
      <c r="G2013" s="10"/>
      <c r="H2013" s="10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ht="14.25" customHeight="1">
      <c r="A2014" s="4">
        <v>2013.0</v>
      </c>
      <c r="B2014" s="5"/>
      <c r="C2014" s="6" t="str">
        <f>HYPERLINK("https://leetcode.com/problems/detect-squares", "Detect Squares")</f>
        <v>Detect Squares</v>
      </c>
      <c r="D2014" s="7" t="s">
        <v>8</v>
      </c>
      <c r="E2014" s="8" t="s">
        <v>756</v>
      </c>
      <c r="F2014" s="9">
        <v>0.5</v>
      </c>
      <c r="G2014" s="10"/>
      <c r="H2014" s="10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ht="14.25" customHeight="1">
      <c r="A2015" s="4">
        <v>2014.0</v>
      </c>
      <c r="B2015" s="5"/>
      <c r="C2015" s="6" t="str">
        <f>HYPERLINK("https://leetcode.com/problems/longest-subsequence-repeated-k-times", "Longest Subsequence Repeated k Times")</f>
        <v>Longest Subsequence Repeated k Times</v>
      </c>
      <c r="D2015" s="7" t="s">
        <v>11</v>
      </c>
      <c r="E2015" s="8" t="s">
        <v>757</v>
      </c>
      <c r="F2015" s="9">
        <v>0.55</v>
      </c>
      <c r="G2015" s="10"/>
      <c r="H2015" s="10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ht="14.25" customHeight="1">
      <c r="A2016" s="11">
        <v>2015.0</v>
      </c>
      <c r="B2016" s="5"/>
      <c r="C2016" s="12" t="str">
        <f>HYPERLINK("https://leetcode.com/problems/average-height-of-buildings-in-each-segment", "Average Height of Buildings in Each Segment")</f>
        <v>Average Height of Buildings in Each Segment</v>
      </c>
      <c r="D2016" s="7" t="s">
        <v>8</v>
      </c>
      <c r="E2016" s="8" t="s">
        <v>292</v>
      </c>
      <c r="F2016" s="9">
        <v>0.58</v>
      </c>
      <c r="G2016" s="10"/>
      <c r="H2016" s="10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ht="14.25" customHeight="1">
      <c r="A2017" s="4">
        <v>2016.0</v>
      </c>
      <c r="B2017" s="5"/>
      <c r="C2017" s="6" t="str">
        <f>HYPERLINK("https://leetcode.com/problems/maximum-difference-between-increasing-elements", "Maximum Difference Between Increasing Elements")</f>
        <v>Maximum Difference Between Increasing Elements</v>
      </c>
      <c r="D2017" s="7" t="s">
        <v>6</v>
      </c>
      <c r="E2017" s="8" t="s">
        <v>45</v>
      </c>
      <c r="F2017" s="9">
        <v>0.53</v>
      </c>
      <c r="G2017" s="10"/>
      <c r="H2017" s="10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ht="14.25" customHeight="1">
      <c r="A2018" s="4">
        <v>2017.0</v>
      </c>
      <c r="B2018" s="5"/>
      <c r="C2018" s="6" t="str">
        <f>HYPERLINK("https://leetcode.com/problems/grid-game", "Grid Game")</f>
        <v>Grid Game</v>
      </c>
      <c r="D2018" s="7" t="s">
        <v>8</v>
      </c>
      <c r="E2018" s="8" t="s">
        <v>556</v>
      </c>
      <c r="F2018" s="9">
        <v>0.43</v>
      </c>
      <c r="G2018" s="10"/>
      <c r="H2018" s="10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ht="14.25" customHeight="1">
      <c r="A2019" s="4">
        <v>2018.0</v>
      </c>
      <c r="B2019" s="5"/>
      <c r="C2019" s="6" t="str">
        <f>HYPERLINK("https://leetcode.com/problems/check-if-word-can-be-placed-in-crossword", "Check if Word Can Be Placed In Crossword")</f>
        <v>Check if Word Can Be Placed In Crossword</v>
      </c>
      <c r="D2019" s="7" t="s">
        <v>8</v>
      </c>
      <c r="E2019" s="8" t="s">
        <v>739</v>
      </c>
      <c r="F2019" s="9">
        <v>0.49</v>
      </c>
      <c r="G2019" s="10"/>
      <c r="H2019" s="10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ht="14.25" customHeight="1">
      <c r="A2020" s="4">
        <v>2019.0</v>
      </c>
      <c r="B2020" s="5"/>
      <c r="C2020" s="6" t="str">
        <f>HYPERLINK("https://leetcode.com/problems/the-score-of-students-solving-math-expression", "The Score of Students Solving Math Expression")</f>
        <v>The Score of Students Solving Math Expression</v>
      </c>
      <c r="D2020" s="7" t="s">
        <v>11</v>
      </c>
      <c r="E2020" s="8" t="s">
        <v>758</v>
      </c>
      <c r="F2020" s="9">
        <v>0.33</v>
      </c>
      <c r="G2020" s="10"/>
      <c r="H2020" s="10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ht="14.25" customHeight="1">
      <c r="A2021" s="11">
        <v>2020.0</v>
      </c>
      <c r="B2021" s="5"/>
      <c r="C2021" s="12" t="str">
        <f>HYPERLINK("https://leetcode.com/problems/number-of-accounts-that-did-not-stream", "Number of Accounts That Did Not Stream")</f>
        <v>Number of Accounts That Did Not Stream</v>
      </c>
      <c r="D2021" s="7" t="s">
        <v>8</v>
      </c>
      <c r="E2021" s="8" t="s">
        <v>101</v>
      </c>
      <c r="F2021" s="9">
        <v>0.73</v>
      </c>
      <c r="G2021" s="10"/>
      <c r="H2021" s="10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ht="14.25" customHeight="1">
      <c r="A2022" s="11">
        <v>2021.0</v>
      </c>
      <c r="B2022" s="5"/>
      <c r="C2022" s="12" t="str">
        <f>HYPERLINK("https://leetcode.com/problems/brightest-position-on-street", "Brightest Position on Street")</f>
        <v>Brightest Position on Street</v>
      </c>
      <c r="D2022" s="7" t="s">
        <v>8</v>
      </c>
      <c r="E2022" s="8" t="s">
        <v>759</v>
      </c>
      <c r="F2022" s="9">
        <v>0.62</v>
      </c>
      <c r="G2022" s="10"/>
      <c r="H2022" s="10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ht="14.25" customHeight="1">
      <c r="A2023" s="4">
        <v>2022.0</v>
      </c>
      <c r="B2023" s="5"/>
      <c r="C2023" s="6" t="str">
        <f>HYPERLINK("https://leetcode.com/problems/convert-1d-array-into-2d-array", "Convert 1D Array Into 2D Array")</f>
        <v>Convert 1D Array Into 2D Array</v>
      </c>
      <c r="D2023" s="7" t="s">
        <v>6</v>
      </c>
      <c r="E2023" s="8" t="s">
        <v>43</v>
      </c>
      <c r="F2023" s="9">
        <v>0.58</v>
      </c>
      <c r="G2023" s="10"/>
      <c r="H2023" s="10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ht="14.25" customHeight="1">
      <c r="A2024" s="4">
        <v>2023.0</v>
      </c>
      <c r="B2024" s="5"/>
      <c r="C2024" s="6" t="str">
        <f>HYPERLINK("https://leetcode.com/problems/number-of-pairs-of-strings-with-concatenation-equal-to-target", "Number of Pairs of Strings With Concatenation Equal to Target")</f>
        <v>Number of Pairs of Strings With Concatenation Equal to Target</v>
      </c>
      <c r="D2024" s="7" t="s">
        <v>8</v>
      </c>
      <c r="E2024" s="8" t="s">
        <v>135</v>
      </c>
      <c r="F2024" s="9">
        <v>0.73</v>
      </c>
      <c r="G2024" s="10"/>
      <c r="H2024" s="10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ht="14.25" customHeight="1">
      <c r="A2025" s="4">
        <v>2024.0</v>
      </c>
      <c r="B2025" s="5"/>
      <c r="C2025" s="6" t="str">
        <f>HYPERLINK("https://leetcode.com/problems/maximize-the-confusion-of-an-exam", "Maximize the Confusion of an Exam")</f>
        <v>Maximize the Confusion of an Exam</v>
      </c>
      <c r="D2025" s="7" t="s">
        <v>8</v>
      </c>
      <c r="E2025" s="8" t="s">
        <v>523</v>
      </c>
      <c r="F2025" s="9">
        <v>0.59</v>
      </c>
      <c r="G2025" s="10"/>
      <c r="H2025" s="10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ht="14.25" customHeight="1">
      <c r="A2026" s="4">
        <v>2025.0</v>
      </c>
      <c r="B2026" s="5"/>
      <c r="C2026" s="6" t="str">
        <f>HYPERLINK("https://leetcode.com/problems/maximum-number-of-ways-to-partition-an-array", "Maximum Number of Ways to Partition an Array")</f>
        <v>Maximum Number of Ways to Partition an Array</v>
      </c>
      <c r="D2026" s="7" t="s">
        <v>11</v>
      </c>
      <c r="E2026" s="8" t="s">
        <v>760</v>
      </c>
      <c r="F2026" s="9">
        <v>0.32</v>
      </c>
      <c r="G2026" s="10"/>
      <c r="H2026" s="10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ht="14.25" customHeight="1">
      <c r="A2027" s="11">
        <v>2026.0</v>
      </c>
      <c r="B2027" s="5"/>
      <c r="C2027" s="12" t="str">
        <f>HYPERLINK("https://leetcode.com/problems/low-quality-problems", "Low-Quality Problems")</f>
        <v>Low-Quality Problems</v>
      </c>
      <c r="D2027" s="7" t="s">
        <v>6</v>
      </c>
      <c r="E2027" s="8" t="s">
        <v>101</v>
      </c>
      <c r="F2027" s="9">
        <v>0.85</v>
      </c>
      <c r="G2027" s="10"/>
      <c r="H2027" s="10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ht="14.25" customHeight="1">
      <c r="A2028" s="4">
        <v>2027.0</v>
      </c>
      <c r="B2028" s="5"/>
      <c r="C2028" s="6" t="str">
        <f>HYPERLINK("https://leetcode.com/problems/minimum-moves-to-convert-string", "Minimum Moves to Convert String")</f>
        <v>Minimum Moves to Convert String</v>
      </c>
      <c r="D2028" s="7" t="s">
        <v>6</v>
      </c>
      <c r="E2028" s="8" t="s">
        <v>465</v>
      </c>
      <c r="F2028" s="9">
        <v>0.53</v>
      </c>
      <c r="G2028" s="10"/>
      <c r="H2028" s="10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ht="14.25" customHeight="1">
      <c r="A2029" s="4">
        <v>2028.0</v>
      </c>
      <c r="B2029" s="5"/>
      <c r="C2029" s="6" t="str">
        <f>HYPERLINK("https://leetcode.com/problems/find-missing-observations", "Find Missing Observations")</f>
        <v>Find Missing Observations</v>
      </c>
      <c r="D2029" s="7" t="s">
        <v>8</v>
      </c>
      <c r="E2029" s="8" t="s">
        <v>539</v>
      </c>
      <c r="F2029" s="9">
        <v>0.44</v>
      </c>
      <c r="G2029" s="10"/>
      <c r="H2029" s="10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ht="14.25" customHeight="1">
      <c r="A2030" s="4">
        <v>2029.0</v>
      </c>
      <c r="B2030" s="5"/>
      <c r="C2030" s="6" t="str">
        <f>HYPERLINK("https://leetcode.com/problems/stone-game-ix", "Stone Game IX")</f>
        <v>Stone Game IX</v>
      </c>
      <c r="D2030" s="7" t="s">
        <v>8</v>
      </c>
      <c r="E2030" s="8" t="s">
        <v>761</v>
      </c>
      <c r="F2030" s="9">
        <v>0.26</v>
      </c>
      <c r="G2030" s="10"/>
      <c r="H2030" s="10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ht="14.25" customHeight="1">
      <c r="A2031" s="4">
        <v>2030.0</v>
      </c>
      <c r="B2031" s="5"/>
      <c r="C2031" s="6" t="str">
        <f>HYPERLINK("https://leetcode.com/problems/smallest-k-length-subsequence-with-occurrences-of-a-letter", "Smallest K-Length Subsequence With Occurrences of a Letter")</f>
        <v>Smallest K-Length Subsequence With Occurrences of a Letter</v>
      </c>
      <c r="D2031" s="7" t="s">
        <v>11</v>
      </c>
      <c r="E2031" s="8" t="s">
        <v>184</v>
      </c>
      <c r="F2031" s="9">
        <v>0.38</v>
      </c>
      <c r="G2031" s="10"/>
      <c r="H2031" s="10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ht="14.25" customHeight="1">
      <c r="A2032" s="11">
        <v>2031.0</v>
      </c>
      <c r="B2032" s="5"/>
      <c r="C2032" s="12" t="str">
        <f>HYPERLINK("https://leetcode.com/problems/count-subarrays-with-more-ones-than-zeros", "Count Subarrays With More Ones Than Zeros")</f>
        <v>Count Subarrays With More Ones Than Zeros</v>
      </c>
      <c r="D2032" s="7" t="s">
        <v>8</v>
      </c>
      <c r="E2032" s="8" t="s">
        <v>183</v>
      </c>
      <c r="F2032" s="9">
        <v>0.52</v>
      </c>
      <c r="G2032" s="10"/>
      <c r="H2032" s="10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ht="14.25" customHeight="1">
      <c r="A2033" s="4">
        <v>2032.0</v>
      </c>
      <c r="B2033" s="5"/>
      <c r="C2033" s="6" t="str">
        <f>HYPERLINK("https://leetcode.com/problems/two-out-of-three", "Two Out of Three")</f>
        <v>Two Out of Three</v>
      </c>
      <c r="D2033" s="7" t="s">
        <v>6</v>
      </c>
      <c r="E2033" s="8" t="s">
        <v>7</v>
      </c>
      <c r="F2033" s="9">
        <v>0.72</v>
      </c>
      <c r="G2033" s="10"/>
      <c r="H2033" s="10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ht="14.25" customHeight="1">
      <c r="A2034" s="4">
        <v>2033.0</v>
      </c>
      <c r="B2034" s="5"/>
      <c r="C2034" s="6" t="str">
        <f>HYPERLINK("https://leetcode.com/problems/minimum-operations-to-make-a-uni-value-grid", "Minimum Operations to Make a Uni-Value Grid")</f>
        <v>Minimum Operations to Make a Uni-Value Grid</v>
      </c>
      <c r="D2034" s="7" t="s">
        <v>8</v>
      </c>
      <c r="E2034" s="8" t="s">
        <v>170</v>
      </c>
      <c r="F2034" s="9">
        <v>0.52</v>
      </c>
      <c r="G2034" s="10"/>
      <c r="H2034" s="10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ht="14.25" customHeight="1">
      <c r="A2035" s="4">
        <v>2034.0</v>
      </c>
      <c r="B2035" s="5"/>
      <c r="C2035" s="6" t="str">
        <f>HYPERLINK("https://leetcode.com/problems/stock-price-fluctuation", "Stock Price Fluctuation ")</f>
        <v>Stock Price Fluctuation </v>
      </c>
      <c r="D2035" s="7" t="s">
        <v>8</v>
      </c>
      <c r="E2035" s="8" t="s">
        <v>762</v>
      </c>
      <c r="F2035" s="9">
        <v>0.49</v>
      </c>
      <c r="G2035" s="10"/>
      <c r="H2035" s="10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ht="14.25" customHeight="1">
      <c r="A2036" s="4">
        <v>2035.0</v>
      </c>
      <c r="B2036" s="5"/>
      <c r="C2036" s="6" t="str">
        <f>HYPERLINK("https://leetcode.com/problems/partition-array-into-two-arrays-to-minimize-sum-difference", "Partition Array Into Two Arrays to Minimize Sum Difference")</f>
        <v>Partition Array Into Two Arrays to Minimize Sum Difference</v>
      </c>
      <c r="D2036" s="7" t="s">
        <v>11</v>
      </c>
      <c r="E2036" s="8" t="s">
        <v>763</v>
      </c>
      <c r="F2036" s="9">
        <v>0.18</v>
      </c>
      <c r="G2036" s="10"/>
      <c r="H2036" s="10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ht="14.25" customHeight="1">
      <c r="A2037" s="11">
        <v>2036.0</v>
      </c>
      <c r="B2037" s="5"/>
      <c r="C2037" s="12" t="str">
        <f>HYPERLINK("https://leetcode.com/problems/maximum-alternating-subarray-sum", "Maximum Alternating Subarray Sum")</f>
        <v>Maximum Alternating Subarray Sum</v>
      </c>
      <c r="D2037" s="7" t="s">
        <v>8</v>
      </c>
      <c r="E2037" s="8" t="s">
        <v>73</v>
      </c>
      <c r="F2037" s="9">
        <v>0.4</v>
      </c>
      <c r="G2037" s="10"/>
      <c r="H2037" s="10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ht="14.25" customHeight="1">
      <c r="A2038" s="4">
        <v>2037.0</v>
      </c>
      <c r="B2038" s="5"/>
      <c r="C2038" s="6" t="str">
        <f>HYPERLINK("https://leetcode.com/problems/minimum-number-of-moves-to-seat-everyone", "Minimum Number of Moves to Seat Everyone")</f>
        <v>Minimum Number of Moves to Seat Everyone</v>
      </c>
      <c r="D2038" s="7" t="s">
        <v>6</v>
      </c>
      <c r="E2038" s="8" t="s">
        <v>44</v>
      </c>
      <c r="F2038" s="9">
        <v>0.82</v>
      </c>
      <c r="G2038" s="10"/>
      <c r="H2038" s="10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ht="14.25" customHeight="1">
      <c r="A2039" s="4">
        <v>2038.0</v>
      </c>
      <c r="B2039" s="5"/>
      <c r="C2039" s="6" t="str">
        <f>HYPERLINK("https://leetcode.com/problems/remove-colored-pieces-if-both-neighbors-are-the-same-color", "Remove Colored Pieces if Both Neighbors are the Same Color")</f>
        <v>Remove Colored Pieces if Both Neighbors are the Same Color</v>
      </c>
      <c r="D2039" s="7" t="s">
        <v>8</v>
      </c>
      <c r="E2039" s="8" t="s">
        <v>764</v>
      </c>
      <c r="F2039" s="9">
        <v>0.58</v>
      </c>
      <c r="G2039" s="10"/>
      <c r="H2039" s="10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ht="14.25" customHeight="1">
      <c r="A2040" s="4">
        <v>2039.0</v>
      </c>
      <c r="B2040" s="5"/>
      <c r="C2040" s="6" t="str">
        <f>HYPERLINK("https://leetcode.com/problems/the-time-when-the-network-becomes-idle", "The Time When the Network Becomes Idle")</f>
        <v>The Time When the Network Becomes Idle</v>
      </c>
      <c r="D2040" s="7" t="s">
        <v>8</v>
      </c>
      <c r="E2040" s="8" t="s">
        <v>550</v>
      </c>
      <c r="F2040" s="9">
        <v>0.5</v>
      </c>
      <c r="G2040" s="10"/>
      <c r="H2040" s="10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ht="14.25" customHeight="1">
      <c r="A2041" s="4">
        <v>2040.0</v>
      </c>
      <c r="B2041" s="5"/>
      <c r="C2041" s="6" t="str">
        <f>HYPERLINK("https://leetcode.com/problems/kth-smallest-product-of-two-sorted-arrays", "Kth Smallest Product of Two Sorted Arrays")</f>
        <v>Kth Smallest Product of Two Sorted Arrays</v>
      </c>
      <c r="D2041" s="7" t="s">
        <v>11</v>
      </c>
      <c r="E2041" s="8" t="s">
        <v>30</v>
      </c>
      <c r="F2041" s="9">
        <v>0.29</v>
      </c>
      <c r="G2041" s="10"/>
      <c r="H2041" s="10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ht="14.25" customHeight="1">
      <c r="A2042" s="11">
        <v>2041.0</v>
      </c>
      <c r="B2042" s="5"/>
      <c r="C2042" s="12" t="str">
        <f>HYPERLINK("https://leetcode.com/problems/accepted-candidates-from-the-interviews", "Accepted Candidates From the Interviews")</f>
        <v>Accepted Candidates From the Interviews</v>
      </c>
      <c r="D2042" s="7" t="s">
        <v>8</v>
      </c>
      <c r="E2042" s="8" t="s">
        <v>101</v>
      </c>
      <c r="F2042" s="9">
        <v>0.79</v>
      </c>
      <c r="G2042" s="10"/>
      <c r="H2042" s="10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ht="14.25" customHeight="1">
      <c r="A2043" s="4">
        <v>2042.0</v>
      </c>
      <c r="B2043" s="5"/>
      <c r="C2043" s="6" t="str">
        <f>HYPERLINK("https://leetcode.com/problems/check-if-numbers-are-ascending-in-a-sentence", "Check if Numbers Are Ascending in a Sentence")</f>
        <v>Check if Numbers Are Ascending in a Sentence</v>
      </c>
      <c r="D2043" s="7" t="s">
        <v>6</v>
      </c>
      <c r="E2043" s="8" t="s">
        <v>14</v>
      </c>
      <c r="F2043" s="9">
        <v>0.66</v>
      </c>
      <c r="G2043" s="10"/>
      <c r="H2043" s="10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ht="14.25" customHeight="1">
      <c r="A2044" s="4">
        <v>2043.0</v>
      </c>
      <c r="B2044" s="5"/>
      <c r="C2044" s="6" t="str">
        <f>HYPERLINK("https://leetcode.com/problems/simple-bank-system", "Simple Bank System")</f>
        <v>Simple Bank System</v>
      </c>
      <c r="D2044" s="7" t="s">
        <v>8</v>
      </c>
      <c r="E2044" s="8" t="s">
        <v>765</v>
      </c>
      <c r="F2044" s="9">
        <v>0.65</v>
      </c>
      <c r="G2044" s="10"/>
      <c r="H2044" s="10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ht="14.25" customHeight="1">
      <c r="A2045" s="4">
        <v>2044.0</v>
      </c>
      <c r="B2045" s="5"/>
      <c r="C2045" s="6" t="str">
        <f>HYPERLINK("https://leetcode.com/problems/count-number-of-maximum-bitwise-or-subsets", "Count Number of Maximum Bitwise-OR Subsets")</f>
        <v>Count Number of Maximum Bitwise-OR Subsets</v>
      </c>
      <c r="D2045" s="7" t="s">
        <v>8</v>
      </c>
      <c r="E2045" s="8" t="s">
        <v>54</v>
      </c>
      <c r="F2045" s="9">
        <v>0.74</v>
      </c>
      <c r="G2045" s="10"/>
      <c r="H2045" s="10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ht="14.25" customHeight="1">
      <c r="A2046" s="4">
        <v>2045.0</v>
      </c>
      <c r="B2046" s="5"/>
      <c r="C2046" s="6" t="str">
        <f>HYPERLINK("https://leetcode.com/problems/second-minimum-time-to-reach-destination", "Second Minimum Time to Reach Destination")</f>
        <v>Second Minimum Time to Reach Destination</v>
      </c>
      <c r="D2046" s="7" t="s">
        <v>11</v>
      </c>
      <c r="E2046" s="8" t="s">
        <v>766</v>
      </c>
      <c r="F2046" s="9">
        <v>0.39</v>
      </c>
      <c r="G2046" s="10"/>
      <c r="H2046" s="10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ht="14.25" customHeight="1">
      <c r="A2047" s="11">
        <v>2046.0</v>
      </c>
      <c r="B2047" s="5"/>
      <c r="C2047" s="12" t="str">
        <f>HYPERLINK("https://leetcode.com/problems/sort-linked-list-already-sorted-using-absolute-values", "Sort Linked List Already Sorted Using Absolute Values")</f>
        <v>Sort Linked List Already Sorted Using Absolute Values</v>
      </c>
      <c r="D2047" s="7" t="s">
        <v>8</v>
      </c>
      <c r="E2047" s="8" t="s">
        <v>767</v>
      </c>
      <c r="F2047" s="9">
        <v>0.69</v>
      </c>
      <c r="G2047" s="10"/>
      <c r="H2047" s="10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ht="14.25" customHeight="1">
      <c r="A2048" s="4">
        <v>2047.0</v>
      </c>
      <c r="B2048" s="5"/>
      <c r="C2048" s="6" t="str">
        <f>HYPERLINK("https://leetcode.com/problems/number-of-valid-words-in-a-sentence", "Number of Valid Words in a Sentence")</f>
        <v>Number of Valid Words in a Sentence</v>
      </c>
      <c r="D2048" s="7" t="s">
        <v>6</v>
      </c>
      <c r="E2048" s="8" t="s">
        <v>14</v>
      </c>
      <c r="F2048" s="9">
        <v>0.29</v>
      </c>
      <c r="G2048" s="10"/>
      <c r="H2048" s="10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ht="14.25" customHeight="1">
      <c r="A2049" s="4">
        <v>2048.0</v>
      </c>
      <c r="B2049" s="5"/>
      <c r="C2049" s="6" t="str">
        <f>HYPERLINK("https://leetcode.com/problems/next-greater-numerically-balanced-number", "Next Greater Numerically Balanced Number")</f>
        <v>Next Greater Numerically Balanced Number</v>
      </c>
      <c r="D2049" s="7" t="s">
        <v>8</v>
      </c>
      <c r="E2049" s="8" t="s">
        <v>768</v>
      </c>
      <c r="F2049" s="9">
        <v>0.47</v>
      </c>
      <c r="G2049" s="10"/>
      <c r="H2049" s="10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ht="14.25" customHeight="1">
      <c r="A2050" s="4">
        <v>2049.0</v>
      </c>
      <c r="B2050" s="5"/>
      <c r="C2050" s="6" t="str">
        <f>HYPERLINK("https://leetcode.com/problems/count-nodes-with-the-highest-score", "Count Nodes With the Highest Score")</f>
        <v>Count Nodes With the Highest Score</v>
      </c>
      <c r="D2050" s="7" t="s">
        <v>8</v>
      </c>
      <c r="E2050" s="8" t="s">
        <v>343</v>
      </c>
      <c r="F2050" s="9">
        <v>0.47</v>
      </c>
      <c r="G2050" s="10"/>
      <c r="H2050" s="10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ht="14.25" customHeight="1">
      <c r="A2051" s="4">
        <v>2050.0</v>
      </c>
      <c r="B2051" s="5"/>
      <c r="C2051" s="6" t="str">
        <f>HYPERLINK("https://leetcode.com/problems/parallel-courses-iii", "Parallel Courses III")</f>
        <v>Parallel Courses III</v>
      </c>
      <c r="D2051" s="7" t="s">
        <v>11</v>
      </c>
      <c r="E2051" s="8" t="s">
        <v>769</v>
      </c>
      <c r="F2051" s="9">
        <v>0.59</v>
      </c>
      <c r="G2051" s="10"/>
      <c r="H2051" s="10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ht="14.25" customHeight="1">
      <c r="A2052" s="11">
        <v>2051.0</v>
      </c>
      <c r="B2052" s="5"/>
      <c r="C2052" s="12" t="str">
        <f>HYPERLINK("https://leetcode.com/problems/the-category-of-each-member-in-the-store", "The Category of Each Member in the Store")</f>
        <v>The Category of Each Member in the Store</v>
      </c>
      <c r="D2052" s="7" t="s">
        <v>8</v>
      </c>
      <c r="E2052" s="8" t="s">
        <v>101</v>
      </c>
      <c r="F2052" s="9">
        <v>0.73</v>
      </c>
      <c r="G2052" s="10"/>
      <c r="H2052" s="10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ht="14.25" customHeight="1">
      <c r="A2053" s="11">
        <v>2052.0</v>
      </c>
      <c r="B2053" s="5"/>
      <c r="C2053" s="12" t="str">
        <f>HYPERLINK("https://leetcode.com/problems/minimum-cost-to-separate-sentence-into-rows", "Minimum Cost to Separate Sentence Into Rows")</f>
        <v>Minimum Cost to Separate Sentence Into Rows</v>
      </c>
      <c r="D2053" s="7" t="s">
        <v>8</v>
      </c>
      <c r="E2053" s="8" t="s">
        <v>73</v>
      </c>
      <c r="F2053" s="9">
        <v>0.5</v>
      </c>
      <c r="G2053" s="10"/>
      <c r="H2053" s="10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ht="14.25" customHeight="1">
      <c r="A2054" s="4">
        <v>2053.0</v>
      </c>
      <c r="B2054" s="5"/>
      <c r="C2054" s="6" t="str">
        <f>HYPERLINK("https://leetcode.com/problems/kth-distinct-string-in-an-array", "Kth Distinct String in an Array")</f>
        <v>Kth Distinct String in an Array</v>
      </c>
      <c r="D2054" s="7" t="s">
        <v>6</v>
      </c>
      <c r="E2054" s="8" t="s">
        <v>399</v>
      </c>
      <c r="F2054" s="9">
        <v>0.71</v>
      </c>
      <c r="G2054" s="10"/>
      <c r="H2054" s="10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ht="14.25" customHeight="1">
      <c r="A2055" s="4">
        <v>2054.0</v>
      </c>
      <c r="B2055" s="5"/>
      <c r="C2055" s="6" t="str">
        <f>HYPERLINK("https://leetcode.com/problems/two-best-non-overlapping-events", "Two Best Non-Overlapping Events")</f>
        <v>Two Best Non-Overlapping Events</v>
      </c>
      <c r="D2055" s="7" t="s">
        <v>8</v>
      </c>
      <c r="E2055" s="8" t="s">
        <v>770</v>
      </c>
      <c r="F2055" s="9">
        <v>0.45</v>
      </c>
      <c r="G2055" s="10"/>
      <c r="H2055" s="10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ht="14.25" customHeight="1">
      <c r="A2056" s="4">
        <v>2055.0</v>
      </c>
      <c r="B2056" s="5"/>
      <c r="C2056" s="6" t="str">
        <f>HYPERLINK("https://leetcode.com/problems/plates-between-candles", "Plates Between Candles")</f>
        <v>Plates Between Candles</v>
      </c>
      <c r="D2056" s="7" t="s">
        <v>8</v>
      </c>
      <c r="E2056" s="8" t="s">
        <v>771</v>
      </c>
      <c r="F2056" s="9">
        <v>0.44</v>
      </c>
      <c r="G2056" s="10"/>
      <c r="H2056" s="10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ht="14.25" customHeight="1">
      <c r="A2057" s="4">
        <v>2056.0</v>
      </c>
      <c r="B2057" s="5"/>
      <c r="C2057" s="6" t="str">
        <f>HYPERLINK("https://leetcode.com/problems/number-of-valid-move-combinations-on-chessboard", "Number of Valid Move Combinations On Chessboard")</f>
        <v>Number of Valid Move Combinations On Chessboard</v>
      </c>
      <c r="D2057" s="7" t="s">
        <v>11</v>
      </c>
      <c r="E2057" s="8" t="s">
        <v>772</v>
      </c>
      <c r="F2057" s="9">
        <v>0.58</v>
      </c>
      <c r="G2057" s="10"/>
      <c r="H2057" s="10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ht="14.25" customHeight="1">
      <c r="A2058" s="4">
        <v>2057.0</v>
      </c>
      <c r="B2058" s="5"/>
      <c r="C2058" s="6" t="str">
        <f>HYPERLINK("https://leetcode.com/problems/smallest-index-with-equal-value", "Smallest Index With Equal Value")</f>
        <v>Smallest Index With Equal Value</v>
      </c>
      <c r="D2058" s="7" t="s">
        <v>6</v>
      </c>
      <c r="E2058" s="8" t="s">
        <v>45</v>
      </c>
      <c r="F2058" s="9">
        <v>0.71</v>
      </c>
      <c r="G2058" s="10"/>
      <c r="H2058" s="10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ht="14.25" customHeight="1">
      <c r="A2059" s="4">
        <v>2058.0</v>
      </c>
      <c r="B2059" s="5"/>
      <c r="C2059" s="6" t="str">
        <f>HYPERLINK("https://leetcode.com/problems/find-the-minimum-and-maximum-number-of-nodes-between-critical-points", "Find the Minimum and Maximum Number of Nodes Between Critical Points")</f>
        <v>Find the Minimum and Maximum Number of Nodes Between Critical Points</v>
      </c>
      <c r="D2059" s="7" t="s">
        <v>8</v>
      </c>
      <c r="E2059" s="8" t="s">
        <v>55</v>
      </c>
      <c r="F2059" s="9">
        <v>0.57</v>
      </c>
      <c r="G2059" s="10"/>
      <c r="H2059" s="10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ht="14.25" customHeight="1">
      <c r="A2060" s="4">
        <v>2059.0</v>
      </c>
      <c r="B2060" s="5"/>
      <c r="C2060" s="6" t="str">
        <f>HYPERLINK("https://leetcode.com/problems/minimum-operations-to-convert-number", "Minimum Operations to Convert Number")</f>
        <v>Minimum Operations to Convert Number</v>
      </c>
      <c r="D2060" s="7" t="s">
        <v>8</v>
      </c>
      <c r="E2060" s="8" t="s">
        <v>773</v>
      </c>
      <c r="F2060" s="9">
        <v>0.47</v>
      </c>
      <c r="G2060" s="10"/>
      <c r="H2060" s="10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ht="14.25" customHeight="1">
      <c r="A2061" s="4">
        <v>2060.0</v>
      </c>
      <c r="B2061" s="5"/>
      <c r="C2061" s="6" t="str">
        <f>HYPERLINK("https://leetcode.com/problems/check-if-an-original-string-exists-given-two-encoded-strings", "Check if an Original String Exists Given Two Encoded Strings")</f>
        <v>Check if an Original String Exists Given Two Encoded Strings</v>
      </c>
      <c r="D2061" s="7" t="s">
        <v>11</v>
      </c>
      <c r="E2061" s="8" t="s">
        <v>13</v>
      </c>
      <c r="F2061" s="9">
        <v>0.4</v>
      </c>
      <c r="G2061" s="10"/>
      <c r="H2061" s="10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ht="14.25" customHeight="1">
      <c r="A2062" s="11">
        <v>2061.0</v>
      </c>
      <c r="B2062" s="5"/>
      <c r="C2062" s="12" t="str">
        <f>HYPERLINK("https://leetcode.com/problems/number-of-spaces-cleaning-robot-cleaned", "Number of Spaces Cleaning Robot Cleaned")</f>
        <v>Number of Spaces Cleaning Robot Cleaned</v>
      </c>
      <c r="D2062" s="7" t="s">
        <v>8</v>
      </c>
      <c r="E2062" s="8" t="s">
        <v>43</v>
      </c>
      <c r="F2062" s="9">
        <v>0.54</v>
      </c>
      <c r="G2062" s="10"/>
      <c r="H2062" s="10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ht="14.25" customHeight="1">
      <c r="A2063" s="4">
        <v>2062.0</v>
      </c>
      <c r="B2063" s="5"/>
      <c r="C2063" s="6" t="str">
        <f>HYPERLINK("https://leetcode.com/problems/count-vowel-substrings-of-a-string", "Count Vowel Substrings of a String")</f>
        <v>Count Vowel Substrings of a String</v>
      </c>
      <c r="D2063" s="7" t="s">
        <v>6</v>
      </c>
      <c r="E2063" s="8" t="s">
        <v>110</v>
      </c>
      <c r="F2063" s="9">
        <v>0.65</v>
      </c>
      <c r="G2063" s="10"/>
      <c r="H2063" s="10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ht="14.25" customHeight="1">
      <c r="A2064" s="4">
        <v>2063.0</v>
      </c>
      <c r="B2064" s="5"/>
      <c r="C2064" s="6" t="str">
        <f>HYPERLINK("https://leetcode.com/problems/vowels-of-all-substrings", "Vowels of All Substrings")</f>
        <v>Vowels of All Substrings</v>
      </c>
      <c r="D2064" s="7" t="s">
        <v>8</v>
      </c>
      <c r="E2064" s="8" t="s">
        <v>774</v>
      </c>
      <c r="F2064" s="9">
        <v>0.54</v>
      </c>
      <c r="G2064" s="10"/>
      <c r="H2064" s="10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ht="14.25" customHeight="1">
      <c r="A2065" s="4">
        <v>2064.0</v>
      </c>
      <c r="B2065" s="5"/>
      <c r="C2065" s="6" t="str">
        <f>HYPERLINK("https://leetcode.com/problems/minimized-maximum-of-products-distributed-to-any-store", "Minimized Maximum of Products Distributed to Any Store")</f>
        <v>Minimized Maximum of Products Distributed to Any Store</v>
      </c>
      <c r="D2065" s="7" t="s">
        <v>8</v>
      </c>
      <c r="E2065" s="8" t="s">
        <v>30</v>
      </c>
      <c r="F2065" s="9">
        <v>0.5</v>
      </c>
      <c r="G2065" s="10"/>
      <c r="H2065" s="10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ht="14.25" customHeight="1">
      <c r="A2066" s="4">
        <v>2065.0</v>
      </c>
      <c r="B2066" s="5"/>
      <c r="C2066" s="6" t="str">
        <f>HYPERLINK("https://leetcode.com/problems/maximum-path-quality-of-a-graph", "Maximum Path Quality of a Graph")</f>
        <v>Maximum Path Quality of a Graph</v>
      </c>
      <c r="D2066" s="7" t="s">
        <v>11</v>
      </c>
      <c r="E2066" s="8" t="s">
        <v>775</v>
      </c>
      <c r="F2066" s="9">
        <v>0.57</v>
      </c>
      <c r="G2066" s="10"/>
      <c r="H2066" s="10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ht="14.25" customHeight="1">
      <c r="A2067" s="11">
        <v>2066.0</v>
      </c>
      <c r="B2067" s="5"/>
      <c r="C2067" s="12" t="str">
        <f>HYPERLINK("https://leetcode.com/problems/account-balance", "Account Balance")</f>
        <v>Account Balance</v>
      </c>
      <c r="D2067" s="7" t="s">
        <v>8</v>
      </c>
      <c r="E2067" s="8" t="s">
        <v>101</v>
      </c>
      <c r="F2067" s="9">
        <v>0.85</v>
      </c>
      <c r="G2067" s="10"/>
      <c r="H2067" s="10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ht="14.25" customHeight="1">
      <c r="A2068" s="11">
        <v>2067.0</v>
      </c>
      <c r="B2068" s="5"/>
      <c r="C2068" s="12" t="str">
        <f>HYPERLINK("https://leetcode.com/problems/number-of-equal-count-substrings", "Number of Equal Count Substrings")</f>
        <v>Number of Equal Count Substrings</v>
      </c>
      <c r="D2068" s="7" t="s">
        <v>8</v>
      </c>
      <c r="E2068" s="8" t="s">
        <v>776</v>
      </c>
      <c r="F2068" s="9">
        <v>0.48</v>
      </c>
      <c r="G2068" s="10"/>
      <c r="H2068" s="10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ht="14.25" customHeight="1">
      <c r="A2069" s="4">
        <v>2068.0</v>
      </c>
      <c r="B2069" s="5"/>
      <c r="C2069" s="6" t="str">
        <f>HYPERLINK("https://leetcode.com/problems/check-whether-two-strings-are-almost-equivalent", "Check Whether Two Strings are Almost Equivalent")</f>
        <v>Check Whether Two Strings are Almost Equivalent</v>
      </c>
      <c r="D2069" s="7" t="s">
        <v>6</v>
      </c>
      <c r="E2069" s="8" t="s">
        <v>172</v>
      </c>
      <c r="F2069" s="9">
        <v>0.64</v>
      </c>
      <c r="G2069" s="10"/>
      <c r="H2069" s="10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ht="14.25" customHeight="1">
      <c r="A2070" s="4">
        <v>2069.0</v>
      </c>
      <c r="B2070" s="5"/>
      <c r="C2070" s="6" t="str">
        <f>HYPERLINK("https://leetcode.com/problems/walking-robot-simulation-ii", "Walking Robot Simulation II")</f>
        <v>Walking Robot Simulation II</v>
      </c>
      <c r="D2070" s="7" t="s">
        <v>8</v>
      </c>
      <c r="E2070" s="8" t="s">
        <v>777</v>
      </c>
      <c r="F2070" s="9">
        <v>0.23</v>
      </c>
      <c r="G2070" s="10"/>
      <c r="H2070" s="10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ht="14.25" customHeight="1">
      <c r="A2071" s="4">
        <v>2070.0</v>
      </c>
      <c r="B2071" s="5"/>
      <c r="C2071" s="6" t="str">
        <f>HYPERLINK("https://leetcode.com/problems/most-beautiful-item-for-each-query", "Most Beautiful Item for Each Query")</f>
        <v>Most Beautiful Item for Each Query</v>
      </c>
      <c r="D2071" s="7" t="s">
        <v>8</v>
      </c>
      <c r="E2071" s="8" t="s">
        <v>260</v>
      </c>
      <c r="F2071" s="9">
        <v>0.49</v>
      </c>
      <c r="G2071" s="10"/>
      <c r="H2071" s="10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ht="14.25" customHeight="1">
      <c r="A2072" s="4">
        <v>2071.0</v>
      </c>
      <c r="B2072" s="5"/>
      <c r="C2072" s="6" t="str">
        <f>HYPERLINK("https://leetcode.com/problems/maximum-number-of-tasks-you-can-assign", "Maximum Number of Tasks You Can Assign")</f>
        <v>Maximum Number of Tasks You Can Assign</v>
      </c>
      <c r="D2072" s="7" t="s">
        <v>11</v>
      </c>
      <c r="E2072" s="8" t="s">
        <v>778</v>
      </c>
      <c r="F2072" s="9">
        <v>0.34</v>
      </c>
      <c r="G2072" s="10"/>
      <c r="H2072" s="10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ht="14.25" customHeight="1">
      <c r="A2073" s="11">
        <v>2072.0</v>
      </c>
      <c r="B2073" s="5"/>
      <c r="C2073" s="12" t="str">
        <f>HYPERLINK("https://leetcode.com/problems/the-winner-university", "The Winner University")</f>
        <v>The Winner University</v>
      </c>
      <c r="D2073" s="7" t="s">
        <v>6</v>
      </c>
      <c r="E2073" s="8" t="s">
        <v>101</v>
      </c>
      <c r="F2073" s="9">
        <v>0.72</v>
      </c>
      <c r="G2073" s="10"/>
      <c r="H2073" s="10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ht="14.25" customHeight="1">
      <c r="A2074" s="4">
        <v>2073.0</v>
      </c>
      <c r="B2074" s="5"/>
      <c r="C2074" s="6" t="str">
        <f>HYPERLINK("https://leetcode.com/problems/time-needed-to-buy-tickets", "Time Needed to Buy Tickets")</f>
        <v>Time Needed to Buy Tickets</v>
      </c>
      <c r="D2074" s="7" t="s">
        <v>6</v>
      </c>
      <c r="E2074" s="8" t="s">
        <v>779</v>
      </c>
      <c r="F2074" s="9">
        <v>0.62</v>
      </c>
      <c r="G2074" s="10"/>
      <c r="H2074" s="10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ht="14.25" customHeight="1">
      <c r="A2075" s="4">
        <v>2074.0</v>
      </c>
      <c r="B2075" s="5"/>
      <c r="C2075" s="6" t="str">
        <f>HYPERLINK("https://leetcode.com/problems/reverse-nodes-in-even-length-groups", "Reverse Nodes in Even Length Groups")</f>
        <v>Reverse Nodes in Even Length Groups</v>
      </c>
      <c r="D2075" s="7" t="s">
        <v>8</v>
      </c>
      <c r="E2075" s="8" t="s">
        <v>55</v>
      </c>
      <c r="F2075" s="9">
        <v>0.52</v>
      </c>
      <c r="G2075" s="10"/>
      <c r="H2075" s="10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ht="14.25" customHeight="1">
      <c r="A2076" s="4">
        <v>2075.0</v>
      </c>
      <c r="B2076" s="5"/>
      <c r="C2076" s="6" t="str">
        <f>HYPERLINK("https://leetcode.com/problems/decode-the-slanted-ciphertext", "Decode the Slanted Ciphertext")</f>
        <v>Decode the Slanted Ciphertext</v>
      </c>
      <c r="D2076" s="7" t="s">
        <v>8</v>
      </c>
      <c r="E2076" s="8" t="s">
        <v>340</v>
      </c>
      <c r="F2076" s="9">
        <v>0.5</v>
      </c>
      <c r="G2076" s="10"/>
      <c r="H2076" s="10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ht="14.25" customHeight="1">
      <c r="A2077" s="4">
        <v>2076.0</v>
      </c>
      <c r="B2077" s="5"/>
      <c r="C2077" s="6" t="str">
        <f>HYPERLINK("https://leetcode.com/problems/process-restricted-friend-requests", "Process Restricted Friend Requests")</f>
        <v>Process Restricted Friend Requests</v>
      </c>
      <c r="D2077" s="7" t="s">
        <v>11</v>
      </c>
      <c r="E2077" s="8" t="s">
        <v>636</v>
      </c>
      <c r="F2077" s="9">
        <v>0.53</v>
      </c>
      <c r="G2077" s="10"/>
      <c r="H2077" s="10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ht="14.25" customHeight="1">
      <c r="A2078" s="11">
        <v>2077.0</v>
      </c>
      <c r="B2078" s="5"/>
      <c r="C2078" s="12" t="str">
        <f>HYPERLINK("https://leetcode.com/problems/paths-in-maze-that-lead-to-same-room", "Paths in Maze That Lead to Same Room")</f>
        <v>Paths in Maze That Lead to Same Room</v>
      </c>
      <c r="D2078" s="7" t="s">
        <v>8</v>
      </c>
      <c r="E2078" s="8" t="s">
        <v>626</v>
      </c>
      <c r="F2078" s="9">
        <v>0.55</v>
      </c>
      <c r="G2078" s="10"/>
      <c r="H2078" s="10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ht="14.25" customHeight="1">
      <c r="A2079" s="4">
        <v>2078.0</v>
      </c>
      <c r="B2079" s="5"/>
      <c r="C2079" s="6" t="str">
        <f>HYPERLINK("https://leetcode.com/problems/two-furthest-houses-with-different-colors", "Two Furthest Houses With Different Colors")</f>
        <v>Two Furthest Houses With Different Colors</v>
      </c>
      <c r="D2079" s="7" t="s">
        <v>6</v>
      </c>
      <c r="E2079" s="8" t="s">
        <v>81</v>
      </c>
      <c r="F2079" s="9">
        <v>0.67</v>
      </c>
      <c r="G2079" s="10"/>
      <c r="H2079" s="10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ht="14.25" customHeight="1">
      <c r="A2080" s="4">
        <v>2079.0</v>
      </c>
      <c r="B2080" s="5"/>
      <c r="C2080" s="6" t="str">
        <f>HYPERLINK("https://leetcode.com/problems/watering-plants", "Watering Plants")</f>
        <v>Watering Plants</v>
      </c>
      <c r="D2080" s="7" t="s">
        <v>8</v>
      </c>
      <c r="E2080" s="8" t="s">
        <v>45</v>
      </c>
      <c r="F2080" s="9">
        <v>0.79</v>
      </c>
      <c r="G2080" s="10"/>
      <c r="H2080" s="10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ht="14.25" customHeight="1">
      <c r="A2081" s="4">
        <v>2080.0</v>
      </c>
      <c r="B2081" s="5"/>
      <c r="C2081" s="6" t="str">
        <f>HYPERLINK("https://leetcode.com/problems/range-frequency-queries", "Range Frequency Queries")</f>
        <v>Range Frequency Queries</v>
      </c>
      <c r="D2081" s="7" t="s">
        <v>8</v>
      </c>
      <c r="E2081" s="8" t="s">
        <v>780</v>
      </c>
      <c r="F2081" s="9">
        <v>0.38</v>
      </c>
      <c r="G2081" s="10"/>
      <c r="H2081" s="10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ht="14.25" customHeight="1">
      <c r="A2082" s="4">
        <v>2081.0</v>
      </c>
      <c r="B2082" s="5"/>
      <c r="C2082" s="6" t="str">
        <f>HYPERLINK("https://leetcode.com/problems/sum-of-k-mirror-numbers", "Sum of k-Mirror Numbers")</f>
        <v>Sum of k-Mirror Numbers</v>
      </c>
      <c r="D2082" s="7" t="s">
        <v>11</v>
      </c>
      <c r="E2082" s="8" t="s">
        <v>404</v>
      </c>
      <c r="F2082" s="9">
        <v>0.42</v>
      </c>
      <c r="G2082" s="10"/>
      <c r="H2082" s="10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ht="14.25" customHeight="1">
      <c r="A2083" s="11">
        <v>2082.0</v>
      </c>
      <c r="B2083" s="5"/>
      <c r="C2083" s="12" t="str">
        <f>HYPERLINK("https://leetcode.com/problems/the-number-of-rich-customers", "The Number of Rich Customers")</f>
        <v>The Number of Rich Customers</v>
      </c>
      <c r="D2083" s="7" t="s">
        <v>6</v>
      </c>
      <c r="E2083" s="8" t="s">
        <v>101</v>
      </c>
      <c r="F2083" s="9">
        <v>0.8</v>
      </c>
      <c r="G2083" s="10"/>
      <c r="H2083" s="10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ht="14.25" customHeight="1">
      <c r="A2084" s="11">
        <v>2083.0</v>
      </c>
      <c r="B2084" s="5"/>
      <c r="C2084" s="12" t="str">
        <f>HYPERLINK("https://leetcode.com/problems/substrings-that-begin-and-end-with-the-same-letter", "Substrings That Begin and End With the Same Letter")</f>
        <v>Substrings That Begin and End With the Same Letter</v>
      </c>
      <c r="D2084" s="7" t="s">
        <v>8</v>
      </c>
      <c r="E2084" s="8" t="s">
        <v>781</v>
      </c>
      <c r="F2084" s="9">
        <v>0.68</v>
      </c>
      <c r="G2084" s="10"/>
      <c r="H2084" s="10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ht="14.25" customHeight="1">
      <c r="A2085" s="11">
        <v>2084.0</v>
      </c>
      <c r="B2085" s="5"/>
      <c r="C2085" s="12" t="str">
        <f>HYPERLINK("https://leetcode.com/problems/drop-type-1-orders-for-customers-with-type-0-orders", "Drop Type 1 Orders for Customers With Type 0 Orders")</f>
        <v>Drop Type 1 Orders for Customers With Type 0 Orders</v>
      </c>
      <c r="D2085" s="7" t="s">
        <v>8</v>
      </c>
      <c r="E2085" s="8" t="s">
        <v>101</v>
      </c>
      <c r="F2085" s="9">
        <v>0.9</v>
      </c>
      <c r="G2085" s="10"/>
      <c r="H2085" s="10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ht="14.25" customHeight="1">
      <c r="A2086" s="4">
        <v>2085.0</v>
      </c>
      <c r="B2086" s="5"/>
      <c r="C2086" s="6" t="str">
        <f>HYPERLINK("https://leetcode.com/problems/count-common-words-with-one-occurrence", "Count Common Words With One Occurrence")</f>
        <v>Count Common Words With One Occurrence</v>
      </c>
      <c r="D2086" s="7" t="s">
        <v>6</v>
      </c>
      <c r="E2086" s="8" t="s">
        <v>399</v>
      </c>
      <c r="F2086" s="9">
        <v>0.69</v>
      </c>
      <c r="G2086" s="10"/>
      <c r="H2086" s="10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ht="14.25" customHeight="1">
      <c r="A2087" s="4">
        <v>2086.0</v>
      </c>
      <c r="B2087" s="5"/>
      <c r="C2087" s="6" t="str">
        <f>HYPERLINK("https://leetcode.com/problems/minimum-number-of-food-buckets-to-feed-the-hamsters", "Minimum Number of Food Buckets to Feed the Hamsters")</f>
        <v>Minimum Number of Food Buckets to Feed the Hamsters</v>
      </c>
      <c r="D2087" s="7" t="s">
        <v>8</v>
      </c>
      <c r="E2087" s="8" t="s">
        <v>484</v>
      </c>
      <c r="F2087" s="9">
        <v>0.45</v>
      </c>
      <c r="G2087" s="10"/>
      <c r="H2087" s="10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ht="14.25" customHeight="1">
      <c r="A2088" s="4">
        <v>2087.0</v>
      </c>
      <c r="B2088" s="5"/>
      <c r="C2088" s="6" t="str">
        <f>HYPERLINK("https://leetcode.com/problems/minimum-cost-homecoming-of-a-robot-in-a-grid", "Minimum Cost Homecoming of a Robot in a Grid")</f>
        <v>Minimum Cost Homecoming of a Robot in a Grid</v>
      </c>
      <c r="D2088" s="7" t="s">
        <v>8</v>
      </c>
      <c r="E2088" s="8" t="s">
        <v>395</v>
      </c>
      <c r="F2088" s="9">
        <v>0.51</v>
      </c>
      <c r="G2088" s="10"/>
      <c r="H2088" s="10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ht="14.25" customHeight="1">
      <c r="A2089" s="4">
        <v>2088.0</v>
      </c>
      <c r="B2089" s="5"/>
      <c r="C2089" s="6" t="str">
        <f>HYPERLINK("https://leetcode.com/problems/count-fertile-pyramids-in-a-land", "Count Fertile Pyramids in a Land")</f>
        <v>Count Fertile Pyramids in a Land</v>
      </c>
      <c r="D2089" s="7" t="s">
        <v>11</v>
      </c>
      <c r="E2089" s="8" t="s">
        <v>47</v>
      </c>
      <c r="F2089" s="9">
        <v>0.63</v>
      </c>
      <c r="G2089" s="10"/>
      <c r="H2089" s="10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ht="14.25" customHeight="1">
      <c r="A2090" s="4">
        <v>2089.0</v>
      </c>
      <c r="B2090" s="5"/>
      <c r="C2090" s="6" t="str">
        <f>HYPERLINK("https://leetcode.com/problems/find-target-indices-after-sorting-array", "Find Target Indices After Sorting Array")</f>
        <v>Find Target Indices After Sorting Array</v>
      </c>
      <c r="D2090" s="7" t="s">
        <v>6</v>
      </c>
      <c r="E2090" s="8" t="s">
        <v>260</v>
      </c>
      <c r="F2090" s="9">
        <v>0.76</v>
      </c>
      <c r="G2090" s="10"/>
      <c r="H2090" s="10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ht="14.25" customHeight="1">
      <c r="A2091" s="4">
        <v>2090.0</v>
      </c>
      <c r="B2091" s="5"/>
      <c r="C2091" s="6" t="str">
        <f>HYPERLINK("https://leetcode.com/problems/k-radius-subarray-averages", "K Radius Subarray Averages")</f>
        <v>K Radius Subarray Averages</v>
      </c>
      <c r="D2091" s="7" t="s">
        <v>8</v>
      </c>
      <c r="E2091" s="8" t="s">
        <v>334</v>
      </c>
      <c r="F2091" s="9">
        <v>0.42</v>
      </c>
      <c r="G2091" s="10"/>
      <c r="H2091" s="10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ht="14.25" customHeight="1">
      <c r="A2092" s="4">
        <v>2091.0</v>
      </c>
      <c r="B2092" s="5"/>
      <c r="C2092" s="6" t="str">
        <f>HYPERLINK("https://leetcode.com/problems/removing-minimum-and-maximum-from-array", "Removing Minimum and Maximum From Array")</f>
        <v>Removing Minimum and Maximum From Array</v>
      </c>
      <c r="D2092" s="7" t="s">
        <v>8</v>
      </c>
      <c r="E2092" s="8" t="s">
        <v>81</v>
      </c>
      <c r="F2092" s="9">
        <v>0.56</v>
      </c>
      <c r="G2092" s="10"/>
      <c r="H2092" s="10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ht="14.25" customHeight="1">
      <c r="A2093" s="4">
        <v>2092.0</v>
      </c>
      <c r="B2093" s="5"/>
      <c r="C2093" s="6" t="str">
        <f>HYPERLINK("https://leetcode.com/problems/find-all-people-with-secret", "Find All People With Secret")</f>
        <v>Find All People With Secret</v>
      </c>
      <c r="D2093" s="7" t="s">
        <v>11</v>
      </c>
      <c r="E2093" s="8" t="s">
        <v>782</v>
      </c>
      <c r="F2093" s="9">
        <v>0.34</v>
      </c>
      <c r="G2093" s="10"/>
      <c r="H2093" s="10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ht="14.25" customHeight="1">
      <c r="A2094" s="11">
        <v>2093.0</v>
      </c>
      <c r="B2094" s="5"/>
      <c r="C2094" s="12" t="str">
        <f>HYPERLINK("https://leetcode.com/problems/minimum-cost-to-reach-city-with-discounts", "Minimum Cost to Reach City With Discounts")</f>
        <v>Minimum Cost to Reach City With Discounts</v>
      </c>
      <c r="D2094" s="7" t="s">
        <v>8</v>
      </c>
      <c r="E2094" s="8" t="s">
        <v>783</v>
      </c>
      <c r="F2094" s="9">
        <v>0.56</v>
      </c>
      <c r="G2094" s="10"/>
      <c r="H2094" s="10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ht="14.25" customHeight="1">
      <c r="A2095" s="4">
        <v>2094.0</v>
      </c>
      <c r="B2095" s="5"/>
      <c r="C2095" s="6" t="str">
        <f>HYPERLINK("https://leetcode.com/problems/finding-3-digit-even-numbers", "Finding 3-Digit Even Numbers")</f>
        <v>Finding 3-Digit Even Numbers</v>
      </c>
      <c r="D2095" s="7" t="s">
        <v>6</v>
      </c>
      <c r="E2095" s="8" t="s">
        <v>784</v>
      </c>
      <c r="F2095" s="9">
        <v>0.57</v>
      </c>
      <c r="G2095" s="10"/>
      <c r="H2095" s="10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ht="14.25" customHeight="1">
      <c r="A2096" s="4">
        <v>2095.0</v>
      </c>
      <c r="B2096" s="5"/>
      <c r="C2096" s="6" t="str">
        <f>HYPERLINK("https://leetcode.com/problems/delete-the-middle-node-of-a-linked-list", "Delete the Middle Node of a Linked List")</f>
        <v>Delete the Middle Node of a Linked List</v>
      </c>
      <c r="D2096" s="7" t="s">
        <v>8</v>
      </c>
      <c r="E2096" s="8" t="s">
        <v>21</v>
      </c>
      <c r="F2096" s="9">
        <v>0.6</v>
      </c>
      <c r="G2096" s="10"/>
      <c r="H2096" s="10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ht="14.25" customHeight="1">
      <c r="A2097" s="4">
        <v>2096.0</v>
      </c>
      <c r="B2097" s="5"/>
      <c r="C2097" s="6" t="str">
        <f>HYPERLINK("https://leetcode.com/problems/step-by-step-directions-from-a-binary-tree-node-to-another", "Step-By-Step Directions From a Binary Tree Node to Another")</f>
        <v>Step-By-Step Directions From a Binary Tree Node to Another</v>
      </c>
      <c r="D2097" s="7" t="s">
        <v>8</v>
      </c>
      <c r="E2097" s="8" t="s">
        <v>304</v>
      </c>
      <c r="F2097" s="9">
        <v>0.48</v>
      </c>
      <c r="G2097" s="10"/>
      <c r="H2097" s="10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ht="14.25" customHeight="1">
      <c r="A2098" s="4">
        <v>2097.0</v>
      </c>
      <c r="B2098" s="5"/>
      <c r="C2098" s="6" t="str">
        <f>HYPERLINK("https://leetcode.com/problems/valid-arrangement-of-pairs", "Valid Arrangement of Pairs")</f>
        <v>Valid Arrangement of Pairs</v>
      </c>
      <c r="D2098" s="7" t="s">
        <v>11</v>
      </c>
      <c r="E2098" s="8" t="s">
        <v>194</v>
      </c>
      <c r="F2098" s="9">
        <v>0.41</v>
      </c>
      <c r="G2098" s="10"/>
      <c r="H2098" s="10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ht="14.25" customHeight="1">
      <c r="A2099" s="11">
        <v>2098.0</v>
      </c>
      <c r="B2099" s="5"/>
      <c r="C2099" s="12" t="str">
        <f>HYPERLINK("https://leetcode.com/problems/subsequence-of-size-k-with-the-largest-even-sum", "Subsequence of Size K With the Largest Even Sum")</f>
        <v>Subsequence of Size K With the Largest Even Sum</v>
      </c>
      <c r="D2099" s="7" t="s">
        <v>8</v>
      </c>
      <c r="E2099" s="8" t="s">
        <v>160</v>
      </c>
      <c r="F2099" s="9">
        <v>0.38</v>
      </c>
      <c r="G2099" s="10"/>
      <c r="H2099" s="10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ht="14.25" customHeight="1">
      <c r="A2100" s="4">
        <v>2099.0</v>
      </c>
      <c r="B2100" s="5"/>
      <c r="C2100" s="6" t="str">
        <f>HYPERLINK("https://leetcode.com/problems/find-subsequence-of-length-k-with-the-largest-sum", "Find Subsequence of Length K With the Largest Sum")</f>
        <v>Find Subsequence of Length K With the Largest Sum</v>
      </c>
      <c r="D2100" s="7" t="s">
        <v>6</v>
      </c>
      <c r="E2100" s="8" t="s">
        <v>785</v>
      </c>
      <c r="F2100" s="9">
        <v>0.42</v>
      </c>
      <c r="G2100" s="10"/>
      <c r="H2100" s="10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ht="14.25" customHeight="1">
      <c r="A2101" s="4">
        <v>2100.0</v>
      </c>
      <c r="B2101" s="5"/>
      <c r="C2101" s="6" t="str">
        <f>HYPERLINK("https://leetcode.com/problems/find-good-days-to-rob-the-bank", "Find Good Days to Rob the Bank")</f>
        <v>Find Good Days to Rob the Bank</v>
      </c>
      <c r="D2101" s="7" t="s">
        <v>8</v>
      </c>
      <c r="E2101" s="8" t="s">
        <v>400</v>
      </c>
      <c r="F2101" s="9">
        <v>0.49</v>
      </c>
      <c r="G2101" s="10"/>
      <c r="H2101" s="10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ht="14.25" customHeight="1">
      <c r="A2102" s="4">
        <v>2101.0</v>
      </c>
      <c r="B2102" s="5"/>
      <c r="C2102" s="6" t="str">
        <f>HYPERLINK("https://leetcode.com/problems/detonate-the-maximum-bombs", "Detonate the Maximum Bombs")</f>
        <v>Detonate the Maximum Bombs</v>
      </c>
      <c r="D2102" s="7" t="s">
        <v>8</v>
      </c>
      <c r="E2102" s="8" t="s">
        <v>786</v>
      </c>
      <c r="F2102" s="9">
        <v>0.41</v>
      </c>
      <c r="G2102" s="10"/>
      <c r="H2102" s="10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ht="14.25" customHeight="1">
      <c r="A2103" s="4">
        <v>2102.0</v>
      </c>
      <c r="B2103" s="5"/>
      <c r="C2103" s="6" t="str">
        <f>HYPERLINK("https://leetcode.com/problems/sequentially-ordinal-rank-tracker", "Sequentially Ordinal Rank Tracker")</f>
        <v>Sequentially Ordinal Rank Tracker</v>
      </c>
      <c r="D2103" s="7" t="s">
        <v>11</v>
      </c>
      <c r="E2103" s="8" t="s">
        <v>787</v>
      </c>
      <c r="F2103" s="9">
        <v>0.66</v>
      </c>
      <c r="G2103" s="10"/>
      <c r="H2103" s="10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ht="14.25" customHeight="1">
      <c r="A2104" s="4">
        <v>2103.0</v>
      </c>
      <c r="B2104" s="5"/>
      <c r="C2104" s="6" t="str">
        <f>HYPERLINK("https://leetcode.com/problems/rings-and-rods", "Rings and Rods")</f>
        <v>Rings and Rods</v>
      </c>
      <c r="D2104" s="7" t="s">
        <v>6</v>
      </c>
      <c r="E2104" s="8" t="s">
        <v>110</v>
      </c>
      <c r="F2104" s="9">
        <v>0.81</v>
      </c>
      <c r="G2104" s="10"/>
      <c r="H2104" s="10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ht="14.25" customHeight="1">
      <c r="A2105" s="4">
        <v>2104.0</v>
      </c>
      <c r="B2105" s="5"/>
      <c r="C2105" s="6" t="str">
        <f>HYPERLINK("https://leetcode.com/problems/sum-of-subarray-ranges", "Sum of Subarray Ranges")</f>
        <v>Sum of Subarray Ranges</v>
      </c>
      <c r="D2105" s="7" t="s">
        <v>8</v>
      </c>
      <c r="E2105" s="8" t="s">
        <v>56</v>
      </c>
      <c r="F2105" s="9">
        <v>0.6</v>
      </c>
      <c r="G2105" s="10"/>
      <c r="H2105" s="10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ht="14.25" customHeight="1">
      <c r="A2106" s="4">
        <v>2105.0</v>
      </c>
      <c r="B2106" s="5"/>
      <c r="C2106" s="6" t="str">
        <f>HYPERLINK("https://leetcode.com/problems/watering-plants-ii", "Watering Plants II")</f>
        <v>Watering Plants II</v>
      </c>
      <c r="D2106" s="7" t="s">
        <v>8</v>
      </c>
      <c r="E2106" s="8" t="s">
        <v>788</v>
      </c>
      <c r="F2106" s="9">
        <v>0.5</v>
      </c>
      <c r="G2106" s="10"/>
      <c r="H2106" s="10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ht="14.25" customHeight="1">
      <c r="A2107" s="4">
        <v>2106.0</v>
      </c>
      <c r="B2107" s="5"/>
      <c r="C2107" s="6" t="str">
        <f>HYPERLINK("https://leetcode.com/problems/maximum-fruits-harvested-after-at-most-k-steps", "Maximum Fruits Harvested After at Most K Steps")</f>
        <v>Maximum Fruits Harvested After at Most K Steps</v>
      </c>
      <c r="D2107" s="7" t="s">
        <v>11</v>
      </c>
      <c r="E2107" s="8" t="s">
        <v>113</v>
      </c>
      <c r="F2107" s="9">
        <v>0.35</v>
      </c>
      <c r="G2107" s="10"/>
      <c r="H2107" s="10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ht="14.25" customHeight="1">
      <c r="A2108" s="11">
        <v>2107.0</v>
      </c>
      <c r="B2108" s="5"/>
      <c r="C2108" s="12" t="str">
        <f>HYPERLINK("https://leetcode.com/problems/number-of-unique-flavors-after-sharing-k-candies", "Number of Unique Flavors After Sharing K Candies")</f>
        <v>Number of Unique Flavors After Sharing K Candies</v>
      </c>
      <c r="D2108" s="7" t="s">
        <v>8</v>
      </c>
      <c r="E2108" s="8" t="s">
        <v>120</v>
      </c>
      <c r="F2108" s="9">
        <v>0.56</v>
      </c>
      <c r="G2108" s="10"/>
      <c r="H2108" s="10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ht="14.25" customHeight="1">
      <c r="A2109" s="4">
        <v>2108.0</v>
      </c>
      <c r="B2109" s="5"/>
      <c r="C2109" s="6" t="str">
        <f>HYPERLINK("https://leetcode.com/problems/find-first-palindromic-string-in-the-array", "Find First Palindromic String in the Array")</f>
        <v>Find First Palindromic String in the Array</v>
      </c>
      <c r="D2109" s="7" t="s">
        <v>6</v>
      </c>
      <c r="E2109" s="8" t="s">
        <v>397</v>
      </c>
      <c r="F2109" s="9">
        <v>0.78</v>
      </c>
      <c r="G2109" s="10"/>
      <c r="H2109" s="10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ht="14.25" customHeight="1">
      <c r="A2110" s="4">
        <v>2109.0</v>
      </c>
      <c r="B2110" s="5"/>
      <c r="C2110" s="6" t="str">
        <f>HYPERLINK("https://leetcode.com/problems/adding-spaces-to-a-string", "Adding Spaces to a String")</f>
        <v>Adding Spaces to a String</v>
      </c>
      <c r="D2110" s="7" t="s">
        <v>8</v>
      </c>
      <c r="E2110" s="8" t="s">
        <v>50</v>
      </c>
      <c r="F2110" s="9">
        <v>0.56</v>
      </c>
      <c r="G2110" s="10"/>
      <c r="H2110" s="10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ht="14.25" customHeight="1">
      <c r="A2111" s="4">
        <v>2110.0</v>
      </c>
      <c r="B2111" s="5"/>
      <c r="C2111" s="6" t="str">
        <f>HYPERLINK("https://leetcode.com/problems/number-of-smooth-descent-periods-of-a-stock", "Number of Smooth Descent Periods of a Stock")</f>
        <v>Number of Smooth Descent Periods of a Stock</v>
      </c>
      <c r="D2111" s="7" t="s">
        <v>8</v>
      </c>
      <c r="E2111" s="8" t="s">
        <v>181</v>
      </c>
      <c r="F2111" s="9">
        <v>0.57</v>
      </c>
      <c r="G2111" s="10"/>
      <c r="H2111" s="10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ht="14.25" customHeight="1">
      <c r="A2112" s="4">
        <v>2111.0</v>
      </c>
      <c r="B2112" s="5"/>
      <c r="C2112" s="6" t="str">
        <f>HYPERLINK("https://leetcode.com/problems/minimum-operations-to-make-the-array-k-increasing", "Minimum Operations to Make the Array K-Increasing")</f>
        <v>Minimum Operations to Make the Array K-Increasing</v>
      </c>
      <c r="D2112" s="7" t="s">
        <v>11</v>
      </c>
      <c r="E2112" s="8" t="s">
        <v>30</v>
      </c>
      <c r="F2112" s="9">
        <v>0.37</v>
      </c>
      <c r="G2112" s="10"/>
      <c r="H2112" s="10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ht="14.25" customHeight="1">
      <c r="A2113" s="11">
        <v>2112.0</v>
      </c>
      <c r="B2113" s="5"/>
      <c r="C2113" s="12" t="str">
        <f>HYPERLINK("https://leetcode.com/problems/the-airport-with-the-most-traffic", "The Airport With the Most Traffic")</f>
        <v>The Airport With the Most Traffic</v>
      </c>
      <c r="D2113" s="7" t="s">
        <v>8</v>
      </c>
      <c r="E2113" s="8" t="s">
        <v>101</v>
      </c>
      <c r="F2113" s="9">
        <v>0.71</v>
      </c>
      <c r="G2113" s="10"/>
      <c r="H2113" s="10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ht="14.25" customHeight="1">
      <c r="A2114" s="11">
        <v>2113.0</v>
      </c>
      <c r="B2114" s="5"/>
      <c r="C2114" s="12" t="str">
        <f>HYPERLINK("https://leetcode.com/problems/elements-in-array-after-removing-and-replacing-elements", "Elements in Array After Removing and Replacing Elements")</f>
        <v>Elements in Array After Removing and Replacing Elements</v>
      </c>
      <c r="D2114" s="7" t="s">
        <v>8</v>
      </c>
      <c r="E2114" s="8" t="s">
        <v>45</v>
      </c>
      <c r="F2114" s="9">
        <v>0.72</v>
      </c>
      <c r="G2114" s="10"/>
      <c r="H2114" s="10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ht="14.25" customHeight="1">
      <c r="A2115" s="4">
        <v>2114.0</v>
      </c>
      <c r="B2115" s="5"/>
      <c r="C2115" s="6" t="str">
        <f>HYPERLINK("https://leetcode.com/problems/maximum-number-of-words-found-in-sentences", "Maximum Number of Words Found in Sentences")</f>
        <v>Maximum Number of Words Found in Sentences</v>
      </c>
      <c r="D2115" s="7" t="s">
        <v>6</v>
      </c>
      <c r="E2115" s="8" t="s">
        <v>135</v>
      </c>
      <c r="F2115" s="9">
        <v>0.87</v>
      </c>
      <c r="G2115" s="10"/>
      <c r="H2115" s="10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ht="14.25" customHeight="1">
      <c r="A2116" s="4">
        <v>2115.0</v>
      </c>
      <c r="B2116" s="5"/>
      <c r="C2116" s="6" t="str">
        <f>HYPERLINK("https://leetcode.com/problems/find-all-possible-recipes-from-given-supplies", "Find All Possible Recipes from Given Supplies")</f>
        <v>Find All Possible Recipes from Given Supplies</v>
      </c>
      <c r="D2116" s="7" t="s">
        <v>8</v>
      </c>
      <c r="E2116" s="8" t="s">
        <v>789</v>
      </c>
      <c r="F2116" s="9">
        <v>0.48</v>
      </c>
      <c r="G2116" s="10"/>
      <c r="H2116" s="10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ht="14.25" customHeight="1">
      <c r="A2117" s="4">
        <v>2116.0</v>
      </c>
      <c r="B2117" s="5"/>
      <c r="C2117" s="6" t="str">
        <f>HYPERLINK("https://leetcode.com/problems/check-if-a-parentheses-string-can-be-valid", "Check if a Parentheses String Can Be Valid")</f>
        <v>Check if a Parentheses String Can Be Valid</v>
      </c>
      <c r="D2117" s="7" t="s">
        <v>8</v>
      </c>
      <c r="E2117" s="8" t="s">
        <v>444</v>
      </c>
      <c r="F2117" s="9">
        <v>0.31</v>
      </c>
      <c r="G2117" s="10"/>
      <c r="H2117" s="10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ht="14.25" customHeight="1">
      <c r="A2118" s="4">
        <v>2117.0</v>
      </c>
      <c r="B2118" s="5"/>
      <c r="C2118" s="6" t="str">
        <f>HYPERLINK("https://leetcode.com/problems/abbreviating-the-product-of-a-range", "Abbreviating the Product of a Range")</f>
        <v>Abbreviating the Product of a Range</v>
      </c>
      <c r="D2118" s="7" t="s">
        <v>11</v>
      </c>
      <c r="E2118" s="8" t="s">
        <v>15</v>
      </c>
      <c r="F2118" s="9">
        <v>0.27</v>
      </c>
      <c r="G2118" s="10"/>
      <c r="H2118" s="10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ht="14.25" customHeight="1">
      <c r="A2119" s="11">
        <v>2118.0</v>
      </c>
      <c r="B2119" s="5"/>
      <c r="C2119" s="12" t="str">
        <f>HYPERLINK("https://leetcode.com/problems/build-the-equation", "Build the Equation")</f>
        <v>Build the Equation</v>
      </c>
      <c r="D2119" s="7" t="s">
        <v>11</v>
      </c>
      <c r="E2119" s="8" t="s">
        <v>101</v>
      </c>
      <c r="F2119" s="9">
        <v>0.57</v>
      </c>
      <c r="G2119" s="10"/>
      <c r="H2119" s="10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ht="14.25" customHeight="1">
      <c r="A2120" s="4">
        <v>2119.0</v>
      </c>
      <c r="B2120" s="5"/>
      <c r="C2120" s="6" t="str">
        <f>HYPERLINK("https://leetcode.com/problems/a-number-after-a-double-reversal", "A Number After a Double Reversal")</f>
        <v>A Number After a Double Reversal</v>
      </c>
      <c r="D2120" s="7" t="s">
        <v>6</v>
      </c>
      <c r="E2120" s="8" t="s">
        <v>15</v>
      </c>
      <c r="F2120" s="9">
        <v>0.75</v>
      </c>
      <c r="G2120" s="10"/>
      <c r="H2120" s="10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ht="14.25" customHeight="1">
      <c r="A2121" s="4">
        <v>2120.0</v>
      </c>
      <c r="B2121" s="5"/>
      <c r="C2121" s="6" t="str">
        <f>HYPERLINK("https://leetcode.com/problems/execution-of-all-suffix-instructions-staying-in-a-grid", "Execution of All Suffix Instructions Staying in a Grid")</f>
        <v>Execution of All Suffix Instructions Staying in a Grid</v>
      </c>
      <c r="D2121" s="7" t="s">
        <v>8</v>
      </c>
      <c r="E2121" s="8" t="s">
        <v>340</v>
      </c>
      <c r="F2121" s="9">
        <v>0.83</v>
      </c>
      <c r="G2121" s="10"/>
      <c r="H2121" s="10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ht="14.25" customHeight="1">
      <c r="A2122" s="4">
        <v>2121.0</v>
      </c>
      <c r="B2122" s="5"/>
      <c r="C2122" s="6" t="str">
        <f>HYPERLINK("https://leetcode.com/problems/intervals-between-identical-elements", "Intervals Between Identical Elements")</f>
        <v>Intervals Between Identical Elements</v>
      </c>
      <c r="D2122" s="7" t="s">
        <v>8</v>
      </c>
      <c r="E2122" s="8" t="s">
        <v>191</v>
      </c>
      <c r="F2122" s="9">
        <v>0.43</v>
      </c>
      <c r="G2122" s="10"/>
      <c r="H2122" s="10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ht="14.25" customHeight="1">
      <c r="A2123" s="4">
        <v>2122.0</v>
      </c>
      <c r="B2123" s="5"/>
      <c r="C2123" s="6" t="str">
        <f>HYPERLINK("https://leetcode.com/problems/recover-the-original-array", "Recover the Original Array")</f>
        <v>Recover the Original Array</v>
      </c>
      <c r="D2123" s="7" t="s">
        <v>11</v>
      </c>
      <c r="E2123" s="8" t="s">
        <v>784</v>
      </c>
      <c r="F2123" s="9">
        <v>0.38</v>
      </c>
      <c r="G2123" s="10"/>
      <c r="H2123" s="10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ht="14.25" customHeight="1">
      <c r="A2124" s="11">
        <v>2123.0</v>
      </c>
      <c r="B2124" s="5"/>
      <c r="C2124" s="12" t="str">
        <f>HYPERLINK("https://leetcode.com/problems/minimum-operations-to-remove-adjacent-ones-in-matrix", "Minimum Operations to Remove Adjacent Ones in Matrix")</f>
        <v>Minimum Operations to Remove Adjacent Ones in Matrix</v>
      </c>
      <c r="D2124" s="7" t="s">
        <v>11</v>
      </c>
      <c r="E2124" s="8" t="s">
        <v>790</v>
      </c>
      <c r="F2124" s="9">
        <v>0.41</v>
      </c>
      <c r="G2124" s="10"/>
      <c r="H2124" s="10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ht="14.25" customHeight="1">
      <c r="A2125" s="4">
        <v>2124.0</v>
      </c>
      <c r="B2125" s="5"/>
      <c r="C2125" s="6" t="str">
        <f>HYPERLINK("https://leetcode.com/problems/check-if-all-as-appears-before-all-bs", "Check if All A's Appears Before All B's")</f>
        <v>Check if All A's Appears Before All B's</v>
      </c>
      <c r="D2125" s="7" t="s">
        <v>6</v>
      </c>
      <c r="E2125" s="8" t="s">
        <v>14</v>
      </c>
      <c r="F2125" s="9">
        <v>0.71</v>
      </c>
      <c r="G2125" s="10"/>
      <c r="H2125" s="10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ht="14.25" customHeight="1">
      <c r="A2126" s="4">
        <v>2125.0</v>
      </c>
      <c r="B2126" s="5"/>
      <c r="C2126" s="6" t="str">
        <f>HYPERLINK("https://leetcode.com/problems/number-of-laser-beams-in-a-bank", "Number of Laser Beams in a Bank")</f>
        <v>Number of Laser Beams in a Bank</v>
      </c>
      <c r="D2126" s="7" t="s">
        <v>8</v>
      </c>
      <c r="E2126" s="8" t="s">
        <v>791</v>
      </c>
      <c r="F2126" s="9">
        <v>0.82</v>
      </c>
      <c r="G2126" s="10"/>
      <c r="H2126" s="10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ht="14.25" customHeight="1">
      <c r="A2127" s="4">
        <v>2126.0</v>
      </c>
      <c r="B2127" s="5"/>
      <c r="C2127" s="6" t="str">
        <f>HYPERLINK("https://leetcode.com/problems/destroying-asteroids", "Destroying Asteroids")</f>
        <v>Destroying Asteroids</v>
      </c>
      <c r="D2127" s="7" t="s">
        <v>8</v>
      </c>
      <c r="E2127" s="8" t="s">
        <v>160</v>
      </c>
      <c r="F2127" s="9">
        <v>0.49</v>
      </c>
      <c r="G2127" s="10"/>
      <c r="H2127" s="10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ht="14.25" customHeight="1">
      <c r="A2128" s="4">
        <v>2127.0</v>
      </c>
      <c r="B2128" s="5"/>
      <c r="C2128" s="6" t="str">
        <f>HYPERLINK("https://leetcode.com/problems/maximum-employees-to-be-invited-to-a-meeting", "Maximum Employees to Be Invited to a Meeting")</f>
        <v>Maximum Employees to Be Invited to a Meeting</v>
      </c>
      <c r="D2128" s="7" t="s">
        <v>11</v>
      </c>
      <c r="E2128" s="8" t="s">
        <v>792</v>
      </c>
      <c r="F2128" s="9">
        <v>0.34</v>
      </c>
      <c r="G2128" s="10"/>
      <c r="H2128" s="10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ht="14.25" customHeight="1">
      <c r="A2129" s="11">
        <v>2128.0</v>
      </c>
      <c r="B2129" s="5"/>
      <c r="C2129" s="12" t="str">
        <f>HYPERLINK("https://leetcode.com/problems/remove-all-ones-with-row-and-column-flips", "Remove All Ones With Row and Column Flips")</f>
        <v>Remove All Ones With Row and Column Flips</v>
      </c>
      <c r="D2129" s="7" t="s">
        <v>8</v>
      </c>
      <c r="E2129" s="8" t="s">
        <v>387</v>
      </c>
      <c r="F2129" s="9">
        <v>0.76</v>
      </c>
      <c r="G2129" s="10"/>
      <c r="H2129" s="10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ht="14.25" customHeight="1">
      <c r="A2130" s="4">
        <v>2129.0</v>
      </c>
      <c r="B2130" s="5"/>
      <c r="C2130" s="6" t="str">
        <f>HYPERLINK("https://leetcode.com/problems/capitalize-the-title", "Capitalize the Title")</f>
        <v>Capitalize the Title</v>
      </c>
      <c r="D2130" s="7" t="s">
        <v>6</v>
      </c>
      <c r="E2130" s="8" t="s">
        <v>14</v>
      </c>
      <c r="F2130" s="9">
        <v>0.6</v>
      </c>
      <c r="G2130" s="10"/>
      <c r="H2130" s="10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ht="14.25" customHeight="1">
      <c r="A2131" s="4">
        <v>2130.0</v>
      </c>
      <c r="B2131" s="5"/>
      <c r="C2131" s="6" t="str">
        <f>HYPERLINK("https://leetcode.com/problems/maximum-twin-sum-of-a-linked-list", "Maximum Twin Sum of a Linked List")</f>
        <v>Maximum Twin Sum of a Linked List</v>
      </c>
      <c r="D2131" s="7" t="s">
        <v>8</v>
      </c>
      <c r="E2131" s="8" t="s">
        <v>793</v>
      </c>
      <c r="F2131" s="9">
        <v>0.81</v>
      </c>
      <c r="G2131" s="10"/>
      <c r="H2131" s="10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ht="14.25" customHeight="1">
      <c r="A2132" s="4">
        <v>2131.0</v>
      </c>
      <c r="B2132" s="5"/>
      <c r="C2132" s="6" t="str">
        <f>HYPERLINK("https://leetcode.com/problems/longest-palindrome-by-concatenating-two-letter-words", "Longest Palindrome by Concatenating Two Letter Words")</f>
        <v>Longest Palindrome by Concatenating Two Letter Words</v>
      </c>
      <c r="D2132" s="7" t="s">
        <v>8</v>
      </c>
      <c r="E2132" s="8" t="s">
        <v>794</v>
      </c>
      <c r="F2132" s="9">
        <v>0.49</v>
      </c>
      <c r="G2132" s="10"/>
      <c r="H2132" s="10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ht="14.25" customHeight="1">
      <c r="A2133" s="4">
        <v>2132.0</v>
      </c>
      <c r="B2133" s="5"/>
      <c r="C2133" s="6" t="str">
        <f>HYPERLINK("https://leetcode.com/problems/stamping-the-grid", "Stamping the Grid")</f>
        <v>Stamping the Grid</v>
      </c>
      <c r="D2133" s="7" t="s">
        <v>11</v>
      </c>
      <c r="E2133" s="8" t="s">
        <v>795</v>
      </c>
      <c r="F2133" s="9">
        <v>0.31</v>
      </c>
      <c r="G2133" s="10"/>
      <c r="H2133" s="10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ht="14.25" customHeight="1">
      <c r="A2134" s="4">
        <v>2133.0</v>
      </c>
      <c r="B2134" s="5"/>
      <c r="C2134" s="6" t="str">
        <f>HYPERLINK("https://leetcode.com/problems/check-if-every-row-and-column-contains-all-numbers", "Check if Every Row and Column Contains All Numbers")</f>
        <v>Check if Every Row and Column Contains All Numbers</v>
      </c>
      <c r="D2134" s="7" t="s">
        <v>6</v>
      </c>
      <c r="E2134" s="8" t="s">
        <v>31</v>
      </c>
      <c r="F2134" s="9">
        <v>0.52</v>
      </c>
      <c r="G2134" s="10"/>
      <c r="H2134" s="10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ht="14.25" customHeight="1">
      <c r="A2135" s="4">
        <v>2134.0</v>
      </c>
      <c r="B2135" s="5"/>
      <c r="C2135" s="6" t="str">
        <f>HYPERLINK("https://leetcode.com/problems/minimum-swaps-to-group-all-1s-together-ii", "Minimum Swaps to Group All 1's Together II")</f>
        <v>Minimum Swaps to Group All 1's Together II</v>
      </c>
      <c r="D2135" s="7" t="s">
        <v>8</v>
      </c>
      <c r="E2135" s="8" t="s">
        <v>334</v>
      </c>
      <c r="F2135" s="9">
        <v>0.5</v>
      </c>
      <c r="G2135" s="10"/>
      <c r="H2135" s="10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ht="14.25" customHeight="1">
      <c r="A2136" s="4">
        <v>2135.0</v>
      </c>
      <c r="B2136" s="5"/>
      <c r="C2136" s="6" t="str">
        <f>HYPERLINK("https://leetcode.com/problems/count-words-obtained-after-adding-a-letter", "Count Words Obtained After Adding a Letter")</f>
        <v>Count Words Obtained After Adding a Letter</v>
      </c>
      <c r="D2136" s="7" t="s">
        <v>8</v>
      </c>
      <c r="E2136" s="8" t="s">
        <v>796</v>
      </c>
      <c r="F2136" s="9">
        <v>0.42</v>
      </c>
      <c r="G2136" s="10"/>
      <c r="H2136" s="10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ht="14.25" customHeight="1">
      <c r="A2137" s="4">
        <v>2136.0</v>
      </c>
      <c r="B2137" s="5"/>
      <c r="C2137" s="6" t="str">
        <f>HYPERLINK("https://leetcode.com/problems/earliest-possible-day-of-full-bloom", "Earliest Possible Day of Full Bloom")</f>
        <v>Earliest Possible Day of Full Bloom</v>
      </c>
      <c r="D2137" s="7" t="s">
        <v>11</v>
      </c>
      <c r="E2137" s="8" t="s">
        <v>160</v>
      </c>
      <c r="F2137" s="9">
        <v>0.74</v>
      </c>
      <c r="G2137" s="10"/>
      <c r="H2137" s="10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ht="14.25" customHeight="1">
      <c r="A2138" s="11">
        <v>2137.0</v>
      </c>
      <c r="B2138" s="5"/>
      <c r="C2138" s="12" t="str">
        <f>HYPERLINK("https://leetcode.com/problems/pour-water-between-buckets-to-make-water-levels-equal", "Pour Water Between Buckets to Make Water Levels Equal")</f>
        <v>Pour Water Between Buckets to Make Water Levels Equal</v>
      </c>
      <c r="D2138" s="7" t="s">
        <v>8</v>
      </c>
      <c r="E2138" s="8" t="s">
        <v>30</v>
      </c>
      <c r="F2138" s="9">
        <v>0.67</v>
      </c>
      <c r="G2138" s="10"/>
      <c r="H2138" s="10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ht="14.25" customHeight="1">
      <c r="A2139" s="4">
        <v>2138.0</v>
      </c>
      <c r="B2139" s="5"/>
      <c r="C2139" s="6" t="str">
        <f>HYPERLINK("https://leetcode.com/problems/divide-a-string-into-groups-of-size-k", "Divide a String Into Groups of Size k")</f>
        <v>Divide a String Into Groups of Size k</v>
      </c>
      <c r="D2139" s="7" t="s">
        <v>6</v>
      </c>
      <c r="E2139" s="8" t="s">
        <v>340</v>
      </c>
      <c r="F2139" s="9">
        <v>0.65</v>
      </c>
      <c r="G2139" s="10"/>
      <c r="H2139" s="10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ht="14.25" customHeight="1">
      <c r="A2140" s="4">
        <v>2139.0</v>
      </c>
      <c r="B2140" s="5"/>
      <c r="C2140" s="6" t="str">
        <f>HYPERLINK("https://leetcode.com/problems/minimum-moves-to-reach-target-score", "Minimum Moves to Reach Target Score")</f>
        <v>Minimum Moves to Reach Target Score</v>
      </c>
      <c r="D2140" s="7" t="s">
        <v>8</v>
      </c>
      <c r="E2140" s="8" t="s">
        <v>325</v>
      </c>
      <c r="F2140" s="9">
        <v>0.48</v>
      </c>
      <c r="G2140" s="10"/>
      <c r="H2140" s="10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ht="14.25" customHeight="1">
      <c r="A2141" s="4">
        <v>2140.0</v>
      </c>
      <c r="B2141" s="5"/>
      <c r="C2141" s="6" t="str">
        <f>HYPERLINK("https://leetcode.com/problems/solving-questions-with-brainpower", "Solving Questions With Brainpower")</f>
        <v>Solving Questions With Brainpower</v>
      </c>
      <c r="D2141" s="7" t="s">
        <v>8</v>
      </c>
      <c r="E2141" s="8" t="s">
        <v>73</v>
      </c>
      <c r="F2141" s="9">
        <v>0.46</v>
      </c>
      <c r="G2141" s="10"/>
      <c r="H2141" s="10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ht="14.25" customHeight="1">
      <c r="A2142" s="4">
        <v>2141.0</v>
      </c>
      <c r="B2142" s="5"/>
      <c r="C2142" s="6" t="str">
        <f>HYPERLINK("https://leetcode.com/problems/maximum-running-time-of-n-computers", "Maximum Running Time of N Computers")</f>
        <v>Maximum Running Time of N Computers</v>
      </c>
      <c r="D2142" s="7" t="s">
        <v>11</v>
      </c>
      <c r="E2142" s="8" t="s">
        <v>797</v>
      </c>
      <c r="F2142" s="9">
        <v>0.39</v>
      </c>
      <c r="G2142" s="10"/>
      <c r="H2142" s="10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ht="14.25" customHeight="1">
      <c r="A2143" s="11">
        <v>2142.0</v>
      </c>
      <c r="B2143" s="5"/>
      <c r="C2143" s="12" t="str">
        <f>HYPERLINK("https://leetcode.com/problems/the-number-of-passengers-in-each-bus-i", "The Number of Passengers in Each Bus I")</f>
        <v>The Number of Passengers in Each Bus I</v>
      </c>
      <c r="D2143" s="7" t="s">
        <v>8</v>
      </c>
      <c r="E2143" s="8" t="s">
        <v>101</v>
      </c>
      <c r="F2143" s="9">
        <v>0.51</v>
      </c>
      <c r="G2143" s="10"/>
      <c r="H2143" s="10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ht="14.25" customHeight="1">
      <c r="A2144" s="11">
        <v>2143.0</v>
      </c>
      <c r="B2144" s="5"/>
      <c r="C2144" s="12" t="str">
        <f>HYPERLINK("https://leetcode.com/problems/choose-numbers-from-two-arrays-in-range", "Choose Numbers From Two Arrays in Range")</f>
        <v>Choose Numbers From Two Arrays in Range</v>
      </c>
      <c r="D2144" s="7" t="s">
        <v>11</v>
      </c>
      <c r="E2144" s="8" t="s">
        <v>73</v>
      </c>
      <c r="F2144" s="9">
        <v>0.52</v>
      </c>
      <c r="G2144" s="10"/>
      <c r="H2144" s="10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ht="14.25" customHeight="1">
      <c r="A2145" s="4">
        <v>2144.0</v>
      </c>
      <c r="B2145" s="5"/>
      <c r="C2145" s="6" t="str">
        <f>HYPERLINK("https://leetcode.com/problems/minimum-cost-of-buying-candies-with-discount", "Minimum Cost of Buying Candies With Discount")</f>
        <v>Minimum Cost of Buying Candies With Discount</v>
      </c>
      <c r="D2145" s="7" t="s">
        <v>6</v>
      </c>
      <c r="E2145" s="8" t="s">
        <v>160</v>
      </c>
      <c r="F2145" s="9">
        <v>0.6</v>
      </c>
      <c r="G2145" s="10"/>
      <c r="H2145" s="10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ht="14.25" customHeight="1">
      <c r="A2146" s="4">
        <v>2145.0</v>
      </c>
      <c r="B2146" s="5"/>
      <c r="C2146" s="6" t="str">
        <f>HYPERLINK("https://leetcode.com/problems/count-the-hidden-sequences", "Count the Hidden Sequences")</f>
        <v>Count the Hidden Sequences</v>
      </c>
      <c r="D2146" s="7" t="s">
        <v>8</v>
      </c>
      <c r="E2146" s="8" t="s">
        <v>130</v>
      </c>
      <c r="F2146" s="9">
        <v>0.36</v>
      </c>
      <c r="G2146" s="10"/>
      <c r="H2146" s="10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ht="14.25" customHeight="1">
      <c r="A2147" s="4">
        <v>2146.0</v>
      </c>
      <c r="B2147" s="5"/>
      <c r="C2147" s="6" t="str">
        <f>HYPERLINK("https://leetcode.com/problems/k-highest-ranked-items-within-a-price-range", "K Highest Ranked Items Within a Price Range")</f>
        <v>K Highest Ranked Items Within a Price Range</v>
      </c>
      <c r="D2147" s="7" t="s">
        <v>8</v>
      </c>
      <c r="E2147" s="8" t="s">
        <v>798</v>
      </c>
      <c r="F2147" s="9">
        <v>0.41</v>
      </c>
      <c r="G2147" s="10"/>
      <c r="H2147" s="10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ht="14.25" customHeight="1">
      <c r="A2148" s="4">
        <v>2147.0</v>
      </c>
      <c r="B2148" s="5"/>
      <c r="C2148" s="6" t="str">
        <f>HYPERLINK("https://leetcode.com/problems/number-of-ways-to-divide-a-long-corridor", "Number of Ways to Divide a Long Corridor")</f>
        <v>Number of Ways to Divide a Long Corridor</v>
      </c>
      <c r="D2148" s="7" t="s">
        <v>11</v>
      </c>
      <c r="E2148" s="8" t="s">
        <v>799</v>
      </c>
      <c r="F2148" s="9">
        <v>0.39</v>
      </c>
      <c r="G2148" s="10"/>
      <c r="H2148" s="10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ht="14.25" customHeight="1">
      <c r="A2149" s="4">
        <v>2148.0</v>
      </c>
      <c r="B2149" s="5"/>
      <c r="C2149" s="6" t="str">
        <f>HYPERLINK("https://leetcode.com/problems/count-elements-with-strictly-smaller-and-greater-elements", "Count Elements With Strictly Smaller and Greater Elements ")</f>
        <v>Count Elements With Strictly Smaller and Greater Elements </v>
      </c>
      <c r="D2149" s="7" t="s">
        <v>6</v>
      </c>
      <c r="E2149" s="8" t="s">
        <v>44</v>
      </c>
      <c r="F2149" s="9">
        <v>0.59</v>
      </c>
      <c r="G2149" s="10"/>
      <c r="H2149" s="10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ht="14.25" customHeight="1">
      <c r="A2150" s="4">
        <v>2149.0</v>
      </c>
      <c r="B2150" s="5"/>
      <c r="C2150" s="6" t="str">
        <f>HYPERLINK("https://leetcode.com/problems/rearrange-array-elements-by-sign", "Rearrange Array Elements by Sign")</f>
        <v>Rearrange Array Elements by Sign</v>
      </c>
      <c r="D2150" s="7" t="s">
        <v>8</v>
      </c>
      <c r="E2150" s="8" t="s">
        <v>788</v>
      </c>
      <c r="F2150" s="9">
        <v>0.81</v>
      </c>
      <c r="G2150" s="10"/>
      <c r="H2150" s="10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ht="14.25" customHeight="1">
      <c r="A2151" s="4">
        <v>2150.0</v>
      </c>
      <c r="B2151" s="5"/>
      <c r="C2151" s="6" t="str">
        <f>HYPERLINK("https://leetcode.com/problems/find-all-lonely-numbers-in-the-array", "Find All Lonely Numbers in the Array")</f>
        <v>Find All Lonely Numbers in the Array</v>
      </c>
      <c r="D2151" s="7" t="s">
        <v>8</v>
      </c>
      <c r="E2151" s="8" t="s">
        <v>474</v>
      </c>
      <c r="F2151" s="9">
        <v>0.6</v>
      </c>
      <c r="G2151" s="10"/>
      <c r="H2151" s="10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ht="14.25" customHeight="1">
      <c r="A2152" s="4">
        <v>2151.0</v>
      </c>
      <c r="B2152" s="5"/>
      <c r="C2152" s="6" t="str">
        <f>HYPERLINK("https://leetcode.com/problems/maximum-good-people-based-on-statements", "Maximum Good People Based on Statements")</f>
        <v>Maximum Good People Based on Statements</v>
      </c>
      <c r="D2152" s="7" t="s">
        <v>11</v>
      </c>
      <c r="E2152" s="8" t="s">
        <v>643</v>
      </c>
      <c r="F2152" s="9">
        <v>0.48</v>
      </c>
      <c r="G2152" s="10"/>
      <c r="H2152" s="10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ht="14.25" customHeight="1">
      <c r="A2153" s="11">
        <v>2152.0</v>
      </c>
      <c r="B2153" s="5"/>
      <c r="C2153" s="12" t="str">
        <f>HYPERLINK("https://leetcode.com/problems/minimum-number-of-lines-to-cover-points", "Minimum Number of Lines to Cover Points")</f>
        <v>Minimum Number of Lines to Cover Points</v>
      </c>
      <c r="D2153" s="7" t="s">
        <v>8</v>
      </c>
      <c r="E2153" s="8" t="s">
        <v>800</v>
      </c>
      <c r="F2153" s="9">
        <v>0.46</v>
      </c>
      <c r="G2153" s="10"/>
      <c r="H2153" s="10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ht="14.25" customHeight="1">
      <c r="A2154" s="11">
        <v>2153.0</v>
      </c>
      <c r="B2154" s="5"/>
      <c r="C2154" s="12" t="str">
        <f>HYPERLINK("https://leetcode.com/problems/the-number-of-passengers-in-each-bus-ii", "The Number of Passengers in Each Bus II")</f>
        <v>The Number of Passengers in Each Bus II</v>
      </c>
      <c r="D2154" s="7" t="s">
        <v>11</v>
      </c>
      <c r="E2154" s="8" t="s">
        <v>101</v>
      </c>
      <c r="F2154" s="9">
        <v>0.5</v>
      </c>
      <c r="G2154" s="10"/>
      <c r="H2154" s="10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ht="14.25" customHeight="1">
      <c r="A2155" s="4">
        <v>2154.0</v>
      </c>
      <c r="B2155" s="5"/>
      <c r="C2155" s="6" t="str">
        <f>HYPERLINK("https://leetcode.com/problems/keep-multiplying-found-values-by-two", "Keep Multiplying Found Values by Two")</f>
        <v>Keep Multiplying Found Values by Two</v>
      </c>
      <c r="D2155" s="7" t="s">
        <v>6</v>
      </c>
      <c r="E2155" s="8" t="s">
        <v>801</v>
      </c>
      <c r="F2155" s="9">
        <v>0.73</v>
      </c>
      <c r="G2155" s="10"/>
      <c r="H2155" s="10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ht="14.25" customHeight="1">
      <c r="A2156" s="4">
        <v>2155.0</v>
      </c>
      <c r="B2156" s="5"/>
      <c r="C2156" s="6" t="str">
        <f>HYPERLINK("https://leetcode.com/problems/all-divisions-with-the-highest-score-of-a-binary-array", "All Divisions With the Highest Score of a Binary Array")</f>
        <v>All Divisions With the Highest Score of a Binary Array</v>
      </c>
      <c r="D2156" s="7" t="s">
        <v>8</v>
      </c>
      <c r="E2156" s="8" t="s">
        <v>45</v>
      </c>
      <c r="F2156" s="9">
        <v>0.63</v>
      </c>
      <c r="G2156" s="10"/>
      <c r="H2156" s="10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ht="14.25" customHeight="1">
      <c r="A2157" s="4">
        <v>2156.0</v>
      </c>
      <c r="B2157" s="5"/>
      <c r="C2157" s="6" t="str">
        <f>HYPERLINK("https://leetcode.com/problems/find-substring-with-given-hash-value", "Find Substring With Given Hash Value")</f>
        <v>Find Substring With Given Hash Value</v>
      </c>
      <c r="D2157" s="7" t="s">
        <v>11</v>
      </c>
      <c r="E2157" s="8" t="s">
        <v>802</v>
      </c>
      <c r="F2157" s="9">
        <v>0.22</v>
      </c>
      <c r="G2157" s="10"/>
      <c r="H2157" s="10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ht="14.25" customHeight="1">
      <c r="A2158" s="4">
        <v>2157.0</v>
      </c>
      <c r="B2158" s="5"/>
      <c r="C2158" s="6" t="str">
        <f>HYPERLINK("https://leetcode.com/problems/groups-of-strings", "Groups of Strings")</f>
        <v>Groups of Strings</v>
      </c>
      <c r="D2158" s="7" t="s">
        <v>11</v>
      </c>
      <c r="E2158" s="8" t="s">
        <v>803</v>
      </c>
      <c r="F2158" s="9">
        <v>0.25</v>
      </c>
      <c r="G2158" s="10"/>
      <c r="H2158" s="10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ht="14.25" customHeight="1">
      <c r="A2159" s="11">
        <v>2158.0</v>
      </c>
      <c r="B2159" s="5"/>
      <c r="C2159" s="12" t="str">
        <f>HYPERLINK("https://leetcode.com/problems/amount-of-new-area-painted-each-day", "Amount of New Area Painted Each Day")</f>
        <v>Amount of New Area Painted Each Day</v>
      </c>
      <c r="D2159" s="7" t="s">
        <v>11</v>
      </c>
      <c r="E2159" s="8" t="s">
        <v>356</v>
      </c>
      <c r="F2159" s="9">
        <v>0.54</v>
      </c>
      <c r="G2159" s="10"/>
      <c r="H2159" s="10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ht="14.25" customHeight="1">
      <c r="A2160" s="11">
        <v>2159.0</v>
      </c>
      <c r="B2160" s="5"/>
      <c r="C2160" s="12" t="str">
        <f>HYPERLINK("https://leetcode.com/problems/order-two-columns-independently", "Order Two Columns Independently")</f>
        <v>Order Two Columns Independently</v>
      </c>
      <c r="D2160" s="7" t="s">
        <v>8</v>
      </c>
      <c r="E2160" s="8" t="s">
        <v>101</v>
      </c>
      <c r="F2160" s="9">
        <v>0.63</v>
      </c>
      <c r="G2160" s="10"/>
      <c r="H2160" s="10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ht="14.25" customHeight="1">
      <c r="A2161" s="4">
        <v>2160.0</v>
      </c>
      <c r="B2161" s="5"/>
      <c r="C2161" s="6" t="str">
        <f>HYPERLINK("https://leetcode.com/problems/minimum-sum-of-four-digit-number-after-splitting-digits", "Minimum Sum of Four Digit Number After Splitting Digits")</f>
        <v>Minimum Sum of Four Digit Number After Splitting Digits</v>
      </c>
      <c r="D2161" s="7" t="s">
        <v>6</v>
      </c>
      <c r="E2161" s="8" t="s">
        <v>804</v>
      </c>
      <c r="F2161" s="9">
        <v>0.87</v>
      </c>
      <c r="G2161" s="10"/>
      <c r="H2161" s="10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ht="14.25" customHeight="1">
      <c r="A2162" s="4">
        <v>2161.0</v>
      </c>
      <c r="B2162" s="5"/>
      <c r="C2162" s="6" t="str">
        <f>HYPERLINK("https://leetcode.com/problems/partition-array-according-to-given-pivot", "Partition Array According to Given Pivot")</f>
        <v>Partition Array According to Given Pivot</v>
      </c>
      <c r="D2162" s="7" t="s">
        <v>8</v>
      </c>
      <c r="E2162" s="8" t="s">
        <v>788</v>
      </c>
      <c r="F2162" s="9">
        <v>0.84</v>
      </c>
      <c r="G2162" s="10"/>
      <c r="H2162" s="10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ht="14.25" customHeight="1">
      <c r="A2163" s="4">
        <v>2162.0</v>
      </c>
      <c r="B2163" s="5"/>
      <c r="C2163" s="6" t="str">
        <f>HYPERLINK("https://leetcode.com/problems/minimum-cost-to-set-cooking-time", "Minimum Cost to Set Cooking Time")</f>
        <v>Minimum Cost to Set Cooking Time</v>
      </c>
      <c r="D2163" s="7" t="s">
        <v>8</v>
      </c>
      <c r="E2163" s="8" t="s">
        <v>404</v>
      </c>
      <c r="F2163" s="9">
        <v>0.39</v>
      </c>
      <c r="G2163" s="10"/>
      <c r="H2163" s="10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ht="14.25" customHeight="1">
      <c r="A2164" s="4">
        <v>2163.0</v>
      </c>
      <c r="B2164" s="5"/>
      <c r="C2164" s="6" t="str">
        <f>HYPERLINK("https://leetcode.com/problems/minimum-difference-in-sums-after-removal-of-elements", "Minimum Difference in Sums After Removal of Elements")</f>
        <v>Minimum Difference in Sums After Removal of Elements</v>
      </c>
      <c r="D2164" s="7" t="s">
        <v>11</v>
      </c>
      <c r="E2164" s="8" t="s">
        <v>805</v>
      </c>
      <c r="F2164" s="9">
        <v>0.46</v>
      </c>
      <c r="G2164" s="10"/>
      <c r="H2164" s="10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ht="14.25" customHeight="1">
      <c r="A2165" s="4">
        <v>2164.0</v>
      </c>
      <c r="B2165" s="5"/>
      <c r="C2165" s="6" t="str">
        <f>HYPERLINK("https://leetcode.com/problems/sort-even-and-odd-indices-independently", "Sort Even and Odd Indices Independently")</f>
        <v>Sort Even and Odd Indices Independently</v>
      </c>
      <c r="D2165" s="7" t="s">
        <v>6</v>
      </c>
      <c r="E2165" s="8" t="s">
        <v>44</v>
      </c>
      <c r="F2165" s="9">
        <v>0.66</v>
      </c>
      <c r="G2165" s="10"/>
      <c r="H2165" s="10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ht="14.25" customHeight="1">
      <c r="A2166" s="4">
        <v>2165.0</v>
      </c>
      <c r="B2166" s="5"/>
      <c r="C2166" s="6" t="str">
        <f>HYPERLINK("https://leetcode.com/problems/smallest-value-of-the-rearranged-number", "Smallest Value of the Rearranged Number")</f>
        <v>Smallest Value of the Rearranged Number</v>
      </c>
      <c r="D2166" s="7" t="s">
        <v>8</v>
      </c>
      <c r="E2166" s="8" t="s">
        <v>806</v>
      </c>
      <c r="F2166" s="9">
        <v>0.51</v>
      </c>
      <c r="G2166" s="10"/>
      <c r="H2166" s="10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ht="14.25" customHeight="1">
      <c r="A2167" s="4">
        <v>2166.0</v>
      </c>
      <c r="B2167" s="5"/>
      <c r="C2167" s="6" t="str">
        <f>HYPERLINK("https://leetcode.com/problems/design-bitset", "Design Bitset")</f>
        <v>Design Bitset</v>
      </c>
      <c r="D2167" s="7" t="s">
        <v>8</v>
      </c>
      <c r="E2167" s="8" t="s">
        <v>566</v>
      </c>
      <c r="F2167" s="9">
        <v>0.31</v>
      </c>
      <c r="G2167" s="10"/>
      <c r="H2167" s="10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ht="14.25" customHeight="1">
      <c r="A2168" s="4">
        <v>2167.0</v>
      </c>
      <c r="B2168" s="5"/>
      <c r="C2168" s="6" t="str">
        <f>HYPERLINK("https://leetcode.com/problems/minimum-time-to-remove-all-cars-containing-illegal-goods", "Minimum Time to Remove All Cars Containing Illegal Goods")</f>
        <v>Minimum Time to Remove All Cars Containing Illegal Goods</v>
      </c>
      <c r="D2168" s="7" t="s">
        <v>11</v>
      </c>
      <c r="E2168" s="8" t="s">
        <v>13</v>
      </c>
      <c r="F2168" s="9">
        <v>0.4</v>
      </c>
      <c r="G2168" s="10"/>
      <c r="H2168" s="10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ht="14.25" customHeight="1">
      <c r="A2169" s="11">
        <v>2168.0</v>
      </c>
      <c r="B2169" s="5"/>
      <c r="C2169" s="12" t="str">
        <f>HYPERLINK("https://leetcode.com/problems/unique-substrings-with-equal-digit-frequency", "Unique Substrings With Equal Digit Frequency")</f>
        <v>Unique Substrings With Equal Digit Frequency</v>
      </c>
      <c r="D2169" s="7" t="s">
        <v>8</v>
      </c>
      <c r="E2169" s="8" t="s">
        <v>807</v>
      </c>
      <c r="F2169" s="9">
        <v>0.59</v>
      </c>
      <c r="G2169" s="10"/>
      <c r="H2169" s="10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ht="14.25" customHeight="1">
      <c r="A2170" s="4">
        <v>2169.0</v>
      </c>
      <c r="B2170" s="5"/>
      <c r="C2170" s="6" t="str">
        <f>HYPERLINK("https://leetcode.com/problems/count-operations-to-obtain-zero", "Count Operations to Obtain Zero")</f>
        <v>Count Operations to Obtain Zero</v>
      </c>
      <c r="D2170" s="7" t="s">
        <v>6</v>
      </c>
      <c r="E2170" s="8" t="s">
        <v>498</v>
      </c>
      <c r="F2170" s="9">
        <v>0.75</v>
      </c>
      <c r="G2170" s="10"/>
      <c r="H2170" s="10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ht="14.25" customHeight="1">
      <c r="A2171" s="4">
        <v>2170.0</v>
      </c>
      <c r="B2171" s="5"/>
      <c r="C2171" s="6" t="str">
        <f>HYPERLINK("https://leetcode.com/problems/minimum-operations-to-make-the-array-alternating", "Minimum Operations to Make the Array Alternating")</f>
        <v>Minimum Operations to Make the Array Alternating</v>
      </c>
      <c r="D2171" s="7" t="s">
        <v>8</v>
      </c>
      <c r="E2171" s="8" t="s">
        <v>691</v>
      </c>
      <c r="F2171" s="9">
        <v>0.33</v>
      </c>
      <c r="G2171" s="10"/>
      <c r="H2171" s="10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ht="14.25" customHeight="1">
      <c r="A2172" s="4">
        <v>2171.0</v>
      </c>
      <c r="B2172" s="5"/>
      <c r="C2172" s="6" t="str">
        <f>HYPERLINK("https://leetcode.com/problems/removing-minimum-number-of-magic-beans", "Removing Minimum Number of Magic Beans")</f>
        <v>Removing Minimum Number of Magic Beans</v>
      </c>
      <c r="D2172" s="7" t="s">
        <v>8</v>
      </c>
      <c r="E2172" s="8" t="s">
        <v>808</v>
      </c>
      <c r="F2172" s="9">
        <v>0.42</v>
      </c>
      <c r="G2172" s="10"/>
      <c r="H2172" s="10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ht="14.25" customHeight="1">
      <c r="A2173" s="4">
        <v>2172.0</v>
      </c>
      <c r="B2173" s="5"/>
      <c r="C2173" s="6" t="str">
        <f>HYPERLINK("https://leetcode.com/problems/maximum-and-sum-of-array", "Maximum AND Sum of Array")</f>
        <v>Maximum AND Sum of Array</v>
      </c>
      <c r="D2173" s="7" t="s">
        <v>11</v>
      </c>
      <c r="E2173" s="8" t="s">
        <v>503</v>
      </c>
      <c r="F2173" s="9">
        <v>0.47</v>
      </c>
      <c r="G2173" s="10"/>
      <c r="H2173" s="10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ht="14.25" customHeight="1">
      <c r="A2174" s="11">
        <v>2173.0</v>
      </c>
      <c r="B2174" s="5"/>
      <c r="C2174" s="12" t="str">
        <f>HYPERLINK("https://leetcode.com/problems/longest-winning-streak", "Longest Winning Streak")</f>
        <v>Longest Winning Streak</v>
      </c>
      <c r="D2174" s="7" t="s">
        <v>11</v>
      </c>
      <c r="E2174" s="8" t="s">
        <v>101</v>
      </c>
      <c r="F2174" s="9">
        <v>0.58</v>
      </c>
      <c r="G2174" s="10"/>
      <c r="H2174" s="10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ht="14.25" customHeight="1">
      <c r="A2175" s="11">
        <v>2174.0</v>
      </c>
      <c r="B2175" s="5"/>
      <c r="C2175" s="12" t="str">
        <f>HYPERLINK("https://leetcode.com/problems/remove-all-ones-with-row-and-column-flips-ii", "Remove All Ones With Row and Column Flips II")</f>
        <v>Remove All Ones With Row and Column Flips II</v>
      </c>
      <c r="D2175" s="7" t="s">
        <v>8</v>
      </c>
      <c r="E2175" s="8" t="s">
        <v>420</v>
      </c>
      <c r="F2175" s="9">
        <v>0.68</v>
      </c>
      <c r="G2175" s="10"/>
      <c r="H2175" s="10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ht="14.25" customHeight="1">
      <c r="A2176" s="11">
        <v>2175.0</v>
      </c>
      <c r="B2176" s="5"/>
      <c r="C2176" s="12" t="str">
        <f>HYPERLINK("https://leetcode.com/problems/the-change-in-global-rankings", "The Change in Global Rankings")</f>
        <v>The Change in Global Rankings</v>
      </c>
      <c r="D2176" s="7" t="s">
        <v>8</v>
      </c>
      <c r="E2176" s="8" t="s">
        <v>101</v>
      </c>
      <c r="F2176" s="9">
        <v>0.68</v>
      </c>
      <c r="G2176" s="10"/>
      <c r="H2176" s="10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ht="14.25" customHeight="1">
      <c r="A2177" s="4">
        <v>2176.0</v>
      </c>
      <c r="B2177" s="5"/>
      <c r="C2177" s="6" t="str">
        <f>HYPERLINK("https://leetcode.com/problems/count-equal-and-divisible-pairs-in-an-array", "Count Equal and Divisible Pairs in an Array")</f>
        <v>Count Equal and Divisible Pairs in an Array</v>
      </c>
      <c r="D2177" s="7" t="s">
        <v>6</v>
      </c>
      <c r="E2177" s="8" t="s">
        <v>45</v>
      </c>
      <c r="F2177" s="9">
        <v>0.8</v>
      </c>
      <c r="G2177" s="10"/>
      <c r="H2177" s="10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ht="14.25" customHeight="1">
      <c r="A2178" s="4">
        <v>2177.0</v>
      </c>
      <c r="B2178" s="5"/>
      <c r="C2178" s="6" t="str">
        <f>HYPERLINK("https://leetcode.com/problems/find-three-consecutive-integers-that-sum-to-a-given-number", "Find Three Consecutive Integers That Sum to a Given Number")</f>
        <v>Find Three Consecutive Integers That Sum to a Given Number</v>
      </c>
      <c r="D2178" s="7" t="s">
        <v>8</v>
      </c>
      <c r="E2178" s="8" t="s">
        <v>498</v>
      </c>
      <c r="F2178" s="9">
        <v>0.63</v>
      </c>
      <c r="G2178" s="10"/>
      <c r="H2178" s="10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ht="14.25" customHeight="1">
      <c r="A2179" s="4">
        <v>2178.0</v>
      </c>
      <c r="B2179" s="5"/>
      <c r="C2179" s="6" t="str">
        <f>HYPERLINK("https://leetcode.com/problems/maximum-split-of-positive-even-integers", "Maximum Split of Positive Even Integers")</f>
        <v>Maximum Split of Positive Even Integers</v>
      </c>
      <c r="D2179" s="7" t="s">
        <v>8</v>
      </c>
      <c r="E2179" s="8" t="s">
        <v>809</v>
      </c>
      <c r="F2179" s="9">
        <v>0.59</v>
      </c>
      <c r="G2179" s="10"/>
      <c r="H2179" s="10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ht="14.25" customHeight="1">
      <c r="A2180" s="4">
        <v>2179.0</v>
      </c>
      <c r="B2180" s="5"/>
      <c r="C2180" s="6" t="str">
        <f>HYPERLINK("https://leetcode.com/problems/count-good-triplets-in-an-array", "Count Good Triplets in an Array")</f>
        <v>Count Good Triplets in an Array</v>
      </c>
      <c r="D2180" s="7" t="s">
        <v>11</v>
      </c>
      <c r="E2180" s="8" t="s">
        <v>183</v>
      </c>
      <c r="F2180" s="9">
        <v>0.37</v>
      </c>
      <c r="G2180" s="10"/>
      <c r="H2180" s="10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ht="14.25" customHeight="1">
      <c r="A2181" s="4">
        <v>2180.0</v>
      </c>
      <c r="B2181" s="5"/>
      <c r="C2181" s="6" t="str">
        <f>HYPERLINK("https://leetcode.com/problems/count-integers-with-even-digit-sum", "Count Integers With Even Digit Sum")</f>
        <v>Count Integers With Even Digit Sum</v>
      </c>
      <c r="D2181" s="7" t="s">
        <v>6</v>
      </c>
      <c r="E2181" s="8" t="s">
        <v>498</v>
      </c>
      <c r="F2181" s="9">
        <v>0.64</v>
      </c>
      <c r="G2181" s="10"/>
      <c r="H2181" s="10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ht="14.25" customHeight="1">
      <c r="A2182" s="4">
        <v>2181.0</v>
      </c>
      <c r="B2182" s="5"/>
      <c r="C2182" s="6" t="str">
        <f>HYPERLINK("https://leetcode.com/problems/merge-nodes-in-between-zeros", "Merge Nodes in Between Zeros")</f>
        <v>Merge Nodes in Between Zeros</v>
      </c>
      <c r="D2182" s="7" t="s">
        <v>8</v>
      </c>
      <c r="E2182" s="8" t="s">
        <v>810</v>
      </c>
      <c r="F2182" s="9">
        <v>0.86</v>
      </c>
      <c r="G2182" s="10"/>
      <c r="H2182" s="10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ht="14.25" customHeight="1">
      <c r="A2183" s="4">
        <v>2182.0</v>
      </c>
      <c r="B2183" s="5"/>
      <c r="C2183" s="6" t="str">
        <f>HYPERLINK("https://leetcode.com/problems/construct-string-with-repeat-limit", "Construct String With Repeat Limit")</f>
        <v>Construct String With Repeat Limit</v>
      </c>
      <c r="D2183" s="7" t="s">
        <v>8</v>
      </c>
      <c r="E2183" s="8" t="s">
        <v>811</v>
      </c>
      <c r="F2183" s="9">
        <v>0.52</v>
      </c>
      <c r="G2183" s="10"/>
      <c r="H2183" s="10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ht="14.25" customHeight="1">
      <c r="A2184" s="4">
        <v>2183.0</v>
      </c>
      <c r="B2184" s="5"/>
      <c r="C2184" s="6" t="str">
        <f>HYPERLINK("https://leetcode.com/problems/count-array-pairs-divisible-by-k", "Count Array Pairs Divisible by K")</f>
        <v>Count Array Pairs Divisible by K</v>
      </c>
      <c r="D2184" s="7" t="s">
        <v>11</v>
      </c>
      <c r="E2184" s="8" t="s">
        <v>538</v>
      </c>
      <c r="F2184" s="9">
        <v>0.28</v>
      </c>
      <c r="G2184" s="10"/>
      <c r="H2184" s="10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ht="14.25" customHeight="1">
      <c r="A2185" s="11">
        <v>2184.0</v>
      </c>
      <c r="B2185" s="5"/>
      <c r="C2185" s="12" t="str">
        <f>HYPERLINK("https://leetcode.com/problems/number-of-ways-to-build-sturdy-brick-wall", "Number of Ways to Build Sturdy Brick Wall")</f>
        <v>Number of Ways to Build Sturdy Brick Wall</v>
      </c>
      <c r="D2185" s="7" t="s">
        <v>8</v>
      </c>
      <c r="E2185" s="8" t="s">
        <v>503</v>
      </c>
      <c r="F2185" s="9">
        <v>0.5</v>
      </c>
      <c r="G2185" s="10"/>
      <c r="H2185" s="10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ht="14.25" customHeight="1">
      <c r="A2186" s="4">
        <v>2185.0</v>
      </c>
      <c r="B2186" s="5"/>
      <c r="C2186" s="6" t="str">
        <f>HYPERLINK("https://leetcode.com/problems/counting-words-with-a-given-prefix", "Counting Words With a Given Prefix")</f>
        <v>Counting Words With a Given Prefix</v>
      </c>
      <c r="D2186" s="7" t="s">
        <v>6</v>
      </c>
      <c r="E2186" s="8" t="s">
        <v>135</v>
      </c>
      <c r="F2186" s="9">
        <v>0.77</v>
      </c>
      <c r="G2186" s="10"/>
      <c r="H2186" s="10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ht="14.25" customHeight="1">
      <c r="A2187" s="4">
        <v>2186.0</v>
      </c>
      <c r="B2187" s="5"/>
      <c r="C2187" s="6" t="str">
        <f>HYPERLINK("https://leetcode.com/problems/minimum-number-of-steps-to-make-two-strings-anagram-ii", "Minimum Number of Steps to Make Two Strings Anagram II")</f>
        <v>Minimum Number of Steps to Make Two Strings Anagram II</v>
      </c>
      <c r="D2187" s="7" t="s">
        <v>8</v>
      </c>
      <c r="E2187" s="8" t="s">
        <v>172</v>
      </c>
      <c r="F2187" s="9">
        <v>0.72</v>
      </c>
      <c r="G2187" s="10"/>
      <c r="H2187" s="10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ht="14.25" customHeight="1">
      <c r="A2188" s="4">
        <v>2187.0</v>
      </c>
      <c r="B2188" s="5"/>
      <c r="C2188" s="6" t="str">
        <f>HYPERLINK("https://leetcode.com/problems/minimum-time-to-complete-trips", "Minimum Time to Complete Trips")</f>
        <v>Minimum Time to Complete Trips</v>
      </c>
      <c r="D2188" s="7" t="s">
        <v>8</v>
      </c>
      <c r="E2188" s="8" t="s">
        <v>30</v>
      </c>
      <c r="F2188" s="9">
        <v>0.32</v>
      </c>
      <c r="G2188" s="10"/>
      <c r="H2188" s="10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ht="14.25" customHeight="1">
      <c r="A2189" s="4">
        <v>2188.0</v>
      </c>
      <c r="B2189" s="5"/>
      <c r="C2189" s="6" t="str">
        <f>HYPERLINK("https://leetcode.com/problems/minimum-time-to-finish-the-race", "Minimum Time to Finish the Race")</f>
        <v>Minimum Time to Finish the Race</v>
      </c>
      <c r="D2189" s="7" t="s">
        <v>11</v>
      </c>
      <c r="E2189" s="8" t="s">
        <v>73</v>
      </c>
      <c r="F2189" s="9">
        <v>0.41</v>
      </c>
      <c r="G2189" s="10"/>
      <c r="H2189" s="10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ht="14.25" customHeight="1">
      <c r="A2190" s="11">
        <v>2189.0</v>
      </c>
      <c r="B2190" s="5"/>
      <c r="C2190" s="12" t="str">
        <f>HYPERLINK("https://leetcode.com/problems/number-of-ways-to-build-house-of-cards", "Number of Ways to Build House of Cards")</f>
        <v>Number of Ways to Build House of Cards</v>
      </c>
      <c r="D2190" s="7" t="s">
        <v>8</v>
      </c>
      <c r="E2190" s="8" t="s">
        <v>201</v>
      </c>
      <c r="F2190" s="9">
        <v>0.62</v>
      </c>
      <c r="G2190" s="10"/>
      <c r="H2190" s="10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ht="14.25" customHeight="1">
      <c r="A2191" s="4">
        <v>2190.0</v>
      </c>
      <c r="B2191" s="5"/>
      <c r="C2191" s="6" t="str">
        <f>HYPERLINK("https://leetcode.com/problems/most-frequent-number-following-key-in-an-array", "Most Frequent Number Following Key In an Array")</f>
        <v>Most Frequent Number Following Key In an Array</v>
      </c>
      <c r="D2191" s="7" t="s">
        <v>6</v>
      </c>
      <c r="E2191" s="8" t="s">
        <v>474</v>
      </c>
      <c r="F2191" s="9">
        <v>0.6</v>
      </c>
      <c r="G2191" s="10"/>
      <c r="H2191" s="10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ht="14.25" customHeight="1">
      <c r="A2192" s="4">
        <v>2191.0</v>
      </c>
      <c r="B2192" s="5"/>
      <c r="C2192" s="6" t="str">
        <f>HYPERLINK("https://leetcode.com/problems/sort-the-jumbled-numbers", "Sort the Jumbled Numbers")</f>
        <v>Sort the Jumbled Numbers</v>
      </c>
      <c r="D2192" s="7" t="s">
        <v>8</v>
      </c>
      <c r="E2192" s="8" t="s">
        <v>44</v>
      </c>
      <c r="F2192" s="9">
        <v>0.45</v>
      </c>
      <c r="G2192" s="10"/>
      <c r="H2192" s="10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ht="14.25" customHeight="1">
      <c r="A2193" s="4">
        <v>2192.0</v>
      </c>
      <c r="B2193" s="5"/>
      <c r="C2193" s="6" t="str">
        <f>HYPERLINK("https://leetcode.com/problems/all-ancestors-of-a-node-in-a-directed-acyclic-graph", "All Ancestors of a Node in a Directed Acyclic Graph")</f>
        <v>All Ancestors of a Node in a Directed Acyclic Graph</v>
      </c>
      <c r="D2193" s="7" t="s">
        <v>8</v>
      </c>
      <c r="E2193" s="8" t="s">
        <v>111</v>
      </c>
      <c r="F2193" s="9">
        <v>0.5</v>
      </c>
      <c r="G2193" s="10"/>
      <c r="H2193" s="10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ht="14.25" customHeight="1">
      <c r="A2194" s="4">
        <v>2193.0</v>
      </c>
      <c r="B2194" s="5"/>
      <c r="C2194" s="6" t="str">
        <f>HYPERLINK("https://leetcode.com/problems/minimum-number-of-moves-to-make-palindrome", "Minimum Number of Moves to Make Palindrome")</f>
        <v>Minimum Number of Moves to Make Palindrome</v>
      </c>
      <c r="D2194" s="7" t="s">
        <v>11</v>
      </c>
      <c r="E2194" s="8" t="s">
        <v>812</v>
      </c>
      <c r="F2194" s="9">
        <v>0.51</v>
      </c>
      <c r="G2194" s="10"/>
      <c r="H2194" s="10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ht="14.25" customHeight="1">
      <c r="A2195" s="4">
        <v>2194.0</v>
      </c>
      <c r="B2195" s="5"/>
      <c r="C2195" s="6" t="str">
        <f>HYPERLINK("https://leetcode.com/problems/cells-in-a-range-on-an-excel-sheet", "Cells in a Range on an Excel Sheet")</f>
        <v>Cells in a Range on an Excel Sheet</v>
      </c>
      <c r="D2195" s="7" t="s">
        <v>6</v>
      </c>
      <c r="E2195" s="8" t="s">
        <v>14</v>
      </c>
      <c r="F2195" s="9">
        <v>0.85</v>
      </c>
      <c r="G2195" s="10"/>
      <c r="H2195" s="10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ht="14.25" customHeight="1">
      <c r="A2196" s="4">
        <v>2195.0</v>
      </c>
      <c r="B2196" s="5"/>
      <c r="C2196" s="6" t="str">
        <f>HYPERLINK("https://leetcode.com/problems/append-k-integers-with-minimal-sum", "Append K Integers With Minimal Sum")</f>
        <v>Append K Integers With Minimal Sum</v>
      </c>
      <c r="D2196" s="7" t="s">
        <v>8</v>
      </c>
      <c r="E2196" s="8" t="s">
        <v>437</v>
      </c>
      <c r="F2196" s="9">
        <v>0.25</v>
      </c>
      <c r="G2196" s="10"/>
      <c r="H2196" s="10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ht="14.25" customHeight="1">
      <c r="A2197" s="4">
        <v>2196.0</v>
      </c>
      <c r="B2197" s="5"/>
      <c r="C2197" s="6" t="str">
        <f>HYPERLINK("https://leetcode.com/problems/create-binary-tree-from-descriptions", "Create Binary Tree From Descriptions")</f>
        <v>Create Binary Tree From Descriptions</v>
      </c>
      <c r="D2197" s="7" t="s">
        <v>8</v>
      </c>
      <c r="E2197" s="8" t="s">
        <v>813</v>
      </c>
      <c r="F2197" s="9">
        <v>0.72</v>
      </c>
      <c r="G2197" s="10"/>
      <c r="H2197" s="10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ht="14.25" customHeight="1">
      <c r="A2198" s="4">
        <v>2197.0</v>
      </c>
      <c r="B2198" s="5"/>
      <c r="C2198" s="6" t="str">
        <f>HYPERLINK("https://leetcode.com/problems/replace-non-coprime-numbers-in-array", "Replace Non-Coprime Numbers in Array")</f>
        <v>Replace Non-Coprime Numbers in Array</v>
      </c>
      <c r="D2198" s="7" t="s">
        <v>11</v>
      </c>
      <c r="E2198" s="8" t="s">
        <v>814</v>
      </c>
      <c r="F2198" s="9">
        <v>0.38</v>
      </c>
      <c r="G2198" s="10"/>
      <c r="H2198" s="10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ht="14.25" customHeight="1">
      <c r="A2199" s="11">
        <v>2198.0</v>
      </c>
      <c r="B2199" s="5"/>
      <c r="C2199" s="12" t="str">
        <f>HYPERLINK("https://leetcode.com/problems/number-of-single-divisor-triplets", "Number of Single Divisor Triplets")</f>
        <v>Number of Single Divisor Triplets</v>
      </c>
      <c r="D2199" s="7" t="s">
        <v>8</v>
      </c>
      <c r="E2199" s="8" t="s">
        <v>15</v>
      </c>
      <c r="F2199" s="9">
        <v>0.55</v>
      </c>
      <c r="G2199" s="10"/>
      <c r="H2199" s="10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ht="14.25" customHeight="1">
      <c r="A2200" s="11">
        <v>2199.0</v>
      </c>
      <c r="B2200" s="5"/>
      <c r="C2200" s="12" t="str">
        <f>HYPERLINK("https://leetcode.com/problems/finding-the-topic-of-each-post", "Finding the Topic of Each Post")</f>
        <v>Finding the Topic of Each Post</v>
      </c>
      <c r="D2200" s="7" t="s">
        <v>11</v>
      </c>
      <c r="E2200" s="8" t="s">
        <v>101</v>
      </c>
      <c r="F2200" s="9">
        <v>0.49</v>
      </c>
      <c r="G2200" s="10"/>
      <c r="H2200" s="10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ht="14.25" customHeight="1">
      <c r="A2201" s="4">
        <v>2200.0</v>
      </c>
      <c r="B2201" s="5"/>
      <c r="C2201" s="6" t="str">
        <f>HYPERLINK("https://leetcode.com/problems/find-all-k-distant-indices-in-an-array", "Find All K-Distant Indices in an Array")</f>
        <v>Find All K-Distant Indices in an Array</v>
      </c>
      <c r="D2201" s="7" t="s">
        <v>6</v>
      </c>
      <c r="E2201" s="8" t="s">
        <v>45</v>
      </c>
      <c r="F2201" s="9">
        <v>0.64</v>
      </c>
      <c r="G2201" s="10"/>
      <c r="H2201" s="10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ht="14.25" customHeight="1">
      <c r="A2202" s="4">
        <v>2201.0</v>
      </c>
      <c r="B2202" s="5"/>
      <c r="C2202" s="6" t="str">
        <f>HYPERLINK("https://leetcode.com/problems/count-artifacts-that-can-be-extracted", "Count Artifacts That Can Be Extracted")</f>
        <v>Count Artifacts That Can Be Extracted</v>
      </c>
      <c r="D2202" s="7" t="s">
        <v>8</v>
      </c>
      <c r="E2202" s="8" t="s">
        <v>815</v>
      </c>
      <c r="F2202" s="9">
        <v>0.55</v>
      </c>
      <c r="G2202" s="10"/>
      <c r="H2202" s="10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ht="14.25" customHeight="1">
      <c r="A2203" s="4">
        <v>2202.0</v>
      </c>
      <c r="B2203" s="5"/>
      <c r="C2203" s="6" t="str">
        <f>HYPERLINK("https://leetcode.com/problems/maximize-the-topmost-element-after-k-moves", "Maximize the Topmost Element After K Moves")</f>
        <v>Maximize the Topmost Element After K Moves</v>
      </c>
      <c r="D2203" s="7" t="s">
        <v>8</v>
      </c>
      <c r="E2203" s="8" t="s">
        <v>81</v>
      </c>
      <c r="F2203" s="9">
        <v>0.22</v>
      </c>
      <c r="G2203" s="10"/>
      <c r="H2203" s="10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ht="14.25" customHeight="1">
      <c r="A2204" s="4">
        <v>2203.0</v>
      </c>
      <c r="B2204" s="5"/>
      <c r="C2204" s="6" t="str">
        <f>HYPERLINK("https://leetcode.com/problems/minimum-weighted-subgraph-with-the-required-paths", "Minimum Weighted Subgraph With the Required Paths")</f>
        <v>Minimum Weighted Subgraph With the Required Paths</v>
      </c>
      <c r="D2204" s="7" t="s">
        <v>11</v>
      </c>
      <c r="E2204" s="8" t="s">
        <v>783</v>
      </c>
      <c r="F2204" s="9">
        <v>0.35</v>
      </c>
      <c r="G2204" s="10"/>
      <c r="H2204" s="10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ht="14.25" customHeight="1">
      <c r="A2205" s="11">
        <v>2204.0</v>
      </c>
      <c r="B2205" s="5"/>
      <c r="C2205" s="12" t="str">
        <f>HYPERLINK("https://leetcode.com/problems/distance-to-a-cycle-in-undirected-graph", "Distance to a Cycle in Undirected Graph")</f>
        <v>Distance to a Cycle in Undirected Graph</v>
      </c>
      <c r="D2205" s="7" t="s">
        <v>11</v>
      </c>
      <c r="E2205" s="8" t="s">
        <v>146</v>
      </c>
      <c r="F2205" s="9">
        <v>0.69</v>
      </c>
      <c r="G2205" s="10"/>
      <c r="H2205" s="10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ht="14.25" customHeight="1">
      <c r="A2206" s="11">
        <v>2205.0</v>
      </c>
      <c r="B2206" s="5"/>
      <c r="C2206" s="12" t="str">
        <f>HYPERLINK("https://leetcode.com/problems/the-number-of-users-that-are-eligible-for-discount", "The Number of Users That Are Eligible for Discount")</f>
        <v>The Number of Users That Are Eligible for Discount</v>
      </c>
      <c r="D2206" s="7" t="s">
        <v>6</v>
      </c>
      <c r="E2206" s="8" t="s">
        <v>101</v>
      </c>
      <c r="F2206" s="9">
        <v>0.5</v>
      </c>
      <c r="G2206" s="10"/>
      <c r="H2206" s="10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ht="14.25" customHeight="1">
      <c r="A2207" s="4">
        <v>2206.0</v>
      </c>
      <c r="B2207" s="5"/>
      <c r="C2207" s="6" t="str">
        <f>HYPERLINK("https://leetcode.com/problems/divide-array-into-equal-pairs", "Divide Array Into Equal Pairs")</f>
        <v>Divide Array Into Equal Pairs</v>
      </c>
      <c r="D2207" s="7" t="s">
        <v>6</v>
      </c>
      <c r="E2207" s="8" t="s">
        <v>816</v>
      </c>
      <c r="F2207" s="9">
        <v>0.74</v>
      </c>
      <c r="G2207" s="10"/>
      <c r="H2207" s="10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ht="14.25" customHeight="1">
      <c r="A2208" s="4">
        <v>2207.0</v>
      </c>
      <c r="B2208" s="5"/>
      <c r="C2208" s="6" t="str">
        <f>HYPERLINK("https://leetcode.com/problems/maximize-number-of-subsequences-in-a-string", "Maximize Number of Subsequences in a String")</f>
        <v>Maximize Number of Subsequences in a String</v>
      </c>
      <c r="D2208" s="7" t="s">
        <v>8</v>
      </c>
      <c r="E2208" s="8" t="s">
        <v>817</v>
      </c>
      <c r="F2208" s="9">
        <v>0.33</v>
      </c>
      <c r="G2208" s="10"/>
      <c r="H2208" s="10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ht="14.25" customHeight="1">
      <c r="A2209" s="4">
        <v>2208.0</v>
      </c>
      <c r="B2209" s="5"/>
      <c r="C2209" s="6" t="str">
        <f>HYPERLINK("https://leetcode.com/problems/minimum-operations-to-halve-array-sum", "Minimum Operations to Halve Array Sum")</f>
        <v>Minimum Operations to Halve Array Sum</v>
      </c>
      <c r="D2209" s="7" t="s">
        <v>8</v>
      </c>
      <c r="E2209" s="8" t="s">
        <v>326</v>
      </c>
      <c r="F2209" s="9">
        <v>0.45</v>
      </c>
      <c r="G2209" s="10"/>
      <c r="H2209" s="10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ht="14.25" customHeight="1">
      <c r="A2210" s="4">
        <v>2209.0</v>
      </c>
      <c r="B2210" s="5"/>
      <c r="C2210" s="6" t="str">
        <f>HYPERLINK("https://leetcode.com/problems/minimum-white-tiles-after-covering-with-carpets", "Minimum White Tiles After Covering With Carpets")</f>
        <v>Minimum White Tiles After Covering With Carpets</v>
      </c>
      <c r="D2210" s="7" t="s">
        <v>11</v>
      </c>
      <c r="E2210" s="8" t="s">
        <v>818</v>
      </c>
      <c r="F2210" s="9">
        <v>0.33</v>
      </c>
      <c r="G2210" s="10"/>
      <c r="H2210" s="10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ht="14.25" customHeight="1">
      <c r="A2211" s="4">
        <v>2210.0</v>
      </c>
      <c r="B2211" s="5"/>
      <c r="C2211" s="6" t="str">
        <f>HYPERLINK("https://leetcode.com/problems/count-hills-and-valleys-in-an-array", "Count Hills and Valleys in an Array")</f>
        <v>Count Hills and Valleys in an Array</v>
      </c>
      <c r="D2211" s="7" t="s">
        <v>6</v>
      </c>
      <c r="E2211" s="8" t="s">
        <v>45</v>
      </c>
      <c r="F2211" s="9">
        <v>0.58</v>
      </c>
      <c r="G2211" s="10"/>
      <c r="H2211" s="10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ht="14.25" customHeight="1">
      <c r="A2212" s="4">
        <v>2211.0</v>
      </c>
      <c r="B2212" s="5"/>
      <c r="C2212" s="6" t="str">
        <f>HYPERLINK("https://leetcode.com/problems/count-collisions-on-a-road", "Count Collisions on a Road")</f>
        <v>Count Collisions on a Road</v>
      </c>
      <c r="D2212" s="7" t="s">
        <v>8</v>
      </c>
      <c r="E2212" s="8" t="s">
        <v>22</v>
      </c>
      <c r="F2212" s="9">
        <v>0.42</v>
      </c>
      <c r="G2212" s="10"/>
      <c r="H2212" s="10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ht="14.25" customHeight="1">
      <c r="A2213" s="4">
        <v>2212.0</v>
      </c>
      <c r="B2213" s="5"/>
      <c r="C2213" s="6" t="str">
        <f>HYPERLINK("https://leetcode.com/problems/maximum-points-in-an-archery-competition", "Maximum Points in an Archery Competition")</f>
        <v>Maximum Points in an Archery Competition</v>
      </c>
      <c r="D2213" s="7" t="s">
        <v>8</v>
      </c>
      <c r="E2213" s="8" t="s">
        <v>819</v>
      </c>
      <c r="F2213" s="9">
        <v>0.48</v>
      </c>
      <c r="G2213" s="10"/>
      <c r="H2213" s="10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ht="14.25" customHeight="1">
      <c r="A2214" s="4">
        <v>2213.0</v>
      </c>
      <c r="B2214" s="5"/>
      <c r="C2214" s="6" t="str">
        <f>HYPERLINK("https://leetcode.com/problems/longest-substring-of-one-repeating-character", "Longest Substring of One Repeating Character")</f>
        <v>Longest Substring of One Repeating Character</v>
      </c>
      <c r="D2214" s="7" t="s">
        <v>11</v>
      </c>
      <c r="E2214" s="8" t="s">
        <v>820</v>
      </c>
      <c r="F2214" s="9">
        <v>0.31</v>
      </c>
      <c r="G2214" s="10"/>
      <c r="H2214" s="10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ht="14.25" customHeight="1">
      <c r="A2215" s="11">
        <v>2214.0</v>
      </c>
      <c r="B2215" s="5"/>
      <c r="C2215" s="12" t="str">
        <f>HYPERLINK("https://leetcode.com/problems/minimum-health-to-beat-game", "Minimum Health to Beat Game")</f>
        <v>Minimum Health to Beat Game</v>
      </c>
      <c r="D2215" s="7" t="s">
        <v>8</v>
      </c>
      <c r="E2215" s="8" t="s">
        <v>696</v>
      </c>
      <c r="F2215" s="9">
        <v>0.57</v>
      </c>
      <c r="G2215" s="10"/>
      <c r="H2215" s="10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ht="14.25" customHeight="1">
      <c r="A2216" s="4">
        <v>2215.0</v>
      </c>
      <c r="B2216" s="5"/>
      <c r="C2216" s="6" t="str">
        <f>HYPERLINK("https://leetcode.com/problems/find-the-difference-of-two-arrays", "Find the Difference of Two Arrays")</f>
        <v>Find the Difference of Two Arrays</v>
      </c>
      <c r="D2216" s="7" t="s">
        <v>6</v>
      </c>
      <c r="E2216" s="8" t="s">
        <v>7</v>
      </c>
      <c r="F2216" s="9">
        <v>0.69</v>
      </c>
      <c r="G2216" s="10"/>
      <c r="H2216" s="10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ht="14.25" customHeight="1">
      <c r="A2217" s="4">
        <v>2216.0</v>
      </c>
      <c r="B2217" s="5"/>
      <c r="C2217" s="6" t="str">
        <f>HYPERLINK("https://leetcode.com/problems/minimum-deletions-to-make-array-beautiful", "Minimum Deletions to Make Array Beautiful")</f>
        <v>Minimum Deletions to Make Array Beautiful</v>
      </c>
      <c r="D2217" s="7" t="s">
        <v>8</v>
      </c>
      <c r="E2217" s="8" t="s">
        <v>821</v>
      </c>
      <c r="F2217" s="9">
        <v>0.46</v>
      </c>
      <c r="G2217" s="10"/>
      <c r="H2217" s="10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ht="14.25" customHeight="1">
      <c r="A2218" s="4">
        <v>2217.0</v>
      </c>
      <c r="B2218" s="5"/>
      <c r="C2218" s="6" t="str">
        <f>HYPERLINK("https://leetcode.com/problems/find-palindrome-with-fixed-length", "Find Palindrome With Fixed Length")</f>
        <v>Find Palindrome With Fixed Length</v>
      </c>
      <c r="D2218" s="7" t="s">
        <v>8</v>
      </c>
      <c r="E2218" s="8" t="s">
        <v>48</v>
      </c>
      <c r="F2218" s="9">
        <v>0.34</v>
      </c>
      <c r="G2218" s="10"/>
      <c r="H2218" s="10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ht="14.25" customHeight="1">
      <c r="A2219" s="4">
        <v>2218.0</v>
      </c>
      <c r="B2219" s="5"/>
      <c r="C2219" s="6" t="str">
        <f>HYPERLINK("https://leetcode.com/problems/maximum-value-of-k-coins-from-piles", "Maximum Value of K Coins From Piles")</f>
        <v>Maximum Value of K Coins From Piles</v>
      </c>
      <c r="D2219" s="7" t="s">
        <v>11</v>
      </c>
      <c r="E2219" s="8" t="s">
        <v>400</v>
      </c>
      <c r="F2219" s="9">
        <v>0.47</v>
      </c>
      <c r="G2219" s="10"/>
      <c r="H2219" s="10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ht="14.25" customHeight="1">
      <c r="A2220" s="11">
        <v>2219.0</v>
      </c>
      <c r="B2220" s="5"/>
      <c r="C2220" s="12" t="str">
        <f>HYPERLINK("https://leetcode.com/problems/maximum-sum-score-of-array", "Maximum Sum Score of Array")</f>
        <v>Maximum Sum Score of Array</v>
      </c>
      <c r="D2220" s="7" t="s">
        <v>8</v>
      </c>
      <c r="E2220" s="8" t="s">
        <v>130</v>
      </c>
      <c r="F2220" s="9">
        <v>0.59</v>
      </c>
      <c r="G2220" s="10"/>
      <c r="H2220" s="10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ht="14.25" customHeight="1">
      <c r="A2221" s="4">
        <v>2220.0</v>
      </c>
      <c r="B2221" s="5"/>
      <c r="C2221" s="6" t="str">
        <f>HYPERLINK("https://leetcode.com/problems/minimum-bit-flips-to-convert-number", "Minimum Bit Flips to Convert Number")</f>
        <v>Minimum Bit Flips to Convert Number</v>
      </c>
      <c r="D2221" s="7" t="s">
        <v>6</v>
      </c>
      <c r="E2221" s="8" t="s">
        <v>107</v>
      </c>
      <c r="F2221" s="9">
        <v>0.82</v>
      </c>
      <c r="G2221" s="10"/>
      <c r="H2221" s="10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ht="14.25" customHeight="1">
      <c r="A2222" s="4">
        <v>2221.0</v>
      </c>
      <c r="B2222" s="5"/>
      <c r="C2222" s="6" t="str">
        <f>HYPERLINK("https://leetcode.com/problems/find-triangular-sum-of-an-array", "Find Triangular Sum of an Array")</f>
        <v>Find Triangular Sum of an Array</v>
      </c>
      <c r="D2222" s="7" t="s">
        <v>8</v>
      </c>
      <c r="E2222" s="8" t="s">
        <v>822</v>
      </c>
      <c r="F2222" s="9">
        <v>0.78</v>
      </c>
      <c r="G2222" s="10"/>
      <c r="H2222" s="10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ht="14.25" customHeight="1">
      <c r="A2223" s="4">
        <v>2222.0</v>
      </c>
      <c r="B2223" s="5"/>
      <c r="C2223" s="6" t="str">
        <f>HYPERLINK("https://leetcode.com/problems/number-of-ways-to-select-buildings", "Number of Ways to Select Buildings")</f>
        <v>Number of Ways to Select Buildings</v>
      </c>
      <c r="D2223" s="7" t="s">
        <v>8</v>
      </c>
      <c r="E2223" s="8" t="s">
        <v>818</v>
      </c>
      <c r="F2223" s="9">
        <v>0.51</v>
      </c>
      <c r="G2223" s="10"/>
      <c r="H2223" s="10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ht="14.25" customHeight="1">
      <c r="A2224" s="4">
        <v>2223.0</v>
      </c>
      <c r="B2224" s="5"/>
      <c r="C2224" s="6" t="str">
        <f>HYPERLINK("https://leetcode.com/problems/sum-of-scores-of-built-strings", "Sum of Scores of Built Strings")</f>
        <v>Sum of Scores of Built Strings</v>
      </c>
      <c r="D2224" s="7" t="s">
        <v>11</v>
      </c>
      <c r="E2224" s="8" t="s">
        <v>823</v>
      </c>
      <c r="F2224" s="9">
        <v>0.37</v>
      </c>
      <c r="G2224" s="10"/>
      <c r="H2224" s="10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ht="14.25" customHeight="1">
      <c r="A2225" s="4">
        <v>2224.0</v>
      </c>
      <c r="B2225" s="5"/>
      <c r="C2225" s="6" t="str">
        <f>HYPERLINK("https://leetcode.com/problems/minimum-number-of-operations-to-convert-time", "Minimum Number of Operations to Convert Time")</f>
        <v>Minimum Number of Operations to Convert Time</v>
      </c>
      <c r="D2225" s="7" t="s">
        <v>6</v>
      </c>
      <c r="E2225" s="8" t="s">
        <v>465</v>
      </c>
      <c r="F2225" s="9">
        <v>0.65</v>
      </c>
      <c r="G2225" s="10"/>
      <c r="H2225" s="10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ht="14.25" customHeight="1">
      <c r="A2226" s="4">
        <v>2225.0</v>
      </c>
      <c r="B2226" s="5"/>
      <c r="C2226" s="6" t="str">
        <f>HYPERLINK("https://leetcode.com/problems/find-players-with-zero-or-one-losses", "Find Players With Zero or One Losses")</f>
        <v>Find Players With Zero or One Losses</v>
      </c>
      <c r="D2226" s="7" t="s">
        <v>8</v>
      </c>
      <c r="E2226" s="8" t="s">
        <v>127</v>
      </c>
      <c r="F2226" s="9">
        <v>0.73</v>
      </c>
      <c r="G2226" s="10"/>
      <c r="H2226" s="10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ht="14.25" customHeight="1">
      <c r="A2227" s="4">
        <v>2226.0</v>
      </c>
      <c r="B2227" s="5"/>
      <c r="C2227" s="6" t="str">
        <f>HYPERLINK("https://leetcode.com/problems/maximum-candies-allocated-to-k-children", "Maximum Candies Allocated to K Children")</f>
        <v>Maximum Candies Allocated to K Children</v>
      </c>
      <c r="D2227" s="7" t="s">
        <v>8</v>
      </c>
      <c r="E2227" s="8" t="s">
        <v>30</v>
      </c>
      <c r="F2227" s="9">
        <v>0.36</v>
      </c>
      <c r="G2227" s="10"/>
      <c r="H2227" s="10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ht="14.25" customHeight="1">
      <c r="A2228" s="4">
        <v>2227.0</v>
      </c>
      <c r="B2228" s="5"/>
      <c r="C2228" s="6" t="str">
        <f>HYPERLINK("https://leetcode.com/problems/encrypt-and-decrypt-strings", "Encrypt and Decrypt Strings")</f>
        <v>Encrypt and Decrypt Strings</v>
      </c>
      <c r="D2228" s="7" t="s">
        <v>11</v>
      </c>
      <c r="E2228" s="8" t="s">
        <v>824</v>
      </c>
      <c r="F2228" s="9">
        <v>0.39</v>
      </c>
      <c r="G2228" s="10"/>
      <c r="H2228" s="10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ht="14.25" customHeight="1">
      <c r="A2229" s="11">
        <v>2228.0</v>
      </c>
      <c r="B2229" s="5"/>
      <c r="C2229" s="12" t="str">
        <f>HYPERLINK("https://leetcode.com/problems/users-with-two-purchases-within-seven-days", "Users With Two Purchases Within Seven Days")</f>
        <v>Users With Two Purchases Within Seven Days</v>
      </c>
      <c r="D2229" s="7" t="s">
        <v>8</v>
      </c>
      <c r="E2229" s="8" t="s">
        <v>101</v>
      </c>
      <c r="F2229" s="9">
        <v>0.44</v>
      </c>
      <c r="G2229" s="10"/>
      <c r="H2229" s="10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ht="14.25" customHeight="1">
      <c r="A2230" s="11">
        <v>2229.0</v>
      </c>
      <c r="B2230" s="5"/>
      <c r="C2230" s="12" t="str">
        <f>HYPERLINK("https://leetcode.com/problems/check-if-an-array-is-consecutive", "Check if an Array Is Consecutive")</f>
        <v>Check if an Array Is Consecutive</v>
      </c>
      <c r="D2230" s="7" t="s">
        <v>6</v>
      </c>
      <c r="E2230" s="8" t="s">
        <v>45</v>
      </c>
      <c r="F2230" s="9">
        <v>0.61</v>
      </c>
      <c r="G2230" s="10"/>
      <c r="H2230" s="10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ht="14.25" customHeight="1">
      <c r="A2231" s="11">
        <v>2230.0</v>
      </c>
      <c r="B2231" s="5"/>
      <c r="C2231" s="12" t="str">
        <f>HYPERLINK("https://leetcode.com/problems/the-users-that-are-eligible-for-discount", "The Users That Are Eligible for Discount")</f>
        <v>The Users That Are Eligible for Discount</v>
      </c>
      <c r="D2231" s="7" t="s">
        <v>6</v>
      </c>
      <c r="E2231" s="8" t="s">
        <v>101</v>
      </c>
      <c r="F2231" s="9">
        <v>0.5</v>
      </c>
      <c r="G2231" s="10"/>
      <c r="H2231" s="10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ht="14.25" customHeight="1">
      <c r="A2232" s="4">
        <v>2231.0</v>
      </c>
      <c r="B2232" s="5"/>
      <c r="C2232" s="6" t="str">
        <f>HYPERLINK("https://leetcode.com/problems/largest-number-after-digit-swaps-by-parity", "Largest Number After Digit Swaps by Parity")</f>
        <v>Largest Number After Digit Swaps by Parity</v>
      </c>
      <c r="D2232" s="7" t="s">
        <v>6</v>
      </c>
      <c r="E2232" s="8" t="s">
        <v>825</v>
      </c>
      <c r="F2232" s="9">
        <v>0.6</v>
      </c>
      <c r="G2232" s="10"/>
      <c r="H2232" s="10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ht="14.25" customHeight="1">
      <c r="A2233" s="4">
        <v>2232.0</v>
      </c>
      <c r="B2233" s="5"/>
      <c r="C2233" s="6" t="str">
        <f>HYPERLINK("https://leetcode.com/problems/minimize-result-by-adding-parentheses-to-expression", "Minimize Result by Adding Parentheses to Expression")</f>
        <v>Minimize Result by Adding Parentheses to Expression</v>
      </c>
      <c r="D2233" s="7" t="s">
        <v>8</v>
      </c>
      <c r="E2233" s="8" t="s">
        <v>349</v>
      </c>
      <c r="F2233" s="9">
        <v>0.65</v>
      </c>
      <c r="G2233" s="10"/>
      <c r="H2233" s="10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ht="14.25" customHeight="1">
      <c r="A2234" s="4">
        <v>2233.0</v>
      </c>
      <c r="B2234" s="5"/>
      <c r="C2234" s="6" t="str">
        <f>HYPERLINK("https://leetcode.com/problems/maximum-product-after-k-increments", "Maximum Product After K Increments")</f>
        <v>Maximum Product After K Increments</v>
      </c>
      <c r="D2234" s="7" t="s">
        <v>8</v>
      </c>
      <c r="E2234" s="8" t="s">
        <v>326</v>
      </c>
      <c r="F2234" s="9">
        <v>0.41</v>
      </c>
      <c r="G2234" s="10"/>
      <c r="H2234" s="10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ht="14.25" customHeight="1">
      <c r="A2235" s="4">
        <v>2234.0</v>
      </c>
      <c r="B2235" s="5"/>
      <c r="C2235" s="6" t="str">
        <f>HYPERLINK("https://leetcode.com/problems/maximum-total-beauty-of-the-gardens", "Maximum Total Beauty of the Gardens")</f>
        <v>Maximum Total Beauty of the Gardens</v>
      </c>
      <c r="D2235" s="7" t="s">
        <v>11</v>
      </c>
      <c r="E2235" s="8" t="s">
        <v>321</v>
      </c>
      <c r="F2235" s="9">
        <v>0.28</v>
      </c>
      <c r="G2235" s="10"/>
      <c r="H2235" s="10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ht="14.25" customHeight="1">
      <c r="A2236" s="4">
        <v>2235.0</v>
      </c>
      <c r="B2236" s="5"/>
      <c r="C2236" s="6" t="str">
        <f>HYPERLINK("https://leetcode.com/problems/add-two-integers", "Add Two Integers")</f>
        <v>Add Two Integers</v>
      </c>
      <c r="D2236" s="7" t="s">
        <v>6</v>
      </c>
      <c r="E2236" s="8" t="s">
        <v>15</v>
      </c>
      <c r="F2236" s="9">
        <v>0.89</v>
      </c>
      <c r="G2236" s="10"/>
      <c r="H2236" s="10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ht="14.25" customHeight="1">
      <c r="A2237" s="4">
        <v>2236.0</v>
      </c>
      <c r="B2237" s="5"/>
      <c r="C2237" s="6" t="str">
        <f>HYPERLINK("https://leetcode.com/problems/root-equals-sum-of-children", "Root Equals Sum of Children")</f>
        <v>Root Equals Sum of Children</v>
      </c>
      <c r="D2237" s="7" t="s">
        <v>6</v>
      </c>
      <c r="E2237" s="8" t="s">
        <v>471</v>
      </c>
      <c r="F2237" s="9">
        <v>0.86</v>
      </c>
      <c r="G2237" s="10"/>
      <c r="H2237" s="10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ht="14.25" customHeight="1">
      <c r="A2238" s="11">
        <v>2237.0</v>
      </c>
      <c r="B2238" s="5"/>
      <c r="C2238" s="12" t="str">
        <f>HYPERLINK("https://leetcode.com/problems/count-positions-on-street-with-required-brightness", "Count Positions on Street With Required Brightness")</f>
        <v>Count Positions on Street With Required Brightness</v>
      </c>
      <c r="D2238" s="7" t="s">
        <v>8</v>
      </c>
      <c r="E2238" s="8" t="s">
        <v>130</v>
      </c>
      <c r="F2238" s="9">
        <v>0.68</v>
      </c>
      <c r="G2238" s="10"/>
      <c r="H2238" s="10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ht="14.25" customHeight="1">
      <c r="A2239" s="11">
        <v>2238.0</v>
      </c>
      <c r="B2239" s="5"/>
      <c r="C2239" s="12" t="str">
        <f>HYPERLINK("https://leetcode.com/problems/number-of-times-a-driver-was-a-passenger", "Number of Times a Driver Was a Passenger")</f>
        <v>Number of Times a Driver Was a Passenger</v>
      </c>
      <c r="D2239" s="7" t="s">
        <v>8</v>
      </c>
      <c r="E2239" s="8" t="s">
        <v>101</v>
      </c>
      <c r="F2239" s="9">
        <v>0.76</v>
      </c>
      <c r="G2239" s="10"/>
      <c r="H2239" s="10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ht="14.25" customHeight="1">
      <c r="A2240" s="4">
        <v>2239.0</v>
      </c>
      <c r="B2240" s="5"/>
      <c r="C2240" s="6" t="str">
        <f>HYPERLINK("https://leetcode.com/problems/find-closest-number-to-zero", "Find Closest Number to Zero")</f>
        <v>Find Closest Number to Zero</v>
      </c>
      <c r="D2240" s="7" t="s">
        <v>6</v>
      </c>
      <c r="E2240" s="8" t="s">
        <v>45</v>
      </c>
      <c r="F2240" s="9">
        <v>0.45</v>
      </c>
      <c r="G2240" s="10"/>
      <c r="H2240" s="10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ht="14.25" customHeight="1">
      <c r="A2241" s="4">
        <v>2240.0</v>
      </c>
      <c r="B2241" s="5"/>
      <c r="C2241" s="6" t="str">
        <f>HYPERLINK("https://leetcode.com/problems/number-of-ways-to-buy-pens-and-pencils", "Number of Ways to Buy Pens and Pencils")</f>
        <v>Number of Ways to Buy Pens and Pencils</v>
      </c>
      <c r="D2241" s="7" t="s">
        <v>8</v>
      </c>
      <c r="E2241" s="8" t="s">
        <v>404</v>
      </c>
      <c r="F2241" s="9">
        <v>0.57</v>
      </c>
      <c r="G2241" s="10"/>
      <c r="H2241" s="10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ht="14.25" customHeight="1">
      <c r="A2242" s="4">
        <v>2241.0</v>
      </c>
      <c r="B2242" s="5"/>
      <c r="C2242" s="6" t="str">
        <f>HYPERLINK("https://leetcode.com/problems/design-an-atm-machine", "Design an ATM Machine")</f>
        <v>Design an ATM Machine</v>
      </c>
      <c r="D2242" s="7" t="s">
        <v>8</v>
      </c>
      <c r="E2242" s="8" t="s">
        <v>826</v>
      </c>
      <c r="F2242" s="9">
        <v>0.38</v>
      </c>
      <c r="G2242" s="10"/>
      <c r="H2242" s="10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ht="14.25" customHeight="1">
      <c r="A2243" s="4">
        <v>2242.0</v>
      </c>
      <c r="B2243" s="5"/>
      <c r="C2243" s="6" t="str">
        <f>HYPERLINK("https://leetcode.com/problems/maximum-score-of-a-node-sequence", "Maximum Score of a Node Sequence")</f>
        <v>Maximum Score of a Node Sequence</v>
      </c>
      <c r="D2243" s="7" t="s">
        <v>11</v>
      </c>
      <c r="E2243" s="8" t="s">
        <v>827</v>
      </c>
      <c r="F2243" s="9">
        <v>0.37</v>
      </c>
      <c r="G2243" s="10"/>
      <c r="H2243" s="10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ht="14.25" customHeight="1">
      <c r="A2244" s="4">
        <v>2243.0</v>
      </c>
      <c r="B2244" s="5"/>
      <c r="C2244" s="6" t="str">
        <f>HYPERLINK("https://leetcode.com/problems/calculate-digit-sum-of-a-string", "Calculate Digit Sum of a String")</f>
        <v>Calculate Digit Sum of a String</v>
      </c>
      <c r="D2244" s="7" t="s">
        <v>6</v>
      </c>
      <c r="E2244" s="8" t="s">
        <v>340</v>
      </c>
      <c r="F2244" s="9">
        <v>0.66</v>
      </c>
      <c r="G2244" s="10"/>
      <c r="H2244" s="10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ht="14.25" customHeight="1">
      <c r="A2245" s="4">
        <v>2244.0</v>
      </c>
      <c r="B2245" s="5"/>
      <c r="C2245" s="6" t="str">
        <f>HYPERLINK("https://leetcode.com/problems/minimum-rounds-to-complete-all-tasks", "Minimum Rounds to Complete All Tasks")</f>
        <v>Minimum Rounds to Complete All Tasks</v>
      </c>
      <c r="D2245" s="7" t="s">
        <v>8</v>
      </c>
      <c r="E2245" s="8" t="s">
        <v>691</v>
      </c>
      <c r="F2245" s="9">
        <v>0.57</v>
      </c>
      <c r="G2245" s="10"/>
      <c r="H2245" s="10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ht="14.25" customHeight="1">
      <c r="A2246" s="4">
        <v>2245.0</v>
      </c>
      <c r="B2246" s="5"/>
      <c r="C2246" s="6" t="str">
        <f>HYPERLINK("https://leetcode.com/problems/maximum-trailing-zeros-in-a-cornered-path", "Maximum Trailing Zeros in a Cornered Path")</f>
        <v>Maximum Trailing Zeros in a Cornered Path</v>
      </c>
      <c r="D2246" s="7" t="s">
        <v>8</v>
      </c>
      <c r="E2246" s="8" t="s">
        <v>556</v>
      </c>
      <c r="F2246" s="9">
        <v>0.35</v>
      </c>
      <c r="G2246" s="10"/>
      <c r="H2246" s="10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ht="14.25" customHeight="1">
      <c r="A2247" s="4">
        <v>2246.0</v>
      </c>
      <c r="B2247" s="5"/>
      <c r="C2247" s="6" t="str">
        <f>HYPERLINK("https://leetcode.com/problems/longest-path-with-different-adjacent-characters", "Longest Path With Different Adjacent Characters")</f>
        <v>Longest Path With Different Adjacent Characters</v>
      </c>
      <c r="D2247" s="7" t="s">
        <v>11</v>
      </c>
      <c r="E2247" s="8" t="s">
        <v>828</v>
      </c>
      <c r="F2247" s="9">
        <v>0.45</v>
      </c>
      <c r="G2247" s="10"/>
      <c r="H2247" s="10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ht="14.25" customHeight="1">
      <c r="A2248" s="11">
        <v>2247.0</v>
      </c>
      <c r="B2248" s="5"/>
      <c r="C2248" s="12" t="str">
        <f>HYPERLINK("https://leetcode.com/problems/maximum-cost-of-trip-with-k-highways", "Maximum Cost of Trip With K Highways")</f>
        <v>Maximum Cost of Trip With K Highways</v>
      </c>
      <c r="D2248" s="7" t="s">
        <v>11</v>
      </c>
      <c r="E2248" s="8" t="s">
        <v>605</v>
      </c>
      <c r="F2248" s="9">
        <v>0.49</v>
      </c>
      <c r="G2248" s="10"/>
      <c r="H2248" s="10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ht="14.25" customHeight="1">
      <c r="A2249" s="4">
        <v>2248.0</v>
      </c>
      <c r="B2249" s="5"/>
      <c r="C2249" s="6" t="str">
        <f>HYPERLINK("https://leetcode.com/problems/intersection-of-multiple-arrays", "Intersection of Multiple Arrays")</f>
        <v>Intersection of Multiple Arrays</v>
      </c>
      <c r="D2249" s="7" t="s">
        <v>6</v>
      </c>
      <c r="E2249" s="8" t="s">
        <v>474</v>
      </c>
      <c r="F2249" s="9">
        <v>0.69</v>
      </c>
      <c r="G2249" s="10"/>
      <c r="H2249" s="10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ht="14.25" customHeight="1">
      <c r="A2250" s="4">
        <v>2249.0</v>
      </c>
      <c r="B2250" s="5"/>
      <c r="C2250" s="6" t="str">
        <f>HYPERLINK("https://leetcode.com/problems/count-lattice-points-inside-a-circle", "Count Lattice Points Inside a Circle")</f>
        <v>Count Lattice Points Inside a Circle</v>
      </c>
      <c r="D2250" s="7" t="s">
        <v>8</v>
      </c>
      <c r="E2250" s="8" t="s">
        <v>829</v>
      </c>
      <c r="F2250" s="9">
        <v>0.5</v>
      </c>
      <c r="G2250" s="10"/>
      <c r="H2250" s="10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ht="14.25" customHeight="1">
      <c r="A2251" s="4">
        <v>2250.0</v>
      </c>
      <c r="B2251" s="5"/>
      <c r="C2251" s="6" t="str">
        <f>HYPERLINK("https://leetcode.com/problems/count-number-of-rectangles-containing-each-point", "Count Number of Rectangles Containing Each Point")</f>
        <v>Count Number of Rectangles Containing Each Point</v>
      </c>
      <c r="D2251" s="7" t="s">
        <v>8</v>
      </c>
      <c r="E2251" s="8" t="s">
        <v>830</v>
      </c>
      <c r="F2251" s="9">
        <v>0.34</v>
      </c>
      <c r="G2251" s="10"/>
      <c r="H2251" s="10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ht="14.25" customHeight="1">
      <c r="A2252" s="4">
        <v>2251.0</v>
      </c>
      <c r="B2252" s="5"/>
      <c r="C2252" s="6" t="str">
        <f>HYPERLINK("https://leetcode.com/problems/number-of-flowers-in-full-bloom", "Number of Flowers in Full Bloom")</f>
        <v>Number of Flowers in Full Bloom</v>
      </c>
      <c r="D2252" s="7" t="s">
        <v>11</v>
      </c>
      <c r="E2252" s="8" t="s">
        <v>831</v>
      </c>
      <c r="F2252" s="9">
        <v>0.51</v>
      </c>
      <c r="G2252" s="10"/>
      <c r="H2252" s="10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ht="14.25" customHeight="1">
      <c r="A2253" s="11">
        <v>2252.0</v>
      </c>
      <c r="B2253" s="5"/>
      <c r="C2253" s="12" t="str">
        <f>HYPERLINK("https://leetcode.com/problems/dynamic-pivoting-of-a-table", "Dynamic Pivoting of a Table")</f>
        <v>Dynamic Pivoting of a Table</v>
      </c>
      <c r="D2253" s="7" t="s">
        <v>11</v>
      </c>
      <c r="E2253" s="8" t="s">
        <v>101</v>
      </c>
      <c r="F2253" s="9">
        <v>0.56</v>
      </c>
      <c r="G2253" s="10"/>
      <c r="H2253" s="10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ht="14.25" customHeight="1">
      <c r="A2254" s="11">
        <v>2253.0</v>
      </c>
      <c r="B2254" s="5"/>
      <c r="C2254" s="12" t="str">
        <f>HYPERLINK("https://leetcode.com/problems/dynamic-unpivoting-of-a-table", "Dynamic Unpivoting of a Table")</f>
        <v>Dynamic Unpivoting of a Table</v>
      </c>
      <c r="D2254" s="7" t="s">
        <v>11</v>
      </c>
      <c r="E2254" s="8" t="s">
        <v>101</v>
      </c>
      <c r="F2254" s="9">
        <v>0.67</v>
      </c>
      <c r="G2254" s="10"/>
      <c r="H2254" s="10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ht="14.25" customHeight="1">
      <c r="A2255" s="11">
        <v>2254.0</v>
      </c>
      <c r="B2255" s="5"/>
      <c r="C2255" s="12" t="str">
        <f>HYPERLINK("https://leetcode.com/problems/design-video-sharing-platform", "Design Video Sharing Platform")</f>
        <v>Design Video Sharing Platform</v>
      </c>
      <c r="D2255" s="7" t="s">
        <v>11</v>
      </c>
      <c r="E2255" s="8" t="s">
        <v>429</v>
      </c>
      <c r="F2255" s="9">
        <v>0.64</v>
      </c>
      <c r="G2255" s="10"/>
      <c r="H2255" s="10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ht="14.25" customHeight="1">
      <c r="A2256" s="4">
        <v>2255.0</v>
      </c>
      <c r="B2256" s="5"/>
      <c r="C2256" s="6" t="str">
        <f>HYPERLINK("https://leetcode.com/problems/count-prefixes-of-a-given-string", "Count Prefixes of a Given String")</f>
        <v>Count Prefixes of a Given String</v>
      </c>
      <c r="D2256" s="7" t="s">
        <v>6</v>
      </c>
      <c r="E2256" s="8" t="s">
        <v>135</v>
      </c>
      <c r="F2256" s="9">
        <v>0.73</v>
      </c>
      <c r="G2256" s="10"/>
      <c r="H2256" s="10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ht="14.25" customHeight="1">
      <c r="A2257" s="4">
        <v>2256.0</v>
      </c>
      <c r="B2257" s="5"/>
      <c r="C2257" s="6" t="str">
        <f>HYPERLINK("https://leetcode.com/problems/minimum-average-difference", "Minimum Average Difference")</f>
        <v>Minimum Average Difference</v>
      </c>
      <c r="D2257" s="7" t="s">
        <v>8</v>
      </c>
      <c r="E2257" s="8" t="s">
        <v>130</v>
      </c>
      <c r="F2257" s="9">
        <v>0.43</v>
      </c>
      <c r="G2257" s="10"/>
      <c r="H2257" s="10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ht="14.25" customHeight="1">
      <c r="A2258" s="4">
        <v>2257.0</v>
      </c>
      <c r="B2258" s="5"/>
      <c r="C2258" s="6" t="str">
        <f>HYPERLINK("https://leetcode.com/problems/count-unguarded-cells-in-the-grid", "Count Unguarded Cells in the Grid")</f>
        <v>Count Unguarded Cells in the Grid</v>
      </c>
      <c r="D2258" s="7" t="s">
        <v>8</v>
      </c>
      <c r="E2258" s="8" t="s">
        <v>43</v>
      </c>
      <c r="F2258" s="9">
        <v>0.52</v>
      </c>
      <c r="G2258" s="10"/>
      <c r="H2258" s="10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ht="14.25" customHeight="1">
      <c r="A2259" s="4">
        <v>2258.0</v>
      </c>
      <c r="B2259" s="5"/>
      <c r="C2259" s="6" t="str">
        <f>HYPERLINK("https://leetcode.com/problems/escape-the-spreading-fire", "Escape the Spreading Fire")</f>
        <v>Escape the Spreading Fire</v>
      </c>
      <c r="D2259" s="7" t="s">
        <v>11</v>
      </c>
      <c r="E2259" s="8" t="s">
        <v>832</v>
      </c>
      <c r="F2259" s="9">
        <v>0.34</v>
      </c>
      <c r="G2259" s="10"/>
      <c r="H2259" s="10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ht="14.25" customHeight="1">
      <c r="A2260" s="4">
        <v>2259.0</v>
      </c>
      <c r="B2260" s="5"/>
      <c r="C2260" s="6" t="str">
        <f>HYPERLINK("https://leetcode.com/problems/remove-digit-from-number-to-maximize-result", "Remove Digit From Number to Maximize Result")</f>
        <v>Remove Digit From Number to Maximize Result</v>
      </c>
      <c r="D2260" s="7" t="s">
        <v>6</v>
      </c>
      <c r="E2260" s="8" t="s">
        <v>833</v>
      </c>
      <c r="F2260" s="9">
        <v>0.46</v>
      </c>
      <c r="G2260" s="10"/>
      <c r="H2260" s="10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ht="14.25" customHeight="1">
      <c r="A2261" s="4">
        <v>2260.0</v>
      </c>
      <c r="B2261" s="5"/>
      <c r="C2261" s="6" t="str">
        <f>HYPERLINK("https://leetcode.com/problems/minimum-consecutive-cards-to-pick-up", "Minimum Consecutive Cards to Pick Up")</f>
        <v>Minimum Consecutive Cards to Pick Up</v>
      </c>
      <c r="D2261" s="7" t="s">
        <v>8</v>
      </c>
      <c r="E2261" s="8" t="s">
        <v>120</v>
      </c>
      <c r="F2261" s="9">
        <v>0.51</v>
      </c>
      <c r="G2261" s="10"/>
      <c r="H2261" s="10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ht="14.25" customHeight="1">
      <c r="A2262" s="4">
        <v>2261.0</v>
      </c>
      <c r="B2262" s="5"/>
      <c r="C2262" s="6" t="str">
        <f>HYPERLINK("https://leetcode.com/problems/k-divisible-elements-subarrays", "K Divisible Elements Subarrays")</f>
        <v>K Divisible Elements Subarrays</v>
      </c>
      <c r="D2262" s="7" t="s">
        <v>8</v>
      </c>
      <c r="E2262" s="8" t="s">
        <v>834</v>
      </c>
      <c r="F2262" s="9">
        <v>0.47</v>
      </c>
      <c r="G2262" s="10"/>
      <c r="H2262" s="10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ht="14.25" customHeight="1">
      <c r="A2263" s="4">
        <v>2262.0</v>
      </c>
      <c r="B2263" s="5"/>
      <c r="C2263" s="6" t="str">
        <f>HYPERLINK("https://leetcode.com/problems/total-appeal-of-a-string", "Total Appeal of A String")</f>
        <v>Total Appeal of A String</v>
      </c>
      <c r="D2263" s="7" t="s">
        <v>11</v>
      </c>
      <c r="E2263" s="8" t="s">
        <v>403</v>
      </c>
      <c r="F2263" s="9">
        <v>0.57</v>
      </c>
      <c r="G2263" s="10"/>
      <c r="H2263" s="10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ht="14.25" customHeight="1">
      <c r="A2264" s="11">
        <v>2263.0</v>
      </c>
      <c r="B2264" s="5"/>
      <c r="C2264" s="12" t="str">
        <f>HYPERLINK("https://leetcode.com/problems/make-array-non-decreasing-or-non-increasing", "Make Array Non-decreasing or Non-increasing")</f>
        <v>Make Array Non-decreasing or Non-increasing</v>
      </c>
      <c r="D2264" s="7" t="s">
        <v>11</v>
      </c>
      <c r="E2264" s="8" t="s">
        <v>835</v>
      </c>
      <c r="F2264" s="9">
        <v>0.67</v>
      </c>
      <c r="G2264" s="10"/>
      <c r="H2264" s="10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ht="14.25" customHeight="1">
      <c r="A2265" s="4">
        <v>2264.0</v>
      </c>
      <c r="B2265" s="5"/>
      <c r="C2265" s="6" t="str">
        <f>HYPERLINK("https://leetcode.com/problems/largest-3-same-digit-number-in-string", "Largest 3-Same-Digit Number in String")</f>
        <v>Largest 3-Same-Digit Number in String</v>
      </c>
      <c r="D2265" s="7" t="s">
        <v>6</v>
      </c>
      <c r="E2265" s="8" t="s">
        <v>14</v>
      </c>
      <c r="F2265" s="9">
        <v>0.59</v>
      </c>
      <c r="G2265" s="10"/>
      <c r="H2265" s="10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ht="14.25" customHeight="1">
      <c r="A2266" s="4">
        <v>2265.0</v>
      </c>
      <c r="B2266" s="5"/>
      <c r="C2266" s="6" t="str">
        <f>HYPERLINK("https://leetcode.com/problems/count-nodes-equal-to-average-of-subtree", "Count Nodes Equal to Average of Subtree")</f>
        <v>Count Nodes Equal to Average of Subtree</v>
      </c>
      <c r="D2266" s="7" t="s">
        <v>8</v>
      </c>
      <c r="E2266" s="8" t="s">
        <v>69</v>
      </c>
      <c r="F2266" s="9">
        <v>0.85</v>
      </c>
      <c r="G2266" s="10"/>
      <c r="H2266" s="10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ht="14.25" customHeight="1">
      <c r="A2267" s="4">
        <v>2266.0</v>
      </c>
      <c r="B2267" s="5"/>
      <c r="C2267" s="6" t="str">
        <f>HYPERLINK("https://leetcode.com/problems/count-number-of-texts", "Count Number of Texts")</f>
        <v>Count Number of Texts</v>
      </c>
      <c r="D2267" s="7" t="s">
        <v>8</v>
      </c>
      <c r="E2267" s="8" t="s">
        <v>836</v>
      </c>
      <c r="F2267" s="9">
        <v>0.47</v>
      </c>
      <c r="G2267" s="10"/>
      <c r="H2267" s="10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ht="14.25" customHeight="1">
      <c r="A2268" s="4">
        <v>2267.0</v>
      </c>
      <c r="B2268" s="5"/>
      <c r="C2268" s="6" t="str">
        <f>HYPERLINK("https://leetcode.com/problems/check-if-there-is-a-valid-parentheses-string-path", " Check if There Is a Valid Parentheses String Path")</f>
        <v> Check if There Is a Valid Parentheses String Path</v>
      </c>
      <c r="D2268" s="7" t="s">
        <v>11</v>
      </c>
      <c r="E2268" s="8" t="s">
        <v>47</v>
      </c>
      <c r="F2268" s="9">
        <v>0.37</v>
      </c>
      <c r="G2268" s="10"/>
      <c r="H2268" s="10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ht="14.25" customHeight="1">
      <c r="A2269" s="11">
        <v>2268.0</v>
      </c>
      <c r="B2269" s="5"/>
      <c r="C2269" s="12" t="str">
        <f>HYPERLINK("https://leetcode.com/problems/minimum-number-of-keypresses", "Minimum Number of Keypresses")</f>
        <v>Minimum Number of Keypresses</v>
      </c>
      <c r="D2269" s="7" t="s">
        <v>8</v>
      </c>
      <c r="E2269" s="8" t="s">
        <v>837</v>
      </c>
      <c r="F2269" s="9">
        <v>0.73</v>
      </c>
      <c r="G2269" s="10"/>
      <c r="H2269" s="10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ht="14.25" customHeight="1">
      <c r="A2270" s="4">
        <v>2269.0</v>
      </c>
      <c r="B2270" s="5"/>
      <c r="C2270" s="6" t="str">
        <f>HYPERLINK("https://leetcode.com/problems/find-the-k-beauty-of-a-number", "Find the K-Beauty of a Number")</f>
        <v>Find the K-Beauty of a Number</v>
      </c>
      <c r="D2270" s="7" t="s">
        <v>6</v>
      </c>
      <c r="E2270" s="8" t="s">
        <v>838</v>
      </c>
      <c r="F2270" s="9">
        <v>0.56</v>
      </c>
      <c r="G2270" s="10"/>
      <c r="H2270" s="10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ht="14.25" customHeight="1">
      <c r="A2271" s="4">
        <v>2270.0</v>
      </c>
      <c r="B2271" s="5"/>
      <c r="C2271" s="6" t="str">
        <f>HYPERLINK("https://leetcode.com/problems/number-of-ways-to-split-array", "Number of Ways to Split Array")</f>
        <v>Number of Ways to Split Array</v>
      </c>
      <c r="D2271" s="7" t="s">
        <v>8</v>
      </c>
      <c r="E2271" s="8" t="s">
        <v>130</v>
      </c>
      <c r="F2271" s="9">
        <v>0.45</v>
      </c>
      <c r="G2271" s="10"/>
      <c r="H2271" s="10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ht="14.25" customHeight="1">
      <c r="A2272" s="4">
        <v>2271.0</v>
      </c>
      <c r="B2272" s="5"/>
      <c r="C2272" s="6" t="str">
        <f>HYPERLINK("https://leetcode.com/problems/maximum-white-tiles-covered-by-a-carpet", "Maximum White Tiles Covered by a Carpet")</f>
        <v>Maximum White Tiles Covered by a Carpet</v>
      </c>
      <c r="D2272" s="7" t="s">
        <v>8</v>
      </c>
      <c r="E2272" s="8" t="s">
        <v>839</v>
      </c>
      <c r="F2272" s="9">
        <v>0.32</v>
      </c>
      <c r="G2272" s="10"/>
      <c r="H2272" s="10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ht="14.25" customHeight="1">
      <c r="A2273" s="4">
        <v>2272.0</v>
      </c>
      <c r="B2273" s="5"/>
      <c r="C2273" s="6" t="str">
        <f>HYPERLINK("https://leetcode.com/problems/substring-with-largest-variance", "Substring With Largest Variance")</f>
        <v>Substring With Largest Variance</v>
      </c>
      <c r="D2273" s="7" t="s">
        <v>11</v>
      </c>
      <c r="E2273" s="8" t="s">
        <v>73</v>
      </c>
      <c r="F2273" s="9">
        <v>0.37</v>
      </c>
      <c r="G2273" s="10"/>
      <c r="H2273" s="10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ht="14.25" customHeight="1">
      <c r="A2274" s="4">
        <v>2273.0</v>
      </c>
      <c r="B2274" s="5"/>
      <c r="C2274" s="6" t="str">
        <f>HYPERLINK("https://leetcode.com/problems/find-resultant-array-after-removing-anagrams", "Find Resultant Array After Removing Anagrams")</f>
        <v>Find Resultant Array After Removing Anagrams</v>
      </c>
      <c r="D2274" s="7" t="s">
        <v>6</v>
      </c>
      <c r="E2274" s="8" t="s">
        <v>39</v>
      </c>
      <c r="F2274" s="9">
        <v>0.58</v>
      </c>
      <c r="G2274" s="10"/>
      <c r="H2274" s="10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ht="14.25" customHeight="1">
      <c r="A2275" s="4">
        <v>2274.0</v>
      </c>
      <c r="B2275" s="5"/>
      <c r="C2275" s="6" t="str">
        <f>HYPERLINK("https://leetcode.com/problems/maximum-consecutive-floors-without-special-floors", "Maximum Consecutive Floors Without Special Floors")</f>
        <v>Maximum Consecutive Floors Without Special Floors</v>
      </c>
      <c r="D2275" s="7" t="s">
        <v>8</v>
      </c>
      <c r="E2275" s="8" t="s">
        <v>44</v>
      </c>
      <c r="F2275" s="9">
        <v>0.52</v>
      </c>
      <c r="G2275" s="10"/>
      <c r="H2275" s="10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ht="14.25" customHeight="1">
      <c r="A2276" s="4">
        <v>2275.0</v>
      </c>
      <c r="B2276" s="5"/>
      <c r="C2276" s="6" t="str">
        <f>HYPERLINK("https://leetcode.com/problems/largest-combination-with-bitwise-and-greater-than-zero", "Largest Combination With Bitwise AND Greater Than Zero")</f>
        <v>Largest Combination With Bitwise AND Greater Than Zero</v>
      </c>
      <c r="D2276" s="7" t="s">
        <v>8</v>
      </c>
      <c r="E2276" s="8" t="s">
        <v>816</v>
      </c>
      <c r="F2276" s="9">
        <v>0.72</v>
      </c>
      <c r="G2276" s="10"/>
      <c r="H2276" s="10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ht="14.25" customHeight="1">
      <c r="A2277" s="4">
        <v>2276.0</v>
      </c>
      <c r="B2277" s="5"/>
      <c r="C2277" s="6" t="str">
        <f>HYPERLINK("https://leetcode.com/problems/count-integers-in-intervals", "Count Integers in Intervals")</f>
        <v>Count Integers in Intervals</v>
      </c>
      <c r="D2277" s="7" t="s">
        <v>11</v>
      </c>
      <c r="E2277" s="8" t="s">
        <v>362</v>
      </c>
      <c r="F2277" s="9">
        <v>0.34</v>
      </c>
      <c r="G2277" s="10"/>
      <c r="H2277" s="10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ht="14.25" customHeight="1">
      <c r="A2278" s="11">
        <v>2277.0</v>
      </c>
      <c r="B2278" s="5"/>
      <c r="C2278" s="12" t="str">
        <f>HYPERLINK("https://leetcode.com/problems/closest-node-to-path-in-tree", "Closest Node to Path in Tree")</f>
        <v>Closest Node to Path in Tree</v>
      </c>
      <c r="D2278" s="7" t="s">
        <v>11</v>
      </c>
      <c r="E2278" s="8" t="s">
        <v>840</v>
      </c>
      <c r="F2278" s="9">
        <v>0.63</v>
      </c>
      <c r="G2278" s="10"/>
      <c r="H2278" s="10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ht="14.25" customHeight="1">
      <c r="A2279" s="4">
        <v>2278.0</v>
      </c>
      <c r="B2279" s="5"/>
      <c r="C2279" s="6" t="str">
        <f>HYPERLINK("https://leetcode.com/problems/percentage-of-letter-in-string", "Percentage of Letter in String")</f>
        <v>Percentage of Letter in String</v>
      </c>
      <c r="D2279" s="7" t="s">
        <v>6</v>
      </c>
      <c r="E2279" s="8" t="s">
        <v>14</v>
      </c>
      <c r="F2279" s="9">
        <v>0.74</v>
      </c>
      <c r="G2279" s="10"/>
      <c r="H2279" s="10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ht="14.25" customHeight="1">
      <c r="A2280" s="4">
        <v>2279.0</v>
      </c>
      <c r="B2280" s="5"/>
      <c r="C2280" s="6" t="str">
        <f>HYPERLINK("https://leetcode.com/problems/maximum-bags-with-full-capacity-of-rocks", "Maximum Bags With Full Capacity of Rocks")</f>
        <v>Maximum Bags With Full Capacity of Rocks</v>
      </c>
      <c r="D2280" s="7" t="s">
        <v>8</v>
      </c>
      <c r="E2280" s="8" t="s">
        <v>160</v>
      </c>
      <c r="F2280" s="9">
        <v>0.62</v>
      </c>
      <c r="G2280" s="10"/>
      <c r="H2280" s="10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ht="14.25" customHeight="1">
      <c r="A2281" s="4">
        <v>2280.0</v>
      </c>
      <c r="B2281" s="5"/>
      <c r="C2281" s="6" t="str">
        <f>HYPERLINK("https://leetcode.com/problems/minimum-lines-to-represent-a-line-chart", "Minimum Lines to Represent a Line Chart")</f>
        <v>Minimum Lines to Represent a Line Chart</v>
      </c>
      <c r="D2281" s="7" t="s">
        <v>8</v>
      </c>
      <c r="E2281" s="8" t="s">
        <v>841</v>
      </c>
      <c r="F2281" s="9">
        <v>0.23</v>
      </c>
      <c r="G2281" s="10"/>
      <c r="H2281" s="10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ht="14.25" customHeight="1">
      <c r="A2282" s="4">
        <v>2281.0</v>
      </c>
      <c r="B2282" s="5"/>
      <c r="C2282" s="6" t="str">
        <f>HYPERLINK("https://leetcode.com/problems/sum-of-total-strength-of-wizards", "Sum of Total Strength of Wizards")</f>
        <v>Sum of Total Strength of Wizards</v>
      </c>
      <c r="D2282" s="7" t="s">
        <v>11</v>
      </c>
      <c r="E2282" s="8" t="s">
        <v>712</v>
      </c>
      <c r="F2282" s="9">
        <v>0.27</v>
      </c>
      <c r="G2282" s="10"/>
      <c r="H2282" s="10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ht="14.25" customHeight="1">
      <c r="A2283" s="11">
        <v>2282.0</v>
      </c>
      <c r="B2283" s="5"/>
      <c r="C2283" s="12" t="str">
        <f>HYPERLINK("https://leetcode.com/problems/number-of-people-that-can-be-seen-in-a-grid", "Number of People That Can Be Seen in a Grid")</f>
        <v>Number of People That Can Be Seen in a Grid</v>
      </c>
      <c r="D2283" s="7" t="s">
        <v>8</v>
      </c>
      <c r="E2283" s="8" t="s">
        <v>842</v>
      </c>
      <c r="F2283" s="9">
        <v>0.49</v>
      </c>
      <c r="G2283" s="10"/>
      <c r="H2283" s="10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ht="14.25" customHeight="1">
      <c r="A2284" s="4">
        <v>2283.0</v>
      </c>
      <c r="B2284" s="5"/>
      <c r="C2284" s="6" t="str">
        <f>HYPERLINK("https://leetcode.com/problems/check-if-number-has-equal-digit-count-and-digit-value", "Check if Number Has Equal Digit Count and Digit Value")</f>
        <v>Check if Number Has Equal Digit Count and Digit Value</v>
      </c>
      <c r="D2284" s="7" t="s">
        <v>6</v>
      </c>
      <c r="E2284" s="8" t="s">
        <v>172</v>
      </c>
      <c r="F2284" s="9">
        <v>0.73</v>
      </c>
      <c r="G2284" s="10"/>
      <c r="H2284" s="10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ht="14.25" customHeight="1">
      <c r="A2285" s="4">
        <v>2284.0</v>
      </c>
      <c r="B2285" s="5"/>
      <c r="C2285" s="6" t="str">
        <f>HYPERLINK("https://leetcode.com/problems/sender-with-largest-word-count", "Sender With Largest Word Count")</f>
        <v>Sender With Largest Word Count</v>
      </c>
      <c r="D2285" s="7" t="s">
        <v>8</v>
      </c>
      <c r="E2285" s="8" t="s">
        <v>399</v>
      </c>
      <c r="F2285" s="9">
        <v>0.55</v>
      </c>
      <c r="G2285" s="10"/>
      <c r="H2285" s="10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ht="14.25" customHeight="1">
      <c r="A2286" s="4">
        <v>2285.0</v>
      </c>
      <c r="B2286" s="5"/>
      <c r="C2286" s="6" t="str">
        <f>HYPERLINK("https://leetcode.com/problems/maximum-total-importance-of-roads", "Maximum Total Importance of Roads")</f>
        <v>Maximum Total Importance of Roads</v>
      </c>
      <c r="D2286" s="7" t="s">
        <v>8</v>
      </c>
      <c r="E2286" s="8" t="s">
        <v>843</v>
      </c>
      <c r="F2286" s="9">
        <v>0.6</v>
      </c>
      <c r="G2286" s="10"/>
      <c r="H2286" s="10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ht="14.25" customHeight="1">
      <c r="A2287" s="4">
        <v>2286.0</v>
      </c>
      <c r="B2287" s="5"/>
      <c r="C2287" s="6" t="str">
        <f>HYPERLINK("https://leetcode.com/problems/booking-concert-tickets-in-groups", "Booking Concert Tickets in Groups")</f>
        <v>Booking Concert Tickets in Groups</v>
      </c>
      <c r="D2287" s="7" t="s">
        <v>11</v>
      </c>
      <c r="E2287" s="8" t="s">
        <v>844</v>
      </c>
      <c r="F2287" s="9">
        <v>0.15</v>
      </c>
      <c r="G2287" s="10"/>
      <c r="H2287" s="10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ht="14.25" customHeight="1">
      <c r="A2288" s="4">
        <v>2287.0</v>
      </c>
      <c r="B2288" s="5"/>
      <c r="C2288" s="6" t="str">
        <f>HYPERLINK("https://leetcode.com/problems/rearrange-characters-to-make-target-string", "Rearrange Characters to Make Target String")</f>
        <v>Rearrange Characters to Make Target String</v>
      </c>
      <c r="D2288" s="7" t="s">
        <v>6</v>
      </c>
      <c r="E2288" s="8" t="s">
        <v>172</v>
      </c>
      <c r="F2288" s="9">
        <v>0.57</v>
      </c>
      <c r="G2288" s="10"/>
      <c r="H2288" s="10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ht="14.25" customHeight="1">
      <c r="A2289" s="4">
        <v>2288.0</v>
      </c>
      <c r="B2289" s="5"/>
      <c r="C2289" s="6" t="str">
        <f>HYPERLINK("https://leetcode.com/problems/apply-discount-to-prices", "Apply Discount to Prices")</f>
        <v>Apply Discount to Prices</v>
      </c>
      <c r="D2289" s="7" t="s">
        <v>8</v>
      </c>
      <c r="E2289" s="8" t="s">
        <v>14</v>
      </c>
      <c r="F2289" s="9">
        <v>0.27</v>
      </c>
      <c r="G2289" s="10"/>
      <c r="H2289" s="10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ht="14.25" customHeight="1">
      <c r="A2290" s="4">
        <v>2289.0</v>
      </c>
      <c r="B2290" s="5"/>
      <c r="C2290" s="6" t="str">
        <f>HYPERLINK("https://leetcode.com/problems/steps-to-make-array-non-decreasing", "Steps to Make Array Non-decreasing")</f>
        <v>Steps to Make Array Non-decreasing</v>
      </c>
      <c r="D2290" s="7" t="s">
        <v>8</v>
      </c>
      <c r="E2290" s="8" t="s">
        <v>475</v>
      </c>
      <c r="F2290" s="9">
        <v>0.21</v>
      </c>
      <c r="G2290" s="10"/>
      <c r="H2290" s="10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ht="14.25" customHeight="1">
      <c r="A2291" s="4">
        <v>2290.0</v>
      </c>
      <c r="B2291" s="5"/>
      <c r="C2291" s="6" t="str">
        <f>HYPERLINK("https://leetcode.com/problems/minimum-obstacle-removal-to-reach-corner", "Minimum Obstacle Removal to Reach Corner")</f>
        <v>Minimum Obstacle Removal to Reach Corner</v>
      </c>
      <c r="D2291" s="7" t="s">
        <v>11</v>
      </c>
      <c r="E2291" s="8" t="s">
        <v>569</v>
      </c>
      <c r="F2291" s="9">
        <v>0.48</v>
      </c>
      <c r="G2291" s="10"/>
      <c r="H2291" s="10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ht="14.25" customHeight="1">
      <c r="A2292" s="11">
        <v>2291.0</v>
      </c>
      <c r="B2292" s="5"/>
      <c r="C2292" s="12" t="str">
        <f>HYPERLINK("https://leetcode.com/problems/maximum-profit-from-trading-stocks", "Maximum Profit From Trading Stocks")</f>
        <v>Maximum Profit From Trading Stocks</v>
      </c>
      <c r="D2292" s="7" t="s">
        <v>8</v>
      </c>
      <c r="E2292" s="8" t="s">
        <v>73</v>
      </c>
      <c r="F2292" s="9">
        <v>0.45</v>
      </c>
      <c r="G2292" s="10"/>
      <c r="H2292" s="10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ht="14.25" customHeight="1">
      <c r="A2293" s="11">
        <v>2292.0</v>
      </c>
      <c r="B2293" s="5"/>
      <c r="C2293" s="12" t="str">
        <f>HYPERLINK("https://leetcode.com/problems/products-with-three-or-more-orders-in-two-consecutive-years", "Products With Three or More Orders in Two Consecutive Years")</f>
        <v>Products With Three or More Orders in Two Consecutive Years</v>
      </c>
      <c r="D2293" s="7" t="s">
        <v>8</v>
      </c>
      <c r="E2293" s="8" t="s">
        <v>101</v>
      </c>
      <c r="F2293" s="9">
        <v>0.4</v>
      </c>
      <c r="G2293" s="10"/>
      <c r="H2293" s="10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ht="14.25" customHeight="1">
      <c r="A2294" s="4">
        <v>2293.0</v>
      </c>
      <c r="B2294" s="5"/>
      <c r="C2294" s="6" t="str">
        <f>HYPERLINK("https://leetcode.com/problems/min-max-game", "Min Max Game")</f>
        <v>Min Max Game</v>
      </c>
      <c r="D2294" s="7" t="s">
        <v>6</v>
      </c>
      <c r="E2294" s="8" t="s">
        <v>288</v>
      </c>
      <c r="F2294" s="9">
        <v>0.64</v>
      </c>
      <c r="G2294" s="10"/>
      <c r="H2294" s="10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ht="14.25" customHeight="1">
      <c r="A2295" s="4">
        <v>2294.0</v>
      </c>
      <c r="B2295" s="5"/>
      <c r="C2295" s="6" t="str">
        <f>HYPERLINK("https://leetcode.com/problems/partition-array-such-that-maximum-difference-is-k", "Partition Array Such That Maximum Difference Is K")</f>
        <v>Partition Array Such That Maximum Difference Is K</v>
      </c>
      <c r="D2295" s="7" t="s">
        <v>8</v>
      </c>
      <c r="E2295" s="8" t="s">
        <v>160</v>
      </c>
      <c r="F2295" s="9">
        <v>0.72</v>
      </c>
      <c r="G2295" s="10"/>
      <c r="H2295" s="10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ht="14.25" customHeight="1">
      <c r="A2296" s="4">
        <v>2295.0</v>
      </c>
      <c r="B2296" s="5"/>
      <c r="C2296" s="6" t="str">
        <f>HYPERLINK("https://leetcode.com/problems/replace-elements-in-an-array", "Replace Elements in an Array")</f>
        <v>Replace Elements in an Array</v>
      </c>
      <c r="D2296" s="7" t="s">
        <v>8</v>
      </c>
      <c r="E2296" s="8" t="s">
        <v>815</v>
      </c>
      <c r="F2296" s="9">
        <v>0.57</v>
      </c>
      <c r="G2296" s="10"/>
      <c r="H2296" s="10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ht="14.25" customHeight="1">
      <c r="A2297" s="4">
        <v>2296.0</v>
      </c>
      <c r="B2297" s="5"/>
      <c r="C2297" s="6" t="str">
        <f>HYPERLINK("https://leetcode.com/problems/design-a-text-editor", "Design a Text Editor")</f>
        <v>Design a Text Editor</v>
      </c>
      <c r="D2297" s="7" t="s">
        <v>11</v>
      </c>
      <c r="E2297" s="8" t="s">
        <v>845</v>
      </c>
      <c r="F2297" s="9">
        <v>0.4</v>
      </c>
      <c r="G2297" s="10"/>
      <c r="H2297" s="10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ht="14.25" customHeight="1">
      <c r="A2298" s="11">
        <v>2297.0</v>
      </c>
      <c r="B2298" s="5"/>
      <c r="C2298" s="12" t="str">
        <f>HYPERLINK("https://leetcode.com/problems/jump-game-viii", "Jump Game VIII")</f>
        <v>Jump Game VIII</v>
      </c>
      <c r="D2298" s="7" t="s">
        <v>8</v>
      </c>
      <c r="E2298" s="8" t="s">
        <v>846</v>
      </c>
      <c r="F2298" s="9">
        <v>0.56</v>
      </c>
      <c r="G2298" s="10"/>
      <c r="H2298" s="10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ht="14.25" customHeight="1">
      <c r="A2299" s="11">
        <v>2298.0</v>
      </c>
      <c r="B2299" s="5"/>
      <c r="C2299" s="12" t="str">
        <f>HYPERLINK("https://leetcode.com/problems/tasks-count-in-the-weekend", "Tasks Count in the Weekend")</f>
        <v>Tasks Count in the Weekend</v>
      </c>
      <c r="D2299" s="7" t="s">
        <v>8</v>
      </c>
      <c r="E2299" s="8" t="s">
        <v>101</v>
      </c>
      <c r="F2299" s="9">
        <v>0.87</v>
      </c>
      <c r="G2299" s="10"/>
      <c r="H2299" s="10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ht="14.25" customHeight="1">
      <c r="A2300" s="4">
        <v>2299.0</v>
      </c>
      <c r="B2300" s="5"/>
      <c r="C2300" s="6" t="str">
        <f>HYPERLINK("https://leetcode.com/problems/strong-password-checker-ii", "Strong Password Checker II")</f>
        <v>Strong Password Checker II</v>
      </c>
      <c r="D2300" s="7" t="s">
        <v>6</v>
      </c>
      <c r="E2300" s="8" t="s">
        <v>14</v>
      </c>
      <c r="F2300" s="9">
        <v>0.56</v>
      </c>
      <c r="G2300" s="10"/>
      <c r="H2300" s="10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ht="14.25" customHeight="1">
      <c r="A2301" s="4">
        <v>2300.0</v>
      </c>
      <c r="B2301" s="5"/>
      <c r="C2301" s="6" t="str">
        <f>HYPERLINK("https://leetcode.com/problems/successful-pairs-of-spells-and-potions", "Successful Pairs of Spells and Potions")</f>
        <v>Successful Pairs of Spells and Potions</v>
      </c>
      <c r="D2301" s="7" t="s">
        <v>8</v>
      </c>
      <c r="E2301" s="8" t="s">
        <v>145</v>
      </c>
      <c r="F2301" s="9">
        <v>0.31</v>
      </c>
      <c r="G2301" s="10"/>
      <c r="H2301" s="10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ht="14.25" customHeight="1">
      <c r="A2302" s="4">
        <v>2301.0</v>
      </c>
      <c r="B2302" s="5"/>
      <c r="C2302" s="6" t="str">
        <f>HYPERLINK("https://leetcode.com/problems/match-substring-after-replacement", "Match Substring After Replacement")</f>
        <v>Match Substring After Replacement</v>
      </c>
      <c r="D2302" s="7" t="s">
        <v>11</v>
      </c>
      <c r="E2302" s="8" t="s">
        <v>847</v>
      </c>
      <c r="F2302" s="9">
        <v>0.39</v>
      </c>
      <c r="G2302" s="10"/>
      <c r="H2302" s="10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ht="14.25" customHeight="1">
      <c r="A2303" s="4">
        <v>2302.0</v>
      </c>
      <c r="B2303" s="5"/>
      <c r="C2303" s="6" t="str">
        <f>HYPERLINK("https://leetcode.com/problems/count-subarrays-with-score-less-than-k", "Count Subarrays With Score Less Than K")</f>
        <v>Count Subarrays With Score Less Than K</v>
      </c>
      <c r="D2303" s="7" t="s">
        <v>11</v>
      </c>
      <c r="E2303" s="8" t="s">
        <v>113</v>
      </c>
      <c r="F2303" s="9">
        <v>0.52</v>
      </c>
      <c r="G2303" s="10"/>
      <c r="H2303" s="10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ht="14.25" customHeight="1">
      <c r="A2304" s="4">
        <v>2303.0</v>
      </c>
      <c r="B2304" s="5"/>
      <c r="C2304" s="6" t="str">
        <f>HYPERLINK("https://leetcode.com/problems/calculate-amount-paid-in-taxes", "Calculate Amount Paid in Taxes")</f>
        <v>Calculate Amount Paid in Taxes</v>
      </c>
      <c r="D2304" s="7" t="s">
        <v>6</v>
      </c>
      <c r="E2304" s="8" t="s">
        <v>288</v>
      </c>
      <c r="F2304" s="9">
        <v>0.63</v>
      </c>
      <c r="G2304" s="10"/>
      <c r="H2304" s="10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ht="14.25" customHeight="1">
      <c r="A2305" s="4">
        <v>2304.0</v>
      </c>
      <c r="B2305" s="5"/>
      <c r="C2305" s="6" t="str">
        <f>HYPERLINK("https://leetcode.com/problems/minimum-path-cost-in-a-grid", "Minimum Path Cost in a Grid")</f>
        <v>Minimum Path Cost in a Grid</v>
      </c>
      <c r="D2305" s="7" t="s">
        <v>8</v>
      </c>
      <c r="E2305" s="8" t="s">
        <v>47</v>
      </c>
      <c r="F2305" s="9">
        <v>0.65</v>
      </c>
      <c r="G2305" s="10"/>
      <c r="H2305" s="10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ht="14.25" customHeight="1">
      <c r="A2306" s="4">
        <v>2305.0</v>
      </c>
      <c r="B2306" s="5"/>
      <c r="C2306" s="6" t="str">
        <f>HYPERLINK("https://leetcode.com/problems/fair-distribution-of-cookies", "Fair Distribution of Cookies")</f>
        <v>Fair Distribution of Cookies</v>
      </c>
      <c r="D2306" s="7" t="s">
        <v>8</v>
      </c>
      <c r="E2306" s="8" t="s">
        <v>273</v>
      </c>
      <c r="F2306" s="9">
        <v>0.62</v>
      </c>
      <c r="G2306" s="10"/>
      <c r="H2306" s="10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ht="14.25" customHeight="1">
      <c r="A2307" s="4">
        <v>2306.0</v>
      </c>
      <c r="B2307" s="5"/>
      <c r="C2307" s="6" t="str">
        <f>HYPERLINK("https://leetcode.com/problems/naming-a-company", "Naming a Company")</f>
        <v>Naming a Company</v>
      </c>
      <c r="D2307" s="7" t="s">
        <v>11</v>
      </c>
      <c r="E2307" s="8" t="s">
        <v>848</v>
      </c>
      <c r="F2307" s="9">
        <v>0.34</v>
      </c>
      <c r="G2307" s="10"/>
      <c r="H2307" s="10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ht="14.25" customHeight="1">
      <c r="A2308" s="11">
        <v>2307.0</v>
      </c>
      <c r="B2308" s="5"/>
      <c r="C2308" s="12" t="str">
        <f>HYPERLINK("https://leetcode.com/problems/check-for-contradictions-in-equations", "Check for Contradictions in Equations")</f>
        <v>Check for Contradictions in Equations</v>
      </c>
      <c r="D2308" s="7" t="s">
        <v>11</v>
      </c>
      <c r="E2308" s="8" t="s">
        <v>849</v>
      </c>
      <c r="F2308" s="9">
        <v>0.42</v>
      </c>
      <c r="G2308" s="10"/>
      <c r="H2308" s="10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ht="14.25" customHeight="1">
      <c r="A2309" s="11">
        <v>2308.0</v>
      </c>
      <c r="B2309" s="5"/>
      <c r="C2309" s="12" t="str">
        <f>HYPERLINK("https://leetcode.com/problems/arrange-table-by-gender", "Arrange Table by Gender")</f>
        <v>Arrange Table by Gender</v>
      </c>
      <c r="D2309" s="7" t="s">
        <v>8</v>
      </c>
      <c r="E2309" s="8" t="s">
        <v>101</v>
      </c>
      <c r="F2309" s="9">
        <v>0.78</v>
      </c>
      <c r="G2309" s="10"/>
      <c r="H2309" s="10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ht="14.25" customHeight="1">
      <c r="A2310" s="4">
        <v>2309.0</v>
      </c>
      <c r="B2310" s="5"/>
      <c r="C2310" s="6" t="str">
        <f>HYPERLINK("https://leetcode.com/problems/greatest-english-letter-in-upper-and-lower-case", "Greatest English Letter in Upper and Lower Case")</f>
        <v>Greatest English Letter in Upper and Lower Case</v>
      </c>
      <c r="D2310" s="7" t="s">
        <v>6</v>
      </c>
      <c r="E2310" s="8" t="s">
        <v>850</v>
      </c>
      <c r="F2310" s="9">
        <v>0.68</v>
      </c>
      <c r="G2310" s="10"/>
      <c r="H2310" s="10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ht="14.25" customHeight="1">
      <c r="A2311" s="4">
        <v>2310.0</v>
      </c>
      <c r="B2311" s="5"/>
      <c r="C2311" s="6" t="str">
        <f>HYPERLINK("https://leetcode.com/problems/sum-of-numbers-with-units-digit-k", "Sum of Numbers With Units Digit K")</f>
        <v>Sum of Numbers With Units Digit K</v>
      </c>
      <c r="D2311" s="7" t="s">
        <v>8</v>
      </c>
      <c r="E2311" s="8" t="s">
        <v>851</v>
      </c>
      <c r="F2311" s="9">
        <v>0.25</v>
      </c>
      <c r="G2311" s="10"/>
      <c r="H2311" s="10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ht="14.25" customHeight="1">
      <c r="A2312" s="4">
        <v>2311.0</v>
      </c>
      <c r="B2312" s="5"/>
      <c r="C2312" s="6" t="str">
        <f>HYPERLINK("https://leetcode.com/problems/longest-binary-subsequence-less-than-or-equal-to-k", "Longest Binary Subsequence Less Than or Equal to K")</f>
        <v>Longest Binary Subsequence Less Than or Equal to K</v>
      </c>
      <c r="D2312" s="7" t="s">
        <v>8</v>
      </c>
      <c r="E2312" s="8" t="s">
        <v>852</v>
      </c>
      <c r="F2312" s="9">
        <v>0.36</v>
      </c>
      <c r="G2312" s="10"/>
      <c r="H2312" s="10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ht="14.25" customHeight="1">
      <c r="A2313" s="4">
        <v>2312.0</v>
      </c>
      <c r="B2313" s="5"/>
      <c r="C2313" s="6" t="str">
        <f>HYPERLINK("https://leetcode.com/problems/selling-pieces-of-wood", "Selling Pieces of Wood")</f>
        <v>Selling Pieces of Wood</v>
      </c>
      <c r="D2313" s="7" t="s">
        <v>11</v>
      </c>
      <c r="E2313" s="8" t="s">
        <v>308</v>
      </c>
      <c r="F2313" s="9">
        <v>0.48</v>
      </c>
      <c r="G2313" s="10"/>
      <c r="H2313" s="10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ht="14.25" customHeight="1">
      <c r="A2314" s="11">
        <v>2313.0</v>
      </c>
      <c r="B2314" s="5"/>
      <c r="C2314" s="12" t="str">
        <f>HYPERLINK("https://leetcode.com/problems/minimum-flips-in-binary-tree-to-get-result", "Minimum Flips in Binary Tree to Get Result")</f>
        <v>Minimum Flips in Binary Tree to Get Result</v>
      </c>
      <c r="D2314" s="7" t="s">
        <v>11</v>
      </c>
      <c r="E2314" s="8" t="s">
        <v>74</v>
      </c>
      <c r="F2314" s="9">
        <v>0.66</v>
      </c>
      <c r="G2314" s="10"/>
      <c r="H2314" s="10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ht="14.25" customHeight="1">
      <c r="A2315" s="11">
        <v>2314.0</v>
      </c>
      <c r="B2315" s="5"/>
      <c r="C2315" s="12" t="str">
        <f>HYPERLINK("https://leetcode.com/problems/the-first-day-of-the-maximum-recorded-degree-in-each-city", "The First Day of the Maximum Recorded Degree in Each City")</f>
        <v>The First Day of the Maximum Recorded Degree in Each City</v>
      </c>
      <c r="D2315" s="7" t="s">
        <v>8</v>
      </c>
      <c r="E2315" s="8" t="s">
        <v>101</v>
      </c>
      <c r="F2315" s="9">
        <v>0.76</v>
      </c>
      <c r="G2315" s="10"/>
      <c r="H2315" s="10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ht="14.25" customHeight="1">
      <c r="A2316" s="4">
        <v>2315.0</v>
      </c>
      <c r="B2316" s="5"/>
      <c r="C2316" s="6" t="str">
        <f>HYPERLINK("https://leetcode.com/problems/count-asterisks", "Count Asterisks")</f>
        <v>Count Asterisks</v>
      </c>
      <c r="D2316" s="7" t="s">
        <v>6</v>
      </c>
      <c r="E2316" s="8" t="s">
        <v>14</v>
      </c>
      <c r="F2316" s="9">
        <v>0.82</v>
      </c>
      <c r="G2316" s="10"/>
      <c r="H2316" s="10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ht="14.25" customHeight="1">
      <c r="A2317" s="4">
        <v>2316.0</v>
      </c>
      <c r="B2317" s="5"/>
      <c r="C2317" s="6" t="str">
        <f>HYPERLINK("https://leetcode.com/problems/count-unreachable-pairs-of-nodes-in-an-undirected-graph", "Count Unreachable Pairs of Nodes in an Undirected Graph")</f>
        <v>Count Unreachable Pairs of Nodes in an Undirected Graph</v>
      </c>
      <c r="D2317" s="7" t="s">
        <v>8</v>
      </c>
      <c r="E2317" s="8" t="s">
        <v>146</v>
      </c>
      <c r="F2317" s="9">
        <v>0.38</v>
      </c>
      <c r="G2317" s="10"/>
      <c r="H2317" s="10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ht="14.25" customHeight="1">
      <c r="A2318" s="4">
        <v>2317.0</v>
      </c>
      <c r="B2318" s="5"/>
      <c r="C2318" s="6" t="str">
        <f>HYPERLINK("https://leetcode.com/problems/maximum-xor-after-operations", "Maximum XOR After Operations ")</f>
        <v>Maximum XOR After Operations </v>
      </c>
      <c r="D2318" s="7" t="s">
        <v>8</v>
      </c>
      <c r="E2318" s="8" t="s">
        <v>277</v>
      </c>
      <c r="F2318" s="9">
        <v>0.78</v>
      </c>
      <c r="G2318" s="10"/>
      <c r="H2318" s="10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ht="14.25" customHeight="1">
      <c r="A2319" s="4">
        <v>2318.0</v>
      </c>
      <c r="B2319" s="5"/>
      <c r="C2319" s="6" t="str">
        <f>HYPERLINK("https://leetcode.com/problems/number-of-distinct-roll-sequences", "Number of Distinct Roll Sequences")</f>
        <v>Number of Distinct Roll Sequences</v>
      </c>
      <c r="D2319" s="7" t="s">
        <v>11</v>
      </c>
      <c r="E2319" s="8" t="s">
        <v>624</v>
      </c>
      <c r="F2319" s="9">
        <v>0.56</v>
      </c>
      <c r="G2319" s="10"/>
      <c r="H2319" s="10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ht="14.25" customHeight="1">
      <c r="A2320" s="4">
        <v>2319.0</v>
      </c>
      <c r="B2320" s="5"/>
      <c r="C2320" s="6" t="str">
        <f>HYPERLINK("https://leetcode.com/problems/check-if-matrix-is-x-matrix", "Check if Matrix Is X-Matrix")</f>
        <v>Check if Matrix Is X-Matrix</v>
      </c>
      <c r="D2320" s="7" t="s">
        <v>6</v>
      </c>
      <c r="E2320" s="8" t="s">
        <v>251</v>
      </c>
      <c r="F2320" s="9">
        <v>0.67</v>
      </c>
      <c r="G2320" s="10"/>
      <c r="H2320" s="10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ht="14.25" customHeight="1">
      <c r="A2321" s="4">
        <v>2320.0</v>
      </c>
      <c r="B2321" s="5"/>
      <c r="C2321" s="6" t="str">
        <f>HYPERLINK("https://leetcode.com/problems/count-number-of-ways-to-place-houses", "Count Number of Ways to Place Houses")</f>
        <v>Count Number of Ways to Place Houses</v>
      </c>
      <c r="D2321" s="7" t="s">
        <v>8</v>
      </c>
      <c r="E2321" s="8" t="s">
        <v>156</v>
      </c>
      <c r="F2321" s="9">
        <v>0.4</v>
      </c>
      <c r="G2321" s="10"/>
      <c r="H2321" s="10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ht="14.25" customHeight="1">
      <c r="A2322" s="4">
        <v>2321.0</v>
      </c>
      <c r="B2322" s="5"/>
      <c r="C2322" s="6" t="str">
        <f>HYPERLINK("https://leetcode.com/problems/maximum-score-of-spliced-array", "Maximum Score Of Spliced Array")</f>
        <v>Maximum Score Of Spliced Array</v>
      </c>
      <c r="D2322" s="7" t="s">
        <v>11</v>
      </c>
      <c r="E2322" s="8" t="s">
        <v>73</v>
      </c>
      <c r="F2322" s="9">
        <v>0.55</v>
      </c>
      <c r="G2322" s="10"/>
      <c r="H2322" s="10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ht="14.25" customHeight="1">
      <c r="A2323" s="4">
        <v>2322.0</v>
      </c>
      <c r="B2323" s="5"/>
      <c r="C2323" s="6" t="str">
        <f>HYPERLINK("https://leetcode.com/problems/minimum-score-after-removals-on-a-tree", "Minimum Score After Removals on a Tree")</f>
        <v>Minimum Score After Removals on a Tree</v>
      </c>
      <c r="D2323" s="7" t="s">
        <v>11</v>
      </c>
      <c r="E2323" s="8" t="s">
        <v>853</v>
      </c>
      <c r="F2323" s="9">
        <v>0.5</v>
      </c>
      <c r="G2323" s="10"/>
      <c r="H2323" s="10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ht="14.25" customHeight="1">
      <c r="A2324" s="11">
        <v>2323.0</v>
      </c>
      <c r="B2324" s="5"/>
      <c r="C2324" s="12" t="str">
        <f>HYPERLINK("https://leetcode.com/problems/find-minimum-time-to-finish-all-jobs-ii", "Find Minimum Time to Finish All Jobs II")</f>
        <v>Find Minimum Time to Finish All Jobs II</v>
      </c>
      <c r="D2324" s="7" t="s">
        <v>8</v>
      </c>
      <c r="E2324" s="8" t="s">
        <v>160</v>
      </c>
      <c r="F2324" s="9">
        <v>0.75</v>
      </c>
      <c r="G2324" s="10"/>
      <c r="H2324" s="10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ht="14.25" customHeight="1">
      <c r="A2325" s="11">
        <v>2324.0</v>
      </c>
      <c r="B2325" s="5"/>
      <c r="C2325" s="12" t="str">
        <f>HYPERLINK("https://leetcode.com/problems/product-sales-analysis-iv", "Product Sales Analysis IV")</f>
        <v>Product Sales Analysis IV</v>
      </c>
      <c r="D2325" s="7" t="s">
        <v>8</v>
      </c>
      <c r="E2325" s="8" t="s">
        <v>101</v>
      </c>
      <c r="F2325" s="9">
        <v>0.83</v>
      </c>
      <c r="G2325" s="10"/>
      <c r="H2325" s="10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ht="14.25" customHeight="1">
      <c r="A2326" s="4">
        <v>2325.0</v>
      </c>
      <c r="B2326" s="5"/>
      <c r="C2326" s="6" t="str">
        <f>HYPERLINK("https://leetcode.com/problems/decode-the-message", "Decode the Message")</f>
        <v>Decode the Message</v>
      </c>
      <c r="D2326" s="7" t="s">
        <v>6</v>
      </c>
      <c r="E2326" s="8" t="s">
        <v>110</v>
      </c>
      <c r="F2326" s="9">
        <v>0.84</v>
      </c>
      <c r="G2326" s="10"/>
      <c r="H2326" s="10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ht="14.25" customHeight="1">
      <c r="A2327" s="4">
        <v>2326.0</v>
      </c>
      <c r="B2327" s="5"/>
      <c r="C2327" s="6" t="str">
        <f>HYPERLINK("https://leetcode.com/problems/spiral-matrix-iv", "Spiral Matrix IV")</f>
        <v>Spiral Matrix IV</v>
      </c>
      <c r="D2327" s="7" t="s">
        <v>8</v>
      </c>
      <c r="E2327" s="8" t="s">
        <v>854</v>
      </c>
      <c r="F2327" s="9">
        <v>0.74</v>
      </c>
      <c r="G2327" s="10"/>
      <c r="H2327" s="10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ht="14.25" customHeight="1">
      <c r="A2328" s="4">
        <v>2327.0</v>
      </c>
      <c r="B2328" s="5"/>
      <c r="C2328" s="6" t="str">
        <f>HYPERLINK("https://leetcode.com/problems/number-of-people-aware-of-a-secret", "Number of People Aware of a Secret")</f>
        <v>Number of People Aware of a Secret</v>
      </c>
      <c r="D2328" s="7" t="s">
        <v>8</v>
      </c>
      <c r="E2328" s="8" t="s">
        <v>855</v>
      </c>
      <c r="F2328" s="9">
        <v>0.44</v>
      </c>
      <c r="G2328" s="10"/>
      <c r="H2328" s="10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ht="14.25" customHeight="1">
      <c r="A2329" s="4">
        <v>2328.0</v>
      </c>
      <c r="B2329" s="5"/>
      <c r="C2329" s="6" t="str">
        <f>HYPERLINK("https://leetcode.com/problems/number-of-increasing-paths-in-a-grid", "Number of Increasing Paths in a Grid")</f>
        <v>Number of Increasing Paths in a Grid</v>
      </c>
      <c r="D2329" s="7" t="s">
        <v>11</v>
      </c>
      <c r="E2329" s="8" t="s">
        <v>192</v>
      </c>
      <c r="F2329" s="9">
        <v>0.47</v>
      </c>
      <c r="G2329" s="10"/>
      <c r="H2329" s="10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ht="14.25" customHeight="1">
      <c r="A2330" s="11">
        <v>2329.0</v>
      </c>
      <c r="B2330" s="5"/>
      <c r="C2330" s="12" t="str">
        <f>HYPERLINK("https://leetcode.com/problems/product-sales-analysis-v", "Product Sales Analysis V")</f>
        <v>Product Sales Analysis V</v>
      </c>
      <c r="D2330" s="7" t="s">
        <v>6</v>
      </c>
      <c r="E2330" s="8" t="s">
        <v>101</v>
      </c>
      <c r="F2330" s="9">
        <v>0.69</v>
      </c>
      <c r="G2330" s="10"/>
      <c r="H2330" s="10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ht="14.25" customHeight="1">
      <c r="A2331" s="11">
        <v>2330.0</v>
      </c>
      <c r="B2331" s="5"/>
      <c r="C2331" s="12" t="str">
        <f>HYPERLINK("https://leetcode.com/problems/valid-palindrome-iv", "Valid Palindrome IV")</f>
        <v>Valid Palindrome IV</v>
      </c>
      <c r="D2331" s="7" t="s">
        <v>8</v>
      </c>
      <c r="E2331" s="8" t="s">
        <v>75</v>
      </c>
      <c r="F2331" s="9">
        <v>0.75</v>
      </c>
      <c r="G2331" s="10"/>
      <c r="H2331" s="10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ht="14.25" customHeight="1">
      <c r="A2332" s="4">
        <v>2331.0</v>
      </c>
      <c r="B2332" s="5"/>
      <c r="C2332" s="6" t="str">
        <f>HYPERLINK("https://leetcode.com/problems/evaluate-boolean-binary-tree", "Evaluate Boolean Binary Tree")</f>
        <v>Evaluate Boolean Binary Tree</v>
      </c>
      <c r="D2332" s="7" t="s">
        <v>6</v>
      </c>
      <c r="E2332" s="8" t="s">
        <v>856</v>
      </c>
      <c r="F2332" s="9">
        <v>0.79</v>
      </c>
      <c r="G2332" s="10"/>
      <c r="H2332" s="10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ht="14.25" customHeight="1">
      <c r="A2333" s="4">
        <v>2332.0</v>
      </c>
      <c r="B2333" s="5"/>
      <c r="C2333" s="6" t="str">
        <f>HYPERLINK("https://leetcode.com/problems/the-latest-time-to-catch-a-bus", "The Latest Time to Catch a Bus")</f>
        <v>The Latest Time to Catch a Bus</v>
      </c>
      <c r="D2333" s="7" t="s">
        <v>8</v>
      </c>
      <c r="E2333" s="8" t="s">
        <v>145</v>
      </c>
      <c r="F2333" s="9">
        <v>0.22</v>
      </c>
      <c r="G2333" s="10"/>
      <c r="H2333" s="10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ht="14.25" customHeight="1">
      <c r="A2334" s="4">
        <v>2333.0</v>
      </c>
      <c r="B2334" s="5"/>
      <c r="C2334" s="6" t="str">
        <f>HYPERLINK("https://leetcode.com/problems/minimum-sum-of-squared-difference", "Minimum Sum of Squared Difference")</f>
        <v>Minimum Sum of Squared Difference</v>
      </c>
      <c r="D2334" s="7" t="s">
        <v>8</v>
      </c>
      <c r="E2334" s="8" t="s">
        <v>857</v>
      </c>
      <c r="F2334" s="9">
        <v>0.25</v>
      </c>
      <c r="G2334" s="10"/>
      <c r="H2334" s="10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ht="14.25" customHeight="1">
      <c r="A2335" s="4">
        <v>2334.0</v>
      </c>
      <c r="B2335" s="5"/>
      <c r="C2335" s="6" t="str">
        <f>HYPERLINK("https://leetcode.com/problems/subarray-with-elements-greater-than-varying-threshold", "Subarray With Elements Greater Than Varying Threshold")</f>
        <v>Subarray With Elements Greater Than Varying Threshold</v>
      </c>
      <c r="D2335" s="7" t="s">
        <v>11</v>
      </c>
      <c r="E2335" s="8" t="s">
        <v>858</v>
      </c>
      <c r="F2335" s="9">
        <v>0.4</v>
      </c>
      <c r="G2335" s="10"/>
      <c r="H2335" s="10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ht="14.25" customHeight="1">
      <c r="A2336" s="4">
        <v>2335.0</v>
      </c>
      <c r="B2336" s="5"/>
      <c r="C2336" s="6" t="str">
        <f>HYPERLINK("https://leetcode.com/problems/minimum-amount-of-time-to-fill-cups", "Minimum Amount of Time to Fill Cups")</f>
        <v>Minimum Amount of Time to Fill Cups</v>
      </c>
      <c r="D2336" s="7" t="s">
        <v>6</v>
      </c>
      <c r="E2336" s="8" t="s">
        <v>326</v>
      </c>
      <c r="F2336" s="9">
        <v>0.55</v>
      </c>
      <c r="G2336" s="10"/>
      <c r="H2336" s="10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ht="14.25" customHeight="1">
      <c r="A2337" s="4">
        <v>2336.0</v>
      </c>
      <c r="B2337" s="5"/>
      <c r="C2337" s="6" t="str">
        <f>HYPERLINK("https://leetcode.com/problems/smallest-number-in-infinite-set", "Smallest Number in Infinite Set")</f>
        <v>Smallest Number in Infinite Set</v>
      </c>
      <c r="D2337" s="7" t="s">
        <v>8</v>
      </c>
      <c r="E2337" s="8" t="s">
        <v>859</v>
      </c>
      <c r="F2337" s="9">
        <v>0.71</v>
      </c>
      <c r="G2337" s="10"/>
      <c r="H2337" s="10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ht="14.25" customHeight="1">
      <c r="A2338" s="4">
        <v>2337.0</v>
      </c>
      <c r="B2338" s="5"/>
      <c r="C2338" s="6" t="str">
        <f>HYPERLINK("https://leetcode.com/problems/move-pieces-to-obtain-a-string", "Move Pieces to Obtain a String")</f>
        <v>Move Pieces to Obtain a String</v>
      </c>
      <c r="D2338" s="7" t="s">
        <v>8</v>
      </c>
      <c r="E2338" s="8" t="s">
        <v>75</v>
      </c>
      <c r="F2338" s="9">
        <v>0.48</v>
      </c>
      <c r="G2338" s="10"/>
      <c r="H2338" s="10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ht="14.25" customHeight="1">
      <c r="A2339" s="4">
        <v>2338.0</v>
      </c>
      <c r="B2339" s="5"/>
      <c r="C2339" s="6" t="str">
        <f>HYPERLINK("https://leetcode.com/problems/count-the-number-of-ideal-arrays", "Count the Number of Ideal Arrays")</f>
        <v>Count the Number of Ideal Arrays</v>
      </c>
      <c r="D2339" s="7" t="s">
        <v>11</v>
      </c>
      <c r="E2339" s="8" t="s">
        <v>860</v>
      </c>
      <c r="F2339" s="9">
        <v>0.25</v>
      </c>
      <c r="G2339" s="10"/>
      <c r="H2339" s="10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ht="14.25" customHeight="1">
      <c r="A2340" s="11">
        <v>2339.0</v>
      </c>
      <c r="B2340" s="5"/>
      <c r="C2340" s="12" t="str">
        <f>HYPERLINK("https://leetcode.com/problems/all-the-matches-of-the-league", "All the Matches of the League")</f>
        <v>All the Matches of the League</v>
      </c>
      <c r="D2340" s="7" t="s">
        <v>6</v>
      </c>
      <c r="E2340" s="8" t="s">
        <v>101</v>
      </c>
      <c r="F2340" s="9">
        <v>0.88</v>
      </c>
      <c r="G2340" s="10"/>
      <c r="H2340" s="10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ht="14.25" customHeight="1">
      <c r="A2341" s="11">
        <v>2340.0</v>
      </c>
      <c r="B2341" s="5"/>
      <c r="C2341" s="12" t="str">
        <f>HYPERLINK("https://leetcode.com/problems/minimum-adjacent-swaps-to-make-a-valid-array", "Minimum Adjacent Swaps to Make a Valid Array")</f>
        <v>Minimum Adjacent Swaps to Make a Valid Array</v>
      </c>
      <c r="D2341" s="7" t="s">
        <v>8</v>
      </c>
      <c r="E2341" s="8" t="s">
        <v>81</v>
      </c>
      <c r="F2341" s="9">
        <v>0.76</v>
      </c>
      <c r="G2341" s="10"/>
      <c r="H2341" s="10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ht="14.25" customHeight="1">
      <c r="A2342" s="4">
        <v>2341.0</v>
      </c>
      <c r="B2342" s="5"/>
      <c r="C2342" s="6" t="str">
        <f>HYPERLINK("https://leetcode.com/problems/maximum-number-of-pairs-in-array", "Maximum Number of Pairs in Array")</f>
        <v>Maximum Number of Pairs in Array</v>
      </c>
      <c r="D2342" s="7" t="s">
        <v>6</v>
      </c>
      <c r="E2342" s="8" t="s">
        <v>474</v>
      </c>
      <c r="F2342" s="9">
        <v>0.76</v>
      </c>
      <c r="G2342" s="10"/>
      <c r="H2342" s="10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ht="14.25" customHeight="1">
      <c r="A2343" s="4">
        <v>2342.0</v>
      </c>
      <c r="B2343" s="5"/>
      <c r="C2343" s="6" t="str">
        <f>HYPERLINK("https://leetcode.com/problems/max-sum-of-a-pair-with-equal-sum-of-digits", "Max Sum of a Pair With Equal Sum of Digits")</f>
        <v>Max Sum of a Pair With Equal Sum of Digits</v>
      </c>
      <c r="D2343" s="7" t="s">
        <v>8</v>
      </c>
      <c r="E2343" s="8" t="s">
        <v>785</v>
      </c>
      <c r="F2343" s="9">
        <v>0.53</v>
      </c>
      <c r="G2343" s="10"/>
      <c r="H2343" s="10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ht="14.25" customHeight="1">
      <c r="A2344" s="4">
        <v>2343.0</v>
      </c>
      <c r="B2344" s="5"/>
      <c r="C2344" s="6" t="str">
        <f>HYPERLINK("https://leetcode.com/problems/query-kth-smallest-trimmed-number", "Query Kth Smallest Trimmed Number")</f>
        <v>Query Kth Smallest Trimmed Number</v>
      </c>
      <c r="D2344" s="7" t="s">
        <v>8</v>
      </c>
      <c r="E2344" s="8" t="s">
        <v>861</v>
      </c>
      <c r="F2344" s="9">
        <v>0.4</v>
      </c>
      <c r="G2344" s="10"/>
      <c r="H2344" s="10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ht="14.25" customHeight="1">
      <c r="A2345" s="4">
        <v>2344.0</v>
      </c>
      <c r="B2345" s="5"/>
      <c r="C2345" s="6" t="str">
        <f>HYPERLINK("https://leetcode.com/problems/minimum-deletions-to-make-array-divisible", "Minimum Deletions to Make Array Divisible")</f>
        <v>Minimum Deletions to Make Array Divisible</v>
      </c>
      <c r="D2345" s="7" t="s">
        <v>11</v>
      </c>
      <c r="E2345" s="8" t="s">
        <v>862</v>
      </c>
      <c r="F2345" s="9">
        <v>0.56</v>
      </c>
      <c r="G2345" s="10"/>
      <c r="H2345" s="10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ht="14.25" customHeight="1">
      <c r="A2346" s="11">
        <v>2345.0</v>
      </c>
      <c r="B2346" s="5"/>
      <c r="C2346" s="12" t="str">
        <f>HYPERLINK("https://leetcode.com/problems/finding-the-number-of-visible-mountains", "Finding the Number of Visible Mountains")</f>
        <v>Finding the Number of Visible Mountains</v>
      </c>
      <c r="D2346" s="7" t="s">
        <v>8</v>
      </c>
      <c r="E2346" s="8" t="s">
        <v>415</v>
      </c>
      <c r="F2346" s="9">
        <v>0.44</v>
      </c>
      <c r="G2346" s="10"/>
      <c r="H2346" s="10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ht="14.25" customHeight="1">
      <c r="A2347" s="11">
        <v>2346.0</v>
      </c>
      <c r="B2347" s="5"/>
      <c r="C2347" s="12" t="str">
        <f>HYPERLINK("https://leetcode.com/problems/compute-the-rank-as-a-percentage", "Compute the Rank as a Percentage")</f>
        <v>Compute the Rank as a Percentage</v>
      </c>
      <c r="D2347" s="7" t="s">
        <v>8</v>
      </c>
      <c r="E2347" s="8" t="s">
        <v>101</v>
      </c>
      <c r="F2347" s="9">
        <v>0.33</v>
      </c>
      <c r="G2347" s="10"/>
      <c r="H2347" s="10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ht="14.25" customHeight="1">
      <c r="A2348" s="4">
        <v>2347.0</v>
      </c>
      <c r="B2348" s="5"/>
      <c r="C2348" s="6" t="str">
        <f>HYPERLINK("https://leetcode.com/problems/best-poker-hand", "Best Poker Hand")</f>
        <v>Best Poker Hand</v>
      </c>
      <c r="D2348" s="7" t="s">
        <v>6</v>
      </c>
      <c r="E2348" s="8" t="s">
        <v>474</v>
      </c>
      <c r="F2348" s="9">
        <v>0.6</v>
      </c>
      <c r="G2348" s="10"/>
      <c r="H2348" s="10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ht="14.25" customHeight="1">
      <c r="A2349" s="4">
        <v>2348.0</v>
      </c>
      <c r="B2349" s="5"/>
      <c r="C2349" s="6" t="str">
        <f>HYPERLINK("https://leetcode.com/problems/number-of-zero-filled-subarrays", "Number of Zero-Filled Subarrays")</f>
        <v>Number of Zero-Filled Subarrays</v>
      </c>
      <c r="D2349" s="7" t="s">
        <v>8</v>
      </c>
      <c r="E2349" s="8" t="s">
        <v>48</v>
      </c>
      <c r="F2349" s="9">
        <v>0.57</v>
      </c>
      <c r="G2349" s="10"/>
      <c r="H2349" s="10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ht="14.25" customHeight="1">
      <c r="A2350" s="4">
        <v>2349.0</v>
      </c>
      <c r="B2350" s="5"/>
      <c r="C2350" s="6" t="str">
        <f>HYPERLINK("https://leetcode.com/problems/design-a-number-container-system", "Design a Number Container System")</f>
        <v>Design a Number Container System</v>
      </c>
      <c r="D2350" s="7" t="s">
        <v>8</v>
      </c>
      <c r="E2350" s="8" t="s">
        <v>863</v>
      </c>
      <c r="F2350" s="9">
        <v>0.46</v>
      </c>
      <c r="G2350" s="10"/>
      <c r="H2350" s="10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ht="14.25" customHeight="1">
      <c r="A2351" s="4">
        <v>2350.0</v>
      </c>
      <c r="B2351" s="5"/>
      <c r="C2351" s="6" t="str">
        <f>HYPERLINK("https://leetcode.com/problems/shortest-impossible-sequence-of-rolls", "Shortest Impossible Sequence of Rolls")</f>
        <v>Shortest Impossible Sequence of Rolls</v>
      </c>
      <c r="D2351" s="7" t="s">
        <v>11</v>
      </c>
      <c r="E2351" s="8" t="s">
        <v>864</v>
      </c>
      <c r="F2351" s="9">
        <v>0.68</v>
      </c>
      <c r="G2351" s="10"/>
      <c r="H2351" s="10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ht="14.25" customHeight="1">
      <c r="A2352" s="4">
        <v>2351.0</v>
      </c>
      <c r="B2352" s="5"/>
      <c r="C2352" s="6" t="str">
        <f>HYPERLINK("https://leetcode.com/problems/first-letter-to-appear-twice", "First Letter to Appear Twice")</f>
        <v>First Letter to Appear Twice</v>
      </c>
      <c r="D2352" s="7" t="s">
        <v>6</v>
      </c>
      <c r="E2352" s="8" t="s">
        <v>172</v>
      </c>
      <c r="F2352" s="9">
        <v>0.75</v>
      </c>
      <c r="G2352" s="10"/>
      <c r="H2352" s="10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ht="14.25" customHeight="1">
      <c r="A2353" s="4">
        <v>2352.0</v>
      </c>
      <c r="B2353" s="5"/>
      <c r="C2353" s="6" t="str">
        <f>HYPERLINK("https://leetcode.com/problems/equal-row-and-column-pairs", "Equal Row and Column Pairs")</f>
        <v>Equal Row and Column Pairs</v>
      </c>
      <c r="D2353" s="7" t="s">
        <v>8</v>
      </c>
      <c r="E2353" s="8" t="s">
        <v>546</v>
      </c>
      <c r="F2353" s="9">
        <v>0.71</v>
      </c>
      <c r="G2353" s="10"/>
      <c r="H2353" s="10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ht="14.25" customHeight="1">
      <c r="A2354" s="4">
        <v>2353.0</v>
      </c>
      <c r="B2354" s="5"/>
      <c r="C2354" s="6" t="str">
        <f>HYPERLINK("https://leetcode.com/problems/design-a-food-rating-system", "Design a Food Rating System")</f>
        <v>Design a Food Rating System</v>
      </c>
      <c r="D2354" s="7" t="s">
        <v>8</v>
      </c>
      <c r="E2354" s="8" t="s">
        <v>863</v>
      </c>
      <c r="F2354" s="9">
        <v>0.34</v>
      </c>
      <c r="G2354" s="10"/>
      <c r="H2354" s="10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ht="14.25" customHeight="1">
      <c r="A2355" s="4">
        <v>2354.0</v>
      </c>
      <c r="B2355" s="5"/>
      <c r="C2355" s="6" t="str">
        <f>HYPERLINK("https://leetcode.com/problems/number-of-excellent-pairs", "Number of Excellent Pairs")</f>
        <v>Number of Excellent Pairs</v>
      </c>
      <c r="D2355" s="7" t="s">
        <v>11</v>
      </c>
      <c r="E2355" s="8" t="s">
        <v>865</v>
      </c>
      <c r="F2355" s="9">
        <v>0.45</v>
      </c>
      <c r="G2355" s="10"/>
      <c r="H2355" s="10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ht="14.25" customHeight="1">
      <c r="A2356" s="11">
        <v>2355.0</v>
      </c>
      <c r="B2356" s="5"/>
      <c r="C2356" s="12" t="str">
        <f>HYPERLINK("https://leetcode.com/problems/maximum-number-of-books-you-can-take", "Maximum Number of Books You Can Take")</f>
        <v>Maximum Number of Books You Can Take</v>
      </c>
      <c r="D2356" s="7" t="s">
        <v>11</v>
      </c>
      <c r="E2356" s="8" t="s">
        <v>436</v>
      </c>
      <c r="F2356" s="9">
        <v>0.45</v>
      </c>
      <c r="G2356" s="10"/>
      <c r="H2356" s="10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ht="14.25" customHeight="1">
      <c r="A2357" s="11">
        <v>2356.0</v>
      </c>
      <c r="B2357" s="5"/>
      <c r="C2357" s="12" t="str">
        <f>HYPERLINK("https://leetcode.com/problems/number-of-unique-subjects-taught-by-each-teacher", "Number of Unique Subjects Taught by Each Teacher")</f>
        <v>Number of Unique Subjects Taught by Each Teacher</v>
      </c>
      <c r="D2357" s="7" t="s">
        <v>6</v>
      </c>
      <c r="E2357" s="8" t="s">
        <v>101</v>
      </c>
      <c r="F2357" s="9">
        <v>0.91</v>
      </c>
      <c r="G2357" s="10"/>
      <c r="H2357" s="10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ht="14.25" customHeight="1">
      <c r="A2358" s="4">
        <v>2357.0</v>
      </c>
      <c r="B2358" s="5"/>
      <c r="C2358" s="6" t="str">
        <f>HYPERLINK("https://leetcode.com/problems/make-array-zero-by-subtracting-equal-amounts", "Make Array Zero by Subtracting Equal Amounts")</f>
        <v>Make Array Zero by Subtracting Equal Amounts</v>
      </c>
      <c r="D2358" s="7" t="s">
        <v>6</v>
      </c>
      <c r="E2358" s="8" t="s">
        <v>866</v>
      </c>
      <c r="F2358" s="9">
        <v>0.72</v>
      </c>
      <c r="G2358" s="10"/>
      <c r="H2358" s="10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ht="14.25" customHeight="1">
      <c r="A2359" s="4">
        <v>2358.0</v>
      </c>
      <c r="B2359" s="5"/>
      <c r="C2359" s="6" t="str">
        <f>HYPERLINK("https://leetcode.com/problems/maximum-number-of-groups-entering-a-competition", "Maximum Number of Groups Entering a Competition")</f>
        <v>Maximum Number of Groups Entering a Competition</v>
      </c>
      <c r="D2359" s="7" t="s">
        <v>8</v>
      </c>
      <c r="E2359" s="8" t="s">
        <v>867</v>
      </c>
      <c r="F2359" s="9">
        <v>0.67</v>
      </c>
      <c r="G2359" s="10"/>
      <c r="H2359" s="10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ht="14.25" customHeight="1">
      <c r="A2360" s="4">
        <v>2359.0</v>
      </c>
      <c r="B2360" s="5"/>
      <c r="C2360" s="6" t="str">
        <f>HYPERLINK("https://leetcode.com/problems/find-closest-node-to-given-two-nodes", "Find Closest Node to Given Two Nodes")</f>
        <v>Find Closest Node to Given Two Nodes</v>
      </c>
      <c r="D2360" s="7" t="s">
        <v>8</v>
      </c>
      <c r="E2360" s="8" t="s">
        <v>486</v>
      </c>
      <c r="F2360" s="9">
        <v>0.34</v>
      </c>
      <c r="G2360" s="10"/>
      <c r="H2360" s="10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ht="14.25" customHeight="1">
      <c r="A2361" s="4">
        <v>2360.0</v>
      </c>
      <c r="B2361" s="5"/>
      <c r="C2361" s="6" t="str">
        <f>HYPERLINK("https://leetcode.com/problems/longest-cycle-in-a-graph", "Longest Cycle in a Graph")</f>
        <v>Longest Cycle in a Graph</v>
      </c>
      <c r="D2361" s="7" t="s">
        <v>11</v>
      </c>
      <c r="E2361" s="8" t="s">
        <v>792</v>
      </c>
      <c r="F2361" s="9">
        <v>0.38</v>
      </c>
      <c r="G2361" s="10"/>
      <c r="H2361" s="10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ht="14.25" customHeight="1">
      <c r="A2362" s="11">
        <v>2361.0</v>
      </c>
      <c r="B2362" s="5"/>
      <c r="C2362" s="12" t="str">
        <f>HYPERLINK("https://leetcode.com/problems/minimum-costs-using-the-train-line", "Minimum Costs Using the Train Line")</f>
        <v>Minimum Costs Using the Train Line</v>
      </c>
      <c r="D2362" s="7" t="s">
        <v>11</v>
      </c>
      <c r="E2362" s="8" t="s">
        <v>73</v>
      </c>
      <c r="F2362" s="9">
        <v>0.76</v>
      </c>
      <c r="G2362" s="10"/>
      <c r="H2362" s="10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ht="14.25" customHeight="1">
      <c r="A2363" s="11">
        <v>2362.0</v>
      </c>
      <c r="B2363" s="5"/>
      <c r="C2363" s="12" t="str">
        <f>HYPERLINK("https://leetcode.com/problems/generate-the-invoice", "Generate the Invoice")</f>
        <v>Generate the Invoice</v>
      </c>
      <c r="D2363" s="7" t="s">
        <v>11</v>
      </c>
      <c r="E2363" s="8" t="s">
        <v>101</v>
      </c>
      <c r="F2363" s="9">
        <v>0.87</v>
      </c>
      <c r="G2363" s="10"/>
      <c r="H2363" s="10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ht="14.25" customHeight="1">
      <c r="A2364" s="4">
        <v>2363.0</v>
      </c>
      <c r="B2364" s="5"/>
      <c r="C2364" s="6" t="str">
        <f>HYPERLINK("https://leetcode.com/problems/merge-similar-items", "Merge Similar Items")</f>
        <v>Merge Similar Items</v>
      </c>
      <c r="D2364" s="7" t="s">
        <v>6</v>
      </c>
      <c r="E2364" s="8" t="s">
        <v>868</v>
      </c>
      <c r="F2364" s="9">
        <v>0.75</v>
      </c>
      <c r="G2364" s="10"/>
      <c r="H2364" s="10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ht="14.25" customHeight="1">
      <c r="A2365" s="4">
        <v>2364.0</v>
      </c>
      <c r="B2365" s="5"/>
      <c r="C2365" s="6" t="str">
        <f>HYPERLINK("https://leetcode.com/problems/count-number-of-bad-pairs", "Count Number of Bad Pairs")</f>
        <v>Count Number of Bad Pairs</v>
      </c>
      <c r="D2365" s="7" t="s">
        <v>8</v>
      </c>
      <c r="E2365" s="8" t="s">
        <v>7</v>
      </c>
      <c r="F2365" s="9">
        <v>0.4</v>
      </c>
      <c r="G2365" s="10"/>
      <c r="H2365" s="10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ht="14.25" customHeight="1">
      <c r="A2366" s="4">
        <v>2365.0</v>
      </c>
      <c r="B2366" s="5"/>
      <c r="C2366" s="6" t="str">
        <f>HYPERLINK("https://leetcode.com/problems/task-scheduler-ii", "Task Scheduler II")</f>
        <v>Task Scheduler II</v>
      </c>
      <c r="D2366" s="7" t="s">
        <v>8</v>
      </c>
      <c r="E2366" s="8" t="s">
        <v>815</v>
      </c>
      <c r="F2366" s="9">
        <v>0.46</v>
      </c>
      <c r="G2366" s="10"/>
      <c r="H2366" s="10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ht="14.25" customHeight="1">
      <c r="A2367" s="4">
        <v>2366.0</v>
      </c>
      <c r="B2367" s="5"/>
      <c r="C2367" s="6" t="str">
        <f>HYPERLINK("https://leetcode.com/problems/minimum-replacements-to-sort-the-array", "Minimum Replacements to Sort the Array")</f>
        <v>Minimum Replacements to Sort the Array</v>
      </c>
      <c r="D2367" s="7" t="s">
        <v>11</v>
      </c>
      <c r="E2367" s="8" t="s">
        <v>526</v>
      </c>
      <c r="F2367" s="9">
        <v>0.4</v>
      </c>
      <c r="G2367" s="10"/>
      <c r="H2367" s="10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ht="14.25" customHeight="1">
      <c r="A2368" s="4">
        <v>2367.0</v>
      </c>
      <c r="B2368" s="5"/>
      <c r="C2368" s="6" t="str">
        <f>HYPERLINK("https://leetcode.com/problems/number-of-arithmetic-triplets", "Number of Arithmetic Triplets")</f>
        <v>Number of Arithmetic Triplets</v>
      </c>
      <c r="D2368" s="7" t="s">
        <v>6</v>
      </c>
      <c r="E2368" s="8" t="s">
        <v>869</v>
      </c>
      <c r="F2368" s="9">
        <v>0.83</v>
      </c>
      <c r="G2368" s="10"/>
      <c r="H2368" s="10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ht="14.25" customHeight="1">
      <c r="A2369" s="4">
        <v>2368.0</v>
      </c>
      <c r="B2369" s="5"/>
      <c r="C2369" s="6" t="str">
        <f>HYPERLINK("https://leetcode.com/problems/reachable-nodes-with-restrictions", "Reachable Nodes With Restrictions")</f>
        <v>Reachable Nodes With Restrictions</v>
      </c>
      <c r="D2369" s="7" t="s">
        <v>8</v>
      </c>
      <c r="E2369" s="8" t="s">
        <v>870</v>
      </c>
      <c r="F2369" s="9">
        <v>0.57</v>
      </c>
      <c r="G2369" s="10"/>
      <c r="H2369" s="10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ht="14.25" customHeight="1">
      <c r="A2370" s="4">
        <v>2369.0</v>
      </c>
      <c r="B2370" s="5"/>
      <c r="C2370" s="6" t="str">
        <f>HYPERLINK("https://leetcode.com/problems/check-if-there-is-a-valid-partition-for-the-array", "Check if There is a Valid Partition For The Array")</f>
        <v>Check if There is a Valid Partition For The Array</v>
      </c>
      <c r="D2370" s="7" t="s">
        <v>8</v>
      </c>
      <c r="E2370" s="8" t="s">
        <v>73</v>
      </c>
      <c r="F2370" s="9">
        <v>0.4</v>
      </c>
      <c r="G2370" s="10"/>
      <c r="H2370" s="10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ht="14.25" customHeight="1">
      <c r="A2371" s="4">
        <v>2370.0</v>
      </c>
      <c r="B2371" s="5"/>
      <c r="C2371" s="6" t="str">
        <f>HYPERLINK("https://leetcode.com/problems/longest-ideal-subsequence", "Longest Ideal Subsequence")</f>
        <v>Longest Ideal Subsequence</v>
      </c>
      <c r="D2371" s="7" t="s">
        <v>8</v>
      </c>
      <c r="E2371" s="8" t="s">
        <v>403</v>
      </c>
      <c r="F2371" s="9">
        <v>0.37</v>
      </c>
      <c r="G2371" s="10"/>
      <c r="H2371" s="10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ht="14.25" customHeight="1">
      <c r="A2372" s="11">
        <v>2371.0</v>
      </c>
      <c r="B2372" s="5"/>
      <c r="C2372" s="12" t="str">
        <f>HYPERLINK("https://leetcode.com/problems/minimize-maximum-value-in-a-grid", "Minimize Maximum Value in a Grid")</f>
        <v>Minimize Maximum Value in a Grid</v>
      </c>
      <c r="D2372" s="7" t="s">
        <v>11</v>
      </c>
      <c r="E2372" s="8" t="s">
        <v>871</v>
      </c>
      <c r="F2372" s="9">
        <v>0.7</v>
      </c>
      <c r="G2372" s="10"/>
      <c r="H2372" s="10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ht="14.25" customHeight="1">
      <c r="A2373" s="11">
        <v>2372.0</v>
      </c>
      <c r="B2373" s="5"/>
      <c r="C2373" s="12" t="str">
        <f>HYPERLINK("https://leetcode.com/problems/calculate-the-influence-of-each-salesperson", "Calculate the Influence of Each Salesperson")</f>
        <v>Calculate the Influence of Each Salesperson</v>
      </c>
      <c r="D2373" s="7" t="s">
        <v>8</v>
      </c>
      <c r="E2373" s="8" t="s">
        <v>101</v>
      </c>
      <c r="F2373" s="9">
        <v>0.87</v>
      </c>
      <c r="G2373" s="10"/>
      <c r="H2373" s="10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ht="14.25" customHeight="1">
      <c r="A2374" s="4">
        <v>2373.0</v>
      </c>
      <c r="B2374" s="5"/>
      <c r="C2374" s="6" t="str">
        <f>HYPERLINK("https://leetcode.com/problems/largest-local-values-in-a-matrix", "Largest Local Values in a Matrix")</f>
        <v>Largest Local Values in a Matrix</v>
      </c>
      <c r="D2374" s="7" t="s">
        <v>6</v>
      </c>
      <c r="E2374" s="8" t="s">
        <v>251</v>
      </c>
      <c r="F2374" s="9">
        <v>0.83</v>
      </c>
      <c r="G2374" s="10"/>
      <c r="H2374" s="10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ht="14.25" customHeight="1">
      <c r="A2375" s="4">
        <v>2374.0</v>
      </c>
      <c r="B2375" s="5"/>
      <c r="C2375" s="6" t="str">
        <f>HYPERLINK("https://leetcode.com/problems/node-with-highest-edge-score", "Node With Highest Edge Score")</f>
        <v>Node With Highest Edge Score</v>
      </c>
      <c r="D2375" s="7" t="s">
        <v>8</v>
      </c>
      <c r="E2375" s="8" t="s">
        <v>872</v>
      </c>
      <c r="F2375" s="9">
        <v>0.46</v>
      </c>
      <c r="G2375" s="10"/>
      <c r="H2375" s="10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ht="14.25" customHeight="1">
      <c r="A2376" s="4">
        <v>2375.0</v>
      </c>
      <c r="B2376" s="5"/>
      <c r="C2376" s="6" t="str">
        <f>HYPERLINK("https://leetcode.com/problems/construct-smallest-number-from-di-string", "Construct Smallest Number From DI String")</f>
        <v>Construct Smallest Number From DI String</v>
      </c>
      <c r="D2376" s="7" t="s">
        <v>8</v>
      </c>
      <c r="E2376" s="8" t="s">
        <v>873</v>
      </c>
      <c r="F2376" s="9">
        <v>0.73</v>
      </c>
      <c r="G2376" s="10"/>
      <c r="H2376" s="10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ht="14.25" customHeight="1">
      <c r="A2377" s="4">
        <v>2376.0</v>
      </c>
      <c r="B2377" s="5"/>
      <c r="C2377" s="6" t="str">
        <f>HYPERLINK("https://leetcode.com/problems/count-special-integers", "Count Special Integers")</f>
        <v>Count Special Integers</v>
      </c>
      <c r="D2377" s="7" t="s">
        <v>11</v>
      </c>
      <c r="E2377" s="8" t="s">
        <v>201</v>
      </c>
      <c r="F2377" s="9">
        <v>0.36</v>
      </c>
      <c r="G2377" s="10"/>
      <c r="H2377" s="10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ht="14.25" customHeight="1">
      <c r="A2378" s="11">
        <v>2377.0</v>
      </c>
      <c r="B2378" s="5"/>
      <c r="C2378" s="12" t="str">
        <f>HYPERLINK("https://leetcode.com/problems/sort-the-olympic-table", "Sort the Olympic Table")</f>
        <v>Sort the Olympic Table</v>
      </c>
      <c r="D2378" s="7" t="s">
        <v>6</v>
      </c>
      <c r="E2378" s="8" t="s">
        <v>101</v>
      </c>
      <c r="F2378" s="9">
        <v>0.8</v>
      </c>
      <c r="G2378" s="10"/>
      <c r="H2378" s="10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ht="14.25" customHeight="1">
      <c r="A2379" s="11">
        <v>2378.0</v>
      </c>
      <c r="B2379" s="5"/>
      <c r="C2379" s="12" t="str">
        <f>HYPERLINK("https://leetcode.com/problems/choose-edges-to-maximize-score-in-a-tree", "Choose Edges to Maximize Score in a Tree")</f>
        <v>Choose Edges to Maximize Score in a Tree</v>
      </c>
      <c r="D2379" s="7" t="s">
        <v>8</v>
      </c>
      <c r="E2379" s="8" t="s">
        <v>874</v>
      </c>
      <c r="F2379" s="9">
        <v>0.61</v>
      </c>
      <c r="G2379" s="10"/>
      <c r="H2379" s="10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ht="14.25" customHeight="1">
      <c r="A2380" s="4">
        <v>2379.0</v>
      </c>
      <c r="B2380" s="5"/>
      <c r="C2380" s="6" t="str">
        <f>HYPERLINK("https://leetcode.com/problems/minimum-recolors-to-get-k-consecutive-black-blocks", "Minimum Recolors to Get K Consecutive Black Blocks")</f>
        <v>Minimum Recolors to Get K Consecutive Black Blocks</v>
      </c>
      <c r="D2380" s="7" t="s">
        <v>6</v>
      </c>
      <c r="E2380" s="8" t="s">
        <v>509</v>
      </c>
      <c r="F2380" s="9">
        <v>0.57</v>
      </c>
      <c r="G2380" s="10"/>
      <c r="H2380" s="10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ht="14.25" customHeight="1">
      <c r="A2381" s="4">
        <v>2380.0</v>
      </c>
      <c r="B2381" s="5"/>
      <c r="C2381" s="6" t="str">
        <f>HYPERLINK("https://leetcode.com/problems/time-needed-to-rearrange-a-binary-string", "Time Needed to Rearrange a Binary String")</f>
        <v>Time Needed to Rearrange a Binary String</v>
      </c>
      <c r="D2381" s="7" t="s">
        <v>8</v>
      </c>
      <c r="E2381" s="8" t="s">
        <v>247</v>
      </c>
      <c r="F2381" s="9">
        <v>0.48</v>
      </c>
      <c r="G2381" s="10"/>
      <c r="H2381" s="10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ht="14.25" customHeight="1">
      <c r="A2382" s="4">
        <v>2381.0</v>
      </c>
      <c r="B2382" s="5"/>
      <c r="C2382" s="6" t="str">
        <f>HYPERLINK("https://leetcode.com/problems/shifting-letters-ii", "Shifting Letters II")</f>
        <v>Shifting Letters II</v>
      </c>
      <c r="D2382" s="7" t="s">
        <v>8</v>
      </c>
      <c r="E2382" s="8" t="s">
        <v>875</v>
      </c>
      <c r="F2382" s="9">
        <v>0.34</v>
      </c>
      <c r="G2382" s="10"/>
      <c r="H2382" s="10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ht="14.25" customHeight="1">
      <c r="A2383" s="4">
        <v>2382.0</v>
      </c>
      <c r="B2383" s="5"/>
      <c r="C2383" s="6" t="str">
        <f>HYPERLINK("https://leetcode.com/problems/maximum-segment-sum-after-removals", "Maximum Segment Sum After Removals")</f>
        <v>Maximum Segment Sum After Removals</v>
      </c>
      <c r="D2383" s="7" t="s">
        <v>11</v>
      </c>
      <c r="E2383" s="8" t="s">
        <v>876</v>
      </c>
      <c r="F2383" s="9">
        <v>0.47</v>
      </c>
      <c r="G2383" s="10"/>
      <c r="H2383" s="10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ht="14.25" customHeight="1">
      <c r="A2384" s="4">
        <v>2383.0</v>
      </c>
      <c r="B2384" s="5"/>
      <c r="C2384" s="6" t="str">
        <f>HYPERLINK("https://leetcode.com/problems/minimum-hours-of-training-to-win-a-competition", "Minimum Hours of Training to Win a Competition")</f>
        <v>Minimum Hours of Training to Win a Competition</v>
      </c>
      <c r="D2384" s="7" t="s">
        <v>6</v>
      </c>
      <c r="E2384" s="8" t="s">
        <v>81</v>
      </c>
      <c r="F2384" s="9">
        <v>0.41</v>
      </c>
      <c r="G2384" s="10"/>
      <c r="H2384" s="10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ht="14.25" customHeight="1">
      <c r="A2385" s="4">
        <v>2384.0</v>
      </c>
      <c r="B2385" s="5"/>
      <c r="C2385" s="6" t="str">
        <f>HYPERLINK("https://leetcode.com/problems/largest-palindromic-number", "Largest Palindromic Number")</f>
        <v>Largest Palindromic Number</v>
      </c>
      <c r="D2385" s="7" t="s">
        <v>8</v>
      </c>
      <c r="E2385" s="8" t="s">
        <v>244</v>
      </c>
      <c r="F2385" s="9">
        <v>0.3</v>
      </c>
      <c r="G2385" s="10"/>
      <c r="H2385" s="10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ht="14.25" customHeight="1">
      <c r="A2386" s="4">
        <v>2385.0</v>
      </c>
      <c r="B2386" s="5"/>
      <c r="C2386" s="6" t="str">
        <f>HYPERLINK("https://leetcode.com/problems/amount-of-time-for-binary-tree-to-be-infected", "Amount of Time for Binary Tree to Be Infected")</f>
        <v>Amount of Time for Binary Tree to Be Infected</v>
      </c>
      <c r="D2386" s="7" t="s">
        <v>8</v>
      </c>
      <c r="E2386" s="8" t="s">
        <v>64</v>
      </c>
      <c r="F2386" s="9">
        <v>0.56</v>
      </c>
      <c r="G2386" s="10"/>
      <c r="H2386" s="10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ht="14.25" customHeight="1">
      <c r="A2387" s="4">
        <v>2386.0</v>
      </c>
      <c r="B2387" s="5"/>
      <c r="C2387" s="6" t="str">
        <f>HYPERLINK("https://leetcode.com/problems/find-the-k-sum-of-an-array", "Find the K-Sum of an Array")</f>
        <v>Find the K-Sum of an Array</v>
      </c>
      <c r="D2387" s="7" t="s">
        <v>11</v>
      </c>
      <c r="E2387" s="8" t="s">
        <v>293</v>
      </c>
      <c r="F2387" s="9">
        <v>0.37</v>
      </c>
      <c r="G2387" s="10"/>
      <c r="H2387" s="10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ht="14.25" customHeight="1">
      <c r="A2388" s="11">
        <v>2387.0</v>
      </c>
      <c r="B2388" s="5"/>
      <c r="C2388" s="12" t="str">
        <f>HYPERLINK("https://leetcode.com/problems/median-of-a-row-wise-sorted-matrix", "Median of a Row Wise Sorted Matrix")</f>
        <v>Median of a Row Wise Sorted Matrix</v>
      </c>
      <c r="D2388" s="7" t="s">
        <v>8</v>
      </c>
      <c r="E2388" s="8" t="s">
        <v>53</v>
      </c>
      <c r="F2388" s="9">
        <v>0.66</v>
      </c>
      <c r="G2388" s="10"/>
      <c r="H2388" s="10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ht="14.25" customHeight="1">
      <c r="A2389" s="11">
        <v>2388.0</v>
      </c>
      <c r="B2389" s="5"/>
      <c r="C2389" s="12" t="str">
        <f>HYPERLINK("https://leetcode.com/problems/change-null-values-in-a-table-to-the-previous-value", "Change Null Values in a Table to the Previous Value")</f>
        <v>Change Null Values in a Table to the Previous Value</v>
      </c>
      <c r="D2389" s="7" t="s">
        <v>8</v>
      </c>
      <c r="E2389" s="8" t="s">
        <v>101</v>
      </c>
      <c r="F2389" s="9">
        <v>0.72</v>
      </c>
      <c r="G2389" s="10"/>
      <c r="H2389" s="10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ht="14.25" customHeight="1">
      <c r="A2390" s="4">
        <v>2389.0</v>
      </c>
      <c r="B2390" s="5"/>
      <c r="C2390" s="6" t="str">
        <f>HYPERLINK("https://leetcode.com/problems/longest-subsequence-with-limited-sum", "Longest Subsequence With Limited Sum")</f>
        <v>Longest Subsequence With Limited Sum</v>
      </c>
      <c r="D2390" s="7" t="s">
        <v>6</v>
      </c>
      <c r="E2390" s="8" t="s">
        <v>839</v>
      </c>
      <c r="F2390" s="9">
        <v>0.64</v>
      </c>
      <c r="G2390" s="10"/>
      <c r="H2390" s="10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ht="14.25" customHeight="1">
      <c r="A2391" s="4">
        <v>2390.0</v>
      </c>
      <c r="B2391" s="5"/>
      <c r="C2391" s="6" t="str">
        <f>HYPERLINK("https://leetcode.com/problems/removing-stars-from-a-string", "Removing Stars From a String")</f>
        <v>Removing Stars From a String</v>
      </c>
      <c r="D2391" s="7" t="s">
        <v>8</v>
      </c>
      <c r="E2391" s="8" t="s">
        <v>877</v>
      </c>
      <c r="F2391" s="9">
        <v>0.64</v>
      </c>
      <c r="G2391" s="10"/>
      <c r="H2391" s="10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ht="14.25" customHeight="1">
      <c r="A2392" s="4">
        <v>2391.0</v>
      </c>
      <c r="B2392" s="5"/>
      <c r="C2392" s="6" t="str">
        <f>HYPERLINK("https://leetcode.com/problems/minimum-amount-of-time-to-collect-garbage", "Minimum Amount of Time to Collect Garbage")</f>
        <v>Minimum Amount of Time to Collect Garbage</v>
      </c>
      <c r="D2392" s="7" t="s">
        <v>8</v>
      </c>
      <c r="E2392" s="8" t="s">
        <v>875</v>
      </c>
      <c r="F2392" s="9">
        <v>0.85</v>
      </c>
      <c r="G2392" s="10"/>
      <c r="H2392" s="10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ht="14.25" customHeight="1">
      <c r="A2393" s="4">
        <v>2392.0</v>
      </c>
      <c r="B2393" s="5"/>
      <c r="C2393" s="6" t="str">
        <f>HYPERLINK("https://leetcode.com/problems/build-a-matrix-with-conditions", "Build a Matrix With Conditions")</f>
        <v>Build a Matrix With Conditions</v>
      </c>
      <c r="D2393" s="7" t="s">
        <v>11</v>
      </c>
      <c r="E2393" s="8" t="s">
        <v>640</v>
      </c>
      <c r="F2393" s="9">
        <v>0.59</v>
      </c>
      <c r="G2393" s="10"/>
      <c r="H2393" s="10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ht="14.25" customHeight="1">
      <c r="A2394" s="11">
        <v>2393.0</v>
      </c>
      <c r="B2394" s="5"/>
      <c r="C2394" s="12" t="str">
        <f>HYPERLINK("https://leetcode.com/problems/count-strictly-increasing-subarrays", "Count Strictly Increasing Subarrays")</f>
        <v>Count Strictly Increasing Subarrays</v>
      </c>
      <c r="D2394" s="7" t="s">
        <v>8</v>
      </c>
      <c r="E2394" s="8" t="s">
        <v>181</v>
      </c>
      <c r="F2394" s="9">
        <v>0.74</v>
      </c>
      <c r="G2394" s="10"/>
      <c r="H2394" s="10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ht="14.25" customHeight="1">
      <c r="A2395" s="11">
        <v>2394.0</v>
      </c>
      <c r="B2395" s="5"/>
      <c r="C2395" s="12" t="str">
        <f>HYPERLINK("https://leetcode.com/problems/employees-with-deductions", "Employees With Deductions")</f>
        <v>Employees With Deductions</v>
      </c>
      <c r="D2395" s="7" t="s">
        <v>8</v>
      </c>
      <c r="E2395" s="8" t="s">
        <v>101</v>
      </c>
      <c r="F2395" s="9">
        <v>0.46</v>
      </c>
      <c r="G2395" s="10"/>
      <c r="H2395" s="10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ht="14.25" customHeight="1">
      <c r="A2396" s="4">
        <v>2395.0</v>
      </c>
      <c r="B2396" s="5"/>
      <c r="C2396" s="6" t="str">
        <f>HYPERLINK("https://leetcode.com/problems/find-subarrays-with-equal-sum", "Find Subarrays With Equal Sum")</f>
        <v>Find Subarrays With Equal Sum</v>
      </c>
      <c r="D2396" s="7" t="s">
        <v>6</v>
      </c>
      <c r="E2396" s="8" t="s">
        <v>7</v>
      </c>
      <c r="F2396" s="9">
        <v>0.64</v>
      </c>
      <c r="G2396" s="10"/>
      <c r="H2396" s="10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ht="14.25" customHeight="1">
      <c r="A2397" s="4">
        <v>2396.0</v>
      </c>
      <c r="B2397" s="5"/>
      <c r="C2397" s="6" t="str">
        <f>HYPERLINK("https://leetcode.com/problems/strictly-palindromic-number", "Strictly Palindromic Number")</f>
        <v>Strictly Palindromic Number</v>
      </c>
      <c r="D2397" s="7" t="s">
        <v>8</v>
      </c>
      <c r="E2397" s="8" t="s">
        <v>878</v>
      </c>
      <c r="F2397" s="9">
        <v>0.87</v>
      </c>
      <c r="G2397" s="10"/>
      <c r="H2397" s="10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ht="14.25" customHeight="1">
      <c r="A2398" s="4">
        <v>2397.0</v>
      </c>
      <c r="B2398" s="5"/>
      <c r="C2398" s="6" t="str">
        <f>HYPERLINK("https://leetcode.com/problems/maximum-rows-covered-by-columns", "Maximum Rows Covered by Columns")</f>
        <v>Maximum Rows Covered by Columns</v>
      </c>
      <c r="D2398" s="7" t="s">
        <v>8</v>
      </c>
      <c r="E2398" s="8" t="s">
        <v>879</v>
      </c>
      <c r="F2398" s="9">
        <v>0.52</v>
      </c>
      <c r="G2398" s="10"/>
      <c r="H2398" s="10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ht="14.25" customHeight="1">
      <c r="A2399" s="4">
        <v>2398.0</v>
      </c>
      <c r="B2399" s="5"/>
      <c r="C2399" s="6" t="str">
        <f>HYPERLINK("https://leetcode.com/problems/maximum-number-of-robots-within-budget", "Maximum Number of Robots Within Budget")</f>
        <v>Maximum Number of Robots Within Budget</v>
      </c>
      <c r="D2399" s="7" t="s">
        <v>11</v>
      </c>
      <c r="E2399" s="8" t="s">
        <v>880</v>
      </c>
      <c r="F2399" s="9">
        <v>0.32</v>
      </c>
      <c r="G2399" s="10"/>
      <c r="H2399" s="10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ht="14.25" customHeight="1">
      <c r="A2400" s="4">
        <v>2399.0</v>
      </c>
      <c r="B2400" s="5"/>
      <c r="C2400" s="6" t="str">
        <f>HYPERLINK("https://leetcode.com/problems/check-distances-between-same-letters", "Check Distances Between Same Letters")</f>
        <v>Check Distances Between Same Letters</v>
      </c>
      <c r="D2400" s="7" t="s">
        <v>6</v>
      </c>
      <c r="E2400" s="8" t="s">
        <v>139</v>
      </c>
      <c r="F2400" s="9">
        <v>0.7</v>
      </c>
      <c r="G2400" s="10"/>
      <c r="H2400" s="10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ht="14.25" customHeight="1">
      <c r="A2401" s="4">
        <v>2400.0</v>
      </c>
      <c r="B2401" s="5"/>
      <c r="C2401" s="6" t="str">
        <f>HYPERLINK("https://leetcode.com/problems/number-of-ways-to-reach-a-position-after-exactly-k-steps", "Number of Ways to Reach a Position After Exactly k Steps")</f>
        <v>Number of Ways to Reach a Position After Exactly k Steps</v>
      </c>
      <c r="D2401" s="7" t="s">
        <v>8</v>
      </c>
      <c r="E2401" s="8" t="s">
        <v>46</v>
      </c>
      <c r="F2401" s="9">
        <v>0.32</v>
      </c>
      <c r="G2401" s="10"/>
      <c r="H2401" s="10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ht="14.25" customHeight="1">
      <c r="A2402" s="4">
        <v>2401.0</v>
      </c>
      <c r="B2402" s="5"/>
      <c r="C2402" s="6" t="str">
        <f>HYPERLINK("https://leetcode.com/problems/longest-nice-subarray", "Longest Nice Subarray")</f>
        <v>Longest Nice Subarray</v>
      </c>
      <c r="D2402" s="7" t="s">
        <v>8</v>
      </c>
      <c r="E2402" s="8" t="s">
        <v>881</v>
      </c>
      <c r="F2402" s="9">
        <v>0.48</v>
      </c>
      <c r="G2402" s="10"/>
      <c r="H2402" s="10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ht="14.25" customHeight="1">
      <c r="A2403" s="4">
        <v>2402.0</v>
      </c>
      <c r="B2403" s="5"/>
      <c r="C2403" s="6" t="str">
        <f>HYPERLINK("https://leetcode.com/problems/meeting-rooms-iii", "Meeting Rooms III")</f>
        <v>Meeting Rooms III</v>
      </c>
      <c r="D2403" s="7" t="s">
        <v>11</v>
      </c>
      <c r="E2403" s="8" t="s">
        <v>293</v>
      </c>
      <c r="F2403" s="9">
        <v>0.33</v>
      </c>
      <c r="G2403" s="10"/>
      <c r="H2403" s="10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ht="14.25" customHeight="1">
      <c r="A2404" s="11">
        <v>2403.0</v>
      </c>
      <c r="B2404" s="5"/>
      <c r="C2404" s="12" t="str">
        <f>HYPERLINK("https://leetcode.com/problems/minimum-time-to-kill-all-monsters", "Minimum Time to Kill All Monsters")</f>
        <v>Minimum Time to Kill All Monsters</v>
      </c>
      <c r="D2404" s="7" t="s">
        <v>11</v>
      </c>
      <c r="E2404" s="8" t="s">
        <v>503</v>
      </c>
      <c r="F2404" s="9">
        <v>0.52</v>
      </c>
      <c r="G2404" s="10"/>
      <c r="H2404" s="10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ht="14.25" customHeight="1">
      <c r="A2405" s="4">
        <v>2404.0</v>
      </c>
      <c r="B2405" s="5"/>
      <c r="C2405" s="6" t="str">
        <f>HYPERLINK("https://leetcode.com/problems/most-frequent-even-element", "Most Frequent Even Element")</f>
        <v>Most Frequent Even Element</v>
      </c>
      <c r="D2405" s="7" t="s">
        <v>6</v>
      </c>
      <c r="E2405" s="8" t="s">
        <v>474</v>
      </c>
      <c r="F2405" s="9">
        <v>0.51</v>
      </c>
      <c r="G2405" s="10"/>
      <c r="H2405" s="10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ht="14.25" customHeight="1">
      <c r="A2406" s="4">
        <v>2405.0</v>
      </c>
      <c r="B2406" s="5"/>
      <c r="C2406" s="6" t="str">
        <f>HYPERLINK("https://leetcode.com/problems/optimal-partition-of-string", "Optimal Partition of String")</f>
        <v>Optimal Partition of String</v>
      </c>
      <c r="D2406" s="7" t="s">
        <v>8</v>
      </c>
      <c r="E2406" s="8" t="s">
        <v>244</v>
      </c>
      <c r="F2406" s="9">
        <v>0.74</v>
      </c>
      <c r="G2406" s="10"/>
      <c r="H2406" s="10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ht="14.25" customHeight="1">
      <c r="A2407" s="4">
        <v>2406.0</v>
      </c>
      <c r="B2407" s="5"/>
      <c r="C2407" s="6" t="str">
        <f>HYPERLINK("https://leetcode.com/problems/divide-intervals-into-minimum-number-of-groups", "Divide Intervals Into Minimum Number of Groups")</f>
        <v>Divide Intervals Into Minimum Number of Groups</v>
      </c>
      <c r="D2407" s="7" t="s">
        <v>8</v>
      </c>
      <c r="E2407" s="8" t="s">
        <v>141</v>
      </c>
      <c r="F2407" s="9">
        <v>0.45</v>
      </c>
      <c r="G2407" s="10"/>
      <c r="H2407" s="10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ht="14.25" customHeight="1">
      <c r="A2408" s="4">
        <v>2407.0</v>
      </c>
      <c r="B2408" s="5"/>
      <c r="C2408" s="6" t="str">
        <f>HYPERLINK("https://leetcode.com/problems/longest-increasing-subsequence-ii", "Longest Increasing Subsequence II")</f>
        <v>Longest Increasing Subsequence II</v>
      </c>
      <c r="D2408" s="7" t="s">
        <v>11</v>
      </c>
      <c r="E2408" s="8" t="s">
        <v>882</v>
      </c>
      <c r="F2408" s="9">
        <v>0.2</v>
      </c>
      <c r="G2408" s="10"/>
      <c r="H2408" s="10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ht="14.25" customHeight="1">
      <c r="A2409" s="11">
        <v>2408.0</v>
      </c>
      <c r="B2409" s="5"/>
      <c r="C2409" s="12" t="str">
        <f>HYPERLINK("https://leetcode.com/problems/design-sql", "Design SQL")</f>
        <v>Design SQL</v>
      </c>
      <c r="D2409" s="7" t="s">
        <v>8</v>
      </c>
      <c r="E2409" s="8" t="s">
        <v>166</v>
      </c>
      <c r="F2409" s="9">
        <v>0.85</v>
      </c>
      <c r="G2409" s="10"/>
      <c r="H2409" s="10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ht="14.25" customHeight="1">
      <c r="A2410" s="4">
        <v>2409.0</v>
      </c>
      <c r="B2410" s="5"/>
      <c r="C2410" s="6" t="str">
        <f>HYPERLINK("https://leetcode.com/problems/count-days-spent-together", "Count Days Spent Together")</f>
        <v>Count Days Spent Together</v>
      </c>
      <c r="D2410" s="7" t="s">
        <v>6</v>
      </c>
      <c r="E2410" s="8" t="s">
        <v>97</v>
      </c>
      <c r="F2410" s="9">
        <v>0.43</v>
      </c>
      <c r="G2410" s="10"/>
      <c r="H2410" s="10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ht="14.25" customHeight="1">
      <c r="A2411" s="4">
        <v>2410.0</v>
      </c>
      <c r="B2411" s="5"/>
      <c r="C2411" s="6" t="str">
        <f>HYPERLINK("https://leetcode.com/problems/maximum-matching-of-players-with-trainers", "Maximum Matching of Players With Trainers")</f>
        <v>Maximum Matching of Players With Trainers</v>
      </c>
      <c r="D2411" s="7" t="s">
        <v>8</v>
      </c>
      <c r="E2411" s="8" t="s">
        <v>267</v>
      </c>
      <c r="F2411" s="9">
        <v>0.6</v>
      </c>
      <c r="G2411" s="10"/>
      <c r="H2411" s="10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ht="14.25" customHeight="1">
      <c r="A2412" s="4">
        <v>2411.0</v>
      </c>
      <c r="B2412" s="5"/>
      <c r="C2412" s="6" t="str">
        <f>HYPERLINK("https://leetcode.com/problems/smallest-subarrays-with-maximum-bitwise-or", "Smallest Subarrays With Maximum Bitwise OR")</f>
        <v>Smallest Subarrays With Maximum Bitwise OR</v>
      </c>
      <c r="D2412" s="7" t="s">
        <v>8</v>
      </c>
      <c r="E2412" s="8" t="s">
        <v>883</v>
      </c>
      <c r="F2412" s="9">
        <v>0.4</v>
      </c>
      <c r="G2412" s="10"/>
      <c r="H2412" s="10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ht="14.25" customHeight="1">
      <c r="A2413" s="4">
        <v>2412.0</v>
      </c>
      <c r="B2413" s="5"/>
      <c r="C2413" s="6" t="str">
        <f>HYPERLINK("https://leetcode.com/problems/minimum-money-required-before-transactions", "Minimum Money Required Before Transactions")</f>
        <v>Minimum Money Required Before Transactions</v>
      </c>
      <c r="D2413" s="7" t="s">
        <v>11</v>
      </c>
      <c r="E2413" s="8" t="s">
        <v>160</v>
      </c>
      <c r="F2413" s="9">
        <v>0.39</v>
      </c>
      <c r="G2413" s="10"/>
      <c r="H2413" s="10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ht="14.25" customHeight="1">
      <c r="A2414" s="4">
        <v>2413.0</v>
      </c>
      <c r="B2414" s="5"/>
      <c r="C2414" s="6" t="str">
        <f>HYPERLINK("https://leetcode.com/problems/smallest-even-multiple", "Smallest Even Multiple")</f>
        <v>Smallest Even Multiple</v>
      </c>
      <c r="D2414" s="7" t="s">
        <v>6</v>
      </c>
      <c r="E2414" s="8" t="s">
        <v>884</v>
      </c>
      <c r="F2414" s="9">
        <v>0.87</v>
      </c>
      <c r="G2414" s="10"/>
      <c r="H2414" s="10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ht="14.25" customHeight="1">
      <c r="A2415" s="4">
        <v>2414.0</v>
      </c>
      <c r="B2415" s="5"/>
      <c r="C2415" s="6" t="str">
        <f>HYPERLINK("https://leetcode.com/problems/length-of-the-longest-alphabetical-continuous-substring", "Length of the Longest Alphabetical Continuous Substring")</f>
        <v>Length of the Longest Alphabetical Continuous Substring</v>
      </c>
      <c r="D2415" s="7" t="s">
        <v>8</v>
      </c>
      <c r="E2415" s="8" t="s">
        <v>14</v>
      </c>
      <c r="F2415" s="9">
        <v>0.55</v>
      </c>
      <c r="G2415" s="10"/>
      <c r="H2415" s="10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ht="14.25" customHeight="1">
      <c r="A2416" s="4">
        <v>2415.0</v>
      </c>
      <c r="B2416" s="5"/>
      <c r="C2416" s="6" t="str">
        <f>HYPERLINK("https://leetcode.com/problems/reverse-odd-levels-of-binary-tree", "Reverse Odd Levels of Binary Tree")</f>
        <v>Reverse Odd Levels of Binary Tree</v>
      </c>
      <c r="D2416" s="7" t="s">
        <v>8</v>
      </c>
      <c r="E2416" s="8" t="s">
        <v>64</v>
      </c>
      <c r="F2416" s="9">
        <v>0.75</v>
      </c>
      <c r="G2416" s="10"/>
      <c r="H2416" s="10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ht="14.25" customHeight="1">
      <c r="A2417" s="4">
        <v>2416.0</v>
      </c>
      <c r="B2417" s="5"/>
      <c r="C2417" s="6" t="str">
        <f>HYPERLINK("https://leetcode.com/problems/sum-of-prefix-scores-of-strings", "Sum of Prefix Scores of Strings")</f>
        <v>Sum of Prefix Scores of Strings</v>
      </c>
      <c r="D2417" s="7" t="s">
        <v>11</v>
      </c>
      <c r="E2417" s="8" t="s">
        <v>885</v>
      </c>
      <c r="F2417" s="9">
        <v>0.42</v>
      </c>
      <c r="G2417" s="10"/>
      <c r="H2417" s="10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ht="14.25" customHeight="1">
      <c r="A2418" s="11">
        <v>2417.0</v>
      </c>
      <c r="B2418" s="5"/>
      <c r="C2418" s="12" t="str">
        <f>HYPERLINK("https://leetcode.com/problems/closest-fair-integer", "Closest Fair Integer")</f>
        <v>Closest Fair Integer</v>
      </c>
      <c r="D2418" s="7" t="s">
        <v>8</v>
      </c>
      <c r="E2418" s="8" t="s">
        <v>404</v>
      </c>
      <c r="F2418" s="9">
        <v>0.45</v>
      </c>
      <c r="G2418" s="10"/>
      <c r="H2418" s="10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ht="14.25" customHeight="1">
      <c r="A2419" s="4">
        <v>2418.0</v>
      </c>
      <c r="B2419" s="5"/>
      <c r="C2419" s="6" t="str">
        <f>HYPERLINK("https://leetcode.com/problems/sort-the-people", "Sort the People")</f>
        <v>Sort the People</v>
      </c>
      <c r="D2419" s="7" t="s">
        <v>6</v>
      </c>
      <c r="E2419" s="8" t="s">
        <v>39</v>
      </c>
      <c r="F2419" s="9">
        <v>0.81</v>
      </c>
      <c r="G2419" s="10"/>
      <c r="H2419" s="10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ht="14.25" customHeight="1">
      <c r="A2420" s="4">
        <v>2419.0</v>
      </c>
      <c r="B2420" s="5"/>
      <c r="C2420" s="6" t="str">
        <f>HYPERLINK("https://leetcode.com/problems/longest-subarray-with-maximum-bitwise-and", "Longest Subarray With Maximum Bitwise AND")</f>
        <v>Longest Subarray With Maximum Bitwise AND</v>
      </c>
      <c r="D2420" s="7" t="s">
        <v>8</v>
      </c>
      <c r="E2420" s="8" t="s">
        <v>886</v>
      </c>
      <c r="F2420" s="9">
        <v>0.47</v>
      </c>
      <c r="G2420" s="10"/>
      <c r="H2420" s="10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ht="14.25" customHeight="1">
      <c r="A2421" s="4">
        <v>2420.0</v>
      </c>
      <c r="B2421" s="5"/>
      <c r="C2421" s="6" t="str">
        <f>HYPERLINK("https://leetcode.com/problems/find-all-good-indices", "Find All Good Indices")</f>
        <v>Find All Good Indices</v>
      </c>
      <c r="D2421" s="7" t="s">
        <v>8</v>
      </c>
      <c r="E2421" s="8" t="s">
        <v>400</v>
      </c>
      <c r="F2421" s="9">
        <v>0.37</v>
      </c>
      <c r="G2421" s="10"/>
      <c r="H2421" s="10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ht="14.25" customHeight="1">
      <c r="A2422" s="4">
        <v>2421.0</v>
      </c>
      <c r="B2422" s="5"/>
      <c r="C2422" s="6" t="str">
        <f>HYPERLINK("https://leetcode.com/problems/number-of-good-paths", "Number of Good Paths")</f>
        <v>Number of Good Paths</v>
      </c>
      <c r="D2422" s="7" t="s">
        <v>11</v>
      </c>
      <c r="E2422" s="8" t="s">
        <v>887</v>
      </c>
      <c r="F2422" s="9">
        <v>0.4</v>
      </c>
      <c r="G2422" s="10"/>
      <c r="H2422" s="10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ht="14.25" customHeight="1">
      <c r="A2423" s="11">
        <v>2422.0</v>
      </c>
      <c r="B2423" s="5"/>
      <c r="C2423" s="12" t="str">
        <f>HYPERLINK("https://leetcode.com/problems/merge-operations-to-turn-array-into-a-palindrome", "Merge Operations to Turn Array Into a Palindrome")</f>
        <v>Merge Operations to Turn Array Into a Palindrome</v>
      </c>
      <c r="D2423" s="7" t="s">
        <v>8</v>
      </c>
      <c r="E2423" s="8" t="s">
        <v>17</v>
      </c>
      <c r="F2423" s="9">
        <v>0.7</v>
      </c>
      <c r="G2423" s="10"/>
      <c r="H2423" s="10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ht="14.25" customHeight="1">
      <c r="A2424" s="4">
        <v>2423.0</v>
      </c>
      <c r="B2424" s="5"/>
      <c r="C2424" s="6" t="str">
        <f>HYPERLINK("https://leetcode.com/problems/remove-letter-to-equalize-frequency", "Remove Letter To Equalize Frequency")</f>
        <v>Remove Letter To Equalize Frequency</v>
      </c>
      <c r="D2424" s="7" t="s">
        <v>6</v>
      </c>
      <c r="E2424" s="8" t="s">
        <v>172</v>
      </c>
      <c r="F2424" s="9">
        <v>0.18</v>
      </c>
      <c r="G2424" s="10"/>
      <c r="H2424" s="10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ht="14.25" customHeight="1">
      <c r="A2425" s="4">
        <v>2424.0</v>
      </c>
      <c r="B2425" s="5"/>
      <c r="C2425" s="6" t="str">
        <f>HYPERLINK("https://leetcode.com/problems/longest-uploaded-prefix", "Longest Uploaded Prefix")</f>
        <v>Longest Uploaded Prefix</v>
      </c>
      <c r="D2425" s="7" t="s">
        <v>8</v>
      </c>
      <c r="E2425" s="8" t="s">
        <v>888</v>
      </c>
      <c r="F2425" s="9">
        <v>0.53</v>
      </c>
      <c r="G2425" s="10"/>
      <c r="H2425" s="10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ht="14.25" customHeight="1">
      <c r="A2426" s="4">
        <v>2425.0</v>
      </c>
      <c r="B2426" s="5"/>
      <c r="C2426" s="6" t="str">
        <f>HYPERLINK("https://leetcode.com/problems/bitwise-xor-of-all-pairings", "Bitwise XOR of All Pairings")</f>
        <v>Bitwise XOR of All Pairings</v>
      </c>
      <c r="D2426" s="7" t="s">
        <v>8</v>
      </c>
      <c r="E2426" s="8" t="s">
        <v>886</v>
      </c>
      <c r="F2426" s="9">
        <v>0.58</v>
      </c>
      <c r="G2426" s="10"/>
      <c r="H2426" s="10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ht="14.25" customHeight="1">
      <c r="A2427" s="4">
        <v>2426.0</v>
      </c>
      <c r="B2427" s="5"/>
      <c r="C2427" s="6" t="str">
        <f>HYPERLINK("https://leetcode.com/problems/number-of-pairs-satisfying-inequality", "Number of Pairs Satisfying Inequality")</f>
        <v>Number of Pairs Satisfying Inequality</v>
      </c>
      <c r="D2427" s="7" t="s">
        <v>11</v>
      </c>
      <c r="E2427" s="8" t="s">
        <v>183</v>
      </c>
      <c r="F2427" s="9">
        <v>0.42</v>
      </c>
      <c r="G2427" s="10"/>
      <c r="H2427" s="10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ht="14.25" customHeight="1">
      <c r="A2428" s="4">
        <v>2427.0</v>
      </c>
      <c r="B2428" s="5"/>
      <c r="C2428" s="6" t="str">
        <f>HYPERLINK("https://leetcode.com/problems/number-of-common-factors", "Number of Common Factors")</f>
        <v>Number of Common Factors</v>
      </c>
      <c r="D2428" s="7" t="s">
        <v>6</v>
      </c>
      <c r="E2428" s="8" t="s">
        <v>889</v>
      </c>
      <c r="F2428" s="9">
        <v>0.8</v>
      </c>
      <c r="G2428" s="10"/>
      <c r="H2428" s="10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ht="14.25" customHeight="1">
      <c r="A2429" s="4">
        <v>2428.0</v>
      </c>
      <c r="B2429" s="5"/>
      <c r="C2429" s="6" t="str">
        <f>HYPERLINK("https://leetcode.com/problems/maximum-sum-of-an-hourglass", "Maximum Sum of an Hourglass")</f>
        <v>Maximum Sum of an Hourglass</v>
      </c>
      <c r="D2429" s="7" t="s">
        <v>8</v>
      </c>
      <c r="E2429" s="8" t="s">
        <v>556</v>
      </c>
      <c r="F2429" s="9">
        <v>0.74</v>
      </c>
      <c r="G2429" s="10"/>
      <c r="H2429" s="10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ht="14.25" customHeight="1">
      <c r="A2430" s="4">
        <v>2429.0</v>
      </c>
      <c r="B2430" s="5"/>
      <c r="C2430" s="6" t="str">
        <f>HYPERLINK("https://leetcode.com/problems/minimize-xor", "Minimize XOR")</f>
        <v>Minimize XOR</v>
      </c>
      <c r="D2430" s="7" t="s">
        <v>8</v>
      </c>
      <c r="E2430" s="8" t="s">
        <v>890</v>
      </c>
      <c r="F2430" s="9">
        <v>0.41</v>
      </c>
      <c r="G2430" s="10"/>
      <c r="H2430" s="10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ht="14.25" customHeight="1">
      <c r="A2431" s="4">
        <v>2430.0</v>
      </c>
      <c r="B2431" s="5"/>
      <c r="C2431" s="6" t="str">
        <f>HYPERLINK("https://leetcode.com/problems/maximum-deletions-on-a-string", "Maximum Deletions on a String")</f>
        <v>Maximum Deletions on a String</v>
      </c>
      <c r="D2431" s="7" t="s">
        <v>11</v>
      </c>
      <c r="E2431" s="8" t="s">
        <v>891</v>
      </c>
      <c r="F2431" s="9">
        <v>0.32</v>
      </c>
      <c r="G2431" s="10"/>
      <c r="H2431" s="10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ht="14.25" customHeight="1">
      <c r="A2432" s="11">
        <v>2431.0</v>
      </c>
      <c r="B2432" s="5"/>
      <c r="C2432" s="12" t="str">
        <f>HYPERLINK("https://leetcode.com/problems/maximize-total-tastiness-of-purchased-fruits", "Maximize Total Tastiness of Purchased Fruits")</f>
        <v>Maximize Total Tastiness of Purchased Fruits</v>
      </c>
      <c r="D2432" s="7" t="s">
        <v>8</v>
      </c>
      <c r="E2432" s="8" t="s">
        <v>73</v>
      </c>
      <c r="F2432" s="9">
        <v>0.7</v>
      </c>
      <c r="G2432" s="10"/>
      <c r="H2432" s="10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ht="14.25" customHeight="1">
      <c r="A2433" s="4">
        <v>2432.0</v>
      </c>
      <c r="B2433" s="5"/>
      <c r="C2433" s="6" t="str">
        <f>HYPERLINK("https://leetcode.com/problems/the-employee-that-worked-on-the-longest-task", "The Employee That Worked on the Longest Task")</f>
        <v>The Employee That Worked on the Longest Task</v>
      </c>
      <c r="D2433" s="7" t="s">
        <v>6</v>
      </c>
      <c r="E2433" s="8" t="s">
        <v>45</v>
      </c>
      <c r="F2433" s="9">
        <v>0.49</v>
      </c>
      <c r="G2433" s="10"/>
      <c r="H2433" s="10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ht="14.25" customHeight="1">
      <c r="A2434" s="4">
        <v>2433.0</v>
      </c>
      <c r="B2434" s="5"/>
      <c r="C2434" s="6" t="str">
        <f>HYPERLINK("https://leetcode.com/problems/find-the-original-array-of-prefix-xor", "Find The Original Array of Prefix Xor")</f>
        <v>Find The Original Array of Prefix Xor</v>
      </c>
      <c r="D2434" s="7" t="s">
        <v>8</v>
      </c>
      <c r="E2434" s="8" t="s">
        <v>82</v>
      </c>
      <c r="F2434" s="9">
        <v>0.85</v>
      </c>
      <c r="G2434" s="10"/>
      <c r="H2434" s="10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ht="14.25" customHeight="1">
      <c r="A2435" s="4">
        <v>2434.0</v>
      </c>
      <c r="B2435" s="5"/>
      <c r="C2435" s="6" t="str">
        <f>HYPERLINK("https://leetcode.com/problems/using-a-robot-to-print-the-lexicographically-smallest-string", "Using a Robot to Print the Lexicographically Smallest String")</f>
        <v>Using a Robot to Print the Lexicographically Smallest String</v>
      </c>
      <c r="D2435" s="7" t="s">
        <v>8</v>
      </c>
      <c r="E2435" s="8" t="s">
        <v>892</v>
      </c>
      <c r="F2435" s="9">
        <v>0.38</v>
      </c>
      <c r="G2435" s="10"/>
      <c r="H2435" s="10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ht="14.25" customHeight="1">
      <c r="A2436" s="4">
        <v>2435.0</v>
      </c>
      <c r="B2436" s="5"/>
      <c r="C2436" s="6" t="str">
        <f>HYPERLINK("https://leetcode.com/problems/paths-in-matrix-whose-sum-is-divisible-by-k", "Paths in Matrix Whose Sum Is Divisible by K")</f>
        <v>Paths in Matrix Whose Sum Is Divisible by K</v>
      </c>
      <c r="D2436" s="7" t="s">
        <v>11</v>
      </c>
      <c r="E2436" s="8" t="s">
        <v>47</v>
      </c>
      <c r="F2436" s="9">
        <v>0.41</v>
      </c>
      <c r="G2436" s="10"/>
      <c r="H2436" s="10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ht="14.25" customHeight="1">
      <c r="A2437" s="11">
        <v>2436.0</v>
      </c>
      <c r="B2437" s="5"/>
      <c r="C2437" s="12" t="str">
        <f>HYPERLINK("https://leetcode.com/problems/minimum-split-into-subarrays-with-gcd-greater-than-one", "Minimum Split Into Subarrays With GCD Greater Than One")</f>
        <v>Minimum Split Into Subarrays With GCD Greater Than One</v>
      </c>
      <c r="D2437" s="7" t="s">
        <v>8</v>
      </c>
      <c r="E2437" s="8" t="s">
        <v>893</v>
      </c>
      <c r="F2437" s="9">
        <v>0.77</v>
      </c>
      <c r="G2437" s="10"/>
      <c r="H2437" s="10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ht="14.25" customHeight="1">
      <c r="A2438" s="4">
        <v>2437.0</v>
      </c>
      <c r="B2438" s="5"/>
      <c r="C2438" s="6" t="str">
        <f>HYPERLINK("https://leetcode.com/problems/number-of-valid-clock-times", "Number of Valid Clock Times")</f>
        <v>Number of Valid Clock Times</v>
      </c>
      <c r="D2438" s="7" t="s">
        <v>6</v>
      </c>
      <c r="E2438" s="8" t="s">
        <v>349</v>
      </c>
      <c r="F2438" s="9">
        <v>0.42</v>
      </c>
      <c r="G2438" s="10"/>
      <c r="H2438" s="10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ht="14.25" customHeight="1">
      <c r="A2439" s="4">
        <v>2438.0</v>
      </c>
      <c r="B2439" s="5"/>
      <c r="C2439" s="6" t="str">
        <f>HYPERLINK("https://leetcode.com/problems/range-product-queries-of-powers", "Range Product Queries of Powers")</f>
        <v>Range Product Queries of Powers</v>
      </c>
      <c r="D2439" s="7" t="s">
        <v>8</v>
      </c>
      <c r="E2439" s="8" t="s">
        <v>554</v>
      </c>
      <c r="F2439" s="9">
        <v>0.38</v>
      </c>
      <c r="G2439" s="10"/>
      <c r="H2439" s="10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ht="14.25" customHeight="1">
      <c r="A2440" s="4">
        <v>2439.0</v>
      </c>
      <c r="B2440" s="5"/>
      <c r="C2440" s="6" t="str">
        <f>HYPERLINK("https://leetcode.com/problems/minimize-maximum-of-array", "Minimize Maximum of Array")</f>
        <v>Minimize Maximum of Array</v>
      </c>
      <c r="D2440" s="7" t="s">
        <v>8</v>
      </c>
      <c r="E2440" s="8" t="s">
        <v>894</v>
      </c>
      <c r="F2440" s="9">
        <v>0.33</v>
      </c>
      <c r="G2440" s="10"/>
      <c r="H2440" s="10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ht="14.25" customHeight="1">
      <c r="A2441" s="4">
        <v>2440.0</v>
      </c>
      <c r="B2441" s="5"/>
      <c r="C2441" s="6" t="str">
        <f>HYPERLINK("https://leetcode.com/problems/create-components-with-same-value", "Create Components With Same Value")</f>
        <v>Create Components With Same Value</v>
      </c>
      <c r="D2441" s="7" t="s">
        <v>11</v>
      </c>
      <c r="E2441" s="8" t="s">
        <v>895</v>
      </c>
      <c r="F2441" s="9">
        <v>0.54</v>
      </c>
      <c r="G2441" s="10"/>
      <c r="H2441" s="10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ht="14.25" customHeight="1">
      <c r="A2442" s="4">
        <v>2441.0</v>
      </c>
      <c r="B2442" s="5"/>
      <c r="C2442" s="6" t="str">
        <f>HYPERLINK("https://leetcode.com/problems/largest-positive-integer-that-exists-with-its-negative", "Largest Positive Integer That Exists With Its Negative")</f>
        <v>Largest Positive Integer That Exists With Its Negative</v>
      </c>
      <c r="D2442" s="7" t="s">
        <v>6</v>
      </c>
      <c r="E2442" s="8" t="s">
        <v>7</v>
      </c>
      <c r="F2442" s="9">
        <v>0.67</v>
      </c>
      <c r="G2442" s="10"/>
      <c r="H2442" s="10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ht="14.25" customHeight="1">
      <c r="A2443" s="4">
        <v>2442.0</v>
      </c>
      <c r="B2443" s="5"/>
      <c r="C2443" s="6" t="str">
        <f>HYPERLINK("https://leetcode.com/problems/count-number-of-distinct-integers-after-reverse-operations", "Count Number of Distinct Integers After Reverse Operations")</f>
        <v>Count Number of Distinct Integers After Reverse Operations</v>
      </c>
      <c r="D2443" s="7" t="s">
        <v>8</v>
      </c>
      <c r="E2443" s="8" t="s">
        <v>211</v>
      </c>
      <c r="F2443" s="9">
        <v>0.78</v>
      </c>
      <c r="G2443" s="10"/>
      <c r="H2443" s="10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ht="14.25" customHeight="1">
      <c r="A2444" s="4">
        <v>2443.0</v>
      </c>
      <c r="B2444" s="5"/>
      <c r="C2444" s="6" t="str">
        <f>HYPERLINK("https://leetcode.com/problems/sum-of-number-and-its-reverse", "Sum of Number and Its Reverse")</f>
        <v>Sum of Number and Its Reverse</v>
      </c>
      <c r="D2444" s="7" t="s">
        <v>8</v>
      </c>
      <c r="E2444" s="8" t="s">
        <v>404</v>
      </c>
      <c r="F2444" s="9">
        <v>0.45</v>
      </c>
      <c r="G2444" s="10"/>
      <c r="H2444" s="10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ht="14.25" customHeight="1">
      <c r="A2445" s="4">
        <v>2444.0</v>
      </c>
      <c r="B2445" s="5"/>
      <c r="C2445" s="6" t="str">
        <f>HYPERLINK("https://leetcode.com/problems/count-subarrays-with-fixed-bounds", "Count Subarrays With Fixed Bounds")</f>
        <v>Count Subarrays With Fixed Bounds</v>
      </c>
      <c r="D2445" s="7" t="s">
        <v>11</v>
      </c>
      <c r="E2445" s="8" t="s">
        <v>896</v>
      </c>
      <c r="F2445" s="9">
        <v>0.43</v>
      </c>
      <c r="G2445" s="10"/>
      <c r="H2445" s="10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ht="14.25" customHeight="1">
      <c r="A2446" s="11">
        <v>2445.0</v>
      </c>
      <c r="B2446" s="5"/>
      <c r="C2446" s="12" t="str">
        <f>HYPERLINK("https://leetcode.com/problems/number-of-nodes-with-value-one", "Number of Nodes With Value One")</f>
        <v>Number of Nodes With Value One</v>
      </c>
      <c r="D2446" s="7" t="s">
        <v>8</v>
      </c>
      <c r="E2446" s="8" t="s">
        <v>64</v>
      </c>
      <c r="F2446" s="9">
        <v>0.74</v>
      </c>
      <c r="G2446" s="10"/>
      <c r="H2446" s="10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ht="14.25" customHeight="1">
      <c r="A2447" s="4">
        <v>2446.0</v>
      </c>
      <c r="B2447" s="5"/>
      <c r="C2447" s="6" t="str">
        <f>HYPERLINK("https://leetcode.com/problems/determine-if-two-events-have-conflict", "Determine if Two Events Have Conflict")</f>
        <v>Determine if Two Events Have Conflict</v>
      </c>
      <c r="D2447" s="7" t="s">
        <v>6</v>
      </c>
      <c r="E2447" s="8" t="s">
        <v>135</v>
      </c>
      <c r="F2447" s="9">
        <v>0.49</v>
      </c>
      <c r="G2447" s="10"/>
      <c r="H2447" s="10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ht="14.25" customHeight="1">
      <c r="A2448" s="4">
        <v>2447.0</v>
      </c>
      <c r="B2448" s="5"/>
      <c r="C2448" s="6" t="str">
        <f>HYPERLINK("https://leetcode.com/problems/number-of-subarrays-with-gcd-equal-to-k", "Number of Subarrays With GCD Equal to K")</f>
        <v>Number of Subarrays With GCD Equal to K</v>
      </c>
      <c r="D2448" s="7" t="s">
        <v>8</v>
      </c>
      <c r="E2448" s="8" t="s">
        <v>538</v>
      </c>
      <c r="F2448" s="9">
        <v>0.48</v>
      </c>
      <c r="G2448" s="10"/>
      <c r="H2448" s="10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ht="14.25" customHeight="1">
      <c r="A2449" s="4">
        <v>2448.0</v>
      </c>
      <c r="B2449" s="5"/>
      <c r="C2449" s="6" t="str">
        <f>HYPERLINK("https://leetcode.com/problems/minimum-cost-to-make-array-equal", "Minimum Cost to Make Array Equal")</f>
        <v>Minimum Cost to Make Array Equal</v>
      </c>
      <c r="D2449" s="7" t="s">
        <v>11</v>
      </c>
      <c r="E2449" s="8" t="s">
        <v>723</v>
      </c>
      <c r="F2449" s="9">
        <v>0.34</v>
      </c>
      <c r="G2449" s="10"/>
      <c r="H2449" s="10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ht="14.25" customHeight="1">
      <c r="A2450" s="4">
        <v>2449.0</v>
      </c>
      <c r="B2450" s="5"/>
      <c r="C2450" s="6" t="str">
        <f>HYPERLINK("https://leetcode.com/problems/minimum-number-of-operations-to-make-arrays-similar", "Minimum Number of Operations to Make Arrays Similar")</f>
        <v>Minimum Number of Operations to Make Arrays Similar</v>
      </c>
      <c r="D2450" s="7" t="s">
        <v>11</v>
      </c>
      <c r="E2450" s="8" t="s">
        <v>160</v>
      </c>
      <c r="F2450" s="9">
        <v>0.64</v>
      </c>
      <c r="G2450" s="10"/>
      <c r="H2450" s="10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ht="14.25" customHeight="1">
      <c r="A2451" s="11">
        <v>2450.0</v>
      </c>
      <c r="B2451" s="5"/>
      <c r="C2451" s="12" t="str">
        <f>HYPERLINK("https://leetcode.com/problems/number-of-distinct-binary-strings-after-applying-operations", "Number of Distinct Binary Strings After Applying Operations")</f>
        <v>Number of Distinct Binary Strings After Applying Operations</v>
      </c>
      <c r="D2451" s="7" t="s">
        <v>8</v>
      </c>
      <c r="E2451" s="8" t="s">
        <v>97</v>
      </c>
      <c r="F2451" s="9">
        <v>0.7</v>
      </c>
      <c r="G2451" s="10"/>
      <c r="H2451" s="10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ht="14.25" customHeight="1">
      <c r="A2452" s="4">
        <v>2451.0</v>
      </c>
      <c r="B2452" s="5"/>
      <c r="C2452" s="6" t="str">
        <f>HYPERLINK("https://leetcode.com/problems/odd-string-difference", "Odd String Difference")</f>
        <v>Odd String Difference</v>
      </c>
      <c r="D2452" s="7" t="s">
        <v>6</v>
      </c>
      <c r="E2452" s="8" t="s">
        <v>18</v>
      </c>
      <c r="F2452" s="9">
        <v>0.59</v>
      </c>
      <c r="G2452" s="10"/>
      <c r="H2452" s="10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ht="14.25" customHeight="1">
      <c r="A2453" s="4">
        <v>2452.0</v>
      </c>
      <c r="B2453" s="5"/>
      <c r="C2453" s="6" t="str">
        <f>HYPERLINK("https://leetcode.com/problems/words-within-two-edits-of-dictionary", "Words Within Two Edits of Dictionary")</f>
        <v>Words Within Two Edits of Dictionary</v>
      </c>
      <c r="D2453" s="7" t="s">
        <v>8</v>
      </c>
      <c r="E2453" s="8" t="s">
        <v>135</v>
      </c>
      <c r="F2453" s="9">
        <v>0.6</v>
      </c>
      <c r="G2453" s="10"/>
      <c r="H2453" s="10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ht="14.25" customHeight="1">
      <c r="A2454" s="4">
        <v>2453.0</v>
      </c>
      <c r="B2454" s="5"/>
      <c r="C2454" s="6" t="str">
        <f>HYPERLINK("https://leetcode.com/problems/destroy-sequential-targets", "Destroy Sequential Targets")</f>
        <v>Destroy Sequential Targets</v>
      </c>
      <c r="D2454" s="7" t="s">
        <v>8</v>
      </c>
      <c r="E2454" s="8" t="s">
        <v>474</v>
      </c>
      <c r="F2454" s="9">
        <v>0.37</v>
      </c>
      <c r="G2454" s="10"/>
      <c r="H2454" s="10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ht="14.25" customHeight="1">
      <c r="A2455" s="4">
        <v>2454.0</v>
      </c>
      <c r="B2455" s="5"/>
      <c r="C2455" s="6" t="str">
        <f>HYPERLINK("https://leetcode.com/problems/next-greater-element-iv", "Next Greater Element IV")</f>
        <v>Next Greater Element IV</v>
      </c>
      <c r="D2455" s="7" t="s">
        <v>11</v>
      </c>
      <c r="E2455" s="8" t="s">
        <v>897</v>
      </c>
      <c r="F2455" s="9">
        <v>0.39</v>
      </c>
      <c r="G2455" s="10"/>
      <c r="H2455" s="10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ht="14.25" customHeight="1">
      <c r="A2456" s="4">
        <v>2455.0</v>
      </c>
      <c r="B2456" s="5"/>
      <c r="C2456" s="6" t="str">
        <f>HYPERLINK("https://leetcode.com/problems/average-value-of-even-numbers-that-are-divisible-by-three", "Average Value of Even Numbers That Are Divisible by Three")</f>
        <v>Average Value of Even Numbers That Are Divisible by Three</v>
      </c>
      <c r="D2456" s="7" t="s">
        <v>6</v>
      </c>
      <c r="E2456" s="8" t="s">
        <v>48</v>
      </c>
      <c r="F2456" s="9">
        <v>0.58</v>
      </c>
      <c r="G2456" s="10"/>
      <c r="H2456" s="10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ht="14.25" customHeight="1">
      <c r="A2457" s="4">
        <v>2456.0</v>
      </c>
      <c r="B2457" s="5"/>
      <c r="C2457" s="6" t="str">
        <f>HYPERLINK("https://leetcode.com/problems/most-popular-video-creator", "Most Popular Video Creator")</f>
        <v>Most Popular Video Creator</v>
      </c>
      <c r="D2457" s="7" t="s">
        <v>8</v>
      </c>
      <c r="E2457" s="8" t="s">
        <v>898</v>
      </c>
      <c r="F2457" s="9">
        <v>0.43</v>
      </c>
      <c r="G2457" s="10"/>
      <c r="H2457" s="10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ht="14.25" customHeight="1">
      <c r="A2458" s="4">
        <v>2457.0</v>
      </c>
      <c r="B2458" s="5"/>
      <c r="C2458" s="6" t="str">
        <f>HYPERLINK("https://leetcode.com/problems/minimum-addition-to-make-integer-beautiful", "Minimum Addition to Make Integer Beautiful")</f>
        <v>Minimum Addition to Make Integer Beautiful</v>
      </c>
      <c r="D2458" s="7" t="s">
        <v>8</v>
      </c>
      <c r="E2458" s="8" t="s">
        <v>325</v>
      </c>
      <c r="F2458" s="9">
        <v>0.36</v>
      </c>
      <c r="G2458" s="10"/>
      <c r="H2458" s="10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ht="14.25" customHeight="1">
      <c r="A2459" s="4">
        <v>2458.0</v>
      </c>
      <c r="B2459" s="5"/>
      <c r="C2459" s="6" t="str">
        <f>HYPERLINK("https://leetcode.com/problems/height-of-binary-tree-after-subtree-removal-queries", "Height of Binary Tree After Subtree Removal Queries")</f>
        <v>Height of Binary Tree After Subtree Removal Queries</v>
      </c>
      <c r="D2459" s="7" t="s">
        <v>11</v>
      </c>
      <c r="E2459" s="8" t="s">
        <v>899</v>
      </c>
      <c r="F2459" s="9">
        <v>0.35</v>
      </c>
      <c r="G2459" s="10"/>
      <c r="H2459" s="10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ht="14.25" customHeight="1">
      <c r="A2460" s="11">
        <v>2459.0</v>
      </c>
      <c r="B2460" s="5"/>
      <c r="C2460" s="12" t="str">
        <f>HYPERLINK("https://leetcode.com/problems/sort-array-by-moving-items-to-empty-space", "Sort Array by Moving Items to Empty Space")</f>
        <v>Sort Array by Moving Items to Empty Space</v>
      </c>
      <c r="D2460" s="7" t="s">
        <v>11</v>
      </c>
      <c r="E2460" s="8" t="s">
        <v>160</v>
      </c>
      <c r="F2460" s="9">
        <v>0.54</v>
      </c>
      <c r="G2460" s="10"/>
      <c r="H2460" s="10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ht="14.25" customHeight="1">
      <c r="A2461" s="4">
        <v>2460.0</v>
      </c>
      <c r="B2461" s="5"/>
      <c r="C2461" s="6" t="str">
        <f>HYPERLINK("https://leetcode.com/problems/apply-operations-to-an-array", "Apply Operations to an Array")</f>
        <v>Apply Operations to an Array</v>
      </c>
      <c r="D2461" s="7" t="s">
        <v>6</v>
      </c>
      <c r="E2461" s="8" t="s">
        <v>288</v>
      </c>
      <c r="F2461" s="9">
        <v>0.66</v>
      </c>
      <c r="G2461" s="10"/>
      <c r="H2461" s="10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ht="14.25" customHeight="1">
      <c r="A2462" s="4">
        <v>2461.0</v>
      </c>
      <c r="B2462" s="5"/>
      <c r="C2462" s="6" t="str">
        <f>HYPERLINK("https://leetcode.com/problems/maximum-sum-of-distinct-subarrays-with-length-k", "Maximum Sum of Distinct Subarrays With Length K")</f>
        <v>Maximum Sum of Distinct Subarrays With Length K</v>
      </c>
      <c r="D2462" s="7" t="s">
        <v>8</v>
      </c>
      <c r="E2462" s="8" t="s">
        <v>120</v>
      </c>
      <c r="F2462" s="9">
        <v>0.34</v>
      </c>
      <c r="G2462" s="10"/>
      <c r="H2462" s="10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ht="14.25" customHeight="1">
      <c r="A2463" s="4">
        <v>2462.0</v>
      </c>
      <c r="B2463" s="5"/>
      <c r="C2463" s="6" t="str">
        <f>HYPERLINK("https://leetcode.com/problems/total-cost-to-hire-k-workers", "Total Cost to Hire K Workers")</f>
        <v>Total Cost to Hire K Workers</v>
      </c>
      <c r="D2463" s="7" t="s">
        <v>8</v>
      </c>
      <c r="E2463" s="8" t="s">
        <v>900</v>
      </c>
      <c r="F2463" s="9">
        <v>0.37</v>
      </c>
      <c r="G2463" s="10"/>
      <c r="H2463" s="10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ht="14.25" customHeight="1">
      <c r="A2464" s="4">
        <v>2463.0</v>
      </c>
      <c r="B2464" s="5"/>
      <c r="C2464" s="6" t="str">
        <f>HYPERLINK("https://leetcode.com/problems/minimum-total-distance-traveled", "Minimum Total Distance Traveled")</f>
        <v>Minimum Total Distance Traveled</v>
      </c>
      <c r="D2464" s="7" t="s">
        <v>11</v>
      </c>
      <c r="E2464" s="8" t="s">
        <v>561</v>
      </c>
      <c r="F2464" s="9">
        <v>0.4</v>
      </c>
      <c r="G2464" s="10"/>
      <c r="H2464" s="10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ht="14.25" customHeight="1">
      <c r="A2465" s="11">
        <v>2464.0</v>
      </c>
      <c r="B2465" s="5"/>
      <c r="C2465" s="12" t="str">
        <f>HYPERLINK("https://leetcode.com/problems/minimum-subarrays-in-a-valid-split", "Minimum Subarrays in a Valid Split")</f>
        <v>Minimum Subarrays in a Valid Split</v>
      </c>
      <c r="D2465" s="7" t="s">
        <v>8</v>
      </c>
      <c r="E2465" s="8" t="s">
        <v>901</v>
      </c>
      <c r="F2465" s="9">
        <v>0.58</v>
      </c>
      <c r="G2465" s="10"/>
      <c r="H2465" s="10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ht="14.25" customHeight="1">
      <c r="A2466" s="4">
        <v>2465.0</v>
      </c>
      <c r="B2466" s="5"/>
      <c r="C2466" s="6" t="str">
        <f>HYPERLINK("https://leetcode.com/problems/number-of-distinct-averages", "Number of Distinct Averages")</f>
        <v>Number of Distinct Averages</v>
      </c>
      <c r="D2466" s="7" t="s">
        <v>6</v>
      </c>
      <c r="E2466" s="8" t="s">
        <v>664</v>
      </c>
      <c r="F2466" s="9">
        <v>0.58</v>
      </c>
      <c r="G2466" s="10"/>
      <c r="H2466" s="10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ht="14.25" customHeight="1">
      <c r="A2467" s="4">
        <v>2466.0</v>
      </c>
      <c r="B2467" s="5"/>
      <c r="C2467" s="6" t="str">
        <f>HYPERLINK("https://leetcode.com/problems/count-ways-to-build-good-strings", "Count Ways To Build Good Strings")</f>
        <v>Count Ways To Build Good Strings</v>
      </c>
      <c r="D2467" s="7" t="s">
        <v>8</v>
      </c>
      <c r="E2467" s="8" t="s">
        <v>156</v>
      </c>
      <c r="F2467" s="9">
        <v>0.42</v>
      </c>
      <c r="G2467" s="10"/>
      <c r="H2467" s="10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ht="14.25" customHeight="1">
      <c r="A2468" s="4">
        <v>2467.0</v>
      </c>
      <c r="B2468" s="5"/>
      <c r="C2468" s="6" t="str">
        <f>HYPERLINK("https://leetcode.com/problems/most-profitable-path-in-a-tree", "Most Profitable Path in a Tree")</f>
        <v>Most Profitable Path in a Tree</v>
      </c>
      <c r="D2468" s="7" t="s">
        <v>8</v>
      </c>
      <c r="E2468" s="8" t="s">
        <v>902</v>
      </c>
      <c r="F2468" s="9">
        <v>0.46</v>
      </c>
      <c r="G2468" s="10"/>
      <c r="H2468" s="10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ht="14.25" customHeight="1">
      <c r="A2469" s="4">
        <v>2468.0</v>
      </c>
      <c r="B2469" s="5"/>
      <c r="C2469" s="6" t="str">
        <f>HYPERLINK("https://leetcode.com/problems/split-message-based-on-limit", "Split Message Based on Limit")</f>
        <v>Split Message Based on Limit</v>
      </c>
      <c r="D2469" s="7" t="s">
        <v>11</v>
      </c>
      <c r="E2469" s="8" t="s">
        <v>903</v>
      </c>
      <c r="F2469" s="9">
        <v>0.47</v>
      </c>
      <c r="G2469" s="10"/>
      <c r="H2469" s="10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ht="14.25" customHeight="1">
      <c r="A2470" s="4">
        <v>2469.0</v>
      </c>
      <c r="B2470" s="5"/>
      <c r="C2470" s="6" t="str">
        <f>HYPERLINK("https://leetcode.com/problems/convert-the-temperature", "Convert the Temperature")</f>
        <v>Convert the Temperature</v>
      </c>
      <c r="D2470" s="7" t="s">
        <v>6</v>
      </c>
      <c r="E2470" s="8" t="s">
        <v>15</v>
      </c>
      <c r="F2470" s="9">
        <v>0.89</v>
      </c>
      <c r="G2470" s="10"/>
      <c r="H2470" s="10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ht="14.25" customHeight="1">
      <c r="A2471" s="4">
        <v>2470.0</v>
      </c>
      <c r="B2471" s="5"/>
      <c r="C2471" s="6" t="str">
        <f>HYPERLINK("https://leetcode.com/problems/number-of-subarrays-with-lcm-equal-to-k", "Number of Subarrays With LCM Equal to K")</f>
        <v>Number of Subarrays With LCM Equal to K</v>
      </c>
      <c r="D2471" s="7" t="s">
        <v>8</v>
      </c>
      <c r="E2471" s="8" t="s">
        <v>538</v>
      </c>
      <c r="F2471" s="9">
        <v>0.38</v>
      </c>
      <c r="G2471" s="10"/>
      <c r="H2471" s="10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ht="14.25" customHeight="1">
      <c r="A2472" s="4">
        <v>2471.0</v>
      </c>
      <c r="B2472" s="5"/>
      <c r="C2472" s="6" t="str">
        <f>HYPERLINK("https://leetcode.com/problems/minimum-number-of-operations-to-sort-a-binary-tree-by-level", "Minimum Number of Operations to Sort a Binary Tree by Level")</f>
        <v>Minimum Number of Operations to Sort a Binary Tree by Level</v>
      </c>
      <c r="D2472" s="7" t="s">
        <v>8</v>
      </c>
      <c r="E2472" s="8" t="s">
        <v>65</v>
      </c>
      <c r="F2472" s="9">
        <v>0.62</v>
      </c>
      <c r="G2472" s="10"/>
      <c r="H2472" s="10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ht="14.25" customHeight="1">
      <c r="A2473" s="4">
        <v>2472.0</v>
      </c>
      <c r="B2473" s="5"/>
      <c r="C2473" s="6" t="str">
        <f>HYPERLINK("https://leetcode.com/problems/maximum-number-of-non-overlapping-palindrome-substrings", "Maximum Number of Non-overlapping Palindrome Substrings")</f>
        <v>Maximum Number of Non-overlapping Palindrome Substrings</v>
      </c>
      <c r="D2473" s="7" t="s">
        <v>11</v>
      </c>
      <c r="E2473" s="8" t="s">
        <v>13</v>
      </c>
      <c r="F2473" s="9">
        <v>0.37</v>
      </c>
      <c r="G2473" s="10"/>
      <c r="H2473" s="10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ht="14.25" customHeight="1">
      <c r="A2474" s="11">
        <v>2473.0</v>
      </c>
      <c r="B2474" s="5"/>
      <c r="C2474" s="12" t="str">
        <f>HYPERLINK("https://leetcode.com/problems/minimum-cost-to-buy-apples", "Minimum Cost to Buy Apples")</f>
        <v>Minimum Cost to Buy Apples</v>
      </c>
      <c r="D2474" s="7" t="s">
        <v>8</v>
      </c>
      <c r="E2474" s="8" t="s">
        <v>611</v>
      </c>
      <c r="F2474" s="9">
        <v>0.66</v>
      </c>
      <c r="G2474" s="10"/>
      <c r="H2474" s="10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ht="14.25" customHeight="1">
      <c r="A2475" s="11">
        <v>2474.0</v>
      </c>
      <c r="B2475" s="5"/>
      <c r="C2475" s="12" t="str">
        <f>HYPERLINK("https://leetcode.com/problems/customers-with-strictly-increasing-purchases", "Customers With Strictly Increasing Purchases")</f>
        <v>Customers With Strictly Increasing Purchases</v>
      </c>
      <c r="D2475" s="7" t="s">
        <v>11</v>
      </c>
      <c r="E2475" s="8" t="s">
        <v>101</v>
      </c>
      <c r="F2475" s="9">
        <v>0.59</v>
      </c>
      <c r="G2475" s="10"/>
      <c r="H2475" s="10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ht="14.25" customHeight="1">
      <c r="A2476" s="4">
        <v>2475.0</v>
      </c>
      <c r="B2476" s="5"/>
      <c r="C2476" s="6" t="str">
        <f>HYPERLINK("https://leetcode.com/problems/number-of-unequal-triplets-in-array", "Number of Unequal Triplets in Array")</f>
        <v>Number of Unequal Triplets in Array</v>
      </c>
      <c r="D2476" s="7" t="s">
        <v>6</v>
      </c>
      <c r="E2476" s="8" t="s">
        <v>7</v>
      </c>
      <c r="F2476" s="9">
        <v>0.7</v>
      </c>
      <c r="G2476" s="10"/>
      <c r="H2476" s="10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ht="14.25" customHeight="1">
      <c r="A2477" s="4">
        <v>2476.0</v>
      </c>
      <c r="B2477" s="5"/>
      <c r="C2477" s="6" t="str">
        <f>HYPERLINK("https://leetcode.com/problems/closest-nodes-queries-in-a-binary-search-tree", "Closest Nodes Queries in a Binary Search Tree")</f>
        <v>Closest Nodes Queries in a Binary Search Tree</v>
      </c>
      <c r="D2477" s="7" t="s">
        <v>8</v>
      </c>
      <c r="E2477" s="8" t="s">
        <v>904</v>
      </c>
      <c r="F2477" s="9">
        <v>0.4</v>
      </c>
      <c r="G2477" s="10"/>
      <c r="H2477" s="10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ht="14.25" customHeight="1">
      <c r="A2478" s="4">
        <v>2477.0</v>
      </c>
      <c r="B2478" s="5"/>
      <c r="C2478" s="6" t="str">
        <f>HYPERLINK("https://leetcode.com/problems/minimum-fuel-cost-to-report-to-the-capital", "Minimum Fuel Cost to Report to the Capital")</f>
        <v>Minimum Fuel Cost to Report to the Capital</v>
      </c>
      <c r="D2478" s="7" t="s">
        <v>8</v>
      </c>
      <c r="E2478" s="8" t="s">
        <v>570</v>
      </c>
      <c r="F2478" s="9">
        <v>0.53</v>
      </c>
      <c r="G2478" s="10"/>
      <c r="H2478" s="10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ht="14.25" customHeight="1">
      <c r="A2479" s="4">
        <v>2478.0</v>
      </c>
      <c r="B2479" s="5"/>
      <c r="C2479" s="6" t="str">
        <f>HYPERLINK("https://leetcode.com/problems/number-of-beautiful-partitions", "Number of Beautiful Partitions")</f>
        <v>Number of Beautiful Partitions</v>
      </c>
      <c r="D2479" s="7" t="s">
        <v>11</v>
      </c>
      <c r="E2479" s="8" t="s">
        <v>13</v>
      </c>
      <c r="F2479" s="9">
        <v>0.3</v>
      </c>
      <c r="G2479" s="10"/>
      <c r="H2479" s="10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ht="14.25" customHeight="1">
      <c r="A2480" s="11">
        <v>2479.0</v>
      </c>
      <c r="B2480" s="5"/>
      <c r="C2480" s="12" t="str">
        <f>HYPERLINK("https://leetcode.com/problems/maximum-xor-of-two-non-overlapping-subtrees", "Maximum XOR of Two Non-Overlapping Subtrees")</f>
        <v>Maximum XOR of Two Non-Overlapping Subtrees</v>
      </c>
      <c r="D2480" s="7" t="s">
        <v>11</v>
      </c>
      <c r="E2480" s="8" t="s">
        <v>905</v>
      </c>
      <c r="F2480" s="9">
        <v>0.49</v>
      </c>
      <c r="G2480" s="10"/>
      <c r="H2480" s="10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ht="14.25" customHeight="1">
      <c r="A2481" s="11">
        <v>2480.0</v>
      </c>
      <c r="B2481" s="5"/>
      <c r="C2481" s="12" t="str">
        <f>HYPERLINK("https://leetcode.com/problems/form-a-chemical-bond", "Form a Chemical Bond")</f>
        <v>Form a Chemical Bond</v>
      </c>
      <c r="D2481" s="7" t="s">
        <v>6</v>
      </c>
      <c r="E2481" s="8" t="s">
        <v>101</v>
      </c>
      <c r="F2481" s="9">
        <v>0.61</v>
      </c>
      <c r="G2481" s="10"/>
      <c r="H2481" s="10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ht="14.25" customHeight="1">
      <c r="A2482" s="4">
        <v>2481.0</v>
      </c>
      <c r="B2482" s="5"/>
      <c r="C2482" s="6" t="str">
        <f>HYPERLINK("https://leetcode.com/problems/minimum-cuts-to-divide-a-circle", "Minimum Cuts to Divide a Circle")</f>
        <v>Minimum Cuts to Divide a Circle</v>
      </c>
      <c r="D2482" s="7" t="s">
        <v>6</v>
      </c>
      <c r="E2482" s="8" t="s">
        <v>123</v>
      </c>
      <c r="F2482" s="9">
        <v>0.51</v>
      </c>
      <c r="G2482" s="10"/>
      <c r="H2482" s="10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ht="14.25" customHeight="1">
      <c r="A2483" s="4">
        <v>2482.0</v>
      </c>
      <c r="B2483" s="5"/>
      <c r="C2483" s="6" t="str">
        <f>HYPERLINK("https://leetcode.com/problems/difference-between-ones-and-zeros-in-row-and-column", "Difference Between Ones and Zeros in Row and Column")</f>
        <v>Difference Between Ones and Zeros in Row and Column</v>
      </c>
      <c r="D2483" s="7" t="s">
        <v>8</v>
      </c>
      <c r="E2483" s="8" t="s">
        <v>43</v>
      </c>
      <c r="F2483" s="9">
        <v>0.79</v>
      </c>
      <c r="G2483" s="10"/>
      <c r="H2483" s="10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ht="14.25" customHeight="1">
      <c r="A2484" s="4">
        <v>2483.0</v>
      </c>
      <c r="B2484" s="5"/>
      <c r="C2484" s="6" t="str">
        <f>HYPERLINK("https://leetcode.com/problems/minimum-penalty-for-a-shop", "Minimum Penalty for a Shop")</f>
        <v>Minimum Penalty for a Shop</v>
      </c>
      <c r="D2484" s="7" t="s">
        <v>8</v>
      </c>
      <c r="E2484" s="8" t="s">
        <v>906</v>
      </c>
      <c r="F2484" s="9">
        <v>0.54</v>
      </c>
      <c r="G2484" s="10"/>
      <c r="H2484" s="10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ht="14.25" customHeight="1">
      <c r="A2485" s="4">
        <v>2484.0</v>
      </c>
      <c r="B2485" s="5"/>
      <c r="C2485" s="6" t="str">
        <f>HYPERLINK("https://leetcode.com/problems/count-palindromic-subsequences", "Count Palindromic Subsequences")</f>
        <v>Count Palindromic Subsequences</v>
      </c>
      <c r="D2485" s="7" t="s">
        <v>11</v>
      </c>
      <c r="E2485" s="8" t="s">
        <v>13</v>
      </c>
      <c r="F2485" s="9">
        <v>0.3</v>
      </c>
      <c r="G2485" s="10"/>
      <c r="H2485" s="10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ht="14.25" customHeight="1">
      <c r="A2486" s="4">
        <v>2485.0</v>
      </c>
      <c r="B2486" s="5"/>
      <c r="C2486" s="6" t="str">
        <f>HYPERLINK("https://leetcode.com/problems/find-the-pivot-integer", "Find the Pivot Integer")</f>
        <v>Find the Pivot Integer</v>
      </c>
      <c r="D2486" s="7" t="s">
        <v>6</v>
      </c>
      <c r="E2486" s="8" t="s">
        <v>907</v>
      </c>
      <c r="F2486" s="9">
        <v>0.79</v>
      </c>
      <c r="G2486" s="10"/>
      <c r="H2486" s="10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ht="14.25" customHeight="1">
      <c r="A2487" s="4">
        <v>2486.0</v>
      </c>
      <c r="B2487" s="5"/>
      <c r="C2487" s="6" t="str">
        <f>HYPERLINK("https://leetcode.com/problems/append-characters-to-string-to-make-subsequence", "Append Characters to String to Make Subsequence")</f>
        <v>Append Characters to String to Make Subsequence</v>
      </c>
      <c r="D2487" s="7" t="s">
        <v>8</v>
      </c>
      <c r="E2487" s="8" t="s">
        <v>348</v>
      </c>
      <c r="F2487" s="9">
        <v>0.63</v>
      </c>
      <c r="G2487" s="10"/>
      <c r="H2487" s="10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ht="14.25" customHeight="1">
      <c r="A2488" s="4">
        <v>2487.0</v>
      </c>
      <c r="B2488" s="5"/>
      <c r="C2488" s="6" t="str">
        <f>HYPERLINK("https://leetcode.com/problems/remove-nodes-from-linked-list", "Remove Nodes From Linked List")</f>
        <v>Remove Nodes From Linked List</v>
      </c>
      <c r="D2488" s="7" t="s">
        <v>8</v>
      </c>
      <c r="E2488" s="8" t="s">
        <v>908</v>
      </c>
      <c r="F2488" s="9">
        <v>0.71</v>
      </c>
      <c r="G2488" s="10"/>
      <c r="H2488" s="10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ht="14.25" customHeight="1">
      <c r="A2489" s="4">
        <v>2488.0</v>
      </c>
      <c r="B2489" s="5"/>
      <c r="C2489" s="6" t="str">
        <f>HYPERLINK("https://leetcode.com/problems/count-subarrays-with-median-k", "Count Subarrays With Median K")</f>
        <v>Count Subarrays With Median K</v>
      </c>
      <c r="D2489" s="7" t="s">
        <v>11</v>
      </c>
      <c r="E2489" s="8" t="s">
        <v>191</v>
      </c>
      <c r="F2489" s="9">
        <v>0.41</v>
      </c>
      <c r="G2489" s="10"/>
      <c r="H2489" s="10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ht="14.25" customHeight="1">
      <c r="A2490" s="11">
        <v>2489.0</v>
      </c>
      <c r="B2490" s="5"/>
      <c r="C2490" s="12" t="str">
        <f>HYPERLINK("https://leetcode.com/problems/number-of-substrings-with-fixed-ratio", "Number of Substrings With Fixed Ratio")</f>
        <v>Number of Substrings With Fixed Ratio</v>
      </c>
      <c r="D2490" s="7" t="s">
        <v>8</v>
      </c>
      <c r="E2490" s="8" t="s">
        <v>909</v>
      </c>
      <c r="F2490" s="9">
        <v>0.62</v>
      </c>
      <c r="G2490" s="10"/>
      <c r="H2490" s="10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ht="14.25" customHeight="1">
      <c r="A2491" s="4">
        <v>2490.0</v>
      </c>
      <c r="B2491" s="5"/>
      <c r="C2491" s="6" t="str">
        <f>HYPERLINK("https://leetcode.com/problems/circular-sentence", "Circular Sentence")</f>
        <v>Circular Sentence</v>
      </c>
      <c r="D2491" s="7" t="s">
        <v>6</v>
      </c>
      <c r="E2491" s="8" t="s">
        <v>14</v>
      </c>
      <c r="F2491" s="9">
        <v>0.65</v>
      </c>
      <c r="G2491" s="10"/>
      <c r="H2491" s="10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ht="14.25" customHeight="1">
      <c r="A2492" s="4">
        <v>2491.0</v>
      </c>
      <c r="B2492" s="5"/>
      <c r="C2492" s="6" t="str">
        <f>HYPERLINK("https://leetcode.com/problems/divide-players-into-teams-of-equal-skill", "Divide Players Into Teams of Equal Skill")</f>
        <v>Divide Players Into Teams of Equal Skill</v>
      </c>
      <c r="D2492" s="7" t="s">
        <v>8</v>
      </c>
      <c r="E2492" s="8" t="s">
        <v>664</v>
      </c>
      <c r="F2492" s="9">
        <v>0.58</v>
      </c>
      <c r="G2492" s="10"/>
      <c r="H2492" s="10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ht="14.25" customHeight="1">
      <c r="A2493" s="4">
        <v>2492.0</v>
      </c>
      <c r="B2493" s="5"/>
      <c r="C2493" s="6" t="str">
        <f>HYPERLINK("https://leetcode.com/problems/minimum-score-of-a-path-between-two-cities", "Minimum Score of a Path Between Two Cities")</f>
        <v>Minimum Score of a Path Between Two Cities</v>
      </c>
      <c r="D2493" s="7" t="s">
        <v>8</v>
      </c>
      <c r="E2493" s="8" t="s">
        <v>146</v>
      </c>
      <c r="F2493" s="9">
        <v>0.45</v>
      </c>
      <c r="G2493" s="10"/>
      <c r="H2493" s="10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ht="14.25" customHeight="1">
      <c r="A2494" s="4">
        <v>2493.0</v>
      </c>
      <c r="B2494" s="5"/>
      <c r="C2494" s="6" t="str">
        <f>HYPERLINK("https://leetcode.com/problems/divide-nodes-into-the-maximum-number-of-groups", "Divide Nodes Into the Maximum Number of Groups")</f>
        <v>Divide Nodes Into the Maximum Number of Groups</v>
      </c>
      <c r="D2494" s="7" t="s">
        <v>11</v>
      </c>
      <c r="E2494" s="8" t="s">
        <v>910</v>
      </c>
      <c r="F2494" s="9">
        <v>0.36</v>
      </c>
      <c r="G2494" s="10"/>
      <c r="H2494" s="10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ht="14.25" customHeight="1">
      <c r="A2495" s="11">
        <v>2494.0</v>
      </c>
      <c r="B2495" s="5"/>
      <c r="C2495" s="12" t="str">
        <f>HYPERLINK("https://leetcode.com/problems/merge-overlapping-events-in-the-same-hall", "Merge Overlapping Events in the Same Hall")</f>
        <v>Merge Overlapping Events in the Same Hall</v>
      </c>
      <c r="D2495" s="7" t="s">
        <v>11</v>
      </c>
      <c r="E2495" s="8" t="s">
        <v>101</v>
      </c>
      <c r="F2495" s="9">
        <v>0.24</v>
      </c>
      <c r="G2495" s="10"/>
      <c r="H2495" s="10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ht="14.25" customHeight="1">
      <c r="A2496" s="11">
        <v>2495.0</v>
      </c>
      <c r="B2496" s="5"/>
      <c r="C2496" s="12" t="str">
        <f>HYPERLINK("https://leetcode.com/problems/number-of-subarrays-having-even-product", "Number of Subarrays Having Even Product")</f>
        <v>Number of Subarrays Having Even Product</v>
      </c>
      <c r="D2496" s="7" t="s">
        <v>8</v>
      </c>
      <c r="E2496" s="8" t="s">
        <v>181</v>
      </c>
      <c r="F2496" s="9">
        <v>0.7</v>
      </c>
      <c r="G2496" s="10"/>
      <c r="H2496" s="10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ht="14.25" customHeight="1">
      <c r="A2497" s="4">
        <v>2496.0</v>
      </c>
      <c r="B2497" s="5"/>
      <c r="C2497" s="6" t="str">
        <f>HYPERLINK("https://leetcode.com/problems/maximum-value-of-a-string-in-an-array", "Maximum Value of a String in an Array")</f>
        <v>Maximum Value of a String in an Array</v>
      </c>
      <c r="D2497" s="7" t="s">
        <v>6</v>
      </c>
      <c r="E2497" s="8" t="s">
        <v>135</v>
      </c>
      <c r="F2497" s="9">
        <v>0.71</v>
      </c>
      <c r="G2497" s="10"/>
      <c r="H2497" s="10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ht="14.25" customHeight="1">
      <c r="A2498" s="4">
        <v>2497.0</v>
      </c>
      <c r="B2498" s="5"/>
      <c r="C2498" s="6" t="str">
        <f>HYPERLINK("https://leetcode.com/problems/maximum-star-sum-of-a-graph", "Maximum Star Sum of a Graph")</f>
        <v>Maximum Star Sum of a Graph</v>
      </c>
      <c r="D2498" s="7" t="s">
        <v>8</v>
      </c>
      <c r="E2498" s="8" t="s">
        <v>911</v>
      </c>
      <c r="F2498" s="9">
        <v>0.38</v>
      </c>
      <c r="G2498" s="10"/>
      <c r="H2498" s="10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ht="14.25" customHeight="1">
      <c r="A2499" s="4">
        <v>2498.0</v>
      </c>
      <c r="B2499" s="5"/>
      <c r="C2499" s="6" t="str">
        <f>HYPERLINK("https://leetcode.com/problems/frog-jump-ii", "Frog Jump II")</f>
        <v>Frog Jump II</v>
      </c>
      <c r="D2499" s="7" t="s">
        <v>8</v>
      </c>
      <c r="E2499" s="8" t="s">
        <v>912</v>
      </c>
      <c r="F2499" s="9">
        <v>0.59</v>
      </c>
      <c r="G2499" s="10"/>
      <c r="H2499" s="10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ht="14.25" customHeight="1">
      <c r="A2500" s="4">
        <v>2499.0</v>
      </c>
      <c r="B2500" s="5"/>
      <c r="C2500" s="6" t="str">
        <f>HYPERLINK("https://leetcode.com/problems/minimum-total-cost-to-make-arrays-unequal", "Minimum Total Cost to Make Arrays Unequal")</f>
        <v>Minimum Total Cost to Make Arrays Unequal</v>
      </c>
      <c r="D2500" s="7" t="s">
        <v>11</v>
      </c>
      <c r="E2500" s="8" t="s">
        <v>691</v>
      </c>
      <c r="F2500" s="9">
        <v>0.42</v>
      </c>
      <c r="G2500" s="10"/>
      <c r="H2500" s="10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ht="14.25" customHeight="1">
      <c r="A2501" s="4">
        <v>2500.0</v>
      </c>
      <c r="B2501" s="5"/>
      <c r="C2501" s="6" t="str">
        <f>HYPERLINK("https://leetcode.com/problems/delete-greatest-value-in-each-row", "Delete Greatest Value in Each Row")</f>
        <v>Delete Greatest Value in Each Row</v>
      </c>
      <c r="D2501" s="7" t="s">
        <v>6</v>
      </c>
      <c r="E2501" s="8" t="s">
        <v>558</v>
      </c>
      <c r="F2501" s="9">
        <v>0.83</v>
      </c>
      <c r="G2501" s="10"/>
      <c r="H2501" s="10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ht="14.25" customHeight="1">
      <c r="A2502" s="4">
        <v>2501.0</v>
      </c>
      <c r="B2502" s="5"/>
      <c r="C2502" s="6" t="str">
        <f>HYPERLINK("https://leetcode.com/problems/longest-square-streak-in-an-array", "Longest Square Streak in an Array")</f>
        <v>Longest Square Streak in an Array</v>
      </c>
      <c r="D2502" s="7" t="s">
        <v>8</v>
      </c>
      <c r="E2502" s="8" t="s">
        <v>913</v>
      </c>
      <c r="F2502" s="9">
        <v>0.39</v>
      </c>
      <c r="G2502" s="10"/>
      <c r="H2502" s="10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ht="14.25" customHeight="1">
      <c r="A2503" s="4">
        <v>2502.0</v>
      </c>
      <c r="B2503" s="5"/>
      <c r="C2503" s="6" t="str">
        <f>HYPERLINK("https://leetcode.com/problems/design-memory-allocator", "Design Memory Allocator")</f>
        <v>Design Memory Allocator</v>
      </c>
      <c r="D2503" s="7" t="s">
        <v>8</v>
      </c>
      <c r="E2503" s="8" t="s">
        <v>765</v>
      </c>
      <c r="F2503" s="9">
        <v>0.51</v>
      </c>
      <c r="G2503" s="10"/>
      <c r="H2503" s="10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ht="14.25" customHeight="1">
      <c r="A2504" s="4">
        <v>2503.0</v>
      </c>
      <c r="B2504" s="5"/>
      <c r="C2504" s="6" t="str">
        <f>HYPERLINK("https://leetcode.com/problems/maximum-number-of-points-from-grid-queries", "Maximum Number of Points From Grid Queries")</f>
        <v>Maximum Number of Points From Grid Queries</v>
      </c>
      <c r="D2504" s="7" t="s">
        <v>11</v>
      </c>
      <c r="E2504" s="8" t="s">
        <v>914</v>
      </c>
      <c r="F2504" s="9">
        <v>0.35</v>
      </c>
      <c r="G2504" s="10"/>
      <c r="H2504" s="10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ht="14.25" customHeight="1">
      <c r="A2505" s="11">
        <v>2504.0</v>
      </c>
      <c r="B2505" s="5"/>
      <c r="C2505" s="12" t="str">
        <f>HYPERLINK("https://leetcode.com/problems/concatenate-the-name-and-the-profession", "Concatenate the Name and the Profession")</f>
        <v>Concatenate the Name and the Profession</v>
      </c>
      <c r="D2505" s="7" t="s">
        <v>6</v>
      </c>
      <c r="E2505" s="8" t="s">
        <v>101</v>
      </c>
      <c r="F2505" s="9">
        <v>0.48</v>
      </c>
      <c r="G2505" s="10"/>
      <c r="H2505" s="10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ht="14.25" customHeight="1">
      <c r="A2506" s="11">
        <v>2505.0</v>
      </c>
      <c r="B2506" s="5"/>
      <c r="C2506" s="12" t="str">
        <f>HYPERLINK("https://leetcode.com/problems/bitwise-or-of-all-subsequence-sums", "Bitwise OR of All Subsequence Sums")</f>
        <v>Bitwise OR of All Subsequence Sums</v>
      </c>
      <c r="D2506" s="7" t="s">
        <v>8</v>
      </c>
      <c r="E2506" s="8" t="s">
        <v>915</v>
      </c>
      <c r="F2506" s="9">
        <v>0.63</v>
      </c>
      <c r="G2506" s="10"/>
      <c r="H2506" s="10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ht="14.25" customHeight="1">
      <c r="A2507" s="4">
        <v>2506.0</v>
      </c>
      <c r="B2507" s="5"/>
      <c r="C2507" s="6" t="str">
        <f>HYPERLINK("https://leetcode.com/problems/count-pairs-of-similar-strings", "Count Pairs Of Similar Strings")</f>
        <v>Count Pairs Of Similar Strings</v>
      </c>
      <c r="D2507" s="7" t="s">
        <v>6</v>
      </c>
      <c r="E2507" s="8" t="s">
        <v>139</v>
      </c>
      <c r="F2507" s="9">
        <v>0.68</v>
      </c>
      <c r="G2507" s="10"/>
      <c r="H2507" s="10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ht="14.25" customHeight="1">
      <c r="A2508" s="4">
        <v>2507.0</v>
      </c>
      <c r="B2508" s="5"/>
      <c r="C2508" s="6" t="str">
        <f>HYPERLINK("https://leetcode.com/problems/smallest-value-after-replacing-with-sum-of-prime-factors", "Smallest Value After Replacing With Sum of Prime Factors")</f>
        <v>Smallest Value After Replacing With Sum of Prime Factors</v>
      </c>
      <c r="D2508" s="7" t="s">
        <v>8</v>
      </c>
      <c r="E2508" s="8" t="s">
        <v>884</v>
      </c>
      <c r="F2508" s="9">
        <v>0.47</v>
      </c>
      <c r="G2508" s="10"/>
      <c r="H2508" s="10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ht="14.25" customHeight="1">
      <c r="A2509" s="4">
        <v>2508.0</v>
      </c>
      <c r="B2509" s="5"/>
      <c r="C2509" s="6" t="str">
        <f>HYPERLINK("https://leetcode.com/problems/add-edges-to-make-degrees-of-all-nodes-even", "Add Edges to Make Degrees of All Nodes Even")</f>
        <v>Add Edges to Make Degrees of All Nodes Even</v>
      </c>
      <c r="D2509" s="7" t="s">
        <v>11</v>
      </c>
      <c r="E2509" s="8" t="s">
        <v>872</v>
      </c>
      <c r="F2509" s="9">
        <v>0.32</v>
      </c>
      <c r="G2509" s="10"/>
      <c r="H2509" s="10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ht="14.25" customHeight="1">
      <c r="A2510" s="4">
        <v>2509.0</v>
      </c>
      <c r="B2510" s="5"/>
      <c r="C2510" s="6" t="str">
        <f>HYPERLINK("https://leetcode.com/problems/cycle-length-queries-in-a-tree", "Cycle Length Queries in a Tree")</f>
        <v>Cycle Length Queries in a Tree</v>
      </c>
      <c r="D2510" s="7" t="s">
        <v>11</v>
      </c>
      <c r="E2510" s="8" t="s">
        <v>471</v>
      </c>
      <c r="F2510" s="9">
        <v>0.54</v>
      </c>
      <c r="G2510" s="10"/>
      <c r="H2510" s="10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</sheetData>
  <conditionalFormatting sqref="D1:D2510">
    <cfRule type="cellIs" dxfId="0" priority="1" operator="equal">
      <formula>"Medium"</formula>
    </cfRule>
  </conditionalFormatting>
  <conditionalFormatting sqref="D1:D2510">
    <cfRule type="cellIs" dxfId="1" priority="2" operator="equal">
      <formula>"Easy"</formula>
    </cfRule>
  </conditionalFormatting>
  <conditionalFormatting sqref="D1:D2510">
    <cfRule type="cellIs" dxfId="2" priority="3" operator="equal">
      <formula>"Hard"</formula>
    </cfRule>
  </conditionalFormatting>
  <printOptions gridLines="1" verticalCentered="1"/>
  <pageMargins bottom="0.0" footer="0.0" header="0.0" left="0.0" right="0.0" top="0.0"/>
  <pageSetup fitToHeight="0" paperSize="9" orientation="portrait"/>
  <drawing r:id="rId1"/>
</worksheet>
</file>