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47e98cd413ab0b0/デスクトップ/github/Ave_N_value/"/>
    </mc:Choice>
  </mc:AlternateContent>
  <xr:revisionPtr revIDLastSave="3728" documentId="8_{866F0C86-6B56-44F3-821C-147C00BEF91E}" xr6:coauthVersionLast="47" xr6:coauthVersionMax="47" xr10:uidLastSave="{173B8E8C-9974-4B4D-89C3-5F750D1DDF91}"/>
  <bookViews>
    <workbookView xWindow="-120" yWindow="-120" windowWidth="20730" windowHeight="11040" tabRatio="603" xr2:uid="{00000000-000D-0000-FFFF-FFFF00000000}"/>
  </bookViews>
  <sheets>
    <sheet name="N" sheetId="20" r:id="rId1"/>
    <sheet name="allowable of pile Sﾆｰﾃﾞｨﾝｸﾞ (2)" sheetId="19" r:id="rId2"/>
    <sheet name="allowable of pile Sﾆｰﾃﾞｨﾝｸﾞ" sheetId="18" r:id="rId3"/>
    <sheet name="allowable of pile" sheetId="6" r:id="rId4"/>
    <sheet name="direct stress 300" sheetId="16" r:id="rId5"/>
    <sheet name="direct stress 350" sheetId="15" r:id="rId6"/>
    <sheet name="direct stress" sheetId="10" r:id="rId7"/>
    <sheet name="horizontal strength" sheetId="1" r:id="rId8"/>
    <sheet name="pile_cap" sheetId="12" r:id="rId9"/>
    <sheet name="N_calc" sheetId="14" r:id="rId10"/>
    <sheet name="Sheet1" sheetId="13" r:id="rId11"/>
    <sheet name="Sheet2" sheetId="17" r:id="rId12"/>
  </sheets>
  <externalReferences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0" l="1"/>
  <c r="K23" i="19"/>
  <c r="A23" i="19"/>
  <c r="D23" i="19"/>
  <c r="L23" i="19"/>
  <c r="P23" i="19"/>
  <c r="A24" i="19"/>
  <c r="C24" i="19"/>
  <c r="K24" i="19"/>
  <c r="D24" i="19"/>
  <c r="L24" i="19"/>
  <c r="M24" i="19" s="1"/>
  <c r="A25" i="19"/>
  <c r="C25" i="19"/>
  <c r="K25" i="19"/>
  <c r="D25" i="19"/>
  <c r="L25" i="19"/>
  <c r="A26" i="19"/>
  <c r="C26" i="19"/>
  <c r="K26" i="19"/>
  <c r="D26" i="19"/>
  <c r="L26" i="19"/>
  <c r="M26" i="19" s="1"/>
  <c r="N26" i="19" s="1"/>
  <c r="A27" i="19"/>
  <c r="C27" i="19"/>
  <c r="K27" i="19"/>
  <c r="D27" i="19"/>
  <c r="L27" i="19"/>
  <c r="D38" i="19"/>
  <c r="C24" i="18"/>
  <c r="K24" i="18"/>
  <c r="C25" i="18"/>
  <c r="K25" i="18"/>
  <c r="C26" i="18"/>
  <c r="K26" i="18"/>
  <c r="C27" i="18"/>
  <c r="K27" i="18"/>
  <c r="C23" i="18"/>
  <c r="K23" i="18"/>
  <c r="A23" i="18"/>
  <c r="D23" i="18"/>
  <c r="L23" i="18"/>
  <c r="P23" i="18"/>
  <c r="A24" i="18"/>
  <c r="D24" i="18"/>
  <c r="L24" i="18"/>
  <c r="M24" i="18" s="1"/>
  <c r="N24" i="18" s="1"/>
  <c r="A25" i="18"/>
  <c r="D25" i="18"/>
  <c r="L25" i="18"/>
  <c r="A26" i="18"/>
  <c r="D26" i="18"/>
  <c r="L26" i="18"/>
  <c r="M26" i="18" s="1"/>
  <c r="N26" i="18" s="1"/>
  <c r="A27" i="18"/>
  <c r="D27" i="18"/>
  <c r="L27" i="18"/>
  <c r="D38" i="18"/>
  <c r="A26" i="6"/>
  <c r="A27" i="6"/>
  <c r="H11" i="17"/>
  <c r="I11" i="17"/>
  <c r="K10" i="17"/>
  <c r="L10" i="17" s="1"/>
  <c r="K12" i="17"/>
  <c r="K11" i="17"/>
  <c r="H12" i="17"/>
  <c r="G12" i="17"/>
  <c r="I12" i="17"/>
  <c r="L12" i="17"/>
  <c r="M12" i="17"/>
  <c r="D25" i="1"/>
  <c r="A24" i="6"/>
  <c r="A25" i="6"/>
  <c r="A23" i="6"/>
  <c r="P23" i="6"/>
  <c r="W8" i="10"/>
  <c r="W9" i="10"/>
  <c r="A27" i="1"/>
  <c r="A45" i="1"/>
  <c r="D27" i="1"/>
  <c r="I27" i="1"/>
  <c r="G8" i="1"/>
  <c r="H8" i="1"/>
  <c r="J8" i="1"/>
  <c r="B45" i="1"/>
  <c r="I45" i="1"/>
  <c r="H7" i="1"/>
  <c r="H6" i="1"/>
  <c r="D6" i="10"/>
  <c r="D23" i="10"/>
  <c r="E6" i="10"/>
  <c r="F6" i="10"/>
  <c r="F23" i="10"/>
  <c r="G6" i="10"/>
  <c r="G23" i="10"/>
  <c r="I6" i="10"/>
  <c r="J6" i="10"/>
  <c r="K6" i="10"/>
  <c r="K8" i="10"/>
  <c r="K9" i="10"/>
  <c r="L6" i="10"/>
  <c r="M6" i="10"/>
  <c r="N6" i="10"/>
  <c r="O6" i="10"/>
  <c r="Q6" i="10"/>
  <c r="R6" i="10"/>
  <c r="S6" i="10"/>
  <c r="T6" i="10"/>
  <c r="T8" i="10"/>
  <c r="T9" i="10"/>
  <c r="U6" i="10"/>
  <c r="V6" i="10"/>
  <c r="Y6" i="10"/>
  <c r="Z6" i="10"/>
  <c r="AA6" i="10"/>
  <c r="AB6" i="10"/>
  <c r="AC6" i="10"/>
  <c r="AD6" i="10"/>
  <c r="AD8" i="10"/>
  <c r="AD9" i="10"/>
  <c r="AE6" i="10"/>
  <c r="AG6" i="10"/>
  <c r="AH6" i="10"/>
  <c r="AI6" i="10"/>
  <c r="AI8" i="10"/>
  <c r="AI9" i="10"/>
  <c r="AJ6" i="10"/>
  <c r="AK6" i="10"/>
  <c r="AK23" i="10"/>
  <c r="AL6" i="10"/>
  <c r="AM6" i="10"/>
  <c r="AM23" i="10"/>
  <c r="C6" i="10"/>
  <c r="AK8" i="10"/>
  <c r="AK9" i="10"/>
  <c r="AL8" i="10"/>
  <c r="AL9" i="10"/>
  <c r="AM8" i="10"/>
  <c r="AM9" i="10"/>
  <c r="AH12" i="10"/>
  <c r="AI12" i="10"/>
  <c r="AI13" i="10" s="1"/>
  <c r="AI14" i="10" s="1"/>
  <c r="AJ12" i="10"/>
  <c r="AK12" i="10"/>
  <c r="AK13" i="10" s="1"/>
  <c r="AK14" i="10" s="1"/>
  <c r="AL12" i="10"/>
  <c r="AL13" i="10" s="1"/>
  <c r="AL14" i="10" s="1"/>
  <c r="AM12" i="10"/>
  <c r="AM13" i="10" s="1"/>
  <c r="AM14" i="10" s="1"/>
  <c r="AH17" i="10"/>
  <c r="AI17" i="10"/>
  <c r="AJ17" i="10"/>
  <c r="AK17" i="10"/>
  <c r="AL17" i="10"/>
  <c r="AM17" i="10"/>
  <c r="AH18" i="10"/>
  <c r="AI18" i="10"/>
  <c r="AJ18" i="10"/>
  <c r="AK18" i="10"/>
  <c r="AL18" i="10"/>
  <c r="AM18" i="10"/>
  <c r="AH21" i="10"/>
  <c r="AH22" i="10"/>
  <c r="AI21" i="10"/>
  <c r="AJ21" i="10"/>
  <c r="AJ22" i="10"/>
  <c r="AK21" i="10"/>
  <c r="AK22" i="10"/>
  <c r="AL21" i="10"/>
  <c r="AM21" i="10"/>
  <c r="AI23" i="10"/>
  <c r="AL23" i="10"/>
  <c r="AH24" i="10"/>
  <c r="AI24" i="10"/>
  <c r="AJ24" i="10"/>
  <c r="AK24" i="10"/>
  <c r="AK25" i="10" s="1"/>
  <c r="AL24" i="10"/>
  <c r="AM24" i="10"/>
  <c r="AM25" i="10" s="1"/>
  <c r="AL25" i="10"/>
  <c r="AH27" i="10"/>
  <c r="AI27" i="10"/>
  <c r="AJ27" i="10"/>
  <c r="AK27" i="10"/>
  <c r="AL27" i="10"/>
  <c r="AM27" i="10"/>
  <c r="AH28" i="10"/>
  <c r="AH29" i="10" s="1"/>
  <c r="AI28" i="10"/>
  <c r="AI29" i="10"/>
  <c r="AJ28" i="10"/>
  <c r="AK28" i="10"/>
  <c r="AK29" i="10" s="1"/>
  <c r="AL28" i="10"/>
  <c r="AL29" i="10" s="1"/>
  <c r="AM28" i="10"/>
  <c r="AM29" i="10" s="1"/>
  <c r="AG8" i="10"/>
  <c r="AG9" i="10"/>
  <c r="AG12" i="10"/>
  <c r="AG13" i="10" s="1"/>
  <c r="AG14" i="10" s="1"/>
  <c r="AG17" i="10"/>
  <c r="AG18" i="10"/>
  <c r="AG21" i="10"/>
  <c r="AG23" i="10"/>
  <c r="AG24" i="10"/>
  <c r="AG25" i="10" s="1"/>
  <c r="AG27" i="10"/>
  <c r="AG28" i="10"/>
  <c r="AG29" i="10" s="1"/>
  <c r="Z8" i="10"/>
  <c r="Z9" i="10"/>
  <c r="AA8" i="10"/>
  <c r="AC8" i="10"/>
  <c r="AC9" i="10"/>
  <c r="AE8" i="10"/>
  <c r="AA9" i="10"/>
  <c r="AE9" i="10"/>
  <c r="Z12" i="10"/>
  <c r="Z13" i="10" s="1"/>
  <c r="Z14" i="10" s="1"/>
  <c r="AA12" i="10"/>
  <c r="AA13" i="10"/>
  <c r="AA14" i="10"/>
  <c r="AB12" i="10"/>
  <c r="AC12" i="10"/>
  <c r="AD12" i="10"/>
  <c r="AD13" i="10" s="1"/>
  <c r="AD14" i="10" s="1"/>
  <c r="AE12" i="10"/>
  <c r="AE13" i="10" s="1"/>
  <c r="AE14" i="10" s="1"/>
  <c r="Z17" i="10"/>
  <c r="AA17" i="10"/>
  <c r="AB17" i="10"/>
  <c r="AC17" i="10"/>
  <c r="AD17" i="10"/>
  <c r="AE17" i="10"/>
  <c r="Z18" i="10"/>
  <c r="AA18" i="10"/>
  <c r="AB18" i="10"/>
  <c r="AC18" i="10"/>
  <c r="AD18" i="10"/>
  <c r="AE18" i="10"/>
  <c r="Z21" i="10"/>
  <c r="Z22" i="10"/>
  <c r="AA21" i="10"/>
  <c r="AA22" i="10"/>
  <c r="AB21" i="10"/>
  <c r="AB22" i="10"/>
  <c r="AC21" i="10"/>
  <c r="AD21" i="10"/>
  <c r="AE21" i="10"/>
  <c r="Z23" i="10"/>
  <c r="AA23" i="10"/>
  <c r="AC23" i="10"/>
  <c r="AD23" i="10"/>
  <c r="AE23" i="10"/>
  <c r="Z24" i="10"/>
  <c r="Z25" i="10"/>
  <c r="AA24" i="10"/>
  <c r="AA25" i="10"/>
  <c r="AA26" i="10" s="1"/>
  <c r="AB24" i="10"/>
  <c r="AC24" i="10"/>
  <c r="AD24" i="10"/>
  <c r="AD25" i="10" s="1"/>
  <c r="AE24" i="10"/>
  <c r="AE25" i="10" s="1"/>
  <c r="Z27" i="10"/>
  <c r="AA27" i="10"/>
  <c r="AB27" i="10"/>
  <c r="AC27" i="10"/>
  <c r="AD27" i="10"/>
  <c r="AE27" i="10"/>
  <c r="Z28" i="10"/>
  <c r="Z29" i="10"/>
  <c r="AA28" i="10"/>
  <c r="AA29" i="10" s="1"/>
  <c r="AB28" i="10"/>
  <c r="AB29" i="10"/>
  <c r="AC28" i="10"/>
  <c r="AD28" i="10"/>
  <c r="AD29" i="10"/>
  <c r="AE28" i="10"/>
  <c r="AE29" i="10"/>
  <c r="Y12" i="10"/>
  <c r="Y17" i="10"/>
  <c r="Y18" i="10"/>
  <c r="Y21" i="10"/>
  <c r="Y22" i="10"/>
  <c r="Y24" i="10"/>
  <c r="Y27" i="10"/>
  <c r="Y28" i="10"/>
  <c r="Y29" i="10" s="1"/>
  <c r="S8" i="10"/>
  <c r="S9" i="10"/>
  <c r="U8" i="10"/>
  <c r="V8" i="10"/>
  <c r="V9" i="10"/>
  <c r="U9" i="10"/>
  <c r="R12" i="10"/>
  <c r="S12" i="10"/>
  <c r="S13" i="10" s="1"/>
  <c r="S14" i="10" s="1"/>
  <c r="T12" i="10"/>
  <c r="U12" i="10"/>
  <c r="V12" i="10"/>
  <c r="V13" i="10" s="1"/>
  <c r="V14" i="10" s="1"/>
  <c r="W12" i="10"/>
  <c r="W13" i="10"/>
  <c r="W14" i="10"/>
  <c r="R17" i="10"/>
  <c r="S17" i="10"/>
  <c r="T17" i="10"/>
  <c r="U17" i="10"/>
  <c r="V17" i="10"/>
  <c r="W17" i="10"/>
  <c r="R18" i="10"/>
  <c r="S18" i="10"/>
  <c r="T18" i="10"/>
  <c r="U18" i="10"/>
  <c r="V18" i="10"/>
  <c r="W18" i="10"/>
  <c r="R21" i="10"/>
  <c r="R22" i="10"/>
  <c r="S21" i="10"/>
  <c r="S22" i="10"/>
  <c r="T21" i="10"/>
  <c r="T22" i="10"/>
  <c r="U21" i="10"/>
  <c r="V21" i="10"/>
  <c r="W21" i="10"/>
  <c r="S23" i="10"/>
  <c r="U23" i="10"/>
  <c r="V23" i="10"/>
  <c r="W23" i="10"/>
  <c r="R24" i="10"/>
  <c r="S24" i="10"/>
  <c r="S25" i="10" s="1"/>
  <c r="S26" i="10" s="1"/>
  <c r="T24" i="10"/>
  <c r="U24" i="10"/>
  <c r="U25" i="10" s="1"/>
  <c r="U34" i="10" s="1"/>
  <c r="V24" i="10"/>
  <c r="V25" i="10" s="1"/>
  <c r="W24" i="10"/>
  <c r="W25" i="10"/>
  <c r="W33" i="10"/>
  <c r="R27" i="10"/>
  <c r="S27" i="10"/>
  <c r="T27" i="10"/>
  <c r="U27" i="10"/>
  <c r="V27" i="10"/>
  <c r="W27" i="10"/>
  <c r="R28" i="10"/>
  <c r="R29" i="10" s="1"/>
  <c r="S28" i="10"/>
  <c r="S29" i="10" s="1"/>
  <c r="T28" i="10"/>
  <c r="T29" i="10"/>
  <c r="U28" i="10"/>
  <c r="U29" i="10"/>
  <c r="V28" i="10"/>
  <c r="V29" i="10" s="1"/>
  <c r="W28" i="10"/>
  <c r="W29" i="10" s="1"/>
  <c r="J8" i="10"/>
  <c r="L8" i="10"/>
  <c r="L9" i="10"/>
  <c r="M8" i="10"/>
  <c r="M9" i="10"/>
  <c r="O8" i="10"/>
  <c r="O9" i="10"/>
  <c r="J9" i="10"/>
  <c r="J12" i="10"/>
  <c r="K12" i="10"/>
  <c r="K13" i="10" s="1"/>
  <c r="K14" i="10" s="1"/>
  <c r="L12" i="10"/>
  <c r="L13" i="10" s="1"/>
  <c r="L14" i="10" s="1"/>
  <c r="M12" i="10"/>
  <c r="M13" i="10" s="1"/>
  <c r="M14" i="10" s="1"/>
  <c r="N12" i="10"/>
  <c r="O12" i="10"/>
  <c r="O13" i="10" s="1"/>
  <c r="O14" i="10" s="1"/>
  <c r="J17" i="10"/>
  <c r="K17" i="10"/>
  <c r="L17" i="10"/>
  <c r="M17" i="10"/>
  <c r="N17" i="10"/>
  <c r="O17" i="10"/>
  <c r="J18" i="10"/>
  <c r="K18" i="10"/>
  <c r="L18" i="10"/>
  <c r="M18" i="10"/>
  <c r="N18" i="10"/>
  <c r="O18" i="10"/>
  <c r="J21" i="10"/>
  <c r="J22" i="10"/>
  <c r="K21" i="10"/>
  <c r="K22" i="10"/>
  <c r="L21" i="10"/>
  <c r="L22" i="10"/>
  <c r="M21" i="10"/>
  <c r="M22" i="10"/>
  <c r="N21" i="10"/>
  <c r="N22" i="10"/>
  <c r="O21" i="10"/>
  <c r="O22" i="10"/>
  <c r="J23" i="10"/>
  <c r="L23" i="10"/>
  <c r="M23" i="10"/>
  <c r="O23" i="10"/>
  <c r="J24" i="10"/>
  <c r="J25" i="10" s="1"/>
  <c r="J33" i="10" s="1"/>
  <c r="K24" i="10"/>
  <c r="L24" i="10"/>
  <c r="L25" i="10"/>
  <c r="M24" i="10"/>
  <c r="N24" i="10"/>
  <c r="O24" i="10"/>
  <c r="O25" i="10"/>
  <c r="O26" i="10" s="1"/>
  <c r="O33" i="10"/>
  <c r="M25" i="10"/>
  <c r="M34" i="10"/>
  <c r="J27" i="10"/>
  <c r="K27" i="10"/>
  <c r="L27" i="10"/>
  <c r="M27" i="10"/>
  <c r="N27" i="10"/>
  <c r="O27" i="10"/>
  <c r="J28" i="10"/>
  <c r="J29" i="10" s="1"/>
  <c r="K28" i="10"/>
  <c r="K29" i="10"/>
  <c r="L28" i="10"/>
  <c r="L29" i="10"/>
  <c r="M28" i="10"/>
  <c r="N28" i="10"/>
  <c r="N29" i="10" s="1"/>
  <c r="O28" i="10"/>
  <c r="O29" i="10" s="1"/>
  <c r="I12" i="10"/>
  <c r="I17" i="10"/>
  <c r="I18" i="10"/>
  <c r="I21" i="10"/>
  <c r="I24" i="10"/>
  <c r="I27" i="10"/>
  <c r="I28" i="10"/>
  <c r="I29" i="10" s="1"/>
  <c r="D8" i="10"/>
  <c r="D9" i="10"/>
  <c r="F8" i="10"/>
  <c r="F9" i="10"/>
  <c r="G8" i="10"/>
  <c r="G9" i="10"/>
  <c r="D12" i="10"/>
  <c r="D13" i="10" s="1"/>
  <c r="D14" i="10" s="1"/>
  <c r="E12" i="10"/>
  <c r="F12" i="10"/>
  <c r="F13" i="10" s="1"/>
  <c r="F14" i="10" s="1"/>
  <c r="G12" i="10"/>
  <c r="D17" i="10"/>
  <c r="E17" i="10"/>
  <c r="F17" i="10"/>
  <c r="G17" i="10"/>
  <c r="D18" i="10"/>
  <c r="E18" i="10"/>
  <c r="F18" i="10"/>
  <c r="G18" i="10"/>
  <c r="D21" i="10"/>
  <c r="E21" i="10"/>
  <c r="E22" i="10"/>
  <c r="F21" i="10"/>
  <c r="G21" i="10"/>
  <c r="G22" i="10"/>
  <c r="D24" i="10"/>
  <c r="D25" i="10" s="1"/>
  <c r="E24" i="10"/>
  <c r="F24" i="10"/>
  <c r="G24" i="10"/>
  <c r="D27" i="10"/>
  <c r="E27" i="10"/>
  <c r="F27" i="10"/>
  <c r="G27" i="10"/>
  <c r="D28" i="10"/>
  <c r="D29" i="10"/>
  <c r="E28" i="10"/>
  <c r="E29" i="10"/>
  <c r="F28" i="10"/>
  <c r="G28" i="10"/>
  <c r="G29" i="10" s="1"/>
  <c r="F29" i="10"/>
  <c r="D15" i="14"/>
  <c r="E18" i="12"/>
  <c r="E15" i="12"/>
  <c r="E16" i="12"/>
  <c r="E19" i="12"/>
  <c r="F18" i="12"/>
  <c r="F14" i="12"/>
  <c r="F15" i="12"/>
  <c r="F16" i="12"/>
  <c r="F19" i="12"/>
  <c r="G80" i="12"/>
  <c r="F52" i="12"/>
  <c r="F57" i="12"/>
  <c r="E52" i="12"/>
  <c r="E57" i="12"/>
  <c r="D13" i="13"/>
  <c r="D14" i="13"/>
  <c r="D15" i="13"/>
  <c r="E15" i="13"/>
  <c r="E14" i="13"/>
  <c r="C15" i="13"/>
  <c r="C14" i="13"/>
  <c r="B14" i="13"/>
  <c r="C13" i="13"/>
  <c r="D8" i="13"/>
  <c r="E8" i="13"/>
  <c r="AC5" i="16"/>
  <c r="B6" i="16"/>
  <c r="B8" i="16"/>
  <c r="C6" i="16"/>
  <c r="D6" i="16"/>
  <c r="E6" i="16"/>
  <c r="E8" i="16"/>
  <c r="E9" i="16"/>
  <c r="F6" i="16"/>
  <c r="F23" i="16"/>
  <c r="G6" i="16"/>
  <c r="I6" i="16"/>
  <c r="J6" i="16"/>
  <c r="J23" i="16"/>
  <c r="K6" i="16"/>
  <c r="L6" i="16"/>
  <c r="L8" i="16"/>
  <c r="L9" i="16"/>
  <c r="M6" i="16"/>
  <c r="M8" i="16"/>
  <c r="M9" i="16"/>
  <c r="N6" i="16"/>
  <c r="P6" i="16"/>
  <c r="P23" i="16"/>
  <c r="Q6" i="16"/>
  <c r="Q8" i="16"/>
  <c r="Q9" i="16"/>
  <c r="R6" i="16"/>
  <c r="S6" i="16"/>
  <c r="S23" i="16"/>
  <c r="U6" i="16"/>
  <c r="V6" i="16"/>
  <c r="W6" i="16"/>
  <c r="W8" i="16"/>
  <c r="W9" i="16"/>
  <c r="C8" i="16"/>
  <c r="C9" i="16"/>
  <c r="G8" i="16"/>
  <c r="G9" i="16"/>
  <c r="I8" i="16"/>
  <c r="I9" i="16"/>
  <c r="R8" i="16"/>
  <c r="R9" i="16"/>
  <c r="U8" i="16"/>
  <c r="U9" i="16"/>
  <c r="AC11" i="16"/>
  <c r="B12" i="16"/>
  <c r="C12" i="16"/>
  <c r="C13" i="16" s="1"/>
  <c r="C14" i="16" s="1"/>
  <c r="D12" i="16"/>
  <c r="E12" i="16"/>
  <c r="E13" i="16" s="1"/>
  <c r="E14" i="16" s="1"/>
  <c r="F12" i="16"/>
  <c r="G12" i="16"/>
  <c r="G13" i="16" s="1"/>
  <c r="G14" i="16" s="1"/>
  <c r="I12" i="16"/>
  <c r="J12" i="16"/>
  <c r="K12" i="16"/>
  <c r="L12" i="16"/>
  <c r="L13" i="16" s="1"/>
  <c r="L14" i="16" s="1"/>
  <c r="M12" i="16"/>
  <c r="M13" i="16" s="1"/>
  <c r="M14" i="16" s="1"/>
  <c r="N12" i="16"/>
  <c r="P12" i="16"/>
  <c r="Q12" i="16"/>
  <c r="Q13" i="16" s="1"/>
  <c r="Q14" i="16" s="1"/>
  <c r="R12" i="16"/>
  <c r="S12" i="16"/>
  <c r="U12" i="16"/>
  <c r="U13" i="16" s="1"/>
  <c r="U14" i="16" s="1"/>
  <c r="V12" i="16"/>
  <c r="W12" i="16"/>
  <c r="W13" i="16" s="1"/>
  <c r="W14" i="16" s="1"/>
  <c r="B17" i="16"/>
  <c r="C17" i="16"/>
  <c r="D17" i="16"/>
  <c r="E17" i="16"/>
  <c r="F17" i="16"/>
  <c r="G17" i="16"/>
  <c r="I17" i="16"/>
  <c r="J17" i="16"/>
  <c r="K17" i="16"/>
  <c r="L17" i="16"/>
  <c r="M17" i="16"/>
  <c r="N17" i="16"/>
  <c r="P17" i="16"/>
  <c r="Q17" i="16"/>
  <c r="R17" i="16"/>
  <c r="S17" i="16"/>
  <c r="U17" i="16"/>
  <c r="V17" i="16"/>
  <c r="W17" i="16"/>
  <c r="B18" i="16"/>
  <c r="C18" i="16"/>
  <c r="D18" i="16"/>
  <c r="E18" i="16"/>
  <c r="F18" i="16"/>
  <c r="G18" i="16"/>
  <c r="I18" i="16"/>
  <c r="J18" i="16"/>
  <c r="K18" i="16"/>
  <c r="L18" i="16"/>
  <c r="M18" i="16"/>
  <c r="N18" i="16"/>
  <c r="P18" i="16"/>
  <c r="Q18" i="16"/>
  <c r="R18" i="16"/>
  <c r="S18" i="16"/>
  <c r="U18" i="16"/>
  <c r="V18" i="16"/>
  <c r="W18" i="16"/>
  <c r="B21" i="16"/>
  <c r="C21" i="16"/>
  <c r="D21" i="16"/>
  <c r="E21" i="16"/>
  <c r="F21" i="16"/>
  <c r="G21" i="16"/>
  <c r="I21" i="16"/>
  <c r="I22" i="16"/>
  <c r="J21" i="16"/>
  <c r="K21" i="16"/>
  <c r="L21" i="16"/>
  <c r="M21" i="16"/>
  <c r="M22" i="16"/>
  <c r="N21" i="16"/>
  <c r="N22" i="16" s="1"/>
  <c r="P21" i="16"/>
  <c r="Q21" i="16"/>
  <c r="R21" i="16"/>
  <c r="R22" i="16"/>
  <c r="S21" i="16"/>
  <c r="U21" i="16"/>
  <c r="V21" i="16"/>
  <c r="W21" i="16"/>
  <c r="W22" i="16" s="1"/>
  <c r="G22" i="16"/>
  <c r="J22" i="16"/>
  <c r="S22" i="16"/>
  <c r="B23" i="16"/>
  <c r="C23" i="16"/>
  <c r="E23" i="16"/>
  <c r="G23" i="16"/>
  <c r="I23" i="16"/>
  <c r="Q23" i="16"/>
  <c r="R23" i="16"/>
  <c r="U23" i="16"/>
  <c r="W23" i="16"/>
  <c r="B24" i="16"/>
  <c r="B25" i="16"/>
  <c r="C24" i="16"/>
  <c r="C25" i="16"/>
  <c r="D24" i="16"/>
  <c r="E24" i="16"/>
  <c r="E25" i="16"/>
  <c r="E33" i="16"/>
  <c r="F24" i="16"/>
  <c r="F25" i="16" s="1"/>
  <c r="G24" i="16"/>
  <c r="G25" i="16" s="1"/>
  <c r="G26" i="16" s="1"/>
  <c r="I24" i="16"/>
  <c r="J24" i="16"/>
  <c r="J25" i="16" s="1"/>
  <c r="K24" i="16"/>
  <c r="L24" i="16"/>
  <c r="M24" i="16"/>
  <c r="N24" i="16"/>
  <c r="P24" i="16"/>
  <c r="P25" i="16"/>
  <c r="Q24" i="16"/>
  <c r="R24" i="16"/>
  <c r="S24" i="16"/>
  <c r="S25" i="16"/>
  <c r="U24" i="16"/>
  <c r="U25" i="16" s="1"/>
  <c r="V24" i="16"/>
  <c r="W24" i="16"/>
  <c r="Q25" i="16"/>
  <c r="B27" i="16"/>
  <c r="C27" i="16"/>
  <c r="D27" i="16"/>
  <c r="E27" i="16"/>
  <c r="F27" i="16"/>
  <c r="G27" i="16"/>
  <c r="I27" i="16"/>
  <c r="J27" i="16"/>
  <c r="K27" i="16"/>
  <c r="L27" i="16"/>
  <c r="M27" i="16"/>
  <c r="N27" i="16"/>
  <c r="P27" i="16"/>
  <c r="Q27" i="16"/>
  <c r="R27" i="16"/>
  <c r="S27" i="16"/>
  <c r="U27" i="16"/>
  <c r="V27" i="16"/>
  <c r="W27" i="16"/>
  <c r="B28" i="16"/>
  <c r="C28" i="16"/>
  <c r="D28" i="16"/>
  <c r="D29" i="16"/>
  <c r="E28" i="16"/>
  <c r="E29" i="16" s="1"/>
  <c r="F28" i="16"/>
  <c r="F29" i="16"/>
  <c r="G28" i="16"/>
  <c r="G29" i="16" s="1"/>
  <c r="I28" i="16"/>
  <c r="I29" i="16"/>
  <c r="J28" i="16"/>
  <c r="J29" i="16" s="1"/>
  <c r="K28" i="16"/>
  <c r="L28" i="16"/>
  <c r="M28" i="16"/>
  <c r="M29" i="16"/>
  <c r="N28" i="16"/>
  <c r="N29" i="16" s="1"/>
  <c r="P28" i="16"/>
  <c r="P29" i="16"/>
  <c r="Q28" i="16"/>
  <c r="R28" i="16"/>
  <c r="R29" i="16"/>
  <c r="S28" i="16"/>
  <c r="U28" i="16"/>
  <c r="V28" i="16"/>
  <c r="V29" i="16"/>
  <c r="W28" i="16"/>
  <c r="W29" i="16"/>
  <c r="Q29" i="16"/>
  <c r="E6" i="15"/>
  <c r="E8" i="15"/>
  <c r="E9" i="15"/>
  <c r="F6" i="15"/>
  <c r="F8" i="15"/>
  <c r="F9" i="15"/>
  <c r="G6" i="15"/>
  <c r="G8" i="15"/>
  <c r="G9" i="15"/>
  <c r="H6" i="15"/>
  <c r="J6" i="15"/>
  <c r="K6" i="15"/>
  <c r="K8" i="15"/>
  <c r="K9" i="15"/>
  <c r="L6" i="15"/>
  <c r="M6" i="15"/>
  <c r="M23" i="15"/>
  <c r="N6" i="15"/>
  <c r="N8" i="15"/>
  <c r="N9" i="15"/>
  <c r="O6" i="15"/>
  <c r="Q6" i="15"/>
  <c r="Q8" i="15"/>
  <c r="Q9" i="15"/>
  <c r="R6" i="15"/>
  <c r="R8" i="15"/>
  <c r="R9" i="15"/>
  <c r="S6" i="15"/>
  <c r="T6" i="15"/>
  <c r="T8" i="15"/>
  <c r="T9" i="15"/>
  <c r="V6" i="15"/>
  <c r="W6" i="15"/>
  <c r="W23" i="15"/>
  <c r="X6" i="15"/>
  <c r="D6" i="15"/>
  <c r="D8" i="15"/>
  <c r="D9" i="15"/>
  <c r="C6" i="15"/>
  <c r="Z5" i="15"/>
  <c r="J8" i="15"/>
  <c r="O8" i="15"/>
  <c r="O9" i="15"/>
  <c r="S8" i="15"/>
  <c r="W8" i="15"/>
  <c r="W9" i="15"/>
  <c r="X8" i="15"/>
  <c r="X9" i="15"/>
  <c r="J9" i="15"/>
  <c r="S9" i="15"/>
  <c r="Z11" i="15"/>
  <c r="C12" i="15"/>
  <c r="D12" i="15"/>
  <c r="E12" i="15"/>
  <c r="E13" i="15" s="1"/>
  <c r="E14" i="15" s="1"/>
  <c r="F12" i="15"/>
  <c r="F13" i="15" s="1"/>
  <c r="F14" i="15" s="1"/>
  <c r="G12" i="15"/>
  <c r="H12" i="15"/>
  <c r="J12" i="15"/>
  <c r="J13" i="15" s="1"/>
  <c r="J14" i="15" s="1"/>
  <c r="K12" i="15"/>
  <c r="K13" i="15" s="1"/>
  <c r="K14" i="15" s="1"/>
  <c r="L12" i="15"/>
  <c r="M12" i="15"/>
  <c r="N12" i="15"/>
  <c r="N13" i="15" s="1"/>
  <c r="N14" i="15" s="1"/>
  <c r="O12" i="15"/>
  <c r="O13" i="15" s="1"/>
  <c r="O14" i="15" s="1"/>
  <c r="Q12" i="15"/>
  <c r="R12" i="15"/>
  <c r="R13" i="15" s="1"/>
  <c r="R14" i="15" s="1"/>
  <c r="S12" i="15"/>
  <c r="S13" i="15" s="1"/>
  <c r="S14" i="15" s="1"/>
  <c r="T12" i="15"/>
  <c r="T13" i="15" s="1"/>
  <c r="T14" i="15" s="1"/>
  <c r="V12" i="15"/>
  <c r="W12" i="15"/>
  <c r="X12" i="15"/>
  <c r="C17" i="15"/>
  <c r="D17" i="15"/>
  <c r="E17" i="15"/>
  <c r="F17" i="15"/>
  <c r="G17" i="15"/>
  <c r="H17" i="15"/>
  <c r="J17" i="15"/>
  <c r="K17" i="15"/>
  <c r="L17" i="15"/>
  <c r="M17" i="15"/>
  <c r="N17" i="15"/>
  <c r="O17" i="15"/>
  <c r="Q17" i="15"/>
  <c r="R17" i="15"/>
  <c r="S17" i="15"/>
  <c r="T17" i="15"/>
  <c r="V17" i="15"/>
  <c r="W17" i="15"/>
  <c r="X17" i="15"/>
  <c r="C18" i="15"/>
  <c r="D18" i="15"/>
  <c r="E18" i="15"/>
  <c r="F18" i="15"/>
  <c r="G18" i="15"/>
  <c r="H18" i="15"/>
  <c r="J18" i="15"/>
  <c r="K18" i="15"/>
  <c r="L18" i="15"/>
  <c r="M18" i="15"/>
  <c r="N18" i="15"/>
  <c r="O18" i="15"/>
  <c r="Q18" i="15"/>
  <c r="R18" i="15"/>
  <c r="S18" i="15"/>
  <c r="T18" i="15"/>
  <c r="V18" i="15"/>
  <c r="W18" i="15"/>
  <c r="X18" i="15"/>
  <c r="C21" i="15"/>
  <c r="C22" i="15"/>
  <c r="D21" i="15"/>
  <c r="E21" i="15"/>
  <c r="F21" i="15"/>
  <c r="F22" i="15"/>
  <c r="G21" i="15"/>
  <c r="H21" i="15"/>
  <c r="J21" i="15"/>
  <c r="K21" i="15"/>
  <c r="K22" i="15"/>
  <c r="L21" i="15"/>
  <c r="M21" i="15"/>
  <c r="N21" i="15"/>
  <c r="N22" i="15"/>
  <c r="O21" i="15"/>
  <c r="O22" i="15"/>
  <c r="Q21" i="15"/>
  <c r="R21" i="15"/>
  <c r="S21" i="15"/>
  <c r="T21" i="15"/>
  <c r="V21" i="15"/>
  <c r="V22" i="15"/>
  <c r="W21" i="15"/>
  <c r="X21" i="15"/>
  <c r="X22" i="15"/>
  <c r="L22" i="15"/>
  <c r="T22" i="15"/>
  <c r="D23" i="15"/>
  <c r="E23" i="15"/>
  <c r="F23" i="15"/>
  <c r="G23" i="15"/>
  <c r="J23" i="15"/>
  <c r="N23" i="15"/>
  <c r="O23" i="15"/>
  <c r="Q23" i="15"/>
  <c r="R23" i="15"/>
  <c r="S23" i="15"/>
  <c r="T23" i="15"/>
  <c r="X23" i="15"/>
  <c r="C24" i="15"/>
  <c r="D24" i="15"/>
  <c r="D25" i="15" s="1"/>
  <c r="E24" i="15"/>
  <c r="E25" i="15" s="1"/>
  <c r="F24" i="15"/>
  <c r="F25" i="15"/>
  <c r="G24" i="15"/>
  <c r="G25" i="15"/>
  <c r="H24" i="15"/>
  <c r="J24" i="15"/>
  <c r="J25" i="15" s="1"/>
  <c r="K24" i="15"/>
  <c r="L24" i="15"/>
  <c r="M24" i="15"/>
  <c r="M25" i="15"/>
  <c r="M34" i="15"/>
  <c r="N24" i="15"/>
  <c r="N25" i="15"/>
  <c r="N26" i="15" s="1"/>
  <c r="O24" i="15"/>
  <c r="O25" i="15" s="1"/>
  <c r="Q24" i="15"/>
  <c r="Q25" i="15" s="1"/>
  <c r="R24" i="15"/>
  <c r="S24" i="15"/>
  <c r="S25" i="15" s="1"/>
  <c r="T24" i="15"/>
  <c r="V24" i="15"/>
  <c r="W24" i="15"/>
  <c r="X24" i="15"/>
  <c r="X25" i="15"/>
  <c r="X26" i="15" s="1"/>
  <c r="C27" i="15"/>
  <c r="D27" i="15"/>
  <c r="E27" i="15"/>
  <c r="F27" i="15"/>
  <c r="G27" i="15"/>
  <c r="H27" i="15"/>
  <c r="J27" i="15"/>
  <c r="K27" i="15"/>
  <c r="L27" i="15"/>
  <c r="M27" i="15"/>
  <c r="N27" i="15"/>
  <c r="O27" i="15"/>
  <c r="Q27" i="15"/>
  <c r="R27" i="15"/>
  <c r="S27" i="15"/>
  <c r="T27" i="15"/>
  <c r="V27" i="15"/>
  <c r="W27" i="15"/>
  <c r="X27" i="15"/>
  <c r="C28" i="15"/>
  <c r="C29" i="15" s="1"/>
  <c r="D28" i="15"/>
  <c r="D29" i="15" s="1"/>
  <c r="E28" i="15"/>
  <c r="E29" i="15"/>
  <c r="F28" i="15"/>
  <c r="F29" i="15"/>
  <c r="G28" i="15"/>
  <c r="G29" i="15"/>
  <c r="H28" i="15"/>
  <c r="H29" i="15" s="1"/>
  <c r="J28" i="15"/>
  <c r="J29" i="15"/>
  <c r="K28" i="15"/>
  <c r="K29" i="15" s="1"/>
  <c r="L28" i="15"/>
  <c r="M28" i="15"/>
  <c r="N28" i="15"/>
  <c r="N29" i="15" s="1"/>
  <c r="O28" i="15"/>
  <c r="Q28" i="15"/>
  <c r="Q29" i="15" s="1"/>
  <c r="R28" i="15"/>
  <c r="R29" i="15"/>
  <c r="S28" i="15"/>
  <c r="S29" i="15"/>
  <c r="T28" i="15"/>
  <c r="T29" i="15" s="1"/>
  <c r="V28" i="15"/>
  <c r="V29" i="15" s="1"/>
  <c r="W28" i="15"/>
  <c r="W29" i="15"/>
  <c r="X28" i="15"/>
  <c r="X29" i="15"/>
  <c r="O29" i="15"/>
  <c r="D39" i="6"/>
  <c r="Q8" i="10"/>
  <c r="Q17" i="10"/>
  <c r="Q18" i="10"/>
  <c r="Q21" i="10"/>
  <c r="Q22" i="10" s="1"/>
  <c r="Q23" i="10"/>
  <c r="Q24" i="10"/>
  <c r="Q25" i="10" s="1"/>
  <c r="Q27" i="10"/>
  <c r="Q28" i="10"/>
  <c r="Q29" i="10" s="1"/>
  <c r="C8" i="10"/>
  <c r="C9" i="10"/>
  <c r="Q9" i="10"/>
  <c r="Q12" i="10"/>
  <c r="Q13" i="10" s="1"/>
  <c r="Q14" i="10" s="1"/>
  <c r="C28" i="10"/>
  <c r="C18" i="10"/>
  <c r="C21" i="10"/>
  <c r="C22" i="10"/>
  <c r="C23" i="10"/>
  <c r="C24" i="10"/>
  <c r="C25" i="10" s="1"/>
  <c r="C26" i="10" s="1"/>
  <c r="AO5" i="10"/>
  <c r="C27" i="10"/>
  <c r="C17" i="10"/>
  <c r="C12" i="10"/>
  <c r="AO11" i="10"/>
  <c r="A26" i="1"/>
  <c r="A44" i="1"/>
  <c r="I26" i="1"/>
  <c r="D26" i="1"/>
  <c r="G7" i="1"/>
  <c r="J7" i="1"/>
  <c r="K7" i="1"/>
  <c r="L7" i="1"/>
  <c r="N7" i="1"/>
  <c r="G6" i="1"/>
  <c r="J6" i="1"/>
  <c r="K6" i="1"/>
  <c r="L6" i="1"/>
  <c r="A25" i="1"/>
  <c r="A43" i="1"/>
  <c r="I25" i="1"/>
  <c r="I43" i="1"/>
  <c r="B43" i="1"/>
  <c r="B44" i="1"/>
  <c r="I44" i="1"/>
  <c r="F21" i="14"/>
  <c r="I20" i="14"/>
  <c r="F20" i="14"/>
  <c r="D20" i="14"/>
  <c r="F8" i="14"/>
  <c r="G11" i="14"/>
  <c r="I30" i="14"/>
  <c r="I31" i="14"/>
  <c r="D31" i="14"/>
  <c r="E31" i="14"/>
  <c r="F31" i="14"/>
  <c r="G31" i="14"/>
  <c r="H31" i="14"/>
  <c r="D29" i="14"/>
  <c r="E29" i="14"/>
  <c r="F29" i="14"/>
  <c r="G29" i="14"/>
  <c r="H29" i="14"/>
  <c r="I29" i="14"/>
  <c r="D30" i="14"/>
  <c r="E30" i="14"/>
  <c r="F30" i="14"/>
  <c r="G30" i="14"/>
  <c r="H30" i="14"/>
  <c r="D27" i="14"/>
  <c r="E27" i="14"/>
  <c r="F27" i="14"/>
  <c r="G27" i="14"/>
  <c r="H27" i="14"/>
  <c r="I27" i="14"/>
  <c r="D28" i="14"/>
  <c r="E28" i="14"/>
  <c r="F28" i="14"/>
  <c r="G28" i="14"/>
  <c r="H28" i="14"/>
  <c r="I28" i="14"/>
  <c r="D4" i="14"/>
  <c r="E4" i="14"/>
  <c r="F4" i="14"/>
  <c r="G4" i="14"/>
  <c r="H4" i="14"/>
  <c r="I4" i="14"/>
  <c r="D5" i="14"/>
  <c r="E5" i="14"/>
  <c r="F5" i="14"/>
  <c r="G5" i="14"/>
  <c r="H5" i="14"/>
  <c r="I5" i="14"/>
  <c r="D6" i="14"/>
  <c r="E6" i="14"/>
  <c r="F6" i="14"/>
  <c r="G6" i="14"/>
  <c r="H6" i="14"/>
  <c r="I6" i="14"/>
  <c r="D7" i="14"/>
  <c r="E7" i="14"/>
  <c r="F7" i="14"/>
  <c r="G7" i="14"/>
  <c r="H7" i="14"/>
  <c r="I7" i="14"/>
  <c r="D8" i="14"/>
  <c r="E8" i="14"/>
  <c r="G8" i="14"/>
  <c r="H8" i="14"/>
  <c r="I8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D14" i="14"/>
  <c r="E14" i="14"/>
  <c r="F14" i="14"/>
  <c r="G14" i="14"/>
  <c r="H14" i="14"/>
  <c r="I14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D19" i="14"/>
  <c r="E19" i="14"/>
  <c r="F19" i="14"/>
  <c r="G19" i="14"/>
  <c r="H19" i="14"/>
  <c r="I19" i="14"/>
  <c r="E20" i="14"/>
  <c r="G20" i="14"/>
  <c r="H20" i="14"/>
  <c r="D21" i="14"/>
  <c r="E21" i="14"/>
  <c r="G21" i="14"/>
  <c r="H21" i="14"/>
  <c r="I21" i="14"/>
  <c r="D22" i="14"/>
  <c r="E22" i="14"/>
  <c r="F22" i="14"/>
  <c r="G22" i="14"/>
  <c r="H22" i="14"/>
  <c r="I22" i="14"/>
  <c r="D23" i="14"/>
  <c r="E23" i="14"/>
  <c r="F23" i="14"/>
  <c r="G23" i="14"/>
  <c r="H23" i="14"/>
  <c r="I23" i="14"/>
  <c r="D24" i="14"/>
  <c r="E24" i="14"/>
  <c r="F24" i="14"/>
  <c r="G24" i="14"/>
  <c r="H24" i="14"/>
  <c r="I24" i="14"/>
  <c r="D26" i="14"/>
  <c r="E26" i="14"/>
  <c r="F26" i="14"/>
  <c r="G26" i="14"/>
  <c r="H26" i="14"/>
  <c r="I26" i="14"/>
  <c r="I25" i="14"/>
  <c r="H25" i="14"/>
  <c r="G25" i="14"/>
  <c r="F25" i="14"/>
  <c r="E25" i="14"/>
  <c r="D25" i="14"/>
  <c r="F87" i="12"/>
  <c r="F92" i="12"/>
  <c r="E87" i="12"/>
  <c r="E92" i="12"/>
  <c r="E49" i="12"/>
  <c r="E50" i="12"/>
  <c r="E53" i="12"/>
  <c r="G45" i="12"/>
  <c r="H86" i="12"/>
  <c r="H87" i="12"/>
  <c r="G82" i="12"/>
  <c r="F83" i="12"/>
  <c r="G86" i="12"/>
  <c r="G87" i="12"/>
  <c r="H82" i="12"/>
  <c r="E84" i="12"/>
  <c r="E85" i="12"/>
  <c r="E88" i="12"/>
  <c r="H51" i="12"/>
  <c r="H52" i="12"/>
  <c r="G47" i="12"/>
  <c r="F48" i="12"/>
  <c r="F49" i="12"/>
  <c r="F50" i="12"/>
  <c r="F53" i="12"/>
  <c r="G48" i="12"/>
  <c r="H48" i="12"/>
  <c r="H49" i="12"/>
  <c r="H50" i="12"/>
  <c r="H53" i="12"/>
  <c r="G51" i="12"/>
  <c r="G52" i="12"/>
  <c r="H47" i="12"/>
  <c r="G49" i="12"/>
  <c r="G50" i="12"/>
  <c r="G53" i="12"/>
  <c r="H17" i="12"/>
  <c r="H18" i="12"/>
  <c r="G13" i="12"/>
  <c r="G14" i="12"/>
  <c r="H14" i="12"/>
  <c r="H15" i="12"/>
  <c r="H16" i="12"/>
  <c r="G17" i="12"/>
  <c r="G18" i="12"/>
  <c r="H13" i="12"/>
  <c r="G15" i="12"/>
  <c r="G16" i="12"/>
  <c r="F23" i="12"/>
  <c r="H91" i="12"/>
  <c r="H92" i="12" s="1"/>
  <c r="H93" i="12"/>
  <c r="F102" i="12"/>
  <c r="H102" i="12"/>
  <c r="G91" i="12"/>
  <c r="G93" i="12"/>
  <c r="E102" i="12"/>
  <c r="G102" i="12"/>
  <c r="E78" i="12"/>
  <c r="E89" i="12" s="1"/>
  <c r="E90" i="12" s="1"/>
  <c r="G78" i="12"/>
  <c r="E77" i="12"/>
  <c r="G77" i="12"/>
  <c r="H56" i="12"/>
  <c r="H58" i="12"/>
  <c r="F67" i="12"/>
  <c r="H67" i="12"/>
  <c r="G56" i="12"/>
  <c r="G57" i="12" s="1"/>
  <c r="G58" i="12"/>
  <c r="E67" i="12"/>
  <c r="G67" i="12"/>
  <c r="E43" i="12"/>
  <c r="G43" i="12"/>
  <c r="E42" i="12"/>
  <c r="G42" i="12"/>
  <c r="H24" i="12"/>
  <c r="G24" i="12"/>
  <c r="G22" i="12"/>
  <c r="E23" i="12"/>
  <c r="E33" i="12"/>
  <c r="H22" i="12"/>
  <c r="F33" i="12"/>
  <c r="H33" i="12"/>
  <c r="G33" i="12"/>
  <c r="E9" i="12"/>
  <c r="G9" i="12"/>
  <c r="E8" i="12"/>
  <c r="G8" i="12"/>
  <c r="D3" i="13"/>
  <c r="G3" i="13"/>
  <c r="D5" i="13"/>
  <c r="E4" i="13"/>
  <c r="D4" i="13"/>
  <c r="D6" i="13" s="1"/>
  <c r="G6" i="13" s="1"/>
  <c r="E9" i="13"/>
  <c r="D10" i="13"/>
  <c r="E10" i="13"/>
  <c r="D9" i="13"/>
  <c r="D11" i="13"/>
  <c r="G11" i="13"/>
  <c r="C10" i="13"/>
  <c r="C9" i="13"/>
  <c r="B9" i="13"/>
  <c r="C8" i="13"/>
  <c r="C4" i="13"/>
  <c r="B4" i="13"/>
  <c r="C5" i="13"/>
  <c r="C3" i="13"/>
  <c r="N6" i="1"/>
  <c r="G92" i="12"/>
  <c r="C29" i="10"/>
  <c r="H57" i="12"/>
  <c r="X33" i="15"/>
  <c r="I25" i="16"/>
  <c r="V22" i="16"/>
  <c r="L22" i="16"/>
  <c r="C22" i="16"/>
  <c r="C26" i="16"/>
  <c r="E3" i="13"/>
  <c r="U22" i="16"/>
  <c r="U33" i="16"/>
  <c r="K22" i="16"/>
  <c r="B22" i="16"/>
  <c r="B33" i="16"/>
  <c r="E34" i="16"/>
  <c r="E36" i="16"/>
  <c r="E22" i="16"/>
  <c r="E26" i="16"/>
  <c r="E35" i="16"/>
  <c r="D16" i="13"/>
  <c r="G16" i="13"/>
  <c r="X34" i="15"/>
  <c r="X36" i="15"/>
  <c r="J22" i="15"/>
  <c r="J26" i="15" s="1"/>
  <c r="J30" i="15"/>
  <c r="R22" i="15"/>
  <c r="W34" i="10"/>
  <c r="W36" i="10"/>
  <c r="P33" i="16"/>
  <c r="R25" i="16"/>
  <c r="M8" i="15"/>
  <c r="M9" i="15"/>
  <c r="M13" i="15"/>
  <c r="M14" i="15"/>
  <c r="U29" i="16"/>
  <c r="K29" i="16"/>
  <c r="B29" i="16"/>
  <c r="C23" i="15"/>
  <c r="C25" i="15"/>
  <c r="C8" i="15"/>
  <c r="K23" i="15"/>
  <c r="K25" i="15"/>
  <c r="M23" i="16"/>
  <c r="M25" i="16"/>
  <c r="M34" i="16"/>
  <c r="M36" i="16"/>
  <c r="P22" i="16"/>
  <c r="P26" i="16"/>
  <c r="N24" i="19"/>
  <c r="V23" i="15"/>
  <c r="V25" i="15"/>
  <c r="V33" i="15"/>
  <c r="V8" i="15"/>
  <c r="V9" i="15"/>
  <c r="V13" i="15"/>
  <c r="V14" i="15"/>
  <c r="L23" i="15"/>
  <c r="L25" i="15"/>
  <c r="L26" i="15"/>
  <c r="L8" i="15"/>
  <c r="L9" i="15"/>
  <c r="L13" i="15"/>
  <c r="L14" i="15"/>
  <c r="AH23" i="10"/>
  <c r="AH25" i="10"/>
  <c r="AH8" i="10"/>
  <c r="AH9" i="10"/>
  <c r="AH13" i="10"/>
  <c r="AH14" i="10"/>
  <c r="Y8" i="10"/>
  <c r="Y9" i="10"/>
  <c r="Y13" i="10"/>
  <c r="Y14" i="10"/>
  <c r="Y23" i="10"/>
  <c r="Y25" i="10"/>
  <c r="N23" i="10"/>
  <c r="N25" i="10"/>
  <c r="N26" i="10" s="1"/>
  <c r="N8" i="10"/>
  <c r="N9" i="10"/>
  <c r="N13" i="10"/>
  <c r="N14" i="10"/>
  <c r="E23" i="10"/>
  <c r="E25" i="10"/>
  <c r="E8" i="10"/>
  <c r="E9" i="10"/>
  <c r="E13" i="10"/>
  <c r="E14" i="10"/>
  <c r="T25" i="15"/>
  <c r="T26" i="15"/>
  <c r="T30" i="15"/>
  <c r="T31" i="15"/>
  <c r="W22" i="15"/>
  <c r="M22" i="15"/>
  <c r="M26" i="15"/>
  <c r="D22" i="15"/>
  <c r="S8" i="16"/>
  <c r="S9" i="16"/>
  <c r="S13" i="16"/>
  <c r="S14" i="16"/>
  <c r="J8" i="16"/>
  <c r="J9" i="16"/>
  <c r="J13" i="16"/>
  <c r="J14" i="16"/>
  <c r="W22" i="10"/>
  <c r="W26" i="10"/>
  <c r="W30" i="10"/>
  <c r="U22" i="10"/>
  <c r="U26" i="10"/>
  <c r="U35" i="10"/>
  <c r="M33" i="10"/>
  <c r="AE22" i="10"/>
  <c r="AE26" i="10"/>
  <c r="AC22" i="10"/>
  <c r="AD33" i="10"/>
  <c r="B9" i="16"/>
  <c r="P8" i="16"/>
  <c r="P9" i="16"/>
  <c r="P13" i="16"/>
  <c r="P14" i="16"/>
  <c r="F8" i="16"/>
  <c r="F9" i="16"/>
  <c r="F13" i="16"/>
  <c r="F14" i="16"/>
  <c r="D34" i="10"/>
  <c r="D36" i="10"/>
  <c r="G13" i="10"/>
  <c r="G14" i="10"/>
  <c r="AC25" i="10"/>
  <c r="AC26" i="10"/>
  <c r="AC35" i="10"/>
  <c r="AC33" i="10"/>
  <c r="AG22" i="10"/>
  <c r="AG26" i="10"/>
  <c r="AG35" i="10"/>
  <c r="AG33" i="10"/>
  <c r="AG34" i="10"/>
  <c r="AG36" i="10"/>
  <c r="K13" i="17"/>
  <c r="M25" i="19"/>
  <c r="N25" i="19"/>
  <c r="L33" i="10"/>
  <c r="L26" i="10"/>
  <c r="L30" i="10"/>
  <c r="L31" i="10"/>
  <c r="L34" i="10"/>
  <c r="L36" i="10"/>
  <c r="S34" i="10"/>
  <c r="S36" i="10"/>
  <c r="S33" i="10"/>
  <c r="U13" i="10"/>
  <c r="U14" i="10"/>
  <c r="AC29" i="10"/>
  <c r="AJ23" i="10"/>
  <c r="AJ25" i="10"/>
  <c r="AJ8" i="10"/>
  <c r="AJ9" i="10"/>
  <c r="AJ13" i="10"/>
  <c r="AJ14" i="10"/>
  <c r="G25" i="10"/>
  <c r="G33" i="10"/>
  <c r="M23" i="18"/>
  <c r="N23" i="18"/>
  <c r="AA34" i="10"/>
  <c r="AA36" i="10"/>
  <c r="AA33" i="10"/>
  <c r="AC13" i="10"/>
  <c r="AC14" i="10"/>
  <c r="AM22" i="10"/>
  <c r="AM26" i="10"/>
  <c r="AM30" i="10"/>
  <c r="AM31" i="10"/>
  <c r="E13" i="13"/>
  <c r="E16" i="13"/>
  <c r="H16" i="13"/>
  <c r="G34" i="10"/>
  <c r="G36" i="10"/>
  <c r="AC34" i="10"/>
  <c r="AC36" i="10"/>
  <c r="P30" i="16"/>
  <c r="P31" i="16"/>
  <c r="P35" i="16"/>
  <c r="AC30" i="10"/>
  <c r="AC31" i="10"/>
  <c r="U30" i="10"/>
  <c r="U31" i="10"/>
  <c r="L34" i="15"/>
  <c r="L36" i="15"/>
  <c r="L33" i="15"/>
  <c r="C9" i="15"/>
  <c r="C35" i="16"/>
  <c r="X30" i="15"/>
  <c r="X31" i="15"/>
  <c r="X35" i="15"/>
  <c r="E30" i="16"/>
  <c r="E31" i="16"/>
  <c r="I33" i="16"/>
  <c r="I34" i="16"/>
  <c r="I36" i="16"/>
  <c r="W31" i="10"/>
  <c r="W35" i="10"/>
  <c r="O35" i="10"/>
  <c r="O30" i="10"/>
  <c r="O31" i="10"/>
  <c r="C26" i="15"/>
  <c r="C30" i="15"/>
  <c r="C31" i="15"/>
  <c r="C34" i="15"/>
  <c r="C36" i="15"/>
  <c r="C33" i="15"/>
  <c r="F43" i="1"/>
  <c r="H25" i="1"/>
  <c r="M43" i="1"/>
  <c r="V34" i="15"/>
  <c r="V36" i="15"/>
  <c r="AH33" i="10"/>
  <c r="AM34" i="10"/>
  <c r="AM36" i="10"/>
  <c r="B13" i="16"/>
  <c r="B14" i="16"/>
  <c r="M35" i="15"/>
  <c r="Y34" i="10"/>
  <c r="Y36" i="10"/>
  <c r="J35" i="15"/>
  <c r="J31" i="15"/>
  <c r="B26" i="16"/>
  <c r="B30" i="16"/>
  <c r="B31" i="16"/>
  <c r="AM35" i="10"/>
  <c r="AH26" i="10"/>
  <c r="L35" i="10"/>
  <c r="J34" i="16"/>
  <c r="J36" i="16"/>
  <c r="J26" i="16"/>
  <c r="J35" i="16"/>
  <c r="R33" i="16"/>
  <c r="R34" i="16"/>
  <c r="R36" i="16"/>
  <c r="T34" i="15"/>
  <c r="T36" i="15"/>
  <c r="T33" i="15"/>
  <c r="S33" i="16"/>
  <c r="S34" i="16"/>
  <c r="S36" i="16"/>
  <c r="S26" i="16"/>
  <c r="S35" i="16"/>
  <c r="I26" i="16"/>
  <c r="H3" i="13"/>
  <c r="R26" i="16"/>
  <c r="R30" i="16"/>
  <c r="R31" i="16"/>
  <c r="R35" i="16"/>
  <c r="J30" i="16"/>
  <c r="J31" i="16"/>
  <c r="AH30" i="10"/>
  <c r="AH31" i="10"/>
  <c r="AH35" i="10"/>
  <c r="I30" i="16"/>
  <c r="I31" i="16"/>
  <c r="I35" i="16"/>
  <c r="C35" i="15"/>
  <c r="C13" i="15"/>
  <c r="C14" i="15"/>
  <c r="M23" i="19"/>
  <c r="N23" i="19"/>
  <c r="H6" i="19"/>
  <c r="E26" i="10"/>
  <c r="E30" i="10"/>
  <c r="E31" i="10"/>
  <c r="B35" i="16"/>
  <c r="T35" i="15"/>
  <c r="G26" i="10"/>
  <c r="C13" i="10"/>
  <c r="C14" i="10"/>
  <c r="B34" i="16"/>
  <c r="B36" i="16"/>
  <c r="G33" i="16"/>
  <c r="G34" i="16"/>
  <c r="G36" i="16"/>
  <c r="AG30" i="10"/>
  <c r="AG31" i="10"/>
  <c r="G30" i="16"/>
  <c r="G31" i="16"/>
  <c r="Y26" i="10"/>
  <c r="Y33" i="10"/>
  <c r="M26" i="16"/>
  <c r="M33" i="16"/>
  <c r="AA30" i="10"/>
  <c r="AA31" i="10"/>
  <c r="AA35" i="10"/>
  <c r="E22" i="15"/>
  <c r="E33" i="15"/>
  <c r="E34" i="15"/>
  <c r="E36" i="15"/>
  <c r="S29" i="16"/>
  <c r="S30" i="16"/>
  <c r="S31" i="16"/>
  <c r="W25" i="16"/>
  <c r="W26" i="16"/>
  <c r="D22" i="16"/>
  <c r="Q22" i="16"/>
  <c r="Q26" i="16"/>
  <c r="Q35" i="16"/>
  <c r="Q34" i="16"/>
  <c r="Q36" i="16"/>
  <c r="Q33" i="16"/>
  <c r="Z26" i="10"/>
  <c r="AJ29" i="10"/>
  <c r="O34" i="15"/>
  <c r="O36" i="15"/>
  <c r="O33" i="15"/>
  <c r="P34" i="16"/>
  <c r="P36" i="16"/>
  <c r="F34" i="16"/>
  <c r="F36" i="16"/>
  <c r="N8" i="16"/>
  <c r="N9" i="16"/>
  <c r="N13" i="16"/>
  <c r="N14" i="16"/>
  <c r="N23" i="16"/>
  <c r="N25" i="16"/>
  <c r="G23" i="12"/>
  <c r="G19" i="12"/>
  <c r="G20" i="12"/>
  <c r="G21" i="12"/>
  <c r="J34" i="15"/>
  <c r="J36" i="15"/>
  <c r="F33" i="15"/>
  <c r="F34" i="15"/>
  <c r="F36" i="15"/>
  <c r="D13" i="15"/>
  <c r="D14" i="15"/>
  <c r="V23" i="16"/>
  <c r="V25" i="16"/>
  <c r="V34" i="16"/>
  <c r="V36" i="16"/>
  <c r="V8" i="16"/>
  <c r="V9" i="16"/>
  <c r="V13" i="16"/>
  <c r="V14" i="16"/>
  <c r="J26" i="10"/>
  <c r="Z33" i="10"/>
  <c r="Z34" i="10"/>
  <c r="Z36" i="10"/>
  <c r="AL33" i="10"/>
  <c r="AL34" i="10"/>
  <c r="AL36" i="10"/>
  <c r="AL22" i="10"/>
  <c r="AL26" i="10"/>
  <c r="W13" i="15"/>
  <c r="W14" i="15"/>
  <c r="J34" i="10"/>
  <c r="J36" i="10"/>
  <c r="AK26" i="10"/>
  <c r="AK30" i="10"/>
  <c r="AK31" i="10"/>
  <c r="Q26" i="10"/>
  <c r="O26" i="15"/>
  <c r="M33" i="15"/>
  <c r="D33" i="15"/>
  <c r="I13" i="16"/>
  <c r="I14" i="16"/>
  <c r="M27" i="18"/>
  <c r="N27" i="18"/>
  <c r="Q33" i="10"/>
  <c r="V33" i="10"/>
  <c r="F44" i="1"/>
  <c r="H26" i="1"/>
  <c r="M44" i="1"/>
  <c r="R25" i="15"/>
  <c r="R34" i="15"/>
  <c r="F26" i="15"/>
  <c r="S22" i="15"/>
  <c r="S26" i="15"/>
  <c r="S30" i="15"/>
  <c r="S31" i="15"/>
  <c r="L29" i="16"/>
  <c r="R13" i="16"/>
  <c r="R14" i="16"/>
  <c r="F22" i="10"/>
  <c r="T13" i="10"/>
  <c r="T14" i="10"/>
  <c r="F25" i="10"/>
  <c r="F34" i="10"/>
  <c r="F36" i="10"/>
  <c r="K8" i="1"/>
  <c r="L8" i="1"/>
  <c r="N8" i="1"/>
  <c r="Q34" i="10"/>
  <c r="Q36" i="10"/>
  <c r="I22" i="10"/>
  <c r="V34" i="10"/>
  <c r="V36" i="10"/>
  <c r="J30" i="10"/>
  <c r="J31" i="10"/>
  <c r="J35" i="10"/>
  <c r="Q30" i="10"/>
  <c r="Q31" i="10"/>
  <c r="Q35" i="10"/>
  <c r="R36" i="15"/>
  <c r="E35" i="10"/>
  <c r="O35" i="15"/>
  <c r="O30" i="15"/>
  <c r="O31" i="15"/>
  <c r="Z30" i="10"/>
  <c r="Z31" i="10"/>
  <c r="Z35" i="10"/>
  <c r="W34" i="16"/>
  <c r="W36" i="16"/>
  <c r="W33" i="16"/>
  <c r="G30" i="10"/>
  <c r="G31" i="10"/>
  <c r="G35" i="10"/>
  <c r="F30" i="15"/>
  <c r="F31" i="15"/>
  <c r="F35" i="15"/>
  <c r="V33" i="16"/>
  <c r="V26" i="16"/>
  <c r="V35" i="16"/>
  <c r="N34" i="16"/>
  <c r="N36" i="16"/>
  <c r="M35" i="16"/>
  <c r="M30" i="16"/>
  <c r="M31" i="16"/>
  <c r="R33" i="15"/>
  <c r="Y35" i="10"/>
  <c r="Y30" i="10"/>
  <c r="Y31" i="10"/>
  <c r="F26" i="10"/>
  <c r="W35" i="16"/>
  <c r="W30" i="16"/>
  <c r="W31" i="16"/>
  <c r="Q30" i="16"/>
  <c r="Q31" i="16"/>
  <c r="F30" i="10"/>
  <c r="F31" i="10"/>
  <c r="F35" i="10"/>
  <c r="F45" i="1"/>
  <c r="H27" i="1"/>
  <c r="M45" i="1"/>
  <c r="H23" i="15"/>
  <c r="H25" i="15"/>
  <c r="H8" i="15"/>
  <c r="AK35" i="10"/>
  <c r="V30" i="16"/>
  <c r="V31" i="16"/>
  <c r="K34" i="15"/>
  <c r="K36" i="15"/>
  <c r="K33" i="15"/>
  <c r="S35" i="15"/>
  <c r="AL35" i="10"/>
  <c r="AL30" i="10"/>
  <c r="AL31" i="10"/>
  <c r="N30" i="15"/>
  <c r="N31" i="15"/>
  <c r="N35" i="15"/>
  <c r="Z28" i="15"/>
  <c r="L29" i="15"/>
  <c r="L30" i="15"/>
  <c r="L31" i="15"/>
  <c r="S34" i="15"/>
  <c r="S36" i="15"/>
  <c r="S33" i="15"/>
  <c r="Q13" i="15"/>
  <c r="Q14" i="15"/>
  <c r="N35" i="10"/>
  <c r="N30" i="10"/>
  <c r="N31" i="10"/>
  <c r="N33" i="10"/>
  <c r="N34" i="10"/>
  <c r="N36" i="10"/>
  <c r="S30" i="10"/>
  <c r="S31" i="10"/>
  <c r="S35" i="10"/>
  <c r="E33" i="10"/>
  <c r="E34" i="10"/>
  <c r="E36" i="10"/>
  <c r="N33" i="16"/>
  <c r="N26" i="16"/>
  <c r="AJ26" i="10"/>
  <c r="AJ34" i="10"/>
  <c r="AJ36" i="10"/>
  <c r="AJ33" i="10"/>
  <c r="AE30" i="10"/>
  <c r="AE31" i="10"/>
  <c r="AE35" i="10"/>
  <c r="F33" i="10"/>
  <c r="L35" i="15"/>
  <c r="H23" i="12"/>
  <c r="H19" i="12"/>
  <c r="H20" i="12"/>
  <c r="H21" i="12"/>
  <c r="V26" i="15"/>
  <c r="C33" i="10"/>
  <c r="C34" i="10"/>
  <c r="C36" i="10"/>
  <c r="N34" i="15"/>
  <c r="N36" i="15"/>
  <c r="N33" i="15"/>
  <c r="X13" i="15"/>
  <c r="X14" i="15"/>
  <c r="G13" i="15"/>
  <c r="G14" i="15"/>
  <c r="F22" i="16"/>
  <c r="F33" i="16"/>
  <c r="E20" i="12"/>
  <c r="E21" i="12"/>
  <c r="M26" i="10"/>
  <c r="J13" i="10"/>
  <c r="J14" i="10"/>
  <c r="U36" i="10"/>
  <c r="R26" i="15"/>
  <c r="E26" i="15"/>
  <c r="C35" i="10"/>
  <c r="C30" i="10"/>
  <c r="C31" i="10"/>
  <c r="D34" i="15"/>
  <c r="D36" i="15"/>
  <c r="D26" i="15"/>
  <c r="Q33" i="15"/>
  <c r="Q34" i="15"/>
  <c r="Q36" i="15"/>
  <c r="G34" i="15"/>
  <c r="G36" i="15"/>
  <c r="G22" i="15"/>
  <c r="G26" i="15"/>
  <c r="G33" i="15"/>
  <c r="U34" i="16"/>
  <c r="U36" i="16"/>
  <c r="U26" i="16"/>
  <c r="AH34" i="10"/>
  <c r="AH36" i="10"/>
  <c r="F84" i="12"/>
  <c r="F85" i="12"/>
  <c r="F88" i="12"/>
  <c r="F89" i="12"/>
  <c r="F90" i="12"/>
  <c r="G83" i="12"/>
  <c r="K26" i="15"/>
  <c r="K23" i="16"/>
  <c r="K25" i="16"/>
  <c r="K33" i="16"/>
  <c r="K8" i="16"/>
  <c r="K9" i="16"/>
  <c r="K13" i="16"/>
  <c r="K14" i="16"/>
  <c r="D23" i="16"/>
  <c r="D25" i="16"/>
  <c r="D8" i="16"/>
  <c r="AD34" i="10"/>
  <c r="AD36" i="10"/>
  <c r="AD22" i="10"/>
  <c r="AD26" i="10"/>
  <c r="Q22" i="15"/>
  <c r="Q26" i="15"/>
  <c r="M11" i="17"/>
  <c r="M13" i="17"/>
  <c r="N13" i="17"/>
  <c r="M27" i="19"/>
  <c r="N27" i="19"/>
  <c r="H22" i="15"/>
  <c r="H26" i="15"/>
  <c r="H34" i="15"/>
  <c r="H36" i="15"/>
  <c r="W25" i="15"/>
  <c r="W26" i="15"/>
  <c r="F20" i="12"/>
  <c r="F21" i="12"/>
  <c r="V22" i="10"/>
  <c r="V26" i="10"/>
  <c r="AI25" i="10"/>
  <c r="C34" i="16"/>
  <c r="C36" i="16"/>
  <c r="C33" i="16"/>
  <c r="D33" i="10"/>
  <c r="D22" i="10"/>
  <c r="AO28" i="10"/>
  <c r="U33" i="10"/>
  <c r="AI22" i="10"/>
  <c r="AI26" i="10"/>
  <c r="AK34" i="10"/>
  <c r="AK36" i="10"/>
  <c r="AK33" i="10"/>
  <c r="AB8" i="10"/>
  <c r="AB9" i="10"/>
  <c r="AB13" i="10"/>
  <c r="AB14" i="10"/>
  <c r="AB23" i="10"/>
  <c r="AB25" i="10"/>
  <c r="AB26" i="10"/>
  <c r="R23" i="10"/>
  <c r="R25" i="10"/>
  <c r="R8" i="10"/>
  <c r="R9" i="10"/>
  <c r="R13" i="10"/>
  <c r="R14" i="10"/>
  <c r="I8" i="10"/>
  <c r="I23" i="10"/>
  <c r="I25" i="10"/>
  <c r="M25" i="18"/>
  <c r="N25" i="18"/>
  <c r="G5" i="13"/>
  <c r="K23" i="10"/>
  <c r="K25" i="10"/>
  <c r="T23" i="10"/>
  <c r="T25" i="10"/>
  <c r="E5" i="13"/>
  <c r="L23" i="16"/>
  <c r="L25" i="16"/>
  <c r="W35" i="15"/>
  <c r="W30" i="15"/>
  <c r="W31" i="15"/>
  <c r="AB30" i="10"/>
  <c r="AB31" i="10"/>
  <c r="AB35" i="10"/>
  <c r="L33" i="16"/>
  <c r="L34" i="16"/>
  <c r="L36" i="16"/>
  <c r="L26" i="16"/>
  <c r="D9" i="16"/>
  <c r="AC8" i="16"/>
  <c r="U30" i="16"/>
  <c r="U31" i="16"/>
  <c r="U35" i="16"/>
  <c r="H9" i="15"/>
  <c r="Z8" i="15"/>
  <c r="I9" i="10"/>
  <c r="AO8" i="10"/>
  <c r="F26" i="16"/>
  <c r="AC22" i="16"/>
  <c r="H33" i="15"/>
  <c r="Z25" i="15"/>
  <c r="V35" i="10"/>
  <c r="V30" i="10"/>
  <c r="V31" i="10"/>
  <c r="Q30" i="15"/>
  <c r="Q31" i="15"/>
  <c r="Q35" i="15"/>
  <c r="G35" i="15"/>
  <c r="G30" i="15"/>
  <c r="G31" i="15"/>
  <c r="E30" i="15"/>
  <c r="E31" i="15"/>
  <c r="E35" i="15"/>
  <c r="AJ30" i="10"/>
  <c r="AJ31" i="10"/>
  <c r="AJ35" i="10"/>
  <c r="K26" i="16"/>
  <c r="AI30" i="10"/>
  <c r="AI31" i="10"/>
  <c r="AI35" i="10"/>
  <c r="H5" i="13"/>
  <c r="E6" i="13"/>
  <c r="H6" i="13"/>
  <c r="R33" i="10"/>
  <c r="R34" i="10"/>
  <c r="R36" i="10"/>
  <c r="R26" i="10"/>
  <c r="D26" i="10"/>
  <c r="AO22" i="10"/>
  <c r="K30" i="15"/>
  <c r="K31" i="15"/>
  <c r="K35" i="15"/>
  <c r="R30" i="15"/>
  <c r="R31" i="15"/>
  <c r="R35" i="15"/>
  <c r="N30" i="16"/>
  <c r="N31" i="16"/>
  <c r="N35" i="16"/>
  <c r="I34" i="10"/>
  <c r="I36" i="10"/>
  <c r="I33" i="10"/>
  <c r="AB34" i="10"/>
  <c r="AB36" i="10"/>
  <c r="AB33" i="10"/>
  <c r="K34" i="10"/>
  <c r="K36" i="10"/>
  <c r="K33" i="10"/>
  <c r="K26" i="10"/>
  <c r="K34" i="16"/>
  <c r="K36" i="16"/>
  <c r="I26" i="10"/>
  <c r="D26" i="16"/>
  <c r="D33" i="16"/>
  <c r="D34" i="16"/>
  <c r="D36" i="16"/>
  <c r="AC36" i="16"/>
  <c r="AC25" i="16"/>
  <c r="V35" i="15"/>
  <c r="V30" i="15"/>
  <c r="V31" i="15"/>
  <c r="T34" i="10"/>
  <c r="T36" i="10"/>
  <c r="T33" i="10"/>
  <c r="T26" i="10"/>
  <c r="W33" i="15"/>
  <c r="W34" i="15"/>
  <c r="W36" i="15"/>
  <c r="G84" i="12"/>
  <c r="G85" i="12"/>
  <c r="H83" i="12"/>
  <c r="H84" i="12"/>
  <c r="H85" i="12"/>
  <c r="AD30" i="10"/>
  <c r="AD31" i="10"/>
  <c r="AD35" i="10"/>
  <c r="H35" i="15"/>
  <c r="H30" i="15"/>
  <c r="H31" i="15"/>
  <c r="D30" i="15"/>
  <c r="D31" i="15"/>
  <c r="Z26" i="15"/>
  <c r="D35" i="15"/>
  <c r="M35" i="10"/>
  <c r="Z22" i="15"/>
  <c r="F30" i="16"/>
  <c r="F31" i="16"/>
  <c r="F35" i="16"/>
  <c r="K35" i="10"/>
  <c r="K30" i="10"/>
  <c r="K31" i="10"/>
  <c r="T35" i="10"/>
  <c r="T30" i="10"/>
  <c r="T31" i="10"/>
  <c r="AC26" i="16"/>
  <c r="D30" i="16"/>
  <c r="D31" i="16"/>
  <c r="D35" i="16"/>
  <c r="D35" i="10"/>
  <c r="D30" i="10"/>
  <c r="D31" i="10"/>
  <c r="AO26" i="10"/>
  <c r="K35" i="16"/>
  <c r="K30" i="16"/>
  <c r="K31" i="16"/>
  <c r="I13" i="10"/>
  <c r="I14" i="10"/>
  <c r="AO9" i="10"/>
  <c r="R35" i="10"/>
  <c r="R30" i="10"/>
  <c r="R31" i="10"/>
  <c r="H13" i="15"/>
  <c r="H14" i="15"/>
  <c r="Z9" i="15"/>
  <c r="D13" i="16"/>
  <c r="D14" i="16"/>
  <c r="AC9" i="16"/>
  <c r="Z35" i="15"/>
  <c r="H88" i="12"/>
  <c r="H89" i="12"/>
  <c r="H90" i="12"/>
  <c r="L35" i="16"/>
  <c r="L30" i="16"/>
  <c r="L31" i="16"/>
  <c r="G88" i="12"/>
  <c r="G89" i="12"/>
  <c r="G90" i="12"/>
  <c r="I30" i="10"/>
  <c r="I31" i="10"/>
  <c r="I35" i="10"/>
  <c r="AO35" i="10"/>
  <c r="H94" i="12"/>
  <c r="G34" i="12"/>
  <c r="H68" i="12"/>
  <c r="E8" i="19"/>
  <c r="F7" i="19"/>
  <c r="E7" i="19"/>
  <c r="G6" i="19"/>
  <c r="F8" i="6"/>
  <c r="D8" i="6"/>
  <c r="I7" i="18"/>
  <c r="M10" i="19"/>
  <c r="M7" i="18"/>
  <c r="F95" i="12"/>
  <c r="B25" i="6"/>
  <c r="J6" i="19"/>
  <c r="J8" i="18"/>
  <c r="E9" i="6"/>
  <c r="G7" i="6"/>
  <c r="D9" i="19"/>
  <c r="C7" i="18"/>
  <c r="F9" i="19"/>
  <c r="J25" i="1"/>
  <c r="I10" i="18"/>
  <c r="D8" i="19"/>
  <c r="B23" i="6"/>
  <c r="F8" i="19"/>
  <c r="I6" i="19"/>
  <c r="G8" i="18"/>
  <c r="I8" i="19"/>
  <c r="F6" i="6"/>
  <c r="G9" i="6"/>
  <c r="D45" i="1"/>
  <c r="C10" i="19"/>
  <c r="G26" i="12"/>
  <c r="I10" i="19"/>
  <c r="F34" i="12"/>
  <c r="F68" i="12"/>
  <c r="G10" i="18"/>
  <c r="E95" i="12"/>
  <c r="J9" i="6"/>
  <c r="G31" i="12"/>
  <c r="J9" i="19"/>
  <c r="N10" i="18"/>
  <c r="G103" i="12"/>
  <c r="E10" i="19"/>
  <c r="C9" i="18"/>
  <c r="B27" i="6"/>
  <c r="E10" i="6"/>
  <c r="J10" i="6"/>
  <c r="M9" i="6"/>
  <c r="D7" i="6"/>
  <c r="F10" i="19"/>
  <c r="N43" i="1"/>
  <c r="D6" i="6"/>
  <c r="I6" i="18"/>
  <c r="D10" i="6"/>
  <c r="C10" i="18"/>
  <c r="G44" i="1"/>
  <c r="E7" i="18"/>
  <c r="D44" i="1"/>
  <c r="E6" i="18"/>
  <c r="J10" i="18"/>
  <c r="M9" i="18"/>
  <c r="H100" i="12"/>
  <c r="J6" i="18"/>
  <c r="N7" i="19"/>
  <c r="M6" i="18"/>
  <c r="M7" i="19"/>
  <c r="H25" i="12"/>
  <c r="E9" i="18"/>
  <c r="F10" i="18"/>
  <c r="C9" i="6"/>
  <c r="J27" i="1"/>
  <c r="F8" i="18"/>
  <c r="H31" i="12"/>
  <c r="E10" i="18"/>
  <c r="E100" i="12"/>
  <c r="K43" i="1"/>
  <c r="F59" i="12"/>
  <c r="J7" i="19"/>
  <c r="F100" i="12"/>
  <c r="D9" i="6"/>
  <c r="F65" i="12"/>
  <c r="I9" i="19"/>
  <c r="D10" i="18"/>
  <c r="N44" i="1"/>
  <c r="E26" i="12"/>
  <c r="C8" i="6"/>
  <c r="F60" i="12"/>
  <c r="E6" i="19"/>
  <c r="F7" i="18"/>
  <c r="K44" i="1"/>
  <c r="F10" i="6"/>
  <c r="G9" i="18"/>
  <c r="E103" i="12"/>
  <c r="N8" i="6"/>
  <c r="F7" i="6"/>
  <c r="G8" i="19"/>
  <c r="E8" i="6"/>
  <c r="K45" i="1"/>
  <c r="E9" i="19"/>
  <c r="E68" i="12"/>
  <c r="G95" i="12"/>
  <c r="D6" i="19"/>
  <c r="E6" i="6"/>
  <c r="M10" i="6"/>
  <c r="G43" i="1"/>
  <c r="H34" i="12"/>
  <c r="D43" i="1"/>
  <c r="F26" i="12"/>
  <c r="N6" i="18"/>
  <c r="G10" i="19"/>
  <c r="H95" i="12"/>
  <c r="D10" i="19"/>
  <c r="J6" i="6"/>
  <c r="M8" i="6"/>
  <c r="G6" i="18"/>
  <c r="J26" i="1"/>
  <c r="I9" i="18"/>
  <c r="E26" i="1"/>
  <c r="F103" i="12"/>
  <c r="C10" i="6"/>
  <c r="J10" i="19"/>
  <c r="H59" i="12"/>
  <c r="N6" i="6"/>
  <c r="F9" i="18"/>
  <c r="I7" i="19"/>
  <c r="E8" i="18"/>
  <c r="H26" i="12"/>
  <c r="F31" i="12"/>
  <c r="C6" i="6"/>
  <c r="E59" i="12"/>
  <c r="I6" i="6"/>
  <c r="C9" i="19"/>
  <c r="M9" i="19"/>
  <c r="D8" i="18"/>
  <c r="G60" i="12"/>
  <c r="I7" i="6"/>
  <c r="G7" i="18"/>
  <c r="D7" i="19"/>
  <c r="G8" i="6"/>
  <c r="E7" i="6"/>
  <c r="H60" i="12"/>
  <c r="N8" i="18"/>
  <c r="N7" i="18"/>
  <c r="N9" i="6"/>
  <c r="B26" i="6"/>
  <c r="C8" i="19"/>
  <c r="J9" i="18"/>
  <c r="J8" i="6"/>
  <c r="I10" i="6"/>
  <c r="F6" i="18"/>
  <c r="F9" i="6"/>
  <c r="M10" i="18"/>
  <c r="E25" i="1"/>
  <c r="E25" i="12"/>
  <c r="I9" i="6"/>
  <c r="G25" i="12"/>
  <c r="F6" i="19"/>
  <c r="C7" i="19"/>
  <c r="G9" i="19"/>
  <c r="M8" i="19"/>
  <c r="E94" i="12"/>
  <c r="M7" i="6"/>
  <c r="E27" i="1"/>
  <c r="G68" i="12"/>
  <c r="F94" i="12"/>
  <c r="G10" i="6"/>
  <c r="M8" i="18"/>
  <c r="G65" i="12"/>
  <c r="B24" i="6"/>
  <c r="M6" i="19"/>
  <c r="E31" i="12"/>
  <c r="H103" i="12"/>
  <c r="J8" i="19"/>
  <c r="G7" i="19"/>
  <c r="M6" i="6"/>
  <c r="N9" i="19"/>
  <c r="J7" i="6"/>
  <c r="E65" i="12"/>
  <c r="N45" i="1"/>
  <c r="N10" i="19"/>
  <c r="N9" i="18"/>
  <c r="N7" i="6"/>
  <c r="D7" i="18"/>
  <c r="G6" i="6"/>
  <c r="I8" i="18"/>
  <c r="N6" i="19"/>
  <c r="E34" i="12"/>
  <c r="D6" i="18"/>
  <c r="C6" i="18"/>
  <c r="F25" i="12"/>
  <c r="J7" i="18"/>
  <c r="C7" i="6"/>
  <c r="G100" i="12"/>
  <c r="G45" i="1"/>
  <c r="E60" i="12"/>
  <c r="D9" i="18"/>
  <c r="G94" i="12"/>
  <c r="N8" i="19"/>
  <c r="C8" i="18"/>
  <c r="I8" i="6"/>
  <c r="H65" i="12"/>
  <c r="N10" i="6"/>
  <c r="G59" i="12"/>
  <c r="AO25" i="10" l="1"/>
  <c r="AI33" i="10"/>
  <c r="AI34" i="10"/>
  <c r="AI36" i="10" s="1"/>
  <c r="E11" i="13"/>
  <c r="H11" i="13" s="1"/>
  <c r="H54" i="12"/>
  <c r="H55" i="12" s="1"/>
  <c r="G54" i="12"/>
  <c r="G55" i="12" s="1"/>
  <c r="E54" i="12"/>
  <c r="E55" i="12" s="1"/>
  <c r="F54" i="12"/>
  <c r="F55" i="12" s="1"/>
  <c r="M36" i="15"/>
  <c r="Z36" i="15" s="1"/>
  <c r="M29" i="15"/>
  <c r="M30" i="15" s="1"/>
  <c r="M31" i="15" s="1"/>
  <c r="J33" i="15"/>
  <c r="C29" i="16"/>
  <c r="C30" i="16" s="1"/>
  <c r="C31" i="16" s="1"/>
  <c r="AC28" i="16"/>
  <c r="G35" i="16"/>
  <c r="AC35" i="16" s="1"/>
  <c r="J33" i="16"/>
  <c r="M36" i="10"/>
  <c r="M29" i="10"/>
  <c r="M30" i="10" s="1"/>
  <c r="M31" i="10" s="1"/>
  <c r="O34" i="10"/>
  <c r="O36" i="10" s="1"/>
  <c r="AE33" i="10"/>
  <c r="AE34" i="10"/>
  <c r="AE36" i="10" s="1"/>
  <c r="AM33" i="10"/>
  <c r="H8" i="18"/>
  <c r="K8" i="18" s="1"/>
  <c r="E61" i="12"/>
  <c r="H45" i="1"/>
  <c r="H7" i="6"/>
  <c r="K7" i="6" s="1"/>
  <c r="H6" i="18"/>
  <c r="K6" i="18" s="1"/>
  <c r="O45" i="1"/>
  <c r="D24" i="6"/>
  <c r="L24" i="6" s="1"/>
  <c r="C24" i="6"/>
  <c r="K24" i="6" s="1"/>
  <c r="H7" i="19"/>
  <c r="L7" i="19" s="1"/>
  <c r="H8" i="19"/>
  <c r="D26" i="6"/>
  <c r="L26" i="6" s="1"/>
  <c r="C26" i="6"/>
  <c r="K26" i="6" s="1"/>
  <c r="H61" i="12"/>
  <c r="G61" i="12"/>
  <c r="H9" i="19"/>
  <c r="L9" i="19" s="1"/>
  <c r="H6" i="6"/>
  <c r="K6" i="6" s="1"/>
  <c r="H27" i="12"/>
  <c r="H10" i="6"/>
  <c r="K10" i="6" s="1"/>
  <c r="H96" i="12"/>
  <c r="F27" i="12"/>
  <c r="H43" i="1"/>
  <c r="G96" i="12"/>
  <c r="F61" i="12"/>
  <c r="H8" i="6"/>
  <c r="K8" i="6" s="1"/>
  <c r="E27" i="12"/>
  <c r="O44" i="1"/>
  <c r="H9" i="6"/>
  <c r="K9" i="6" s="1"/>
  <c r="H44" i="1"/>
  <c r="H10" i="18"/>
  <c r="L10" i="18" s="1"/>
  <c r="O43" i="1"/>
  <c r="L10" i="6"/>
  <c r="D27" i="6"/>
  <c r="L27" i="6" s="1"/>
  <c r="C27" i="6"/>
  <c r="K27" i="6" s="1"/>
  <c r="H9" i="18"/>
  <c r="L9" i="18" s="1"/>
  <c r="E96" i="12"/>
  <c r="G27" i="12"/>
  <c r="H10" i="19"/>
  <c r="K10" i="19" s="1"/>
  <c r="K6" i="19"/>
  <c r="C23" i="6"/>
  <c r="K23" i="6" s="1"/>
  <c r="D23" i="6"/>
  <c r="L23" i="6" s="1"/>
  <c r="H7" i="18"/>
  <c r="K7" i="18" s="1"/>
  <c r="L8" i="18"/>
  <c r="L6" i="19"/>
  <c r="D25" i="6"/>
  <c r="L25" i="6" s="1"/>
  <c r="C25" i="6"/>
  <c r="K25" i="6" s="1"/>
  <c r="M25" i="6" s="1"/>
  <c r="N25" i="6" s="1"/>
  <c r="F96" i="12"/>
  <c r="H66" i="12"/>
  <c r="F66" i="12"/>
  <c r="H101" i="12"/>
  <c r="H32" i="12"/>
  <c r="G101" i="12"/>
  <c r="E32" i="12"/>
  <c r="G66" i="12"/>
  <c r="F101" i="12"/>
  <c r="F32" i="12"/>
  <c r="K26" i="1"/>
  <c r="E66" i="12"/>
  <c r="E101" i="12"/>
  <c r="G32" i="12"/>
  <c r="K27" i="1"/>
  <c r="K25" i="1"/>
  <c r="K8" i="19" l="1"/>
  <c r="L8" i="19"/>
  <c r="AO36" i="10"/>
  <c r="K9" i="19"/>
  <c r="L6" i="18"/>
  <c r="L6" i="6"/>
  <c r="K9" i="18"/>
  <c r="L10" i="19"/>
  <c r="K10" i="18"/>
  <c r="L8" i="6"/>
  <c r="L25" i="1"/>
  <c r="L27" i="1"/>
  <c r="L26" i="1"/>
  <c r="H99" i="12"/>
  <c r="H104" i="12" s="1"/>
  <c r="H97" i="12"/>
  <c r="H98" i="12" s="1"/>
  <c r="L7" i="18"/>
  <c r="K7" i="19"/>
  <c r="H64" i="12"/>
  <c r="H69" i="12" s="1"/>
  <c r="H62" i="12"/>
  <c r="H63" i="12" s="1"/>
  <c r="L7" i="6"/>
  <c r="M23" i="6"/>
  <c r="N23" i="6" s="1"/>
  <c r="F62" i="12"/>
  <c r="F63" i="12" s="1"/>
  <c r="F64" i="12"/>
  <c r="F69" i="12" s="1"/>
  <c r="H30" i="12"/>
  <c r="H35" i="12" s="1"/>
  <c r="H28" i="12"/>
  <c r="H29" i="12" s="1"/>
  <c r="M26" i="6"/>
  <c r="N26" i="6" s="1"/>
  <c r="E64" i="12"/>
  <c r="E69" i="12" s="1"/>
  <c r="E62" i="12"/>
  <c r="E63" i="12" s="1"/>
  <c r="G28" i="12"/>
  <c r="G29" i="12" s="1"/>
  <c r="G30" i="12"/>
  <c r="G35" i="12" s="1"/>
  <c r="F99" i="12"/>
  <c r="F104" i="12" s="1"/>
  <c r="F97" i="12"/>
  <c r="F98" i="12" s="1"/>
  <c r="G97" i="12"/>
  <c r="G98" i="12" s="1"/>
  <c r="G99" i="12"/>
  <c r="G104" i="12" s="1"/>
  <c r="G64" i="12"/>
  <c r="G69" i="12" s="1"/>
  <c r="G62" i="12"/>
  <c r="G63" i="12" s="1"/>
  <c r="E28" i="12"/>
  <c r="E29" i="12" s="1"/>
  <c r="E30" i="12"/>
  <c r="E35" i="12" s="1"/>
  <c r="E97" i="12"/>
  <c r="E98" i="12" s="1"/>
  <c r="E99" i="12"/>
  <c r="E104" i="12" s="1"/>
  <c r="L9" i="6"/>
  <c r="M27" i="6"/>
  <c r="N27" i="6" s="1"/>
  <c r="F30" i="12"/>
  <c r="F35" i="12" s="1"/>
  <c r="F28" i="12"/>
  <c r="F29" i="12" s="1"/>
  <c r="M24" i="6"/>
  <c r="N24" i="6" s="1"/>
  <c r="N27" i="1"/>
  <c r="P26" i="1"/>
  <c r="Q26" i="1"/>
  <c r="M25" i="1"/>
  <c r="Q27" i="1"/>
  <c r="N26" i="1"/>
  <c r="P25" i="1"/>
  <c r="O27" i="1"/>
  <c r="N25" i="1"/>
  <c r="M27" i="1"/>
  <c r="Q25" i="1"/>
  <c r="O25" i="1"/>
  <c r="O26" i="1"/>
  <c r="P27" i="1"/>
  <c r="M26" i="1"/>
  <c r="C43" i="1" l="1"/>
  <c r="E43" i="1" s="1"/>
  <c r="J43" i="1"/>
  <c r="L43" i="1" s="1"/>
  <c r="C44" i="1"/>
  <c r="E44" i="1" s="1"/>
  <c r="J44" i="1"/>
  <c r="L44" i="1" s="1"/>
  <c r="J45" i="1"/>
  <c r="L45" i="1" s="1"/>
  <c r="C45" i="1"/>
  <c r="E45" i="1" s="1"/>
</calcChain>
</file>

<file path=xl/sharedStrings.xml><?xml version="1.0" encoding="utf-8"?>
<sst xmlns="http://schemas.openxmlformats.org/spreadsheetml/2006/main" count="1227" uniqueCount="725">
  <si>
    <t>μ</t>
    <phoneticPr fontId="2"/>
  </si>
  <si>
    <t>σｅ</t>
    <phoneticPr fontId="2"/>
  </si>
  <si>
    <t>(m)</t>
    <phoneticPr fontId="2"/>
  </si>
  <si>
    <t>Ｄ</t>
    <phoneticPr fontId="2"/>
  </si>
  <si>
    <t>Ｌ</t>
    <phoneticPr fontId="2"/>
  </si>
  <si>
    <t>A</t>
    <phoneticPr fontId="2"/>
  </si>
  <si>
    <t>I</t>
    <phoneticPr fontId="2"/>
  </si>
  <si>
    <t>Z</t>
    <phoneticPr fontId="2"/>
  </si>
  <si>
    <t>B</t>
    <phoneticPr fontId="2"/>
  </si>
  <si>
    <t>N</t>
    <phoneticPr fontId="2"/>
  </si>
  <si>
    <t>Eo</t>
    <phoneticPr fontId="2"/>
  </si>
  <si>
    <t>Kh</t>
    <phoneticPr fontId="2"/>
  </si>
  <si>
    <t>E</t>
    <phoneticPr fontId="2"/>
  </si>
  <si>
    <t>β</t>
    <phoneticPr fontId="2"/>
  </si>
  <si>
    <t>ＬｏｒＳ</t>
    <phoneticPr fontId="2"/>
  </si>
  <si>
    <t>Ｍｏ</t>
    <phoneticPr fontId="2"/>
  </si>
  <si>
    <t>Mmax</t>
    <phoneticPr fontId="2"/>
  </si>
  <si>
    <t>yo</t>
    <phoneticPr fontId="2"/>
  </si>
  <si>
    <t>Lm</t>
    <phoneticPr fontId="2"/>
  </si>
  <si>
    <t>Lo</t>
    <phoneticPr fontId="2"/>
  </si>
  <si>
    <t>Q</t>
    <phoneticPr fontId="2"/>
  </si>
  <si>
    <t>Qa</t>
    <phoneticPr fontId="2"/>
  </si>
  <si>
    <t>Q</t>
    <phoneticPr fontId="2"/>
  </si>
  <si>
    <t>ΣQ：</t>
    <phoneticPr fontId="2"/>
  </si>
  <si>
    <t>（m)</t>
    <phoneticPr fontId="2"/>
  </si>
  <si>
    <t>ΣＱ＝Ｑ１＋Ｑ２</t>
    <phoneticPr fontId="2"/>
  </si>
  <si>
    <t>ｎ：</t>
    <phoneticPr fontId="2"/>
  </si>
  <si>
    <t>Ｋ≧０．１（１－Ｈ／４０）Ｚ</t>
    <phoneticPr fontId="2"/>
  </si>
  <si>
    <t>ΣQ/n：</t>
    <phoneticPr fontId="2"/>
  </si>
  <si>
    <t>Mo</t>
    <phoneticPr fontId="2"/>
  </si>
  <si>
    <t>Ma</t>
    <phoneticPr fontId="2"/>
  </si>
  <si>
    <t>Ｌ：</t>
    <phoneticPr fontId="2"/>
  </si>
  <si>
    <t>N：</t>
    <phoneticPr fontId="2"/>
  </si>
  <si>
    <t>φ：</t>
    <phoneticPr fontId="2"/>
  </si>
  <si>
    <t>Ls：</t>
    <phoneticPr fontId="2"/>
  </si>
  <si>
    <t>(m)</t>
    <phoneticPr fontId="2"/>
  </si>
  <si>
    <t>Aｐ：</t>
    <phoneticPr fontId="2"/>
  </si>
  <si>
    <t>Ns：</t>
    <phoneticPr fontId="2"/>
  </si>
  <si>
    <t>SＲa：</t>
    <phoneticPr fontId="2"/>
  </si>
  <si>
    <t>Lc：</t>
    <phoneticPr fontId="2"/>
  </si>
  <si>
    <t>(m)</t>
    <phoneticPr fontId="2"/>
  </si>
  <si>
    <t>ｓRa=２・ＬＲa</t>
    <phoneticPr fontId="2"/>
  </si>
  <si>
    <t>qu：</t>
    <phoneticPr fontId="2"/>
  </si>
  <si>
    <t>Ｌ</t>
    <phoneticPr fontId="2"/>
  </si>
  <si>
    <t>Ｎ</t>
    <phoneticPr fontId="2"/>
  </si>
  <si>
    <t>Ls</t>
    <phoneticPr fontId="2"/>
  </si>
  <si>
    <t>Ｎｓ</t>
    <phoneticPr fontId="2"/>
  </si>
  <si>
    <t>Ｌｃ</t>
    <phoneticPr fontId="2"/>
  </si>
  <si>
    <t>ｑｕ</t>
    <phoneticPr fontId="2"/>
  </si>
  <si>
    <t>ＬRa</t>
    <phoneticPr fontId="2"/>
  </si>
  <si>
    <t>qp</t>
    <phoneticPr fontId="2"/>
  </si>
  <si>
    <t>RF</t>
    <phoneticPr fontId="2"/>
  </si>
  <si>
    <t>ｓRa</t>
    <phoneticPr fontId="2"/>
  </si>
  <si>
    <t>V</t>
    <phoneticPr fontId="2"/>
  </si>
  <si>
    <t>A</t>
    <phoneticPr fontId="2"/>
  </si>
  <si>
    <t>Df</t>
    <phoneticPr fontId="2"/>
  </si>
  <si>
    <t>Y1-X3</t>
  </si>
  <si>
    <t>E(max)</t>
    <phoneticPr fontId="2"/>
  </si>
  <si>
    <t>Lfc</t>
    <phoneticPr fontId="2"/>
  </si>
  <si>
    <t>Sfc</t>
    <phoneticPr fontId="2"/>
  </si>
  <si>
    <t>ＬＮａ</t>
    <phoneticPr fontId="2"/>
  </si>
  <si>
    <t>ＳＮａ</t>
    <phoneticPr fontId="2"/>
  </si>
  <si>
    <t>Lfｂ</t>
    <phoneticPr fontId="2"/>
  </si>
  <si>
    <t>Sfｂ</t>
    <phoneticPr fontId="2"/>
  </si>
  <si>
    <t>Lfc：</t>
    <phoneticPr fontId="2"/>
  </si>
  <si>
    <t>L：</t>
    <phoneticPr fontId="2"/>
  </si>
  <si>
    <t>Sfc：</t>
    <phoneticPr fontId="2"/>
  </si>
  <si>
    <t>A：</t>
    <phoneticPr fontId="2"/>
  </si>
  <si>
    <t>ＬＮａ：</t>
    <phoneticPr fontId="2"/>
  </si>
  <si>
    <t>ＬＮａ＝（Lｆｃ-σｅ）Ａ</t>
    <phoneticPr fontId="2"/>
  </si>
  <si>
    <t>I：</t>
    <phoneticPr fontId="2"/>
  </si>
  <si>
    <t>ＳＮａ：</t>
    <phoneticPr fontId="2"/>
  </si>
  <si>
    <t>SＮａ＝（Sｆｃ-σｅ）Ａ</t>
    <phoneticPr fontId="2"/>
  </si>
  <si>
    <t>Z：</t>
    <phoneticPr fontId="2"/>
  </si>
  <si>
    <t>Lfｂ：</t>
    <phoneticPr fontId="2"/>
  </si>
  <si>
    <t>σｅ：</t>
    <phoneticPr fontId="2"/>
  </si>
  <si>
    <t>Sfｂ：</t>
    <phoneticPr fontId="2"/>
  </si>
  <si>
    <t>μ：</t>
    <phoneticPr fontId="2"/>
  </si>
  <si>
    <t>μ＝L/D-ｎ(％)</t>
    <phoneticPr fontId="2"/>
  </si>
  <si>
    <t>ｎ：</t>
    <phoneticPr fontId="2"/>
  </si>
  <si>
    <t>Ap</t>
    <phoneticPr fontId="2"/>
  </si>
  <si>
    <t>D：</t>
    <phoneticPr fontId="2"/>
  </si>
  <si>
    <t>ＬＲa：</t>
    <phoneticPr fontId="2"/>
  </si>
  <si>
    <t>qp：</t>
    <phoneticPr fontId="2"/>
  </si>
  <si>
    <t>Ｎｃ：</t>
    <phoneticPr fontId="2"/>
  </si>
  <si>
    <t>RF：</t>
    <phoneticPr fontId="2"/>
  </si>
  <si>
    <t>qu=Nc/8=</t>
    <phoneticPr fontId="2"/>
  </si>
  <si>
    <t>（kN)</t>
    <phoneticPr fontId="2"/>
  </si>
  <si>
    <t>（kN)</t>
    <phoneticPr fontId="2"/>
  </si>
  <si>
    <t>（kN）</t>
    <phoneticPr fontId="2"/>
  </si>
  <si>
    <t>（kN）</t>
    <phoneticPr fontId="2"/>
  </si>
  <si>
    <t>（kN）</t>
    <phoneticPr fontId="2"/>
  </si>
  <si>
    <t>MAXor</t>
    <phoneticPr fontId="2"/>
  </si>
  <si>
    <t>MIN</t>
    <phoneticPr fontId="2"/>
  </si>
  <si>
    <t>N1/n</t>
    <phoneticPr fontId="2"/>
  </si>
  <si>
    <t>N2/n</t>
    <phoneticPr fontId="2"/>
  </si>
  <si>
    <t>ＬＲa：</t>
    <phoneticPr fontId="2"/>
  </si>
  <si>
    <t>SＲa：</t>
    <phoneticPr fontId="2"/>
  </si>
  <si>
    <t>ｎ:</t>
    <phoneticPr fontId="2"/>
  </si>
  <si>
    <t>Ｐ１</t>
    <phoneticPr fontId="2"/>
  </si>
  <si>
    <t>Ｐ２</t>
    <phoneticPr fontId="2"/>
  </si>
  <si>
    <t>ΣＷ１</t>
    <phoneticPr fontId="2"/>
  </si>
  <si>
    <t>Ｚ</t>
    <phoneticPr fontId="2"/>
  </si>
  <si>
    <t>Ｃo</t>
    <phoneticPr fontId="2"/>
  </si>
  <si>
    <t>Ｑ１</t>
    <phoneticPr fontId="2"/>
  </si>
  <si>
    <t>ΣＷ２</t>
    <phoneticPr fontId="2"/>
  </si>
  <si>
    <t>Ｈ</t>
    <phoneticPr fontId="2"/>
  </si>
  <si>
    <t>Ｋ</t>
    <phoneticPr fontId="2"/>
  </si>
  <si>
    <t>Ｑ２</t>
    <phoneticPr fontId="2"/>
  </si>
  <si>
    <t>ΣQ</t>
    <phoneticPr fontId="2"/>
  </si>
  <si>
    <t>ｎ</t>
    <phoneticPr fontId="2"/>
  </si>
  <si>
    <t>ΣQ/n</t>
    <phoneticPr fontId="2"/>
  </si>
  <si>
    <t>(kN)</t>
    <phoneticPr fontId="2"/>
  </si>
  <si>
    <t>ΣＷ２：</t>
    <phoneticPr fontId="2"/>
  </si>
  <si>
    <t>(kN)</t>
    <phoneticPr fontId="2"/>
  </si>
  <si>
    <t>Ｐ２：</t>
    <phoneticPr fontId="2"/>
  </si>
  <si>
    <t>Ｈ：</t>
    <phoneticPr fontId="2"/>
  </si>
  <si>
    <t>ΣＷ１：</t>
    <phoneticPr fontId="2"/>
  </si>
  <si>
    <t>Ｋ：</t>
    <phoneticPr fontId="2"/>
  </si>
  <si>
    <t>Ｚ：</t>
    <phoneticPr fontId="2"/>
  </si>
  <si>
    <t>Ｃo：</t>
    <phoneticPr fontId="2"/>
  </si>
  <si>
    <t>Ｑ２：</t>
    <phoneticPr fontId="2"/>
  </si>
  <si>
    <t>(kN)</t>
    <phoneticPr fontId="2"/>
  </si>
  <si>
    <t>Ｑ１：</t>
    <phoneticPr fontId="2"/>
  </si>
  <si>
    <t>Ｑ２＝ΣＷ２・Ｋ</t>
    <phoneticPr fontId="2"/>
  </si>
  <si>
    <t>Ｑ１＝ΣＷ２・Ｃo・Ｚ</t>
    <phoneticPr fontId="2"/>
  </si>
  <si>
    <t>α</t>
    <phoneticPr fontId="2"/>
  </si>
  <si>
    <t>Ｂ：</t>
    <phoneticPr fontId="2"/>
  </si>
  <si>
    <t>（mm）</t>
    <phoneticPr fontId="2"/>
  </si>
  <si>
    <t>β：</t>
    <phoneticPr fontId="2"/>
  </si>
  <si>
    <t>(mm-1)</t>
    <phoneticPr fontId="2"/>
  </si>
  <si>
    <t>β=4√(Kh･B/(4･E･I))</t>
    <phoneticPr fontId="2"/>
  </si>
  <si>
    <t>Ｌ：</t>
    <phoneticPr fontId="2"/>
  </si>
  <si>
    <t>（ｍ）</t>
    <phoneticPr fontId="2"/>
  </si>
  <si>
    <t>Ｅ：</t>
    <phoneticPr fontId="2"/>
  </si>
  <si>
    <t>ＬｏｒＳ：</t>
    <phoneticPr fontId="2"/>
  </si>
  <si>
    <t>I：</t>
    <phoneticPr fontId="2"/>
  </si>
  <si>
    <t>(mm)</t>
    <phoneticPr fontId="2"/>
  </si>
  <si>
    <t>α：</t>
    <phoneticPr fontId="2"/>
  </si>
  <si>
    <t>yo：</t>
    <phoneticPr fontId="2"/>
  </si>
  <si>
    <t>yo=Q･β/(Kh･B)</t>
    <phoneticPr fontId="2"/>
  </si>
  <si>
    <t>Ｎ：</t>
    <phoneticPr fontId="2"/>
  </si>
  <si>
    <t>Ｍｏ：</t>
    <phoneticPr fontId="2"/>
  </si>
  <si>
    <t>（kN・m）</t>
    <phoneticPr fontId="2"/>
  </si>
  <si>
    <t>Mo=Q/2β</t>
    <phoneticPr fontId="2"/>
  </si>
  <si>
    <t>Ｑ：</t>
    <phoneticPr fontId="2"/>
  </si>
  <si>
    <t>（kN）</t>
    <phoneticPr fontId="2"/>
  </si>
  <si>
    <t>Mmax：</t>
    <phoneticPr fontId="2"/>
  </si>
  <si>
    <t>（kN・m）</t>
    <phoneticPr fontId="2"/>
  </si>
  <si>
    <t>Mmax=0.104･Q/β</t>
    <phoneticPr fontId="2"/>
  </si>
  <si>
    <t>Eo：</t>
    <phoneticPr fontId="2"/>
  </si>
  <si>
    <t>Ｅｏ＝７・Ｎ</t>
    <phoneticPr fontId="2"/>
  </si>
  <si>
    <t>Lm：</t>
    <phoneticPr fontId="2"/>
  </si>
  <si>
    <t>（ｍ）</t>
    <phoneticPr fontId="2"/>
  </si>
  <si>
    <t>Lm=1.571/β</t>
    <phoneticPr fontId="2"/>
  </si>
  <si>
    <t>Kh：</t>
    <phoneticPr fontId="2"/>
  </si>
  <si>
    <t>Kh=0.8･Eo･B＾(-3/4)</t>
    <phoneticPr fontId="2"/>
  </si>
  <si>
    <t>Lo：</t>
    <phoneticPr fontId="2"/>
  </si>
  <si>
    <t>（ｍ）</t>
    <phoneticPr fontId="2"/>
  </si>
  <si>
    <t>Lo=2.356/β</t>
    <phoneticPr fontId="2"/>
  </si>
  <si>
    <t>Ｐ１</t>
    <phoneticPr fontId="2"/>
  </si>
  <si>
    <t>Mo</t>
    <phoneticPr fontId="2"/>
  </si>
  <si>
    <t>Ma</t>
    <phoneticPr fontId="2"/>
  </si>
  <si>
    <t>Ｐ２</t>
    <phoneticPr fontId="2"/>
  </si>
  <si>
    <t>Ｐ１：</t>
    <phoneticPr fontId="2"/>
  </si>
  <si>
    <t>Ｑ：</t>
    <phoneticPr fontId="2"/>
  </si>
  <si>
    <t>(kN)</t>
    <phoneticPr fontId="2"/>
  </si>
  <si>
    <t>Ｐ２：</t>
    <phoneticPr fontId="2"/>
  </si>
  <si>
    <t>Ｍａ：</t>
    <phoneticPr fontId="2"/>
  </si>
  <si>
    <t>(kN)</t>
    <phoneticPr fontId="2"/>
  </si>
  <si>
    <t>Ｑａ：</t>
    <phoneticPr fontId="2"/>
  </si>
  <si>
    <t>方向</t>
  </si>
  <si>
    <t>(kN)</t>
    <phoneticPr fontId="2"/>
  </si>
  <si>
    <t>fs</t>
    <phoneticPr fontId="2"/>
  </si>
  <si>
    <t>ft</t>
    <phoneticPr fontId="2"/>
  </si>
  <si>
    <t>Qf</t>
    <phoneticPr fontId="2"/>
  </si>
  <si>
    <t xml:space="preserve"> Σat</t>
  </si>
  <si>
    <t>τ=QF/l'j</t>
  </si>
  <si>
    <t>fc</t>
    <phoneticPr fontId="2"/>
  </si>
  <si>
    <t>Fc</t>
    <phoneticPr fontId="2"/>
  </si>
  <si>
    <t>D10，D13</t>
    <phoneticPr fontId="2"/>
  </si>
  <si>
    <t>SD295</t>
    <phoneticPr fontId="2"/>
  </si>
  <si>
    <t>SD345</t>
    <phoneticPr fontId="2"/>
  </si>
  <si>
    <t>ｌ’</t>
    <phoneticPr fontId="2"/>
  </si>
  <si>
    <t>(mm)</t>
    <phoneticPr fontId="2"/>
  </si>
  <si>
    <t>D</t>
    <phoneticPr fontId="2"/>
  </si>
  <si>
    <t>d</t>
    <phoneticPr fontId="2"/>
  </si>
  <si>
    <t>j=(7/8)d</t>
    <phoneticPr fontId="2"/>
  </si>
  <si>
    <t>作用する杭本数</t>
    <phoneticPr fontId="2"/>
  </si>
  <si>
    <t>n'</t>
    <phoneticPr fontId="2"/>
  </si>
  <si>
    <t>せん断応力</t>
    <phoneticPr fontId="2"/>
  </si>
  <si>
    <t>L'</t>
    <phoneticPr fontId="2"/>
  </si>
  <si>
    <t>Mf</t>
    <phoneticPr fontId="2"/>
  </si>
  <si>
    <t>鉄筋断面積の合計</t>
    <phoneticPr fontId="2"/>
  </si>
  <si>
    <t xml:space="preserve">必要鉄筋断面積 </t>
    <phoneticPr fontId="2"/>
  </si>
  <si>
    <t>σt=MF/(Σatj)</t>
    <phoneticPr fontId="2"/>
  </si>
  <si>
    <t>σt/ft</t>
    <phoneticPr fontId="2"/>
  </si>
  <si>
    <t>長期</t>
    <phoneticPr fontId="2"/>
  </si>
  <si>
    <t>短期</t>
    <phoneticPr fontId="2"/>
  </si>
  <si>
    <t>せん断応力度</t>
    <phoneticPr fontId="2"/>
  </si>
  <si>
    <t>τ/fs</t>
    <phoneticPr fontId="2"/>
  </si>
  <si>
    <t>(kNm)</t>
  </si>
  <si>
    <t>F１</t>
    <phoneticPr fontId="2"/>
  </si>
  <si>
    <t>フーチングせい</t>
    <phoneticPr fontId="2"/>
  </si>
  <si>
    <t>曲げモーメント</t>
    <phoneticPr fontId="2"/>
  </si>
  <si>
    <t>使用鉄筋</t>
    <phoneticPr fontId="2"/>
  </si>
  <si>
    <t>fb</t>
    <phoneticPr fontId="2"/>
  </si>
  <si>
    <t>As/ψ=db/4</t>
    <phoneticPr fontId="2"/>
  </si>
  <si>
    <t>N1</t>
    <phoneticPr fontId="2"/>
  </si>
  <si>
    <t>N2</t>
    <phoneticPr fontId="2"/>
  </si>
  <si>
    <t>Df:</t>
    <phoneticPr fontId="2"/>
  </si>
  <si>
    <t>N1:</t>
    <phoneticPr fontId="2"/>
  </si>
  <si>
    <t>FW:</t>
    <phoneticPr fontId="2"/>
  </si>
  <si>
    <t>N2:</t>
    <phoneticPr fontId="2"/>
  </si>
  <si>
    <t>§4.杭基礎の検討</t>
    <rPh sb="3" eb="4">
      <t>クイ</t>
    </rPh>
    <rPh sb="4" eb="6">
      <t>キソ</t>
    </rPh>
    <rPh sb="7" eb="9">
      <t>ケントウ</t>
    </rPh>
    <phoneticPr fontId="2"/>
  </si>
  <si>
    <t>１．基礎杭の支持力</t>
    <rPh sb="2" eb="4">
      <t>キソ</t>
    </rPh>
    <rPh sb="4" eb="5">
      <t>クイ</t>
    </rPh>
    <rPh sb="6" eb="9">
      <t>シジリョク</t>
    </rPh>
    <phoneticPr fontId="2"/>
  </si>
  <si>
    <t>（１）杭の仕様（PHC杭）</t>
    <rPh sb="3" eb="4">
      <t>クイ</t>
    </rPh>
    <rPh sb="5" eb="7">
      <t>シヨウ</t>
    </rPh>
    <rPh sb="11" eb="12">
      <t>クイ</t>
    </rPh>
    <phoneticPr fontId="2"/>
  </si>
  <si>
    <t>杭種</t>
    <rPh sb="0" eb="1">
      <t>クイ</t>
    </rPh>
    <rPh sb="1" eb="2">
      <t>シュ</t>
    </rPh>
    <phoneticPr fontId="2"/>
  </si>
  <si>
    <t>D：</t>
    <phoneticPr fontId="2"/>
  </si>
  <si>
    <t>杭径</t>
    <rPh sb="0" eb="1">
      <t>クイ</t>
    </rPh>
    <rPh sb="1" eb="2">
      <t>ケイ</t>
    </rPh>
    <phoneticPr fontId="2"/>
  </si>
  <si>
    <t>長期許容圧縮応力度</t>
    <rPh sb="0" eb="1">
      <t>チョウ</t>
    </rPh>
    <rPh sb="1" eb="2">
      <t>タンキ</t>
    </rPh>
    <rPh sb="2" eb="4">
      <t>キョヨウ</t>
    </rPh>
    <rPh sb="4" eb="6">
      <t>アッシュク</t>
    </rPh>
    <rPh sb="6" eb="8">
      <t>オウリョク</t>
    </rPh>
    <rPh sb="8" eb="9">
      <t>ド</t>
    </rPh>
    <phoneticPr fontId="2"/>
  </si>
  <si>
    <t>杭長</t>
    <rPh sb="0" eb="2">
      <t>クイチョウ</t>
    </rPh>
    <phoneticPr fontId="2"/>
  </si>
  <si>
    <t>短期許容圧縮応力度</t>
    <rPh sb="0" eb="2">
      <t>タンキ</t>
    </rPh>
    <rPh sb="2" eb="4">
      <t>キョヨウ</t>
    </rPh>
    <rPh sb="4" eb="6">
      <t>アッシュク</t>
    </rPh>
    <rPh sb="6" eb="8">
      <t>オウリョク</t>
    </rPh>
    <rPh sb="8" eb="9">
      <t>ド</t>
    </rPh>
    <phoneticPr fontId="2"/>
  </si>
  <si>
    <t>換算断面積</t>
    <rPh sb="0" eb="2">
      <t>カンサン</t>
    </rPh>
    <rPh sb="2" eb="5">
      <t>ダンメンセキ</t>
    </rPh>
    <phoneticPr fontId="2"/>
  </si>
  <si>
    <t>長期許容軸耐力</t>
    <rPh sb="0" eb="1">
      <t>チョウ</t>
    </rPh>
    <rPh sb="1" eb="2">
      <t>タンキ</t>
    </rPh>
    <rPh sb="2" eb="4">
      <t>キョヨウ</t>
    </rPh>
    <rPh sb="4" eb="5">
      <t>ジク</t>
    </rPh>
    <rPh sb="5" eb="7">
      <t>タイリョク</t>
    </rPh>
    <phoneticPr fontId="2"/>
  </si>
  <si>
    <t>換算断面2次モーメント</t>
    <rPh sb="0" eb="2">
      <t>カンサン</t>
    </rPh>
    <rPh sb="2" eb="4">
      <t>ダンメン</t>
    </rPh>
    <rPh sb="4" eb="6">
      <t>２ジ</t>
    </rPh>
    <phoneticPr fontId="2"/>
  </si>
  <si>
    <t>短期許容軸耐力</t>
    <rPh sb="0" eb="2">
      <t>タンキ</t>
    </rPh>
    <rPh sb="2" eb="4">
      <t>キョヨウ</t>
    </rPh>
    <rPh sb="4" eb="5">
      <t>ジク</t>
    </rPh>
    <rPh sb="5" eb="7">
      <t>タイリョク</t>
    </rPh>
    <phoneticPr fontId="2"/>
  </si>
  <si>
    <t>換算断面係数</t>
    <rPh sb="0" eb="2">
      <t>カンサン</t>
    </rPh>
    <rPh sb="2" eb="4">
      <t>ダンメン</t>
    </rPh>
    <rPh sb="4" eb="6">
      <t>ケイスウ</t>
    </rPh>
    <phoneticPr fontId="2"/>
  </si>
  <si>
    <t>長期曲げ・引張り応力度</t>
    <rPh sb="0" eb="1">
      <t>チョウ</t>
    </rPh>
    <rPh sb="1" eb="2">
      <t>タンキ</t>
    </rPh>
    <rPh sb="2" eb="3">
      <t>マ</t>
    </rPh>
    <rPh sb="5" eb="7">
      <t>ヒッパ</t>
    </rPh>
    <rPh sb="8" eb="10">
      <t>オウリョク</t>
    </rPh>
    <rPh sb="10" eb="11">
      <t>ド</t>
    </rPh>
    <phoneticPr fontId="2"/>
  </si>
  <si>
    <t>有効プレストレス</t>
    <rPh sb="0" eb="2">
      <t>ユウコウ</t>
    </rPh>
    <phoneticPr fontId="2"/>
  </si>
  <si>
    <t>短期曲げ・引張り応力度</t>
    <rPh sb="0" eb="2">
      <t>タンキ</t>
    </rPh>
    <rPh sb="2" eb="3">
      <t>マ</t>
    </rPh>
    <rPh sb="5" eb="7">
      <t>ヒッパ</t>
    </rPh>
    <rPh sb="8" eb="10">
      <t>オウリョク</t>
    </rPh>
    <rPh sb="10" eb="11">
      <t>ド</t>
    </rPh>
    <phoneticPr fontId="2"/>
  </si>
  <si>
    <t>長さ径比に対する低減率</t>
    <rPh sb="0" eb="1">
      <t>ナガ</t>
    </rPh>
    <rPh sb="2" eb="3">
      <t>ケイ</t>
    </rPh>
    <rPh sb="3" eb="4">
      <t>ヒ</t>
    </rPh>
    <rPh sb="5" eb="6">
      <t>タイ</t>
    </rPh>
    <rPh sb="8" eb="10">
      <t>テイゲン</t>
    </rPh>
    <rPh sb="10" eb="11">
      <t>リツ</t>
    </rPh>
    <phoneticPr fontId="2"/>
  </si>
  <si>
    <t>長さ径比にの限界値</t>
    <rPh sb="0" eb="1">
      <t>ナガ</t>
    </rPh>
    <rPh sb="2" eb="3">
      <t>ケイ</t>
    </rPh>
    <rPh sb="3" eb="4">
      <t>ヒ</t>
    </rPh>
    <rPh sb="6" eb="8">
      <t>ゲンカイ</t>
    </rPh>
    <rPh sb="8" eb="9">
      <t>チ</t>
    </rPh>
    <phoneticPr fontId="2"/>
  </si>
  <si>
    <t>（２）地盤の許容支持力</t>
    <rPh sb="3" eb="5">
      <t>ジバン</t>
    </rPh>
    <rPh sb="6" eb="8">
      <t>キョヨウ</t>
    </rPh>
    <rPh sb="8" eb="11">
      <t>シジリョク</t>
    </rPh>
    <phoneticPr fontId="2"/>
  </si>
  <si>
    <t>工法：</t>
    <rPh sb="0" eb="2">
      <t>コウホウ</t>
    </rPh>
    <phoneticPr fontId="2"/>
  </si>
  <si>
    <t>長期許容支持力</t>
    <rPh sb="0" eb="2">
      <t>チョウキ</t>
    </rPh>
    <rPh sb="2" eb="4">
      <t>キョヨウ</t>
    </rPh>
    <rPh sb="4" eb="7">
      <t>シジリョク</t>
    </rPh>
    <phoneticPr fontId="2"/>
  </si>
  <si>
    <t>杭長</t>
    <rPh sb="0" eb="1">
      <t>クイ</t>
    </rPh>
    <rPh sb="1" eb="2">
      <t>チョウ</t>
    </rPh>
    <phoneticPr fontId="2"/>
  </si>
  <si>
    <t>杭先端付近のＮ値</t>
    <rPh sb="0" eb="1">
      <t>クイ</t>
    </rPh>
    <rPh sb="1" eb="3">
      <t>センタン</t>
    </rPh>
    <rPh sb="3" eb="5">
      <t>フキン</t>
    </rPh>
    <rPh sb="7" eb="8">
      <t>チ</t>
    </rPh>
    <phoneticPr fontId="2"/>
  </si>
  <si>
    <t>杭の周の長さ</t>
    <rPh sb="0" eb="1">
      <t>クイ</t>
    </rPh>
    <rPh sb="2" eb="3">
      <t>シュウ</t>
    </rPh>
    <rPh sb="4" eb="5">
      <t>ナガ</t>
    </rPh>
    <phoneticPr fontId="2"/>
  </si>
  <si>
    <t>砂質土地盤の接する長さ</t>
    <rPh sb="0" eb="1">
      <t>スナ</t>
    </rPh>
    <rPh sb="1" eb="2">
      <t>シツ</t>
    </rPh>
    <rPh sb="2" eb="3">
      <t>ツチ</t>
    </rPh>
    <rPh sb="3" eb="5">
      <t>ジバン</t>
    </rPh>
    <rPh sb="6" eb="7">
      <t>セッ</t>
    </rPh>
    <rPh sb="9" eb="10">
      <t>ナガ</t>
    </rPh>
    <phoneticPr fontId="2"/>
  </si>
  <si>
    <t>杭先端の断面積</t>
    <rPh sb="0" eb="1">
      <t>クイ</t>
    </rPh>
    <rPh sb="1" eb="3">
      <t>センタン</t>
    </rPh>
    <rPh sb="4" eb="7">
      <t>ダンメンセキ</t>
    </rPh>
    <phoneticPr fontId="2"/>
  </si>
  <si>
    <t>砂質土地盤の平均Ｎ値</t>
    <rPh sb="0" eb="1">
      <t>スナ</t>
    </rPh>
    <rPh sb="1" eb="2">
      <t>シツ</t>
    </rPh>
    <rPh sb="2" eb="3">
      <t>ツチ</t>
    </rPh>
    <rPh sb="3" eb="5">
      <t>ジバン</t>
    </rPh>
    <rPh sb="6" eb="8">
      <t>ヘイキン</t>
    </rPh>
    <rPh sb="9" eb="10">
      <t>チ</t>
    </rPh>
    <phoneticPr fontId="2"/>
  </si>
  <si>
    <t>短期許容支持力</t>
    <rPh sb="0" eb="1">
      <t>タン</t>
    </rPh>
    <rPh sb="1" eb="2">
      <t>チョウキ</t>
    </rPh>
    <rPh sb="2" eb="4">
      <t>キョヨウ</t>
    </rPh>
    <rPh sb="4" eb="7">
      <t>シジリョク</t>
    </rPh>
    <phoneticPr fontId="2"/>
  </si>
  <si>
    <t>粘性土地盤の接する長さ</t>
    <rPh sb="0" eb="2">
      <t>ネンセイ</t>
    </rPh>
    <rPh sb="2" eb="3">
      <t>ツチ</t>
    </rPh>
    <rPh sb="3" eb="5">
      <t>ジバン</t>
    </rPh>
    <rPh sb="6" eb="7">
      <t>セッ</t>
    </rPh>
    <rPh sb="9" eb="10">
      <t>ナガ</t>
    </rPh>
    <phoneticPr fontId="2"/>
  </si>
  <si>
    <t xml:space="preserve">粘性土地盤の１軸圧縮強度平均値 </t>
    <rPh sb="0" eb="1">
      <t>ネンド</t>
    </rPh>
    <rPh sb="1" eb="2">
      <t>セイ</t>
    </rPh>
    <rPh sb="2" eb="3">
      <t>ツチ</t>
    </rPh>
    <rPh sb="3" eb="5">
      <t>ジバン</t>
    </rPh>
    <rPh sb="7" eb="8">
      <t>ジク</t>
    </rPh>
    <rPh sb="8" eb="10">
      <t>アッシュク</t>
    </rPh>
    <rPh sb="10" eb="11">
      <t>ツヨ</t>
    </rPh>
    <rPh sb="11" eb="12">
      <t>ド</t>
    </rPh>
    <rPh sb="12" eb="15">
      <t>ヘイキンチ</t>
    </rPh>
    <phoneticPr fontId="2"/>
  </si>
  <si>
    <t>基礎杭の先端の地盤の許容支持力</t>
    <rPh sb="0" eb="2">
      <t>キソ</t>
    </rPh>
    <rPh sb="2" eb="3">
      <t>クイ</t>
    </rPh>
    <rPh sb="4" eb="6">
      <t>センタン</t>
    </rPh>
    <rPh sb="7" eb="9">
      <t>ジバン</t>
    </rPh>
    <rPh sb="10" eb="12">
      <t>キョヨウ</t>
    </rPh>
    <rPh sb="12" eb="14">
      <t>シジ</t>
    </rPh>
    <rPh sb="14" eb="15">
      <t>リョク</t>
    </rPh>
    <phoneticPr fontId="2"/>
  </si>
  <si>
    <t>粘性土地盤の平均値Ｎ値</t>
    <rPh sb="0" eb="1">
      <t>ネンド</t>
    </rPh>
    <rPh sb="1" eb="2">
      <t>セイ</t>
    </rPh>
    <rPh sb="2" eb="3">
      <t>ツチ</t>
    </rPh>
    <rPh sb="3" eb="5">
      <t>ジバン</t>
    </rPh>
    <rPh sb="6" eb="9">
      <t>ヘイキンチ</t>
    </rPh>
    <rPh sb="10" eb="11">
      <t>チ</t>
    </rPh>
    <phoneticPr fontId="2"/>
  </si>
  <si>
    <t>基礎杭とその周囲の地盤との摩擦力</t>
    <rPh sb="0" eb="2">
      <t>キソ</t>
    </rPh>
    <rPh sb="2" eb="3">
      <t>クイ</t>
    </rPh>
    <rPh sb="6" eb="8">
      <t>シュウイ</t>
    </rPh>
    <rPh sb="9" eb="11">
      <t>ジバン</t>
    </rPh>
    <rPh sb="13" eb="15">
      <t>マサツ</t>
    </rPh>
    <rPh sb="15" eb="16">
      <t>リョク</t>
    </rPh>
    <phoneticPr fontId="2"/>
  </si>
  <si>
    <t>（Terzaghi-Peekの式）</t>
    <rPh sb="15" eb="16">
      <t>シキ</t>
    </rPh>
    <phoneticPr fontId="2"/>
  </si>
  <si>
    <t>2．基礎底面直圧力Ｎ及び杭本数の検討</t>
    <rPh sb="2" eb="4">
      <t>キソ</t>
    </rPh>
    <rPh sb="4" eb="6">
      <t>テイメン</t>
    </rPh>
    <rPh sb="6" eb="7">
      <t>チョク</t>
    </rPh>
    <rPh sb="7" eb="9">
      <t>アツリョク</t>
    </rPh>
    <rPh sb="10" eb="11">
      <t>オヨ</t>
    </rPh>
    <rPh sb="12" eb="13">
      <t>クイ</t>
    </rPh>
    <rPh sb="13" eb="15">
      <t>ホンスウ</t>
    </rPh>
    <rPh sb="16" eb="18">
      <t>ケントウ</t>
    </rPh>
    <phoneticPr fontId="2"/>
  </si>
  <si>
    <t>（１）長期</t>
    <rPh sb="3" eb="5">
      <t>チョウキ</t>
    </rPh>
    <phoneticPr fontId="2"/>
  </si>
  <si>
    <t>合計</t>
    <rPh sb="0" eb="2">
      <t>ゴウケイ</t>
    </rPh>
    <phoneticPr fontId="2"/>
  </si>
  <si>
    <t>FW</t>
    <phoneticPr fontId="2"/>
  </si>
  <si>
    <t>N</t>
    <phoneticPr fontId="2"/>
  </si>
  <si>
    <t>ＬＲa</t>
    <phoneticPr fontId="2"/>
  </si>
  <si>
    <t>ｎ</t>
    <phoneticPr fontId="2"/>
  </si>
  <si>
    <t>LRa・n</t>
    <phoneticPr fontId="2"/>
  </si>
  <si>
    <t>N/(LRa・n)</t>
    <phoneticPr fontId="2"/>
  </si>
  <si>
    <t>判定</t>
    <rPh sb="0" eb="2">
      <t>ハンテイ</t>
    </rPh>
    <phoneticPr fontId="2"/>
  </si>
  <si>
    <t>備考</t>
    <rPh sb="0" eb="2">
      <t>ビコウ</t>
    </rPh>
    <phoneticPr fontId="2"/>
  </si>
  <si>
    <t>（２）短期</t>
    <rPh sb="3" eb="5">
      <t>タンキ</t>
    </rPh>
    <phoneticPr fontId="2"/>
  </si>
  <si>
    <t>軸力（kN）</t>
    <rPh sb="0" eb="2">
      <t>ジクリョク</t>
    </rPh>
    <phoneticPr fontId="2"/>
  </si>
  <si>
    <t>基礎深さ （ｍ）</t>
    <rPh sb="0" eb="2">
      <t>キソ</t>
    </rPh>
    <rPh sb="2" eb="3">
      <t>フカ</t>
    </rPh>
    <phoneticPr fontId="2"/>
  </si>
  <si>
    <t>長期許容支持力（kN）</t>
    <rPh sb="0" eb="2">
      <t>チョウキ</t>
    </rPh>
    <rPh sb="2" eb="4">
      <t>キョヨウ</t>
    </rPh>
    <rPh sb="4" eb="7">
      <t>シジリョク</t>
    </rPh>
    <phoneticPr fontId="2"/>
  </si>
  <si>
    <t>N2=V+Emax+Fw (kN/本)</t>
    <phoneticPr fontId="2"/>
  </si>
  <si>
    <t>E(max)：</t>
    <phoneticPr fontId="2"/>
  </si>
  <si>
    <t>水平荷重時軸力（kN）</t>
    <rPh sb="0" eb="2">
      <t>スイヘイ</t>
    </rPh>
    <rPh sb="2" eb="4">
      <t>カジュウ</t>
    </rPh>
    <rPh sb="4" eb="5">
      <t>ジ</t>
    </rPh>
    <rPh sb="5" eb="7">
      <t>ジクリョク</t>
    </rPh>
    <phoneticPr fontId="2"/>
  </si>
  <si>
    <t>基礎重量（FW=2･A･Df）（kN）</t>
    <rPh sb="0" eb="2">
      <t>キソ</t>
    </rPh>
    <rPh sb="2" eb="4">
      <t>ジュウリョウ</t>
    </rPh>
    <phoneticPr fontId="2"/>
  </si>
  <si>
    <t>短期許容支持力（kN）</t>
    <rPh sb="0" eb="1">
      <t>タン</t>
    </rPh>
    <rPh sb="1" eb="2">
      <t>チョウキ</t>
    </rPh>
    <rPh sb="2" eb="4">
      <t>キョヨウ</t>
    </rPh>
    <rPh sb="4" eb="7">
      <t>シジリョク</t>
    </rPh>
    <phoneticPr fontId="2"/>
  </si>
  <si>
    <t>N3=V-Emax+Fw (kN/本)</t>
    <phoneticPr fontId="2"/>
  </si>
  <si>
    <t>Ａ：</t>
    <phoneticPr fontId="2"/>
  </si>
  <si>
    <t>フーチング面積（㎡）</t>
    <rPh sb="5" eb="7">
      <t>メンセキ</t>
    </rPh>
    <phoneticPr fontId="2"/>
  </si>
  <si>
    <t>杭本数</t>
    <rPh sb="0" eb="1">
      <t>クイ</t>
    </rPh>
    <rPh sb="1" eb="3">
      <t>ホンスウ</t>
    </rPh>
    <phoneticPr fontId="2"/>
  </si>
  <si>
    <t>V+E(max)</t>
    <phoneticPr fontId="2"/>
  </si>
  <si>
    <t>A</t>
    <phoneticPr fontId="2"/>
  </si>
  <si>
    <t>Df</t>
    <phoneticPr fontId="2"/>
  </si>
  <si>
    <t>FW</t>
    <phoneticPr fontId="2"/>
  </si>
  <si>
    <t>N</t>
    <phoneticPr fontId="2"/>
  </si>
  <si>
    <t>SＲa</t>
    <phoneticPr fontId="2"/>
  </si>
  <si>
    <t>ｎ</t>
    <phoneticPr fontId="2"/>
  </si>
  <si>
    <t>SＲa・ｎ</t>
    <phoneticPr fontId="2"/>
  </si>
  <si>
    <t>N/(sRa・n)</t>
    <phoneticPr fontId="2"/>
  </si>
  <si>
    <t>Ｖ：</t>
    <phoneticPr fontId="2"/>
  </si>
  <si>
    <t>3.杭の水平耐力</t>
    <rPh sb="2" eb="3">
      <t>クイ</t>
    </rPh>
    <rPh sb="4" eb="6">
      <t>スイヘイ</t>
    </rPh>
    <rPh sb="6" eb="8">
      <t>タイリョク</t>
    </rPh>
    <phoneticPr fontId="2"/>
  </si>
  <si>
    <t>(1)．荷重</t>
    <rPh sb="4" eb="6">
      <t>カジュウ</t>
    </rPh>
    <phoneticPr fontId="2"/>
  </si>
  <si>
    <t>Ｐ１：</t>
    <phoneticPr fontId="2"/>
  </si>
  <si>
    <t>杭１本当たりに作用する短期最大軸力</t>
    <rPh sb="0" eb="1">
      <t>クイ</t>
    </rPh>
    <rPh sb="2" eb="3">
      <t>ホン</t>
    </rPh>
    <rPh sb="3" eb="4">
      <t>ア</t>
    </rPh>
    <rPh sb="7" eb="9">
      <t>サヨウ</t>
    </rPh>
    <rPh sb="11" eb="13">
      <t>タンキ</t>
    </rPh>
    <rPh sb="13" eb="15">
      <t>サイダイ</t>
    </rPh>
    <rPh sb="15" eb="16">
      <t>ジク</t>
    </rPh>
    <rPh sb="16" eb="17">
      <t>リョク</t>
    </rPh>
    <phoneticPr fontId="2"/>
  </si>
  <si>
    <t>建物の地下部分の総重量</t>
    <rPh sb="0" eb="2">
      <t>タテモノ</t>
    </rPh>
    <rPh sb="3" eb="4">
      <t>チジョウ</t>
    </rPh>
    <rPh sb="4" eb="5">
      <t>シタ</t>
    </rPh>
    <rPh sb="5" eb="7">
      <t>ブブン</t>
    </rPh>
    <rPh sb="8" eb="9">
      <t>ソウ</t>
    </rPh>
    <rPh sb="9" eb="11">
      <t>ジュウリョウ</t>
    </rPh>
    <phoneticPr fontId="2"/>
  </si>
  <si>
    <t>杭に作用する地震力</t>
    <rPh sb="0" eb="1">
      <t>クイ</t>
    </rPh>
    <rPh sb="2" eb="4">
      <t>サヨウ</t>
    </rPh>
    <rPh sb="6" eb="8">
      <t>ジシン</t>
    </rPh>
    <rPh sb="8" eb="9">
      <t>リョク</t>
    </rPh>
    <phoneticPr fontId="2"/>
  </si>
  <si>
    <t>杭１本当たりに作用する短期最小軸力</t>
    <rPh sb="0" eb="1">
      <t>クイ</t>
    </rPh>
    <rPh sb="11" eb="13">
      <t>タンキ</t>
    </rPh>
    <rPh sb="14" eb="15">
      <t>ショウ</t>
    </rPh>
    <phoneticPr fontId="2"/>
  </si>
  <si>
    <t>地盤面からの深さ</t>
    <rPh sb="0" eb="1">
      <t>ジ</t>
    </rPh>
    <rPh sb="1" eb="3">
      <t>バンメン</t>
    </rPh>
    <rPh sb="6" eb="7">
      <t>フカ</t>
    </rPh>
    <phoneticPr fontId="2"/>
  </si>
  <si>
    <t>建物の地上部分の総重量</t>
    <rPh sb="0" eb="2">
      <t>タテモノ</t>
    </rPh>
    <rPh sb="3" eb="5">
      <t>チジョウ</t>
    </rPh>
    <rPh sb="5" eb="7">
      <t>ブブン</t>
    </rPh>
    <rPh sb="8" eb="9">
      <t>ソウ</t>
    </rPh>
    <rPh sb="9" eb="11">
      <t>ジュウリョウ</t>
    </rPh>
    <phoneticPr fontId="2"/>
  </si>
  <si>
    <t>水平震度</t>
    <rPh sb="0" eb="2">
      <t>スイヘイ</t>
    </rPh>
    <rPh sb="2" eb="4">
      <t>シンド</t>
    </rPh>
    <phoneticPr fontId="2"/>
  </si>
  <si>
    <t>杭の総本数</t>
    <rPh sb="0" eb="1">
      <t>クイ</t>
    </rPh>
    <rPh sb="2" eb="3">
      <t>ソウ</t>
    </rPh>
    <rPh sb="3" eb="4">
      <t>ホン</t>
    </rPh>
    <rPh sb="4" eb="5">
      <t>スウ</t>
    </rPh>
    <phoneticPr fontId="2"/>
  </si>
  <si>
    <t>（本）</t>
    <rPh sb="1" eb="2">
      <t>ホン</t>
    </rPh>
    <phoneticPr fontId="2"/>
  </si>
  <si>
    <t>地域特性係数</t>
    <rPh sb="0" eb="2">
      <t>チイキ</t>
    </rPh>
    <rPh sb="2" eb="4">
      <t>トクセイ</t>
    </rPh>
    <rPh sb="4" eb="6">
      <t>ケイスウ</t>
    </rPh>
    <phoneticPr fontId="2"/>
  </si>
  <si>
    <t>杭1本当たりに作用する地震力</t>
    <rPh sb="0" eb="1">
      <t>クイ</t>
    </rPh>
    <rPh sb="1" eb="3">
      <t>１ホン</t>
    </rPh>
    <rPh sb="3" eb="4">
      <t>ア</t>
    </rPh>
    <rPh sb="7" eb="9">
      <t>サヨウ</t>
    </rPh>
    <rPh sb="11" eb="13">
      <t>ジシン</t>
    </rPh>
    <rPh sb="13" eb="14">
      <t>リョク</t>
    </rPh>
    <phoneticPr fontId="2"/>
  </si>
  <si>
    <t>標準層せん断力係数</t>
    <rPh sb="0" eb="2">
      <t>ヒョウジュン</t>
    </rPh>
    <rPh sb="2" eb="3">
      <t>ソウ</t>
    </rPh>
    <rPh sb="3" eb="6">
      <t>センダン</t>
    </rPh>
    <rPh sb="6" eb="7">
      <t>リョク</t>
    </rPh>
    <rPh sb="7" eb="9">
      <t>ケイスウ</t>
    </rPh>
    <phoneticPr fontId="2"/>
  </si>
  <si>
    <t>地下部分の地震力</t>
    <rPh sb="0" eb="2">
      <t>チカ</t>
    </rPh>
    <rPh sb="2" eb="4">
      <t>ブブン</t>
    </rPh>
    <rPh sb="5" eb="7">
      <t>ジシン</t>
    </rPh>
    <rPh sb="7" eb="8">
      <t>リョク</t>
    </rPh>
    <phoneticPr fontId="2"/>
  </si>
  <si>
    <t>地上部分の地震力</t>
    <rPh sb="0" eb="1">
      <t>チカ</t>
    </rPh>
    <rPh sb="1" eb="2">
      <t>ウエ</t>
    </rPh>
    <rPh sb="2" eb="4">
      <t>ブブン</t>
    </rPh>
    <rPh sb="5" eb="7">
      <t>ジシン</t>
    </rPh>
    <rPh sb="7" eb="8">
      <t>リョク</t>
    </rPh>
    <phoneticPr fontId="2"/>
  </si>
  <si>
    <t>(2)．応力算定</t>
    <rPh sb="4" eb="6">
      <t>オウリョク</t>
    </rPh>
    <rPh sb="6" eb="8">
      <t>サンテイ</t>
    </rPh>
    <phoneticPr fontId="2"/>
  </si>
  <si>
    <t>1.杭の水平抵抗は杭の最大曲げモーメントの生ずる点よりも浅い部分の変形特性が支配的である｡</t>
    <rPh sb="2" eb="3">
      <t>クイ</t>
    </rPh>
    <rPh sb="4" eb="6">
      <t>スイヘイ</t>
    </rPh>
    <rPh sb="6" eb="8">
      <t>テイコウ</t>
    </rPh>
    <rPh sb="9" eb="10">
      <t>クイ</t>
    </rPh>
    <rPh sb="11" eb="13">
      <t>サイダイ</t>
    </rPh>
    <rPh sb="13" eb="14">
      <t>マ</t>
    </rPh>
    <rPh sb="21" eb="22">
      <t>ショウ</t>
    </rPh>
    <rPh sb="24" eb="25">
      <t>テン</t>
    </rPh>
    <rPh sb="28" eb="29">
      <t>アサ</t>
    </rPh>
    <rPh sb="30" eb="32">
      <t>ブブン</t>
    </rPh>
    <rPh sb="33" eb="35">
      <t>ヘンケイ</t>
    </rPh>
    <rPh sb="35" eb="37">
      <t>トクセイ</t>
    </rPh>
    <rPh sb="38" eb="41">
      <t>シハイテキ</t>
    </rPh>
    <phoneticPr fontId="2"/>
  </si>
  <si>
    <t xml:space="preserve">   従って浅い部分の平均Ｎ値を基にして、横方向地盤反力係数を次式により求める。</t>
    <rPh sb="3" eb="4">
      <t>シタガ</t>
    </rPh>
    <rPh sb="6" eb="7">
      <t>アサ</t>
    </rPh>
    <rPh sb="8" eb="10">
      <t>ブブン</t>
    </rPh>
    <rPh sb="11" eb="13">
      <t>ヘイキン</t>
    </rPh>
    <rPh sb="14" eb="15">
      <t>チ</t>
    </rPh>
    <rPh sb="16" eb="17">
      <t>モト</t>
    </rPh>
    <rPh sb="21" eb="24">
      <t>ヨコホウコウ</t>
    </rPh>
    <rPh sb="24" eb="26">
      <t>ジバン</t>
    </rPh>
    <rPh sb="26" eb="27">
      <t>ハン</t>
    </rPh>
    <rPh sb="27" eb="28">
      <t>リョク</t>
    </rPh>
    <rPh sb="28" eb="30">
      <t>ケイスウ</t>
    </rPh>
    <rPh sb="31" eb="32">
      <t>ジ</t>
    </rPh>
    <rPh sb="32" eb="33">
      <t>シキ</t>
    </rPh>
    <rPh sb="36" eb="37">
      <t>モト</t>
    </rPh>
    <phoneticPr fontId="2"/>
  </si>
  <si>
    <t>2.杭頭回転拘束の場合として検討する｡</t>
    <rPh sb="2" eb="4">
      <t>クイトウ</t>
    </rPh>
    <rPh sb="4" eb="6">
      <t>カイテン</t>
    </rPh>
    <rPh sb="6" eb="8">
      <t>コウソク</t>
    </rPh>
    <rPh sb="9" eb="11">
      <t>バアイ</t>
    </rPh>
    <rPh sb="14" eb="16">
      <t>ケントウ</t>
    </rPh>
    <phoneticPr fontId="2"/>
  </si>
  <si>
    <t>杭幅</t>
    <rPh sb="0" eb="1">
      <t>クイ</t>
    </rPh>
    <rPh sb="1" eb="2">
      <t>ハバ</t>
    </rPh>
    <phoneticPr fontId="2"/>
  </si>
  <si>
    <t>杭の特性値</t>
    <rPh sb="0" eb="1">
      <t>クイ</t>
    </rPh>
    <rPh sb="2" eb="4">
      <t>トクセイ</t>
    </rPh>
    <rPh sb="4" eb="5">
      <t>チ</t>
    </rPh>
    <phoneticPr fontId="2"/>
  </si>
  <si>
    <t>杭のヤング係数</t>
    <rPh sb="0" eb="1">
      <t>クイ</t>
    </rPh>
    <rPh sb="5" eb="7">
      <t>ケイスウ</t>
    </rPh>
    <phoneticPr fontId="2"/>
  </si>
  <si>
    <t>長い杭・短い杭の判定</t>
    <rPh sb="0" eb="1">
      <t>ナガ</t>
    </rPh>
    <rPh sb="2" eb="3">
      <t>クイ</t>
    </rPh>
    <rPh sb="4" eb="5">
      <t>ミジカ</t>
    </rPh>
    <rPh sb="6" eb="7">
      <t>クイ</t>
    </rPh>
    <rPh sb="8" eb="10">
      <t>ハンテイ</t>
    </rPh>
    <phoneticPr fontId="2"/>
  </si>
  <si>
    <t>Lβ≧3：長い杭</t>
    <rPh sb="5" eb="6">
      <t>ナガ</t>
    </rPh>
    <rPh sb="7" eb="8">
      <t>クイ</t>
    </rPh>
    <phoneticPr fontId="2"/>
  </si>
  <si>
    <t>Lβ＜3：短い杭</t>
    <rPh sb="5" eb="6">
      <t>ミジカ</t>
    </rPh>
    <rPh sb="7" eb="8">
      <t>クイ</t>
    </rPh>
    <phoneticPr fontId="2"/>
  </si>
  <si>
    <t>杭頭の固定度</t>
    <rPh sb="0" eb="1">
      <t>クイ</t>
    </rPh>
    <rPh sb="1" eb="2">
      <t>アタマ</t>
    </rPh>
    <rPh sb="3" eb="5">
      <t>コテイ</t>
    </rPh>
    <rPh sb="5" eb="6">
      <t>ド</t>
    </rPh>
    <phoneticPr fontId="2"/>
  </si>
  <si>
    <t>杭頭の水平変位</t>
    <rPh sb="0" eb="2">
      <t>クイトウ</t>
    </rPh>
    <rPh sb="3" eb="5">
      <t>スイヘイ</t>
    </rPh>
    <rPh sb="5" eb="7">
      <t>ヘンイ</t>
    </rPh>
    <phoneticPr fontId="2"/>
  </si>
  <si>
    <t>杭頭付近の平均Ｎ値</t>
    <rPh sb="0" eb="1">
      <t>クイ</t>
    </rPh>
    <rPh sb="1" eb="2">
      <t>アタマ</t>
    </rPh>
    <rPh sb="2" eb="4">
      <t>フキン</t>
    </rPh>
    <rPh sb="5" eb="7">
      <t>ヘイキン</t>
    </rPh>
    <rPh sb="8" eb="9">
      <t>チ</t>
    </rPh>
    <phoneticPr fontId="2"/>
  </si>
  <si>
    <t>杭頭の曲げモーメント</t>
    <rPh sb="0" eb="2">
      <t>クイトウ</t>
    </rPh>
    <rPh sb="3" eb="4">
      <t>マ</t>
    </rPh>
    <phoneticPr fontId="2"/>
  </si>
  <si>
    <t>地震力</t>
    <rPh sb="0" eb="2">
      <t>ジシン</t>
    </rPh>
    <rPh sb="2" eb="3">
      <t>リョク</t>
    </rPh>
    <phoneticPr fontId="2"/>
  </si>
  <si>
    <t>地中部の最大曲げモーメント</t>
    <rPh sb="0" eb="2">
      <t>チチュウ</t>
    </rPh>
    <rPh sb="2" eb="3">
      <t>ブ</t>
    </rPh>
    <rPh sb="4" eb="6">
      <t>サイダイ</t>
    </rPh>
    <rPh sb="6" eb="7">
      <t>マ</t>
    </rPh>
    <phoneticPr fontId="2"/>
  </si>
  <si>
    <t>Mmaxの発生点深さ</t>
    <rPh sb="5" eb="7">
      <t>ハッセイ</t>
    </rPh>
    <rPh sb="7" eb="8">
      <t>テン</t>
    </rPh>
    <rPh sb="8" eb="9">
      <t>フカ</t>
    </rPh>
    <phoneticPr fontId="2"/>
  </si>
  <si>
    <t>第一不動点の深さ</t>
    <rPh sb="0" eb="2">
      <t>ダイイチ</t>
    </rPh>
    <rPh sb="2" eb="4">
      <t>フドウ</t>
    </rPh>
    <rPh sb="4" eb="5">
      <t>テン</t>
    </rPh>
    <rPh sb="6" eb="7">
      <t>フカ</t>
    </rPh>
    <phoneticPr fontId="2"/>
  </si>
  <si>
    <t>(3)．断面算定</t>
    <rPh sb="4" eb="6">
      <t>ダンメン</t>
    </rPh>
    <rPh sb="6" eb="8">
      <t>サンテイ</t>
    </rPh>
    <phoneticPr fontId="2"/>
  </si>
  <si>
    <t>圧縮側</t>
    <rPh sb="0" eb="2">
      <t>アッシュク</t>
    </rPh>
    <rPh sb="2" eb="3">
      <t>ガワ</t>
    </rPh>
    <phoneticPr fontId="2"/>
  </si>
  <si>
    <t>引張り側</t>
    <rPh sb="0" eb="2">
      <t>ヒッパ</t>
    </rPh>
    <rPh sb="3" eb="4">
      <t>ガワ</t>
    </rPh>
    <phoneticPr fontId="2"/>
  </si>
  <si>
    <t>杭に作用する最大軸力</t>
    <rPh sb="0" eb="1">
      <t>クイ</t>
    </rPh>
    <rPh sb="2" eb="4">
      <t>サヨウ</t>
    </rPh>
    <rPh sb="6" eb="8">
      <t>サイダイ</t>
    </rPh>
    <rPh sb="8" eb="10">
      <t>ジクホウコウリョク</t>
    </rPh>
    <phoneticPr fontId="2"/>
  </si>
  <si>
    <t>最大曲げモーメント</t>
    <rPh sb="0" eb="2">
      <t>サイダイ</t>
    </rPh>
    <rPh sb="2" eb="3">
      <t>マ</t>
    </rPh>
    <phoneticPr fontId="2"/>
  </si>
  <si>
    <t>(kNm)</t>
    <phoneticPr fontId="2"/>
  </si>
  <si>
    <t>せん断力</t>
    <rPh sb="0" eb="3">
      <t>センダン</t>
    </rPh>
    <rPh sb="3" eb="4">
      <t>リョク</t>
    </rPh>
    <phoneticPr fontId="2"/>
  </si>
  <si>
    <t>杭に作用する最小軸力</t>
    <rPh sb="0" eb="1">
      <t>クイ</t>
    </rPh>
    <rPh sb="2" eb="4">
      <t>サヨウ</t>
    </rPh>
    <rPh sb="6" eb="7">
      <t>サイダイ</t>
    </rPh>
    <rPh sb="7" eb="8">
      <t>ショウ</t>
    </rPh>
    <rPh sb="8" eb="10">
      <t>ジクホウコウリョク</t>
    </rPh>
    <phoneticPr fontId="2"/>
  </si>
  <si>
    <t>許容曲げモーメント</t>
    <rPh sb="0" eb="2">
      <t>キョヨウ</t>
    </rPh>
    <rPh sb="2" eb="3">
      <t>マ</t>
    </rPh>
    <phoneticPr fontId="2"/>
  </si>
  <si>
    <t>(kNm)</t>
    <phoneticPr fontId="2"/>
  </si>
  <si>
    <t>許容せん断力</t>
    <rPh sb="0" eb="2">
      <t>キョヨウ</t>
    </rPh>
    <rPh sb="2" eb="6">
      <t>センダンリョク</t>
    </rPh>
    <phoneticPr fontId="2"/>
  </si>
  <si>
    <t>上杭</t>
    <rPh sb="0" eb="1">
      <t>ウエ</t>
    </rPh>
    <rPh sb="1" eb="2">
      <t>クイ</t>
    </rPh>
    <phoneticPr fontId="2"/>
  </si>
  <si>
    <t>下杭</t>
    <rPh sb="0" eb="1">
      <t>シタ</t>
    </rPh>
    <rPh sb="1" eb="2">
      <t>クイ</t>
    </rPh>
    <phoneticPr fontId="2"/>
  </si>
  <si>
    <t>（mm）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</si>
  <si>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</si>
  <si>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（mm</t>
    </r>
    <r>
      <rPr>
        <vertAlign val="superscript"/>
        <sz val="10"/>
        <rFont val="ＭＳ Ｐ明朝"/>
        <family val="1"/>
        <charset val="128"/>
      </rPr>
      <t>4</t>
    </r>
    <r>
      <rPr>
        <sz val="10"/>
        <rFont val="ＭＳ Ｐ明朝"/>
        <family val="1"/>
        <charset val="128"/>
      </rPr>
      <t>)</t>
    </r>
    <phoneticPr fontId="2"/>
  </si>
  <si>
    <r>
      <t>(mm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</si>
  <si>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</si>
  <si>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</si>
  <si>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(m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</si>
  <si>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平均Ｎ値より推定した変形係数</t>
    <rPh sb="0" eb="2">
      <t>ヘイキン</t>
    </rPh>
    <rPh sb="3" eb="4">
      <t>チ</t>
    </rPh>
    <rPh sb="6" eb="8">
      <t>スイテイ</t>
    </rPh>
    <rPh sb="10" eb="12">
      <t>ヘンケイ</t>
    </rPh>
    <rPh sb="12" eb="14">
      <t>ケイスウ</t>
    </rPh>
    <phoneticPr fontId="2"/>
  </si>
  <si>
    <t xml:space="preserve">  (N/mm2)</t>
  </si>
  <si>
    <t xml:space="preserve">水平方向地盤反力係数 </t>
    <rPh sb="0" eb="2">
      <t>スイヘイ</t>
    </rPh>
    <rPh sb="2" eb="4">
      <t>ホウコウ</t>
    </rPh>
    <rPh sb="4" eb="6">
      <t>ジバン</t>
    </rPh>
    <rPh sb="6" eb="8">
      <t>ハンリョク</t>
    </rPh>
    <rPh sb="8" eb="10">
      <t>ケイスウ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</si>
  <si>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</si>
  <si>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t>E_Y</t>
    <phoneticPr fontId="2"/>
  </si>
  <si>
    <t>E_X</t>
    <phoneticPr fontId="2"/>
  </si>
  <si>
    <t>Y1-X2</t>
  </si>
  <si>
    <t>Y1-X4</t>
  </si>
  <si>
    <t>Y1-X5</t>
  </si>
  <si>
    <t>Y2-X3</t>
  </si>
  <si>
    <t>A</t>
    <phoneticPr fontId="2"/>
  </si>
  <si>
    <t>B</t>
    <phoneticPr fontId="2"/>
  </si>
  <si>
    <t>C</t>
    <phoneticPr fontId="2"/>
  </si>
  <si>
    <t>PHC　A種 φ300　L=7ｍ</t>
    <rPh sb="5" eb="6">
      <t>シュ</t>
    </rPh>
    <phoneticPr fontId="2"/>
  </si>
  <si>
    <t>PHC　A種 φ300　L=8ｍ</t>
    <rPh sb="5" eb="6">
      <t>シュ</t>
    </rPh>
    <phoneticPr fontId="2"/>
  </si>
  <si>
    <t>PHC　A種 φ300　L=9ｍ</t>
    <rPh sb="5" eb="6">
      <t>シュ</t>
    </rPh>
    <phoneticPr fontId="2"/>
  </si>
  <si>
    <t>PHC　A種 φ300　L=10ｍ</t>
    <rPh sb="5" eb="6">
      <t>シュ</t>
    </rPh>
    <phoneticPr fontId="2"/>
  </si>
  <si>
    <t>PHC　A種 φ300　L=11ｍ</t>
    <rPh sb="5" eb="6">
      <t>シュ</t>
    </rPh>
    <phoneticPr fontId="2"/>
  </si>
  <si>
    <t>PHC　A種 φ300　L=12ｍ</t>
    <rPh sb="5" eb="6">
      <t>シュ</t>
    </rPh>
    <phoneticPr fontId="2"/>
  </si>
  <si>
    <t>PHC　A種 φ300　L=13ｍ</t>
    <rPh sb="5" eb="6">
      <t>シュ</t>
    </rPh>
    <phoneticPr fontId="2"/>
  </si>
  <si>
    <t>PHC　B種 φ300　L=7ｍ</t>
    <rPh sb="5" eb="6">
      <t>シュ</t>
    </rPh>
    <phoneticPr fontId="2"/>
  </si>
  <si>
    <t>PHC　B種 φ300　L=8ｍ</t>
    <rPh sb="5" eb="6">
      <t>シュ</t>
    </rPh>
    <phoneticPr fontId="2"/>
  </si>
  <si>
    <t>PHC　B種 φ300　L=9ｍ</t>
    <rPh sb="5" eb="6">
      <t>シュ</t>
    </rPh>
    <phoneticPr fontId="2"/>
  </si>
  <si>
    <t>PHC　B種 φ300　L=10ｍ</t>
    <rPh sb="5" eb="6">
      <t>シュ</t>
    </rPh>
    <phoneticPr fontId="2"/>
  </si>
  <si>
    <t>PHC　B種 φ300　L=11ｍ</t>
    <rPh sb="5" eb="6">
      <t>シュ</t>
    </rPh>
    <phoneticPr fontId="2"/>
  </si>
  <si>
    <t>PHC　B種 φ300　L=12ｍ</t>
    <rPh sb="5" eb="6">
      <t>シュ</t>
    </rPh>
    <phoneticPr fontId="2"/>
  </si>
  <si>
    <t>PHC　B種 φ300　L=13ｍ</t>
    <rPh sb="5" eb="6">
      <t>シュ</t>
    </rPh>
    <phoneticPr fontId="2"/>
  </si>
  <si>
    <t>PHC　B種 φ300　L=14ｍ</t>
    <rPh sb="5" eb="6">
      <t>シュ</t>
    </rPh>
    <phoneticPr fontId="2"/>
  </si>
  <si>
    <t>PHC　B種 φ300　L=15ｍ</t>
    <rPh sb="5" eb="6">
      <t>シュ</t>
    </rPh>
    <phoneticPr fontId="2"/>
  </si>
  <si>
    <t>PHC　C種 φ300　L=7ｍ</t>
    <rPh sb="5" eb="6">
      <t>シュ</t>
    </rPh>
    <phoneticPr fontId="2"/>
  </si>
  <si>
    <t>PHC　C種 φ300　L=8ｍ</t>
    <rPh sb="5" eb="6">
      <t>シュ</t>
    </rPh>
    <phoneticPr fontId="2"/>
  </si>
  <si>
    <t>PHC　C種 φ300　L=9ｍ</t>
    <rPh sb="5" eb="6">
      <t>シュ</t>
    </rPh>
    <phoneticPr fontId="2"/>
  </si>
  <si>
    <t>PHC　C種 φ300　L=10ｍ</t>
    <rPh sb="5" eb="6">
      <t>シュ</t>
    </rPh>
    <phoneticPr fontId="2"/>
  </si>
  <si>
    <t>PHC　C種 φ300　L=11ｍ</t>
    <rPh sb="5" eb="6">
      <t>シュ</t>
    </rPh>
    <phoneticPr fontId="2"/>
  </si>
  <si>
    <t>PHC　C種 φ300　L=12ｍ</t>
    <rPh sb="5" eb="6">
      <t>シュ</t>
    </rPh>
    <phoneticPr fontId="2"/>
  </si>
  <si>
    <t>PHC　C種 φ300　L=13ｍ</t>
    <rPh sb="5" eb="6">
      <t>シュ</t>
    </rPh>
    <phoneticPr fontId="2"/>
  </si>
  <si>
    <t>PHC　C種 φ300　L=14ｍ</t>
    <rPh sb="5" eb="6">
      <t>シュ</t>
    </rPh>
    <phoneticPr fontId="2"/>
  </si>
  <si>
    <t>PHC　C種 φ300　L=15ｍ</t>
    <rPh sb="5" eb="6">
      <t>シュ</t>
    </rPh>
    <phoneticPr fontId="2"/>
  </si>
  <si>
    <t>PHC　A種 φ350　L=7ｍ</t>
    <rPh sb="5" eb="6">
      <t>シュ</t>
    </rPh>
    <phoneticPr fontId="2"/>
  </si>
  <si>
    <t>PHC　A種 φ350　L=8ｍ</t>
    <rPh sb="5" eb="6">
      <t>シュ</t>
    </rPh>
    <phoneticPr fontId="2"/>
  </si>
  <si>
    <t>PHC　A種 φ350　L=9ｍ</t>
    <rPh sb="5" eb="6">
      <t>シュ</t>
    </rPh>
    <phoneticPr fontId="2"/>
  </si>
  <si>
    <t>PHC　A種 φ350　L=10ｍ</t>
    <rPh sb="5" eb="6">
      <t>シュ</t>
    </rPh>
    <phoneticPr fontId="2"/>
  </si>
  <si>
    <t>PHC　A種 φ350　L=11ｍ</t>
    <rPh sb="5" eb="6">
      <t>シュ</t>
    </rPh>
    <phoneticPr fontId="2"/>
  </si>
  <si>
    <t>PHC　A種 φ350　L=12ｍ</t>
    <rPh sb="5" eb="6">
      <t>シュ</t>
    </rPh>
    <phoneticPr fontId="2"/>
  </si>
  <si>
    <t>PHC　A種 φ350　L=13ｍ</t>
    <rPh sb="5" eb="6">
      <t>シュ</t>
    </rPh>
    <phoneticPr fontId="2"/>
  </si>
  <si>
    <t>PHC　B種 φ350　L=7ｍ</t>
    <rPh sb="5" eb="6">
      <t>シュ</t>
    </rPh>
    <phoneticPr fontId="2"/>
  </si>
  <si>
    <t>PHC　B種 φ350　L=8ｍ</t>
    <rPh sb="5" eb="6">
      <t>シュ</t>
    </rPh>
    <phoneticPr fontId="2"/>
  </si>
  <si>
    <t>PHC　B種 φ350　L=9ｍ</t>
    <rPh sb="5" eb="6">
      <t>シュ</t>
    </rPh>
    <phoneticPr fontId="2"/>
  </si>
  <si>
    <t>PHC　B種 φ350　L=10ｍ</t>
    <rPh sb="5" eb="6">
      <t>シュ</t>
    </rPh>
    <phoneticPr fontId="2"/>
  </si>
  <si>
    <t>PHC　B種 φ350　L=11ｍ</t>
    <rPh sb="5" eb="6">
      <t>シュ</t>
    </rPh>
    <phoneticPr fontId="2"/>
  </si>
  <si>
    <t>PHC　B種 φ350　L=12ｍ</t>
    <rPh sb="5" eb="6">
      <t>シュ</t>
    </rPh>
    <phoneticPr fontId="2"/>
  </si>
  <si>
    <t>PHC　B種 φ350　L=13ｍ</t>
    <rPh sb="5" eb="6">
      <t>シュ</t>
    </rPh>
    <phoneticPr fontId="2"/>
  </si>
  <si>
    <t>PHC　B種 φ350　L=14ｍ</t>
    <rPh sb="5" eb="6">
      <t>シュ</t>
    </rPh>
    <phoneticPr fontId="2"/>
  </si>
  <si>
    <t>PHC　B種 φ350　L=15ｍ</t>
    <rPh sb="5" eb="6">
      <t>シュ</t>
    </rPh>
    <phoneticPr fontId="2"/>
  </si>
  <si>
    <t>PHC　C種 φ350　L=7ｍ</t>
    <rPh sb="5" eb="6">
      <t>シュ</t>
    </rPh>
    <phoneticPr fontId="2"/>
  </si>
  <si>
    <t>PHC　C種 φ350　L=8ｍ</t>
    <rPh sb="5" eb="6">
      <t>シュ</t>
    </rPh>
    <phoneticPr fontId="2"/>
  </si>
  <si>
    <t>PHC　C種 φ350　L=9ｍ</t>
    <rPh sb="5" eb="6">
      <t>シュ</t>
    </rPh>
    <phoneticPr fontId="2"/>
  </si>
  <si>
    <t>PHC　C種 φ350　L=10ｍ</t>
    <rPh sb="5" eb="6">
      <t>シュ</t>
    </rPh>
    <phoneticPr fontId="2"/>
  </si>
  <si>
    <t>PHC　C種 φ350　L=11ｍ</t>
    <rPh sb="5" eb="6">
      <t>シュ</t>
    </rPh>
    <phoneticPr fontId="2"/>
  </si>
  <si>
    <t>PHC　C種 φ350　L=12ｍ</t>
    <rPh sb="5" eb="6">
      <t>シュ</t>
    </rPh>
    <phoneticPr fontId="2"/>
  </si>
  <si>
    <t>PHC　C種 φ350　L=13ｍ</t>
    <rPh sb="5" eb="6">
      <t>シュ</t>
    </rPh>
    <phoneticPr fontId="2"/>
  </si>
  <si>
    <t>PHC　C種 φ350　L=14ｍ</t>
    <rPh sb="5" eb="6">
      <t>シュ</t>
    </rPh>
    <phoneticPr fontId="2"/>
  </si>
  <si>
    <t>PHC　C種 φ350　L=15ｍ</t>
    <rPh sb="5" eb="6">
      <t>シュ</t>
    </rPh>
    <phoneticPr fontId="2"/>
  </si>
  <si>
    <t>PHC　A種 φ400　L=7ｍ</t>
    <rPh sb="5" eb="6">
      <t>シュ</t>
    </rPh>
    <phoneticPr fontId="2"/>
  </si>
  <si>
    <t>PHC　A種 φ400　L=8ｍ</t>
    <rPh sb="5" eb="6">
      <t>シュ</t>
    </rPh>
    <phoneticPr fontId="2"/>
  </si>
  <si>
    <t>PHC　A種 φ400　L=9ｍ</t>
    <rPh sb="5" eb="6">
      <t>シュ</t>
    </rPh>
    <phoneticPr fontId="2"/>
  </si>
  <si>
    <t>PHC　A種 φ400　L=10ｍ</t>
    <rPh sb="5" eb="6">
      <t>シュ</t>
    </rPh>
    <phoneticPr fontId="2"/>
  </si>
  <si>
    <t>PHC　A種 φ400　L=11ｍ</t>
    <rPh sb="5" eb="6">
      <t>シュ</t>
    </rPh>
    <phoneticPr fontId="2"/>
  </si>
  <si>
    <t>PHC　A種 φ400　L=12ｍ</t>
    <rPh sb="5" eb="6">
      <t>シュ</t>
    </rPh>
    <phoneticPr fontId="2"/>
  </si>
  <si>
    <t>PHC　A種 φ400　L=13ｍ</t>
    <rPh sb="5" eb="6">
      <t>シュ</t>
    </rPh>
    <phoneticPr fontId="2"/>
  </si>
  <si>
    <t>PHC　A種 φ400　L=14ｍ</t>
    <rPh sb="5" eb="6">
      <t>シュ</t>
    </rPh>
    <phoneticPr fontId="2"/>
  </si>
  <si>
    <t>PHC　A種 φ400　L=15ｍ</t>
    <rPh sb="5" eb="6">
      <t>シュ</t>
    </rPh>
    <phoneticPr fontId="2"/>
  </si>
  <si>
    <t>PHC　B種 φ400　L=7ｍ</t>
    <rPh sb="5" eb="6">
      <t>シュ</t>
    </rPh>
    <phoneticPr fontId="2"/>
  </si>
  <si>
    <t>PHC　B種 φ400　L=8ｍ</t>
    <rPh sb="5" eb="6">
      <t>シュ</t>
    </rPh>
    <phoneticPr fontId="2"/>
  </si>
  <si>
    <t>PHC　B種 φ400　L=9ｍ</t>
    <rPh sb="5" eb="6">
      <t>シュ</t>
    </rPh>
    <phoneticPr fontId="2"/>
  </si>
  <si>
    <t>PHC　B種 φ400　L=10ｍ</t>
    <rPh sb="5" eb="6">
      <t>シュ</t>
    </rPh>
    <phoneticPr fontId="2"/>
  </si>
  <si>
    <t>PHC　B種 φ400　L=11ｍ</t>
    <rPh sb="5" eb="6">
      <t>シュ</t>
    </rPh>
    <phoneticPr fontId="2"/>
  </si>
  <si>
    <t>PHC　B種 φ400　L=12ｍ</t>
    <rPh sb="5" eb="6">
      <t>シュ</t>
    </rPh>
    <phoneticPr fontId="2"/>
  </si>
  <si>
    <t>PHC　B種 φ400　L=13ｍ</t>
    <rPh sb="5" eb="6">
      <t>シュ</t>
    </rPh>
    <phoneticPr fontId="2"/>
  </si>
  <si>
    <t>PHC　B種 φ400　L=14ｍ</t>
    <rPh sb="5" eb="6">
      <t>シュ</t>
    </rPh>
    <phoneticPr fontId="2"/>
  </si>
  <si>
    <t>PHC　B種 φ400　L=15ｍ</t>
    <rPh sb="5" eb="6">
      <t>シュ</t>
    </rPh>
    <phoneticPr fontId="2"/>
  </si>
  <si>
    <t>PHC　B種 φ400　L=16ｍ</t>
    <rPh sb="5" eb="6">
      <t>シュ</t>
    </rPh>
    <phoneticPr fontId="2"/>
  </si>
  <si>
    <t>PHC　B種 φ400　L=17ｍ</t>
    <rPh sb="5" eb="6">
      <t>シュ</t>
    </rPh>
    <phoneticPr fontId="2"/>
  </si>
  <si>
    <t>PHC　B種 φ400　L=18ｍ</t>
    <rPh sb="5" eb="6">
      <t>シュ</t>
    </rPh>
    <phoneticPr fontId="2"/>
  </si>
  <si>
    <t>PHC　B種 φ400　L=19ｍ</t>
    <rPh sb="5" eb="6">
      <t>シュ</t>
    </rPh>
    <phoneticPr fontId="2"/>
  </si>
  <si>
    <t>PHC　B種 φ400　L=20ｍ</t>
    <rPh sb="5" eb="6">
      <t>シュ</t>
    </rPh>
    <phoneticPr fontId="2"/>
  </si>
  <si>
    <t>PHC　B種 φ400　L=21ｍ</t>
    <rPh sb="5" eb="6">
      <t>シュ</t>
    </rPh>
    <phoneticPr fontId="2"/>
  </si>
  <si>
    <t>PHC　B種 φ400　L=22ｍ</t>
    <rPh sb="5" eb="6">
      <t>シュ</t>
    </rPh>
    <phoneticPr fontId="2"/>
  </si>
  <si>
    <t>PHC　B種 φ400　L=23ｍ</t>
    <rPh sb="5" eb="6">
      <t>シュ</t>
    </rPh>
    <phoneticPr fontId="2"/>
  </si>
  <si>
    <t>PHC　B種 φ400　L=24ｍ</t>
    <rPh sb="5" eb="6">
      <t>シュ</t>
    </rPh>
    <phoneticPr fontId="2"/>
  </si>
  <si>
    <t>PHC　A種 φ450　L=7ｍ</t>
    <rPh sb="5" eb="6">
      <t>シュ</t>
    </rPh>
    <phoneticPr fontId="2"/>
  </si>
  <si>
    <t>PHC　A種 φ450　L=8ｍ</t>
    <rPh sb="5" eb="6">
      <t>シュ</t>
    </rPh>
    <phoneticPr fontId="2"/>
  </si>
  <si>
    <t>PHC　A種 φ450　L=9ｍ</t>
    <rPh sb="5" eb="6">
      <t>シュ</t>
    </rPh>
    <phoneticPr fontId="2"/>
  </si>
  <si>
    <t>PHC　A種 φ450　L=10ｍ</t>
    <rPh sb="5" eb="6">
      <t>シュ</t>
    </rPh>
    <phoneticPr fontId="2"/>
  </si>
  <si>
    <t>PHC　A種 φ450　L=11ｍ</t>
    <rPh sb="5" eb="6">
      <t>シュ</t>
    </rPh>
    <phoneticPr fontId="2"/>
  </si>
  <si>
    <t>PHC　A種 φ450　L=12ｍ</t>
    <rPh sb="5" eb="6">
      <t>シュ</t>
    </rPh>
    <phoneticPr fontId="2"/>
  </si>
  <si>
    <t>PHC　A種 φ450　L=13ｍ</t>
    <rPh sb="5" eb="6">
      <t>シュ</t>
    </rPh>
    <phoneticPr fontId="2"/>
  </si>
  <si>
    <t>PHC　A種 φ450　L=14ｍ</t>
    <rPh sb="5" eb="6">
      <t>シュ</t>
    </rPh>
    <phoneticPr fontId="2"/>
  </si>
  <si>
    <t>PHC　A種 φ450　L=15ｍ</t>
    <rPh sb="5" eb="6">
      <t>シュ</t>
    </rPh>
    <phoneticPr fontId="2"/>
  </si>
  <si>
    <t>PHC　B種 φ450　L=7ｍ</t>
    <rPh sb="5" eb="6">
      <t>シュ</t>
    </rPh>
    <phoneticPr fontId="2"/>
  </si>
  <si>
    <t>PHC　B種 φ450　L=8ｍ</t>
    <rPh sb="5" eb="6">
      <t>シュ</t>
    </rPh>
    <phoneticPr fontId="2"/>
  </si>
  <si>
    <t>PHC　B種 φ450　L=9ｍ</t>
    <rPh sb="5" eb="6">
      <t>シュ</t>
    </rPh>
    <phoneticPr fontId="2"/>
  </si>
  <si>
    <t>PHC　B種 φ450　L=10ｍ</t>
    <rPh sb="5" eb="6">
      <t>シュ</t>
    </rPh>
    <phoneticPr fontId="2"/>
  </si>
  <si>
    <t>PHC　B種 φ450　L=11ｍ</t>
    <rPh sb="5" eb="6">
      <t>シュ</t>
    </rPh>
    <phoneticPr fontId="2"/>
  </si>
  <si>
    <t>PHC　B種 φ450　L=12ｍ</t>
    <rPh sb="5" eb="6">
      <t>シュ</t>
    </rPh>
    <phoneticPr fontId="2"/>
  </si>
  <si>
    <t>PHC　B種 φ450　L=13ｍ</t>
    <rPh sb="5" eb="6">
      <t>シュ</t>
    </rPh>
    <phoneticPr fontId="2"/>
  </si>
  <si>
    <t>PHC　B種 φ450　L=14ｍ</t>
    <rPh sb="5" eb="6">
      <t>シュ</t>
    </rPh>
    <phoneticPr fontId="2"/>
  </si>
  <si>
    <t>PHC　B種 φ450　L=15ｍ</t>
    <rPh sb="5" eb="6">
      <t>シュ</t>
    </rPh>
    <phoneticPr fontId="2"/>
  </si>
  <si>
    <t>PHC　A種 φ500　L=7ｍ</t>
    <rPh sb="5" eb="6">
      <t>シュ</t>
    </rPh>
    <phoneticPr fontId="2"/>
  </si>
  <si>
    <t>PHC　A種 φ500　L=8ｍ</t>
    <rPh sb="5" eb="6">
      <t>シュ</t>
    </rPh>
    <phoneticPr fontId="2"/>
  </si>
  <si>
    <t>PHC　A種 φ500　L=9ｍ</t>
    <rPh sb="5" eb="6">
      <t>シュ</t>
    </rPh>
    <phoneticPr fontId="2"/>
  </si>
  <si>
    <t>PHC　A種 φ500　L=10ｍ</t>
    <rPh sb="5" eb="6">
      <t>シュ</t>
    </rPh>
    <phoneticPr fontId="2"/>
  </si>
  <si>
    <t>PHC　A種 φ500　L=11ｍ</t>
    <rPh sb="5" eb="6">
      <t>シュ</t>
    </rPh>
    <phoneticPr fontId="2"/>
  </si>
  <si>
    <t>PHC　A種 φ500　L=12ｍ</t>
    <rPh sb="5" eb="6">
      <t>シュ</t>
    </rPh>
    <phoneticPr fontId="2"/>
  </si>
  <si>
    <t>PHC　A種 φ500　L=13ｍ</t>
    <rPh sb="5" eb="6">
      <t>シュ</t>
    </rPh>
    <phoneticPr fontId="2"/>
  </si>
  <si>
    <t>PHC　A種 φ500　L=14ｍ</t>
    <rPh sb="5" eb="6">
      <t>シュ</t>
    </rPh>
    <phoneticPr fontId="2"/>
  </si>
  <si>
    <t>PHC　A種 φ500　L=15ｍ</t>
    <rPh sb="5" eb="6">
      <t>シュ</t>
    </rPh>
    <phoneticPr fontId="2"/>
  </si>
  <si>
    <t>PHC　B種 φ500　L=7ｍ</t>
    <rPh sb="5" eb="6">
      <t>シュ</t>
    </rPh>
    <phoneticPr fontId="2"/>
  </si>
  <si>
    <t>PHC　B種 φ500　L=8ｍ</t>
    <rPh sb="5" eb="6">
      <t>シュ</t>
    </rPh>
    <phoneticPr fontId="2"/>
  </si>
  <si>
    <t>PHC　B種 φ500　L=9ｍ</t>
    <rPh sb="5" eb="6">
      <t>シュ</t>
    </rPh>
    <phoneticPr fontId="2"/>
  </si>
  <si>
    <t>PHC　B種 φ500　L=10ｍ</t>
    <rPh sb="5" eb="6">
      <t>シュ</t>
    </rPh>
    <phoneticPr fontId="2"/>
  </si>
  <si>
    <t>PHC　B種 φ500　L=11ｍ</t>
    <rPh sb="5" eb="6">
      <t>シュ</t>
    </rPh>
    <phoneticPr fontId="2"/>
  </si>
  <si>
    <t>PHC　B種 φ500　L=12ｍ</t>
    <rPh sb="5" eb="6">
      <t>シュ</t>
    </rPh>
    <phoneticPr fontId="2"/>
  </si>
  <si>
    <t>PHC　B種 φ500　L=13ｍ</t>
    <rPh sb="5" eb="6">
      <t>シュ</t>
    </rPh>
    <phoneticPr fontId="2"/>
  </si>
  <si>
    <t>PHC　B種 φ500　L=14ｍ</t>
    <rPh sb="5" eb="6">
      <t>シュ</t>
    </rPh>
    <phoneticPr fontId="2"/>
  </si>
  <si>
    <t>PHC　B種 φ500　L=15ｍ</t>
    <rPh sb="5" eb="6">
      <t>シュ</t>
    </rPh>
    <phoneticPr fontId="2"/>
  </si>
  <si>
    <t>PHC　C種 φ500　L=7ｍ</t>
    <rPh sb="5" eb="6">
      <t>シュ</t>
    </rPh>
    <phoneticPr fontId="2"/>
  </si>
  <si>
    <t>PHC　C種 φ500　L=8ｍ</t>
    <rPh sb="5" eb="6">
      <t>シュ</t>
    </rPh>
    <phoneticPr fontId="2"/>
  </si>
  <si>
    <t>PHC　C種 φ500　L=9ｍ</t>
    <rPh sb="5" eb="6">
      <t>シュ</t>
    </rPh>
    <phoneticPr fontId="2"/>
  </si>
  <si>
    <t>PHC　C種 φ500　L=10ｍ</t>
    <rPh sb="5" eb="6">
      <t>シュ</t>
    </rPh>
    <phoneticPr fontId="2"/>
  </si>
  <si>
    <t>PHC　C種 φ500　L=11ｍ</t>
    <rPh sb="5" eb="6">
      <t>シュ</t>
    </rPh>
    <phoneticPr fontId="2"/>
  </si>
  <si>
    <t>PHC　C種 φ500　L=12ｍ</t>
    <rPh sb="5" eb="6">
      <t>シュ</t>
    </rPh>
    <phoneticPr fontId="2"/>
  </si>
  <si>
    <t>PHC　C種 φ500　L=13ｍ</t>
    <rPh sb="5" eb="6">
      <t>シュ</t>
    </rPh>
    <phoneticPr fontId="2"/>
  </si>
  <si>
    <t>PHC　C種 φ500　L=14ｍ</t>
    <rPh sb="5" eb="6">
      <t>シュ</t>
    </rPh>
    <phoneticPr fontId="2"/>
  </si>
  <si>
    <t>PHC　C種 φ500　L=15ｍ</t>
    <rPh sb="5" eb="6">
      <t>シュ</t>
    </rPh>
    <phoneticPr fontId="2"/>
  </si>
  <si>
    <t>PHC　A種 φ600　L=7ｍ</t>
    <rPh sb="5" eb="6">
      <t>シュ</t>
    </rPh>
    <phoneticPr fontId="2"/>
  </si>
  <si>
    <t>PHC　A種 φ600　L=8ｍ</t>
    <rPh sb="5" eb="6">
      <t>シュ</t>
    </rPh>
    <phoneticPr fontId="2"/>
  </si>
  <si>
    <t>PHC　A種 φ600　L=9ｍ</t>
    <rPh sb="5" eb="6">
      <t>シュ</t>
    </rPh>
    <phoneticPr fontId="2"/>
  </si>
  <si>
    <t>PHC　A種 φ600　L=10ｍ</t>
    <rPh sb="5" eb="6">
      <t>シュ</t>
    </rPh>
    <phoneticPr fontId="2"/>
  </si>
  <si>
    <t>PHC　A種 φ600　L=11ｍ</t>
    <rPh sb="5" eb="6">
      <t>シュ</t>
    </rPh>
    <phoneticPr fontId="2"/>
  </si>
  <si>
    <t>PHC　A種 φ600　L=12ｍ</t>
    <rPh sb="5" eb="6">
      <t>シュ</t>
    </rPh>
    <phoneticPr fontId="2"/>
  </si>
  <si>
    <t>PHC　A種 φ600　L=13ｍ</t>
    <rPh sb="5" eb="6">
      <t>シュ</t>
    </rPh>
    <phoneticPr fontId="2"/>
  </si>
  <si>
    <t>PHC　A種 φ600　L=14ｍ</t>
    <rPh sb="5" eb="6">
      <t>シュ</t>
    </rPh>
    <phoneticPr fontId="2"/>
  </si>
  <si>
    <t>PHC　A種 φ600　L=15ｍ</t>
    <rPh sb="5" eb="6">
      <t>シュ</t>
    </rPh>
    <phoneticPr fontId="2"/>
  </si>
  <si>
    <t>PHC　B種 φ600　L=7ｍ</t>
    <rPh sb="5" eb="6">
      <t>シュ</t>
    </rPh>
    <phoneticPr fontId="2"/>
  </si>
  <si>
    <t>PHC　B種 φ600　L=8ｍ</t>
    <rPh sb="5" eb="6">
      <t>シュ</t>
    </rPh>
    <phoneticPr fontId="2"/>
  </si>
  <si>
    <t>PHC　B種 φ600　L=9ｍ</t>
    <rPh sb="5" eb="6">
      <t>シュ</t>
    </rPh>
    <phoneticPr fontId="2"/>
  </si>
  <si>
    <t>PHC　B種 φ600　L=10ｍ</t>
    <rPh sb="5" eb="6">
      <t>シュ</t>
    </rPh>
    <phoneticPr fontId="2"/>
  </si>
  <si>
    <t>PHC　B種 φ600　L=11ｍ</t>
    <rPh sb="5" eb="6">
      <t>シュ</t>
    </rPh>
    <phoneticPr fontId="2"/>
  </si>
  <si>
    <t>PHC　B種 φ600　L=12ｍ</t>
    <rPh sb="5" eb="6">
      <t>シュ</t>
    </rPh>
    <phoneticPr fontId="2"/>
  </si>
  <si>
    <t>PHC　B種 φ600　L=13ｍ</t>
    <rPh sb="5" eb="6">
      <t>シュ</t>
    </rPh>
    <phoneticPr fontId="2"/>
  </si>
  <si>
    <t>PHC　B種 φ600　L=14ｍ</t>
    <rPh sb="5" eb="6">
      <t>シュ</t>
    </rPh>
    <phoneticPr fontId="2"/>
  </si>
  <si>
    <t>PHC　B種 φ600　L=15ｍ</t>
    <rPh sb="5" eb="6">
      <t>シュ</t>
    </rPh>
    <phoneticPr fontId="2"/>
  </si>
  <si>
    <t>PHC　C種 φ600　L=7ｍ</t>
    <rPh sb="5" eb="6">
      <t>シュ</t>
    </rPh>
    <phoneticPr fontId="2"/>
  </si>
  <si>
    <t>PHC　C種 φ600　L=8ｍ</t>
    <rPh sb="5" eb="6">
      <t>シュ</t>
    </rPh>
    <phoneticPr fontId="2"/>
  </si>
  <si>
    <t>PHC　C種 φ600　L=9ｍ</t>
    <rPh sb="5" eb="6">
      <t>シュ</t>
    </rPh>
    <phoneticPr fontId="2"/>
  </si>
  <si>
    <t>PHC　C種 φ600　L=10ｍ</t>
    <rPh sb="5" eb="6">
      <t>シュ</t>
    </rPh>
    <phoneticPr fontId="2"/>
  </si>
  <si>
    <t>PHC　C種 φ600　L=11ｍ</t>
    <rPh sb="5" eb="6">
      <t>シュ</t>
    </rPh>
    <phoneticPr fontId="2"/>
  </si>
  <si>
    <t>PHC　C種 φ600　L=12ｍ</t>
    <rPh sb="5" eb="6">
      <t>シュ</t>
    </rPh>
    <phoneticPr fontId="2"/>
  </si>
  <si>
    <t>PHC　C種 φ600　L=13ｍ</t>
    <rPh sb="5" eb="6">
      <t>シュ</t>
    </rPh>
    <phoneticPr fontId="2"/>
  </si>
  <si>
    <t>PHC　C種 φ600　L=14ｍ</t>
    <rPh sb="5" eb="6">
      <t>シュ</t>
    </rPh>
    <phoneticPr fontId="2"/>
  </si>
  <si>
    <t>PHC　C種 φ600　L=15ｍ</t>
    <rPh sb="5" eb="6">
      <t>シュ</t>
    </rPh>
    <phoneticPr fontId="2"/>
  </si>
  <si>
    <t>Y0-X3</t>
  </si>
  <si>
    <t>Y0-X4</t>
  </si>
  <si>
    <t>Y0-X5</t>
  </si>
  <si>
    <t>セメントミルク工法</t>
    <rPh sb="7" eb="9">
      <t>コウホウ</t>
    </rPh>
    <phoneticPr fontId="2"/>
  </si>
  <si>
    <t>ＬRa＝1/3･(200・N・Ap+（10/3・Nｓ・Lｓ+１/2・ｑu・Lｃ）･φ)</t>
    <phoneticPr fontId="2"/>
  </si>
  <si>
    <t>φ</t>
  </si>
  <si>
    <t>Y0-X2</t>
  </si>
  <si>
    <t>Y1-X1</t>
  </si>
  <si>
    <t>Y2-X1</t>
  </si>
  <si>
    <t>Y2-X2</t>
  </si>
  <si>
    <t>Y3-X1</t>
  </si>
  <si>
    <t>Y3-X2</t>
  </si>
  <si>
    <t>Y0-X0</t>
    <phoneticPr fontId="2"/>
  </si>
  <si>
    <t>Y0-X1</t>
    <phoneticPr fontId="2"/>
  </si>
  <si>
    <t>Y1-X0</t>
    <phoneticPr fontId="2"/>
  </si>
  <si>
    <t>Y2-X0</t>
    <phoneticPr fontId="2"/>
  </si>
  <si>
    <t>Y3-X0</t>
    <phoneticPr fontId="2"/>
  </si>
  <si>
    <t>V</t>
    <phoneticPr fontId="2"/>
  </si>
  <si>
    <t>A</t>
    <phoneticPr fontId="2"/>
  </si>
  <si>
    <t>Df</t>
    <phoneticPr fontId="2"/>
  </si>
  <si>
    <t>FW</t>
    <phoneticPr fontId="2"/>
  </si>
  <si>
    <t>N</t>
    <phoneticPr fontId="2"/>
  </si>
  <si>
    <t>ＬＲa</t>
    <phoneticPr fontId="2"/>
  </si>
  <si>
    <t>ｎ</t>
    <phoneticPr fontId="2"/>
  </si>
  <si>
    <t>LRa・n</t>
    <phoneticPr fontId="2"/>
  </si>
  <si>
    <t>N/(LRa・n)</t>
    <phoneticPr fontId="2"/>
  </si>
  <si>
    <t>E_X</t>
    <phoneticPr fontId="2"/>
  </si>
  <si>
    <t>E_Y</t>
    <phoneticPr fontId="2"/>
  </si>
  <si>
    <t>E(max)</t>
    <phoneticPr fontId="2"/>
  </si>
  <si>
    <t>V+E(max)</t>
    <phoneticPr fontId="2"/>
  </si>
  <si>
    <t>SＲa</t>
    <phoneticPr fontId="2"/>
  </si>
  <si>
    <t>SＲa・ｎ</t>
    <phoneticPr fontId="2"/>
  </si>
  <si>
    <t>N/(sRa・n)</t>
    <phoneticPr fontId="2"/>
  </si>
  <si>
    <t>N1</t>
    <phoneticPr fontId="2"/>
  </si>
  <si>
    <t>MAXor</t>
    <phoneticPr fontId="2"/>
  </si>
  <si>
    <t>N2</t>
    <phoneticPr fontId="2"/>
  </si>
  <si>
    <t>MIN</t>
    <phoneticPr fontId="2"/>
  </si>
  <si>
    <t>N1/n</t>
    <phoneticPr fontId="2"/>
  </si>
  <si>
    <t>N2/n</t>
    <phoneticPr fontId="2"/>
  </si>
  <si>
    <t>Ｖ：</t>
    <phoneticPr fontId="2"/>
  </si>
  <si>
    <t>Df:</t>
    <phoneticPr fontId="2"/>
  </si>
  <si>
    <t>ＬＲa：</t>
    <phoneticPr fontId="2"/>
  </si>
  <si>
    <t>N1:</t>
    <phoneticPr fontId="2"/>
  </si>
  <si>
    <t>N2=V+Emax+Fw (kN/本)</t>
    <phoneticPr fontId="2"/>
  </si>
  <si>
    <t>E(max)：</t>
    <phoneticPr fontId="2"/>
  </si>
  <si>
    <t>FW:</t>
    <phoneticPr fontId="2"/>
  </si>
  <si>
    <t>SＲa：</t>
    <phoneticPr fontId="2"/>
  </si>
  <si>
    <t>N2:</t>
    <phoneticPr fontId="2"/>
  </si>
  <si>
    <t>N3=V-Emax+Fw (kN/本)</t>
    <phoneticPr fontId="2"/>
  </si>
  <si>
    <t>Ａ：</t>
    <phoneticPr fontId="2"/>
  </si>
  <si>
    <t>ｎ:</t>
    <phoneticPr fontId="2"/>
  </si>
  <si>
    <t>V</t>
    <phoneticPr fontId="2"/>
  </si>
  <si>
    <t>A</t>
    <phoneticPr fontId="2"/>
  </si>
  <si>
    <t>Df</t>
    <phoneticPr fontId="2"/>
  </si>
  <si>
    <t>E_X</t>
    <phoneticPr fontId="2"/>
  </si>
  <si>
    <t>E_Y</t>
    <phoneticPr fontId="2"/>
  </si>
  <si>
    <t>E(max)</t>
    <phoneticPr fontId="2"/>
  </si>
  <si>
    <t>V+E(max)</t>
    <phoneticPr fontId="2"/>
  </si>
  <si>
    <t>SＲa</t>
    <phoneticPr fontId="2"/>
  </si>
  <si>
    <t>SＲa・ｎ</t>
    <phoneticPr fontId="2"/>
  </si>
  <si>
    <t>N/(sRa・n)</t>
    <phoneticPr fontId="2"/>
  </si>
  <si>
    <t>採用</t>
    <rPh sb="0" eb="2">
      <t>サイヨウ</t>
    </rPh>
    <phoneticPr fontId="2"/>
  </si>
  <si>
    <t>基礎符号</t>
    <rPh sb="2" eb="4">
      <t>フゴウ</t>
    </rPh>
    <phoneticPr fontId="2"/>
  </si>
  <si>
    <t>ｺﾝｸﾘｰﾄの設計基準強度</t>
    <rPh sb="7" eb="9">
      <t>セッケイ</t>
    </rPh>
    <rPh sb="9" eb="11">
      <t>キジュン</t>
    </rPh>
    <rPh sb="11" eb="13">
      <t>キョウド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</si>
  <si>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</si>
  <si>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鉄筋の種類</t>
    <rPh sb="3" eb="5">
      <t>シュルイ</t>
    </rPh>
    <phoneticPr fontId="2"/>
  </si>
  <si>
    <t>D16以上</t>
    <rPh sb="3" eb="5">
      <t>イジョウ</t>
    </rPh>
    <phoneticPr fontId="2"/>
  </si>
  <si>
    <t>ｺﾝｸﾘｰﾄの許容圧縮応力度</t>
    <rPh sb="7" eb="9">
      <t>キョヨウ</t>
    </rPh>
    <rPh sb="11" eb="14">
      <t>オウリョクド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</si>
  <si>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</si>
  <si>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ｺﾝｸﾘｰﾄの許容せん断応力度</t>
    <rPh sb="7" eb="9">
      <t>キョヨウ</t>
    </rPh>
    <rPh sb="9" eb="12">
      <t>センダン</t>
    </rPh>
    <rPh sb="12" eb="15">
      <t>オウリョクド</t>
    </rPh>
    <phoneticPr fontId="2"/>
  </si>
  <si>
    <t xml:space="preserve">柱軸方向圧縮力 </t>
    <rPh sb="0" eb="1">
      <t>ハシラ</t>
    </rPh>
    <rPh sb="1" eb="4">
      <t>ジクホウコウ</t>
    </rPh>
    <rPh sb="4" eb="6">
      <t>アッシュク</t>
    </rPh>
    <rPh sb="6" eb="7">
      <t>リョク</t>
    </rPh>
    <phoneticPr fontId="2"/>
  </si>
  <si>
    <t>N'</t>
    <phoneticPr fontId="2"/>
  </si>
  <si>
    <t>杭本数</t>
    <phoneticPr fontId="2"/>
  </si>
  <si>
    <t>n</t>
    <phoneticPr fontId="2"/>
  </si>
  <si>
    <t>X</t>
    <phoneticPr fontId="2"/>
  </si>
  <si>
    <t>Y</t>
    <phoneticPr fontId="2"/>
  </si>
  <si>
    <t>フーチング巾</t>
    <rPh sb="5" eb="6">
      <t>ハバ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</si>
  <si>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</si>
  <si>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柱面より杭芯までの距離</t>
    <rPh sb="0" eb="1">
      <t>ハシラ</t>
    </rPh>
    <rPh sb="1" eb="2">
      <t>メン</t>
    </rPh>
    <rPh sb="4" eb="5">
      <t>クイ</t>
    </rPh>
    <rPh sb="5" eb="6">
      <t>シン</t>
    </rPh>
    <rPh sb="9" eb="11">
      <t>キョリ</t>
    </rPh>
    <phoneticPr fontId="2"/>
  </si>
  <si>
    <t>鉄筋の許容引張応力度</t>
    <rPh sb="3" eb="5">
      <t>キョヨウ</t>
    </rPh>
    <rPh sb="5" eb="7">
      <t>ヒッパリ</t>
    </rPh>
    <rPh sb="7" eb="10">
      <t>オウリョクド</t>
    </rPh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</si>
  <si>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</si>
  <si>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付着検定断面における鉄筋の存在応力度</t>
    <rPh sb="0" eb="2">
      <t>フチャク</t>
    </rPh>
    <rPh sb="2" eb="4">
      <t>ケンテイ</t>
    </rPh>
    <rPh sb="4" eb="6">
      <t>ダンメン</t>
    </rPh>
    <rPh sb="10" eb="12">
      <t>テッキン</t>
    </rPh>
    <rPh sb="13" eb="15">
      <t>ソンザイ</t>
    </rPh>
    <rPh sb="15" eb="18">
      <t>オウリョクド</t>
    </rPh>
    <phoneticPr fontId="2"/>
  </si>
  <si>
    <t>σt=σtx2/3</t>
    <phoneticPr fontId="2"/>
  </si>
  <si>
    <t>C</t>
    <phoneticPr fontId="2"/>
  </si>
  <si>
    <t>K</t>
    <phoneticPr fontId="2"/>
  </si>
  <si>
    <t>鉄筋の必要付着応力度</t>
    <rPh sb="3" eb="5">
      <t>ヒツヨウ</t>
    </rPh>
    <rPh sb="5" eb="7">
      <t>フチャク</t>
    </rPh>
    <rPh sb="7" eb="10">
      <t>オウリョクド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</si>
  <si>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</si>
  <si>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鉄筋の必要付着長さ</t>
    <rPh sb="0" eb="2">
      <t>テッキン</t>
    </rPh>
    <rPh sb="3" eb="5">
      <t>ヒツヨウ</t>
    </rPh>
    <rPh sb="5" eb="7">
      <t>フチャク</t>
    </rPh>
    <rPh sb="7" eb="8">
      <t>ナガ</t>
    </rPh>
    <phoneticPr fontId="2"/>
  </si>
  <si>
    <t>ldb=σtAs/(4Kfb)</t>
    <phoneticPr fontId="2"/>
  </si>
  <si>
    <t>(mm)</t>
    <phoneticPr fontId="2"/>
  </si>
  <si>
    <t>F2</t>
    <phoneticPr fontId="2"/>
  </si>
  <si>
    <t>7-D13</t>
    <phoneticPr fontId="2"/>
  </si>
  <si>
    <t>F3</t>
    <phoneticPr fontId="2"/>
  </si>
  <si>
    <t>7-D13</t>
    <phoneticPr fontId="2"/>
  </si>
  <si>
    <t>A-2</t>
  </si>
  <si>
    <t>A-3</t>
  </si>
  <si>
    <t>A-4</t>
  </si>
  <si>
    <t>A-5</t>
  </si>
  <si>
    <t>A-6</t>
  </si>
  <si>
    <t>B-1</t>
    <phoneticPr fontId="2"/>
  </si>
  <si>
    <t>B-2</t>
  </si>
  <si>
    <t>B-3</t>
  </si>
  <si>
    <t>B-4</t>
  </si>
  <si>
    <t>B-5</t>
  </si>
  <si>
    <t>B-6</t>
  </si>
  <si>
    <t>B-7</t>
  </si>
  <si>
    <t>C-1</t>
    <phoneticPr fontId="2"/>
  </si>
  <si>
    <t>C-2</t>
  </si>
  <si>
    <t>C-3</t>
  </si>
  <si>
    <t>C-4</t>
  </si>
  <si>
    <t>C-5</t>
  </si>
  <si>
    <t>C-6</t>
  </si>
  <si>
    <t>C-7</t>
  </si>
  <si>
    <t>D-1</t>
    <phoneticPr fontId="2"/>
  </si>
  <si>
    <t>D-2</t>
  </si>
  <si>
    <t>D-3</t>
  </si>
  <si>
    <t>D-4</t>
  </si>
  <si>
    <t>D-5</t>
  </si>
  <si>
    <t>D-6</t>
  </si>
  <si>
    <t>D-7</t>
  </si>
  <si>
    <t>E-1</t>
    <phoneticPr fontId="2"/>
  </si>
  <si>
    <t>E-2</t>
  </si>
  <si>
    <t>E-3</t>
  </si>
  <si>
    <t>E-4</t>
  </si>
  <si>
    <t>E-5</t>
  </si>
  <si>
    <t>E-6</t>
  </si>
  <si>
    <t>E-7</t>
  </si>
  <si>
    <t>PHC60A</t>
    <phoneticPr fontId="2"/>
  </si>
  <si>
    <t>PHC60B</t>
    <phoneticPr fontId="2"/>
  </si>
  <si>
    <t>PHC60C</t>
    <phoneticPr fontId="2"/>
  </si>
  <si>
    <t xml:space="preserve">5．基礎スラブの断面算定  </t>
    <phoneticPr fontId="2"/>
  </si>
  <si>
    <t>PHC30A</t>
    <phoneticPr fontId="2"/>
  </si>
  <si>
    <t>PHC35B</t>
    <phoneticPr fontId="2"/>
  </si>
  <si>
    <t>PHC45B</t>
    <phoneticPr fontId="2"/>
  </si>
  <si>
    <t>PHC60B</t>
    <phoneticPr fontId="2"/>
  </si>
  <si>
    <t>PHC50B</t>
    <phoneticPr fontId="2"/>
  </si>
  <si>
    <t>Ｌ</t>
    <phoneticPr fontId="2"/>
  </si>
  <si>
    <t>Ｄ</t>
    <phoneticPr fontId="2"/>
  </si>
  <si>
    <t>A</t>
    <phoneticPr fontId="2"/>
  </si>
  <si>
    <t>I</t>
    <phoneticPr fontId="2"/>
  </si>
  <si>
    <t>Z</t>
    <phoneticPr fontId="2"/>
  </si>
  <si>
    <t>σｅ</t>
    <phoneticPr fontId="2"/>
  </si>
  <si>
    <t>μ</t>
    <phoneticPr fontId="2"/>
  </si>
  <si>
    <t>Lfc</t>
    <phoneticPr fontId="2"/>
  </si>
  <si>
    <t>Sfc</t>
    <phoneticPr fontId="2"/>
  </si>
  <si>
    <t>ＬＮａ</t>
    <phoneticPr fontId="2"/>
  </si>
  <si>
    <t>ＳＮａ</t>
    <phoneticPr fontId="2"/>
  </si>
  <si>
    <t>Lfｂ</t>
    <phoneticPr fontId="2"/>
  </si>
  <si>
    <t>Sfｂ</t>
    <phoneticPr fontId="2"/>
  </si>
  <si>
    <t>PHC30A</t>
    <phoneticPr fontId="2"/>
  </si>
  <si>
    <t>PHC35B</t>
    <phoneticPr fontId="2"/>
  </si>
  <si>
    <t>PHC45B</t>
    <phoneticPr fontId="2"/>
  </si>
  <si>
    <t>PHC50B</t>
    <phoneticPr fontId="2"/>
  </si>
  <si>
    <t>PHC60B</t>
    <phoneticPr fontId="2"/>
  </si>
  <si>
    <t>（mm）</t>
    <phoneticPr fontId="2"/>
  </si>
  <si>
    <t>Lfc：</t>
    <phoneticPr fontId="2"/>
  </si>
  <si>
    <t>L：</t>
    <phoneticPr fontId="2"/>
  </si>
  <si>
    <t>(m)</t>
    <phoneticPr fontId="2"/>
  </si>
  <si>
    <t>Sfc：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</si>
  <si>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</si>
  <si>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A：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</si>
  <si>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</si>
  <si>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ＬＮａ：</t>
    <phoneticPr fontId="2"/>
  </si>
  <si>
    <t>（kN)</t>
    <phoneticPr fontId="2"/>
  </si>
  <si>
    <t>ＬＮａ＝（Lｆｃ-σｅ）Ａ</t>
    <phoneticPr fontId="2"/>
  </si>
  <si>
    <t>I：</t>
    <phoneticPr fontId="2"/>
  </si>
  <si>
    <r>
      <t>（mm</t>
    </r>
    <r>
      <rPr>
        <vertAlign val="superscript"/>
        <sz val="10"/>
        <rFont val="ＭＳ Ｐ明朝"/>
        <family val="1"/>
        <charset val="128"/>
      </rPr>
      <t>4</t>
    </r>
    <r>
      <rPr>
        <sz val="10"/>
        <rFont val="ＭＳ Ｐ明朝"/>
        <family val="1"/>
        <charset val="128"/>
      </rPr>
      <t>)</t>
    </r>
    <phoneticPr fontId="2"/>
  </si>
  <si>
    <t>ＳＮａ：</t>
    <phoneticPr fontId="2"/>
  </si>
  <si>
    <t>（kN)</t>
    <phoneticPr fontId="2"/>
  </si>
  <si>
    <t>SＮａ＝（Sｆｃ-σｅ）Ａ</t>
    <phoneticPr fontId="2"/>
  </si>
  <si>
    <t>Z：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</si>
  <si>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</si>
  <si>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t>Lfｂ：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</si>
  <si>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</si>
  <si>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σｅ：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</si>
  <si>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</si>
  <si>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Sfｂ：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</si>
  <si>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</si>
  <si>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μ：</t>
    <phoneticPr fontId="2"/>
  </si>
  <si>
    <t>μ＝L/D-ｎ(％)</t>
    <phoneticPr fontId="2"/>
  </si>
  <si>
    <t>ｎ：</t>
    <phoneticPr fontId="2"/>
  </si>
  <si>
    <t>Ap</t>
    <phoneticPr fontId="2"/>
  </si>
  <si>
    <t>Ｎ</t>
    <phoneticPr fontId="2"/>
  </si>
  <si>
    <t>Ls</t>
    <phoneticPr fontId="2"/>
  </si>
  <si>
    <t>Ｎｓ</t>
    <phoneticPr fontId="2"/>
  </si>
  <si>
    <t>Ｌｃ</t>
    <phoneticPr fontId="2"/>
  </si>
  <si>
    <t>ｑｕ</t>
    <phoneticPr fontId="2"/>
  </si>
  <si>
    <t>qp</t>
    <phoneticPr fontId="2"/>
  </si>
  <si>
    <t>RF</t>
    <phoneticPr fontId="2"/>
  </si>
  <si>
    <t>ＬRa</t>
    <phoneticPr fontId="2"/>
  </si>
  <si>
    <t>ｓRa</t>
    <phoneticPr fontId="2"/>
  </si>
  <si>
    <t>(m)</t>
    <phoneticPr fontId="2"/>
  </si>
  <si>
    <t>ＬＲa：</t>
    <phoneticPr fontId="2"/>
  </si>
  <si>
    <t>（kN）</t>
    <phoneticPr fontId="2"/>
  </si>
  <si>
    <t>ＬRa＝1/3･(200・N・Ap+（10/3・Nｓ・Lｓ+１/2・ｑu・Lｃ）･φ)</t>
    <phoneticPr fontId="2"/>
  </si>
  <si>
    <t>Ｌ：</t>
    <phoneticPr fontId="2"/>
  </si>
  <si>
    <t>(m)</t>
    <phoneticPr fontId="2"/>
  </si>
  <si>
    <t>φ：</t>
    <phoneticPr fontId="2"/>
  </si>
  <si>
    <t>(m)</t>
    <phoneticPr fontId="2"/>
  </si>
  <si>
    <t>N：</t>
    <phoneticPr fontId="2"/>
  </si>
  <si>
    <t>Aｐ：</t>
    <phoneticPr fontId="2"/>
  </si>
  <si>
    <r>
      <t>(m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</si>
  <si>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Ls：</t>
    <phoneticPr fontId="2"/>
  </si>
  <si>
    <t>(m)</t>
    <phoneticPr fontId="2"/>
  </si>
  <si>
    <t>SＲa：</t>
    <phoneticPr fontId="2"/>
  </si>
  <si>
    <t>Ns：</t>
    <phoneticPr fontId="2"/>
  </si>
  <si>
    <t>ｓRa=２・ＬＲa</t>
    <phoneticPr fontId="2"/>
  </si>
  <si>
    <t>Lc：</t>
    <phoneticPr fontId="2"/>
  </si>
  <si>
    <t>qp：</t>
    <phoneticPr fontId="2"/>
  </si>
  <si>
    <t>qu：</t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</si>
  <si>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</si>
  <si>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RF：</t>
    <phoneticPr fontId="2"/>
  </si>
  <si>
    <t>（kN）</t>
    <phoneticPr fontId="2"/>
  </si>
  <si>
    <t>Ｎｃ：</t>
    <phoneticPr fontId="2"/>
  </si>
  <si>
    <t>qu=Nc/8=</t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</si>
  <si>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</si>
  <si>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(m)</t>
    <phoneticPr fontId="2"/>
  </si>
  <si>
    <t>Sfc：</t>
    <phoneticPr fontId="2"/>
  </si>
  <si>
    <t>RF：</t>
    <phoneticPr fontId="2"/>
  </si>
  <si>
    <t>深度</t>
    <rPh sb="0" eb="2">
      <t>シンド</t>
    </rPh>
    <phoneticPr fontId="2"/>
  </si>
  <si>
    <t>N値</t>
    <rPh sb="1" eb="2">
      <t>チ</t>
    </rPh>
    <phoneticPr fontId="2"/>
  </si>
  <si>
    <t>杭頭</t>
    <rPh sb="0" eb="2">
      <t>クイトウ</t>
    </rPh>
    <phoneticPr fontId="2"/>
  </si>
  <si>
    <t>摩擦考慮</t>
    <rPh sb="0" eb="2">
      <t>マサツ</t>
    </rPh>
    <rPh sb="2" eb="4">
      <t>コウリョ</t>
    </rPh>
    <phoneticPr fontId="2"/>
  </si>
  <si>
    <t>先端</t>
    <rPh sb="0" eb="2">
      <t>センタン</t>
    </rPh>
    <phoneticPr fontId="2"/>
  </si>
  <si>
    <t>埋込み</t>
    <rPh sb="0" eb="2">
      <t>ウメコ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</si>
</sst>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¥&quot;#,##0;&quot;¥&quot;\-#,##0"/>
    <numFmt numFmtId="176" formatCode="0.0_ "/>
    <numFmt numFmtId="177" formatCode="0.0_);[Red]\(0.0\)"/>
    <numFmt numFmtId="178" formatCode="0.00_ "/>
    <numFmt numFmtId="179" formatCode="0_ "/>
    <numFmt numFmtId="180" formatCode="0.0E+00"/>
    <numFmt numFmtId="181" formatCode="0.000_ "/>
    <numFmt numFmtId="182" formatCode="0_);[Red]\(0\)"/>
    <numFmt numFmtId="183" formatCode="0.00_);[Red]\(0.00\)"/>
    <numFmt numFmtId="184" formatCode="0.000"/>
    <numFmt numFmtId="185" formatCode="0.0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9"/>
      <color indexed="12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sz val="10"/>
      <color indexed="12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vertAlign val="superscript"/>
      <sz val="10"/>
      <name val="ＭＳ Ｐ明朝"/>
      <family val="1"/>
      <charset val="128"/>
    </font>
    <font>
      <sz val="10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31">
    <xf numFmtId="0" fontId="0" fillId="0" borderId="0" xfId="0"/>
    <xf numFmtId="0" fontId="3" fillId="0" borderId="0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178" fontId="6" fillId="0" borderId="0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79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79" fontId="6" fillId="0" borderId="0" xfId="0" applyNumberFormat="1" applyFont="1"/>
    <xf numFmtId="179" fontId="6" fillId="0" borderId="0" xfId="0" applyNumberFormat="1" applyFont="1" applyAlignment="1">
      <alignment horizontal="right"/>
    </xf>
    <xf numFmtId="17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center"/>
    </xf>
    <xf numFmtId="181" fontId="6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178" fontId="6" fillId="0" borderId="0" xfId="0" applyNumberFormat="1" applyFont="1"/>
    <xf numFmtId="181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83" fontId="6" fillId="0" borderId="0" xfId="0" applyNumberFormat="1" applyFont="1" applyBorder="1" applyAlignment="1">
      <alignment horizontal="center"/>
    </xf>
    <xf numFmtId="177" fontId="6" fillId="0" borderId="0" xfId="0" applyNumberFormat="1" applyFont="1" applyAlignment="1">
      <alignment horizontal="right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182" fontId="7" fillId="0" borderId="9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178" fontId="7" fillId="0" borderId="0" xfId="0" applyNumberFormat="1" applyFont="1" applyBorder="1" applyAlignment="1">
      <alignment horizontal="right"/>
    </xf>
    <xf numFmtId="182" fontId="7" fillId="0" borderId="11" xfId="0" applyNumberFormat="1" applyFont="1" applyBorder="1" applyAlignment="1">
      <alignment horizontal="right"/>
    </xf>
    <xf numFmtId="183" fontId="7" fillId="0" borderId="0" xfId="0" applyNumberFormat="1" applyFont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182" fontId="6" fillId="0" borderId="0" xfId="0" applyNumberFormat="1" applyFont="1" applyFill="1" applyBorder="1" applyAlignment="1">
      <alignment horizontal="right"/>
    </xf>
    <xf numFmtId="182" fontId="7" fillId="0" borderId="11" xfId="0" applyNumberFormat="1" applyFont="1" applyFill="1" applyBorder="1" applyAlignment="1" applyProtection="1">
      <alignment horizontal="right"/>
    </xf>
    <xf numFmtId="182" fontId="7" fillId="0" borderId="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right"/>
    </xf>
    <xf numFmtId="182" fontId="6" fillId="0" borderId="0" xfId="0" applyNumberFormat="1" applyFont="1" applyBorder="1" applyAlignment="1">
      <alignment horizontal="right"/>
    </xf>
    <xf numFmtId="183" fontId="6" fillId="0" borderId="0" xfId="0" applyNumberFormat="1" applyFont="1" applyBorder="1" applyAlignment="1">
      <alignment horizontal="right"/>
    </xf>
    <xf numFmtId="177" fontId="7" fillId="0" borderId="11" xfId="0" applyNumberFormat="1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177" fontId="7" fillId="0" borderId="0" xfId="0" applyNumberFormat="1" applyFont="1" applyAlignment="1">
      <alignment horizontal="right"/>
    </xf>
    <xf numFmtId="0" fontId="6" fillId="0" borderId="13" xfId="0" applyFont="1" applyBorder="1"/>
    <xf numFmtId="177" fontId="6" fillId="0" borderId="13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182" fontId="6" fillId="0" borderId="1" xfId="0" applyNumberFormat="1" applyFont="1" applyBorder="1" applyAlignment="1">
      <alignment horizontal="right"/>
    </xf>
    <xf numFmtId="182" fontId="6" fillId="0" borderId="14" xfId="0" applyNumberFormat="1" applyFont="1" applyBorder="1" applyAlignment="1">
      <alignment horizontal="right"/>
    </xf>
    <xf numFmtId="183" fontId="6" fillId="0" borderId="14" xfId="0" applyNumberFormat="1" applyFont="1" applyBorder="1" applyAlignment="1">
      <alignment horizontal="right"/>
    </xf>
    <xf numFmtId="182" fontId="7" fillId="0" borderId="2" xfId="0" applyNumberFormat="1" applyFont="1" applyBorder="1" applyProtection="1">
      <protection locked="0"/>
    </xf>
    <xf numFmtId="183" fontId="7" fillId="0" borderId="0" xfId="0" applyNumberFormat="1" applyFont="1"/>
    <xf numFmtId="182" fontId="7" fillId="0" borderId="2" xfId="0" applyNumberFormat="1" applyFont="1" applyBorder="1" applyAlignment="1" applyProtection="1">
      <alignment horizontal="right"/>
      <protection locked="0"/>
    </xf>
    <xf numFmtId="182" fontId="7" fillId="0" borderId="0" xfId="0" applyNumberFormat="1" applyFont="1" applyBorder="1" applyAlignment="1" applyProtection="1">
      <alignment horizontal="right"/>
      <protection locked="0"/>
    </xf>
    <xf numFmtId="177" fontId="7" fillId="0" borderId="0" xfId="0" applyNumberFormat="1" applyFont="1" applyBorder="1" applyAlignment="1">
      <alignment horizontal="right"/>
    </xf>
    <xf numFmtId="182" fontId="8" fillId="0" borderId="2" xfId="0" applyNumberFormat="1" applyFont="1" applyBorder="1" applyAlignment="1">
      <alignment horizontal="right"/>
    </xf>
    <xf numFmtId="182" fontId="8" fillId="0" borderId="0" xfId="0" applyNumberFormat="1" applyFont="1" applyBorder="1" applyAlignment="1">
      <alignment horizontal="right"/>
    </xf>
    <xf numFmtId="183" fontId="8" fillId="0" borderId="0" xfId="0" applyNumberFormat="1" applyFont="1" applyBorder="1" applyAlignment="1">
      <alignment horizontal="right"/>
    </xf>
    <xf numFmtId="182" fontId="6" fillId="0" borderId="2" xfId="0" applyNumberFormat="1" applyFont="1" applyBorder="1" applyAlignment="1">
      <alignment horizontal="right"/>
    </xf>
    <xf numFmtId="178" fontId="6" fillId="0" borderId="2" xfId="0" applyNumberFormat="1" applyFon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83" fontId="6" fillId="0" borderId="2" xfId="0" applyNumberFormat="1" applyFont="1" applyBorder="1" applyAlignment="1">
      <alignment horizontal="right"/>
    </xf>
    <xf numFmtId="182" fontId="6" fillId="0" borderId="11" xfId="0" applyNumberFormat="1" applyFont="1" applyBorder="1" applyAlignment="1" applyProtection="1">
      <alignment horizontal="right"/>
    </xf>
    <xf numFmtId="182" fontId="6" fillId="0" borderId="2" xfId="0" applyNumberFormat="1" applyFont="1" applyBorder="1" applyAlignment="1">
      <alignment horizontal="center"/>
    </xf>
    <xf numFmtId="182" fontId="6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177" fontId="7" fillId="0" borderId="9" xfId="0" applyNumberFormat="1" applyFont="1" applyBorder="1" applyAlignment="1">
      <alignment horizontal="right"/>
    </xf>
    <xf numFmtId="182" fontId="6" fillId="0" borderId="11" xfId="0" applyNumberFormat="1" applyFont="1" applyBorder="1" applyAlignment="1">
      <alignment horizontal="right"/>
    </xf>
    <xf numFmtId="182" fontId="6" fillId="0" borderId="4" xfId="0" applyNumberFormat="1" applyFont="1" applyBorder="1" applyAlignment="1">
      <alignment horizontal="right"/>
    </xf>
    <xf numFmtId="182" fontId="6" fillId="0" borderId="5" xfId="0" applyNumberFormat="1" applyFont="1" applyBorder="1" applyAlignment="1">
      <alignment horizontal="right"/>
    </xf>
    <xf numFmtId="182" fontId="6" fillId="0" borderId="12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 applyProtection="1">
      <alignment horizontal="right"/>
    </xf>
    <xf numFmtId="0" fontId="4" fillId="0" borderId="0" xfId="0" quotePrefix="1" applyFont="1" applyAlignment="1">
      <alignment horizontal="center"/>
    </xf>
    <xf numFmtId="179" fontId="7" fillId="0" borderId="0" xfId="0" applyNumberFormat="1" applyFont="1"/>
    <xf numFmtId="0" fontId="7" fillId="0" borderId="0" xfId="0" applyFont="1" applyAlignment="1">
      <alignment horizontal="right"/>
    </xf>
    <xf numFmtId="179" fontId="7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82" fontId="9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83" fontId="9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179" fontId="9" fillId="0" borderId="0" xfId="0" applyNumberFormat="1" applyFont="1" applyAlignment="1">
      <alignment horizontal="center"/>
    </xf>
    <xf numFmtId="184" fontId="6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5" fontId="7" fillId="0" borderId="0" xfId="0" applyNumberFormat="1" applyFont="1" applyAlignment="1">
      <alignment horizontal="center"/>
    </xf>
    <xf numFmtId="177" fontId="6" fillId="0" borderId="0" xfId="0" applyNumberFormat="1" applyFont="1" applyFill="1" applyBorder="1" applyAlignment="1">
      <alignment horizontal="right"/>
    </xf>
    <xf numFmtId="38" fontId="0" fillId="0" borderId="0" xfId="1" applyFont="1"/>
    <xf numFmtId="38" fontId="0" fillId="0" borderId="0" xfId="0" applyNumberFormat="1"/>
    <xf numFmtId="0" fontId="0" fillId="0" borderId="0" xfId="0" applyAlignment="1"/>
    <xf numFmtId="185" fontId="6" fillId="0" borderId="0" xfId="0" applyNumberFormat="1" applyFont="1"/>
    <xf numFmtId="0" fontId="6" fillId="0" borderId="0" xfId="0" applyFont="1" applyProtection="1">
      <protection locked="0"/>
    </xf>
    <xf numFmtId="182" fontId="7" fillId="0" borderId="0" xfId="0" applyNumberFormat="1" applyFont="1" applyBorder="1" applyProtection="1">
      <protection locked="0"/>
    </xf>
    <xf numFmtId="182" fontId="7" fillId="0" borderId="14" xfId="0" applyNumberFormat="1" applyFont="1" applyBorder="1" applyAlignment="1">
      <alignment horizontal="right"/>
    </xf>
    <xf numFmtId="182" fontId="7" fillId="0" borderId="0" xfId="0" applyNumberFormat="1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82" fontId="7" fillId="0" borderId="17" xfId="0" applyNumberFormat="1" applyFont="1" applyBorder="1" applyAlignment="1">
      <alignment horizontal="right"/>
    </xf>
    <xf numFmtId="182" fontId="7" fillId="0" borderId="18" xfId="0" applyNumberFormat="1" applyFont="1" applyBorder="1" applyAlignment="1">
      <alignment horizontal="right"/>
    </xf>
    <xf numFmtId="182" fontId="6" fillId="0" borderId="17" xfId="0" applyNumberFormat="1" applyFont="1" applyFill="1" applyBorder="1" applyAlignment="1">
      <alignment horizontal="right"/>
    </xf>
    <xf numFmtId="182" fontId="6" fillId="0" borderId="18" xfId="0" applyNumberFormat="1" applyFont="1" applyFill="1" applyBorder="1" applyAlignment="1">
      <alignment horizontal="right"/>
    </xf>
    <xf numFmtId="182" fontId="7" fillId="0" borderId="17" xfId="0" applyNumberFormat="1" applyFont="1" applyFill="1" applyBorder="1" applyAlignment="1">
      <alignment horizontal="center"/>
    </xf>
    <xf numFmtId="182" fontId="7" fillId="0" borderId="18" xfId="0" applyNumberFormat="1" applyFont="1" applyFill="1" applyBorder="1" applyAlignment="1">
      <alignment horizontal="center"/>
    </xf>
    <xf numFmtId="182" fontId="6" fillId="0" borderId="17" xfId="0" applyNumberFormat="1" applyFont="1" applyBorder="1" applyAlignment="1">
      <alignment horizontal="right"/>
    </xf>
    <xf numFmtId="182" fontId="6" fillId="0" borderId="18" xfId="0" applyNumberFormat="1" applyFont="1" applyBorder="1" applyAlignment="1">
      <alignment horizontal="right"/>
    </xf>
    <xf numFmtId="178" fontId="6" fillId="0" borderId="17" xfId="0" applyNumberFormat="1" applyFont="1" applyBorder="1"/>
    <xf numFmtId="178" fontId="6" fillId="0" borderId="18" xfId="0" applyNumberFormat="1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6" fillId="0" borderId="17" xfId="0" applyFont="1" applyBorder="1"/>
    <xf numFmtId="0" fontId="6" fillId="0" borderId="18" xfId="0" applyFont="1" applyBorder="1"/>
    <xf numFmtId="182" fontId="6" fillId="0" borderId="21" xfId="0" applyNumberFormat="1" applyFont="1" applyBorder="1" applyAlignment="1">
      <alignment horizontal="right"/>
    </xf>
    <xf numFmtId="182" fontId="6" fillId="0" borderId="22" xfId="0" applyNumberFormat="1" applyFont="1" applyBorder="1" applyAlignment="1">
      <alignment horizontal="right"/>
    </xf>
    <xf numFmtId="182" fontId="7" fillId="0" borderId="17" xfId="0" applyNumberFormat="1" applyFont="1" applyBorder="1" applyProtection="1">
      <protection locked="0"/>
    </xf>
    <xf numFmtId="182" fontId="7" fillId="0" borderId="18" xfId="0" applyNumberFormat="1" applyFont="1" applyBorder="1" applyProtection="1">
      <protection locked="0"/>
    </xf>
    <xf numFmtId="182" fontId="7" fillId="0" borderId="17" xfId="0" applyNumberFormat="1" applyFont="1" applyBorder="1" applyAlignment="1" applyProtection="1">
      <alignment horizontal="right"/>
      <protection locked="0"/>
    </xf>
    <xf numFmtId="182" fontId="7" fillId="0" borderId="18" xfId="0" applyNumberFormat="1" applyFont="1" applyBorder="1" applyAlignment="1" applyProtection="1">
      <alignment horizontal="right"/>
      <protection locked="0"/>
    </xf>
    <xf numFmtId="182" fontId="8" fillId="0" borderId="17" xfId="0" applyNumberFormat="1" applyFont="1" applyBorder="1" applyAlignment="1">
      <alignment horizontal="right"/>
    </xf>
    <xf numFmtId="182" fontId="8" fillId="0" borderId="18" xfId="0" applyNumberFormat="1" applyFont="1" applyBorder="1" applyAlignment="1">
      <alignment horizontal="right"/>
    </xf>
    <xf numFmtId="178" fontId="6" fillId="0" borderId="17" xfId="0" applyNumberFormat="1" applyFont="1" applyBorder="1" applyAlignment="1">
      <alignment horizontal="right"/>
    </xf>
    <xf numFmtId="178" fontId="6" fillId="0" borderId="18" xfId="0" applyNumberFormat="1" applyFont="1" applyBorder="1" applyAlignment="1">
      <alignment horizontal="right"/>
    </xf>
    <xf numFmtId="183" fontId="6" fillId="0" borderId="17" xfId="0" applyNumberFormat="1" applyFont="1" applyBorder="1" applyAlignment="1">
      <alignment horizontal="right"/>
    </xf>
    <xf numFmtId="183" fontId="6" fillId="0" borderId="18" xfId="0" applyNumberFormat="1" applyFont="1" applyBorder="1" applyAlignment="1">
      <alignment horizontal="right"/>
    </xf>
    <xf numFmtId="182" fontId="6" fillId="0" borderId="17" xfId="0" applyNumberFormat="1" applyFont="1" applyBorder="1" applyAlignment="1">
      <alignment horizontal="center"/>
    </xf>
    <xf numFmtId="182" fontId="6" fillId="0" borderId="18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82" fontId="6" fillId="0" borderId="19" xfId="0" applyNumberFormat="1" applyFont="1" applyBorder="1" applyAlignment="1">
      <alignment horizontal="right"/>
    </xf>
    <xf numFmtId="182" fontId="6" fillId="0" borderId="20" xfId="0" applyNumberFormat="1" applyFont="1" applyBorder="1" applyAlignment="1">
      <alignment horizontal="right"/>
    </xf>
    <xf numFmtId="182" fontId="7" fillId="0" borderId="21" xfId="0" applyNumberFormat="1" applyFont="1" applyBorder="1" applyAlignment="1">
      <alignment horizontal="right"/>
    </xf>
    <xf numFmtId="177" fontId="6" fillId="0" borderId="13" xfId="0" applyNumberFormat="1" applyFont="1" applyBorder="1" applyAlignment="1">
      <alignment horizontal="center"/>
    </xf>
    <xf numFmtId="182" fontId="7" fillId="0" borderId="11" xfId="0" applyNumberFormat="1" applyFont="1" applyFill="1" applyBorder="1" applyAlignment="1">
      <alignment horizontal="right"/>
    </xf>
    <xf numFmtId="177" fontId="7" fillId="0" borderId="12" xfId="0" applyNumberFormat="1" applyFont="1" applyBorder="1" applyAlignment="1">
      <alignment horizontal="right"/>
    </xf>
    <xf numFmtId="0" fontId="6" fillId="0" borderId="0" xfId="0" quotePrefix="1" applyFont="1" applyBorder="1" applyAlignment="1">
      <alignment horizontal="center"/>
    </xf>
    <xf numFmtId="178" fontId="6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79" fontId="6" fillId="0" borderId="0" xfId="0" applyNumberFormat="1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79" fontId="6" fillId="0" borderId="0" xfId="0" applyNumberFormat="1" applyFont="1" applyBorder="1"/>
    <xf numFmtId="0" fontId="7" fillId="0" borderId="0" xfId="0" quotePrefix="1" applyFont="1" applyBorder="1" applyAlignment="1">
      <alignment horizontal="center"/>
    </xf>
    <xf numFmtId="180" fontId="6" fillId="0" borderId="0" xfId="0" applyNumberFormat="1" applyFont="1" applyBorder="1" applyAlignment="1">
      <alignment horizontal="center"/>
    </xf>
    <xf numFmtId="179" fontId="6" fillId="0" borderId="0" xfId="0" applyNumberFormat="1" applyFon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0" fontId="6" fillId="0" borderId="23" xfId="0" applyFont="1" applyBorder="1"/>
    <xf numFmtId="0" fontId="7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82" fontId="7" fillId="0" borderId="9" xfId="0" applyNumberFormat="1" applyFont="1" applyBorder="1" applyAlignment="1">
      <alignment horizontal="center"/>
    </xf>
    <xf numFmtId="182" fontId="7" fillId="0" borderId="14" xfId="0" applyNumberFormat="1" applyFont="1" applyBorder="1" applyAlignment="1">
      <alignment horizontal="center"/>
    </xf>
    <xf numFmtId="182" fontId="6" fillId="0" borderId="9" xfId="0" applyNumberFormat="1" applyFont="1" applyBorder="1" applyAlignment="1">
      <alignment horizontal="center"/>
    </xf>
    <xf numFmtId="182" fontId="6" fillId="0" borderId="23" xfId="0" applyNumberFormat="1" applyFont="1" applyBorder="1" applyAlignment="1">
      <alignment horizontal="center"/>
    </xf>
    <xf numFmtId="182" fontId="7" fillId="0" borderId="11" xfId="0" applyNumberFormat="1" applyFont="1" applyBorder="1" applyAlignment="1">
      <alignment horizontal="center"/>
    </xf>
    <xf numFmtId="182" fontId="6" fillId="0" borderId="11" xfId="0" applyNumberFormat="1" applyFont="1" applyBorder="1" applyAlignment="1">
      <alignment horizontal="center"/>
    </xf>
    <xf numFmtId="182" fontId="6" fillId="0" borderId="3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83" fontId="6" fillId="0" borderId="2" xfId="0" applyNumberFormat="1" applyFont="1" applyBorder="1" applyAlignment="1">
      <alignment horizontal="center"/>
    </xf>
    <xf numFmtId="183" fontId="6" fillId="0" borderId="11" xfId="0" applyNumberFormat="1" applyFont="1" applyBorder="1" applyAlignment="1">
      <alignment horizontal="center"/>
    </xf>
    <xf numFmtId="183" fontId="11" fillId="0" borderId="4" xfId="0" applyNumberFormat="1" applyFont="1" applyBorder="1" applyAlignment="1">
      <alignment horizontal="center"/>
    </xf>
    <xf numFmtId="183" fontId="11" fillId="0" borderId="12" xfId="0" applyNumberFormat="1" applyFont="1" applyBorder="1" applyAlignment="1">
      <alignment horizontal="center"/>
    </xf>
    <xf numFmtId="183" fontId="11" fillId="0" borderId="5" xfId="0" applyNumberFormat="1" applyFont="1" applyBorder="1" applyAlignment="1">
      <alignment horizontal="center"/>
    </xf>
    <xf numFmtId="182" fontId="7" fillId="0" borderId="2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9" fontId="6" fillId="0" borderId="2" xfId="0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78" fontId="6" fillId="0" borderId="2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/>
    </xf>
    <xf numFmtId="183" fontId="11" fillId="0" borderId="2" xfId="0" applyNumberFormat="1" applyFont="1" applyBorder="1" applyAlignment="1">
      <alignment horizontal="center"/>
    </xf>
    <xf numFmtId="183" fontId="11" fillId="0" borderId="0" xfId="0" applyNumberFormat="1" applyFont="1" applyBorder="1" applyAlignment="1">
      <alignment horizontal="center"/>
    </xf>
    <xf numFmtId="183" fontId="11" fillId="0" borderId="11" xfId="0" applyNumberFormat="1" applyFont="1" applyBorder="1" applyAlignment="1">
      <alignment horizontal="center"/>
    </xf>
    <xf numFmtId="179" fontId="6" fillId="0" borderId="1" xfId="0" applyNumberFormat="1" applyFont="1" applyBorder="1" applyAlignment="1">
      <alignment horizontal="center"/>
    </xf>
    <xf numFmtId="179" fontId="11" fillId="0" borderId="4" xfId="0" applyNumberFormat="1" applyFont="1" applyBorder="1" applyAlignment="1">
      <alignment horizontal="center"/>
    </xf>
    <xf numFmtId="179" fontId="11" fillId="0" borderId="12" xfId="0" applyNumberFormat="1" applyFont="1" applyBorder="1" applyAlignment="1">
      <alignment horizontal="center"/>
    </xf>
    <xf numFmtId="179" fontId="11" fillId="0" borderId="5" xfId="0" applyNumberFormat="1" applyFont="1" applyBorder="1" applyAlignment="1">
      <alignment horizontal="center"/>
    </xf>
    <xf numFmtId="176" fontId="0" fillId="0" borderId="0" xfId="0" applyNumberFormat="1"/>
    <xf numFmtId="0" fontId="6" fillId="0" borderId="0" xfId="0" applyFont="1" applyAlignment="1">
      <alignment horizontal="left" shrinkToFit="1"/>
    </xf>
    <xf numFmtId="0" fontId="0" fillId="0" borderId="0" xfId="0" applyAlignment="1">
      <alignment shrinkToFi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/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/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3" xfId="0" applyFont="1" applyBorder="1" applyAlignment="1"/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5" fontId="6" fillId="0" borderId="4" xfId="0" applyNumberFormat="1" applyFont="1" applyBorder="1" applyAlignment="1">
      <alignment horizontal="center"/>
    </xf>
    <xf numFmtId="5" fontId="6" fillId="0" borderId="5" xfId="0" applyNumberFormat="1" applyFont="1" applyBorder="1" applyAlignment="1">
      <alignment horizontal="center"/>
    </xf>
    <xf numFmtId="5" fontId="6" fillId="0" borderId="6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/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6</xdr:row>
          <xdr:rowOff>38100</xdr:rowOff>
        </xdr:from>
        <xdr:to>
          <xdr:col>12</xdr:col>
          <xdr:colOff>447675</xdr:colOff>
          <xdr:row>30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8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39</xdr:row>
          <xdr:rowOff>114300</xdr:rowOff>
        </xdr:from>
        <xdr:to>
          <xdr:col>12</xdr:col>
          <xdr:colOff>523875</xdr:colOff>
          <xdr:row>64</xdr:row>
          <xdr:rowOff>142875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8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74</xdr:row>
          <xdr:rowOff>114300</xdr:rowOff>
        </xdr:from>
        <xdr:to>
          <xdr:col>12</xdr:col>
          <xdr:colOff>485775</xdr:colOff>
          <xdr:row>99</xdr:row>
          <xdr:rowOff>95250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8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AddIns/xfunxf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25134/AppData/Roaming/Microsoft/AddIns/xfunxf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AddIns/xfunx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le"/>
      <sheetName val="Data"/>
      <sheetName val="xfunxf"/>
    </sheetNames>
    <definedNames>
      <definedName name="Chang1"/>
      <definedName name="Pile"/>
      <definedName name="PileBeta"/>
      <definedName name="PileKh"/>
      <definedName name="PilePcFx"/>
      <definedName name="PilePcMa"/>
      <definedName name="PilePcQa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le"/>
      <sheetName val="Data"/>
      <sheetName val="xfunxf"/>
    </sheetNames>
    <definedNames>
      <definedName name="Pile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r"/>
      <sheetName val="Deck"/>
      <sheetName val="Xfunx"/>
      <sheetName val="Steel"/>
      <sheetName val="Data"/>
    </sheetNames>
    <definedNames>
      <definedName name="Bar"/>
      <definedName name="BarFt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M23"/>
  <sheetViews>
    <sheetView tabSelected="1" topLeftCell="A7" workbookViewId="0">
      <selection activeCell="A10" sqref="A10"/>
    </sheetView>
  </sheetViews>
  <sheetFormatPr defaultRowHeight="13.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15">
      <c r="A2" t="s">
        <v>719</v>
      </c>
      <c r="B2" t="s">
        <v>720</v>
      </c>
      <c r="E2" t="s">
        <v>219</v>
      </c>
      <c r="F2" t="s">
        <v>721</v>
      </c>
      <c r="G2" t="s">
        <v>236</v>
      </c>
      <c r="H2" t="s">
        <v>724</v>
      </c>
      <c r="I2" t="s">
        <v>723</v>
      </c>
      <c r="J2" t="s">
        <v>722</v>
      </c>
    </row>
    <row r="3" spans="1:13" x14ac:dyDescent="0.15">
      <c r="A3">
        <v>1.3</v>
      </c>
      <c r="B3">
        <v>6</v>
      </c>
      <c r="C3">
        <v>1</v>
      </c>
      <c r="D3">
        <v>0</v>
      </c>
      <c r="E3">
        <v>500</v>
      </c>
      <c r="F3">
        <v>1.1000000000000001</v>
      </c>
      <c r="G3">
        <v>8</v>
      </c>
      <c r="H3">
        <v>0.1</v>
      </c>
      <c r="I3">
        <f>F3+G3-H3</f>
        <v>9</v>
      </c>
      <c r="J3">
        <v>2</v>
      </c>
      <c r="K3">
        <v>1.2999999523162842</v>
      </c>
      <c r="L3">
        <v>6</v>
      </c>
    </row>
    <row r="4" spans="1:13" x14ac:dyDescent="0.15">
      <c r="A4">
        <v>2.2999999999999998</v>
      </c>
      <c r="B4">
        <v>8</v>
      </c>
      <c r="C4">
        <v>2.6</v>
      </c>
      <c r="D4">
        <v>1</v>
      </c>
      <c r="K4">
        <v>2.2999999523162842</v>
      </c>
      <c r="L4">
        <v>8</v>
      </c>
    </row>
    <row r="5" spans="1:13" x14ac:dyDescent="0.15">
      <c r="A5">
        <v>3.3</v>
      </c>
      <c r="B5">
        <v>3</v>
      </c>
      <c r="C5">
        <v>8.6999999999999993</v>
      </c>
      <c r="D5">
        <v>1</v>
      </c>
      <c r="J5">
        <v>13</v>
      </c>
      <c r="K5">
        <v>3.2999999523162842</v>
      </c>
      <c r="L5">
        <v>3</v>
      </c>
    </row>
    <row r="6" spans="1:13" x14ac:dyDescent="0.15">
      <c r="A6">
        <v>4.3</v>
      </c>
      <c r="B6">
        <v>4</v>
      </c>
      <c r="C6">
        <v>10.6</v>
      </c>
      <c r="D6">
        <v>1</v>
      </c>
      <c r="K6">
        <v>4.3000001907348633</v>
      </c>
      <c r="L6">
        <v>4</v>
      </c>
    </row>
    <row r="7" spans="1:13" x14ac:dyDescent="0.15">
      <c r="A7">
        <v>5.3</v>
      </c>
      <c r="B7">
        <v>4</v>
      </c>
      <c r="C7">
        <v>12.8</v>
      </c>
      <c r="D7">
        <v>1</v>
      </c>
      <c r="K7">
        <v>5.3000001907348633</v>
      </c>
      <c r="L7">
        <v>4</v>
      </c>
    </row>
    <row r="8" spans="1:13" x14ac:dyDescent="0.15">
      <c r="A8">
        <v>6.3</v>
      </c>
      <c r="B8">
        <v>5</v>
      </c>
      <c r="C8">
        <v>16</v>
      </c>
      <c r="D8">
        <v>1</v>
      </c>
      <c r="K8">
        <v>6.3000001907348633</v>
      </c>
      <c r="L8">
        <v>5</v>
      </c>
    </row>
    <row r="9" spans="1:13" x14ac:dyDescent="0.15">
      <c r="A9">
        <v>7.3</v>
      </c>
      <c r="B9">
        <v>7</v>
      </c>
      <c r="C9">
        <v>20.3</v>
      </c>
      <c r="D9">
        <v>1</v>
      </c>
      <c r="K9">
        <v>7.3000001907348633</v>
      </c>
      <c r="L9">
        <v>7</v>
      </c>
    </row>
    <row r="10" spans="1:13" x14ac:dyDescent="0.15">
      <c r="A10">
        <v>8.3000000000000007</v>
      </c>
      <c r="B10">
        <v>22</v>
      </c>
      <c r="K10">
        <v>8.3000001907348633</v>
      </c>
      <c r="L10">
        <v>22</v>
      </c>
    </row>
    <row r="11" spans="1:13" x14ac:dyDescent="0.15">
      <c r="A11">
        <v>9.3000000000000007</v>
      </c>
      <c r="B11">
        <v>23</v>
      </c>
      <c r="K11">
        <v>9.3000001907348633</v>
      </c>
      <c r="L11">
        <v>23</v>
      </c>
    </row>
    <row r="12" spans="1:13" x14ac:dyDescent="0.15">
      <c r="A12">
        <v>10.3</v>
      </c>
      <c r="B12">
        <v>23</v>
      </c>
      <c r="K12">
        <v>10</v>
      </c>
      <c r="L12">
        <v>100</v>
      </c>
      <c r="M12">
        <v>10.300000190734863</v>
      </c>
    </row>
    <row r="13" spans="1:13" x14ac:dyDescent="0.15">
      <c r="A13">
        <v>11.3</v>
      </c>
      <c r="B13">
        <v>25</v>
      </c>
      <c r="K13">
        <v>10.300000190734863</v>
      </c>
      <c r="L13">
        <v>23</v>
      </c>
      <c r="M13">
        <v>11.300000190734863</v>
      </c>
    </row>
    <row r="14" spans="1:13" x14ac:dyDescent="0.15">
      <c r="A14">
        <v>12.3</v>
      </c>
      <c r="B14">
        <v>34</v>
      </c>
      <c r="K14">
        <v>11.300000190734863</v>
      </c>
      <c r="L14">
        <v>100</v>
      </c>
      <c r="M14">
        <v>12.300000190734863</v>
      </c>
    </row>
    <row r="15" spans="1:13" x14ac:dyDescent="0.15">
      <c r="A15">
        <v>13.3</v>
      </c>
      <c r="B15">
        <v>38</v>
      </c>
      <c r="K15">
        <v>11.300000190734863</v>
      </c>
      <c r="L15">
        <v>100</v>
      </c>
      <c r="M15">
        <v>12.300000190734863</v>
      </c>
    </row>
    <row r="16" spans="1:13" x14ac:dyDescent="0.15">
      <c r="A16">
        <v>14.3</v>
      </c>
      <c r="B16">
        <v>28</v>
      </c>
      <c r="K16">
        <v>12.300000190734863</v>
      </c>
      <c r="L16">
        <v>100</v>
      </c>
      <c r="M16">
        <v>13.300000190734863</v>
      </c>
    </row>
    <row r="17" spans="1:13" x14ac:dyDescent="0.15">
      <c r="A17">
        <v>15.3</v>
      </c>
      <c r="B17">
        <v>42</v>
      </c>
      <c r="K17">
        <v>13.300000190734863</v>
      </c>
      <c r="L17">
        <v>38</v>
      </c>
      <c r="M17">
        <v>14.300000190734863</v>
      </c>
    </row>
    <row r="18" spans="1:13" x14ac:dyDescent="0.15">
      <c r="A18">
        <v>16.3</v>
      </c>
      <c r="B18">
        <v>63</v>
      </c>
      <c r="K18">
        <v>14.300000190734863</v>
      </c>
      <c r="L18">
        <v>28</v>
      </c>
      <c r="M18">
        <v>15.300000190734863</v>
      </c>
    </row>
    <row r="19" spans="1:13" x14ac:dyDescent="0.15">
      <c r="A19">
        <v>17.3</v>
      </c>
      <c r="B19">
        <v>71</v>
      </c>
      <c r="K19">
        <v>15.300000190734863</v>
      </c>
      <c r="L19">
        <v>42</v>
      </c>
      <c r="M19">
        <v>16.299999237060547</v>
      </c>
    </row>
    <row r="20" spans="1:13" x14ac:dyDescent="0.15">
      <c r="A20">
        <v>18.3</v>
      </c>
      <c r="B20">
        <v>75</v>
      </c>
      <c r="K20">
        <v>16.299999237060547</v>
      </c>
      <c r="L20">
        <v>63</v>
      </c>
      <c r="M20">
        <v>17.299999237060547</v>
      </c>
    </row>
    <row r="21" spans="1:13" x14ac:dyDescent="0.15">
      <c r="A21">
        <v>19.3</v>
      </c>
      <c r="B21">
        <v>88</v>
      </c>
      <c r="K21">
        <v>17.299999237060547</v>
      </c>
      <c r="L21">
        <v>71</v>
      </c>
      <c r="M21">
        <v>18.299999237060547</v>
      </c>
    </row>
    <row r="22" spans="1:13" x14ac:dyDescent="0.15">
      <c r="A22">
        <v>20.3</v>
      </c>
      <c r="B22">
        <v>107</v>
      </c>
      <c r="K22">
        <v>18.299999237060547</v>
      </c>
      <c r="L22">
        <v>75</v>
      </c>
      <c r="M22">
        <v>19.299999237060547</v>
      </c>
    </row>
    <row r="23" spans="1:13" x14ac:dyDescent="0.15">
      <c r="K23">
        <v>19.299999237060547</v>
      </c>
      <c r="L23">
        <v>88</v>
      </c>
      <c r="M23">
        <v>20.299999237060547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B2:I31"/>
  <sheetViews>
    <sheetView workbookViewId="0">
      <selection activeCell="D16" sqref="D16"/>
    </sheetView>
  </sheetViews>
  <sheetFormatPr defaultRowHeight="12" x14ac:dyDescent="0.15"/>
  <cols>
    <col min="1" max="16384" width="9" style="3"/>
  </cols>
  <sheetData>
    <row r="2" spans="2:9" x14ac:dyDescent="0.15">
      <c r="D2" s="4">
        <v>300</v>
      </c>
      <c r="E2" s="4">
        <v>350</v>
      </c>
      <c r="F2" s="4">
        <v>400</v>
      </c>
      <c r="G2" s="4">
        <v>450</v>
      </c>
      <c r="H2" s="4">
        <v>500</v>
      </c>
      <c r="I2" s="4">
        <v>600</v>
      </c>
    </row>
    <row r="3" spans="2:9" x14ac:dyDescent="0.15">
      <c r="B3" s="3">
        <v>0</v>
      </c>
    </row>
    <row r="4" spans="2:9" x14ac:dyDescent="0.15">
      <c r="B4" s="3">
        <v>1</v>
      </c>
      <c r="C4" s="111">
        <v>13</v>
      </c>
      <c r="D4" s="110">
        <f t="shared" ref="D4:D24" si="0">(C3*0.7+C4*0.8)/1.5</f>
        <v>6.9333333333333336</v>
      </c>
      <c r="E4" s="110">
        <f t="shared" ref="E4:E24" si="1">(C3*0.9+C4*0.85)/1.75</f>
        <v>6.3142857142857141</v>
      </c>
      <c r="F4" s="110">
        <f t="shared" ref="F4:F24" si="2">(C2*0.1+C3+C4*0.9)/2</f>
        <v>5.8500000000000005</v>
      </c>
      <c r="G4" s="110">
        <f t="shared" ref="G4:G24" si="3">(C2*0.3+C3+C4*0.95)/2.25</f>
        <v>5.4888888888888889</v>
      </c>
      <c r="H4" s="110">
        <f t="shared" ref="H4:H24" si="4">(C2*0.5+C3+C4)/2.5</f>
        <v>5.2</v>
      </c>
      <c r="I4" s="110">
        <f t="shared" ref="I4:I24" si="5">(C2*0.9+C3+C4+C5*0.1)/3</f>
        <v>4.6000000000000005</v>
      </c>
    </row>
    <row r="5" spans="2:9" x14ac:dyDescent="0.15">
      <c r="B5" s="3">
        <v>2</v>
      </c>
      <c r="C5" s="111">
        <v>8</v>
      </c>
      <c r="D5" s="110">
        <f t="shared" si="0"/>
        <v>10.333333333333334</v>
      </c>
      <c r="E5" s="110">
        <f t="shared" si="1"/>
        <v>10.571428571428571</v>
      </c>
      <c r="F5" s="110">
        <f t="shared" si="2"/>
        <v>10.1</v>
      </c>
      <c r="G5" s="110">
        <f t="shared" si="3"/>
        <v>9.1555555555555568</v>
      </c>
      <c r="H5" s="110">
        <f t="shared" si="4"/>
        <v>8.4</v>
      </c>
      <c r="I5" s="110">
        <f t="shared" si="5"/>
        <v>7.5666666666666664</v>
      </c>
    </row>
    <row r="6" spans="2:9" x14ac:dyDescent="0.15">
      <c r="B6" s="3">
        <v>3</v>
      </c>
      <c r="C6" s="111">
        <v>17</v>
      </c>
      <c r="D6" s="110">
        <f t="shared" si="0"/>
        <v>12.800000000000002</v>
      </c>
      <c r="E6" s="110">
        <f t="shared" si="1"/>
        <v>12.37142857142857</v>
      </c>
      <c r="F6" s="110">
        <f t="shared" si="2"/>
        <v>12.3</v>
      </c>
      <c r="G6" s="110">
        <f t="shared" si="3"/>
        <v>12.466666666666665</v>
      </c>
      <c r="H6" s="110">
        <f t="shared" si="4"/>
        <v>12.6</v>
      </c>
      <c r="I6" s="110">
        <f t="shared" si="5"/>
        <v>12.733333333333334</v>
      </c>
    </row>
    <row r="7" spans="2:9" x14ac:dyDescent="0.15">
      <c r="B7" s="3">
        <v>4</v>
      </c>
      <c r="C7" s="111">
        <v>15</v>
      </c>
      <c r="D7" s="110">
        <f t="shared" si="0"/>
        <v>15.933333333333332</v>
      </c>
      <c r="E7" s="110">
        <f t="shared" si="1"/>
        <v>16.028571428571428</v>
      </c>
      <c r="F7" s="110">
        <f t="shared" si="2"/>
        <v>15.65</v>
      </c>
      <c r="G7" s="110">
        <f t="shared" si="3"/>
        <v>14.955555555555556</v>
      </c>
      <c r="H7" s="110">
        <f t="shared" si="4"/>
        <v>14.4</v>
      </c>
      <c r="I7" s="110">
        <f t="shared" si="5"/>
        <v>13.533333333333333</v>
      </c>
    </row>
    <row r="8" spans="2:9" x14ac:dyDescent="0.15">
      <c r="B8" s="3">
        <v>5</v>
      </c>
      <c r="C8" s="111">
        <v>14</v>
      </c>
      <c r="D8" s="110">
        <f t="shared" si="0"/>
        <v>14.466666666666669</v>
      </c>
      <c r="E8" s="110">
        <f t="shared" si="1"/>
        <v>14.514285714285714</v>
      </c>
      <c r="F8" s="110">
        <f t="shared" si="2"/>
        <v>14.649999999999999</v>
      </c>
      <c r="G8" s="110">
        <f t="shared" si="3"/>
        <v>14.844444444444443</v>
      </c>
      <c r="H8" s="110">
        <f t="shared" si="4"/>
        <v>15</v>
      </c>
      <c r="I8" s="110">
        <f t="shared" si="5"/>
        <v>15.366666666666665</v>
      </c>
    </row>
    <row r="9" spans="2:9" x14ac:dyDescent="0.15">
      <c r="B9" s="3">
        <v>6</v>
      </c>
      <c r="C9" s="111">
        <v>18</v>
      </c>
      <c r="D9" s="110">
        <f t="shared" si="0"/>
        <v>16.133333333333333</v>
      </c>
      <c r="E9" s="110">
        <f t="shared" si="1"/>
        <v>15.942857142857141</v>
      </c>
      <c r="F9" s="110">
        <f t="shared" si="2"/>
        <v>15.85</v>
      </c>
      <c r="G9" s="110">
        <f t="shared" si="3"/>
        <v>15.822222222222219</v>
      </c>
      <c r="H9" s="110">
        <f t="shared" si="4"/>
        <v>15.8</v>
      </c>
      <c r="I9" s="110">
        <f t="shared" si="5"/>
        <v>15.6</v>
      </c>
    </row>
    <row r="10" spans="2:9" x14ac:dyDescent="0.15">
      <c r="B10" s="3">
        <v>7</v>
      </c>
      <c r="C10" s="111">
        <v>13</v>
      </c>
      <c r="D10" s="110">
        <f t="shared" si="0"/>
        <v>15.333333333333334</v>
      </c>
      <c r="E10" s="110">
        <f t="shared" si="1"/>
        <v>15.571428571428571</v>
      </c>
      <c r="F10" s="110">
        <f t="shared" si="2"/>
        <v>15.55</v>
      </c>
      <c r="G10" s="110">
        <f t="shared" si="3"/>
        <v>15.355555555555554</v>
      </c>
      <c r="H10" s="110">
        <f t="shared" si="4"/>
        <v>15.2</v>
      </c>
      <c r="I10" s="110">
        <f t="shared" si="5"/>
        <v>15.100000000000001</v>
      </c>
    </row>
    <row r="11" spans="2:9" x14ac:dyDescent="0.15">
      <c r="B11" s="3">
        <v>8</v>
      </c>
      <c r="C11" s="111">
        <v>17</v>
      </c>
      <c r="D11" s="110">
        <f t="shared" si="0"/>
        <v>15.133333333333335</v>
      </c>
      <c r="E11" s="110">
        <f t="shared" si="1"/>
        <v>14.942857142857141</v>
      </c>
      <c r="F11" s="110">
        <f t="shared" si="2"/>
        <v>15.05</v>
      </c>
      <c r="G11" s="110">
        <f t="shared" si="3"/>
        <v>15.355555555555554</v>
      </c>
      <c r="H11" s="110">
        <f t="shared" si="4"/>
        <v>15.6</v>
      </c>
      <c r="I11" s="110">
        <f t="shared" si="5"/>
        <v>16.266666666666669</v>
      </c>
    </row>
    <row r="12" spans="2:9" x14ac:dyDescent="0.15">
      <c r="B12" s="3">
        <v>9</v>
      </c>
      <c r="C12" s="111">
        <v>26</v>
      </c>
      <c r="D12" s="110">
        <f t="shared" si="0"/>
        <v>21.8</v>
      </c>
      <c r="E12" s="110">
        <f t="shared" si="1"/>
        <v>21.37142857142857</v>
      </c>
      <c r="F12" s="110">
        <f t="shared" si="2"/>
        <v>20.85</v>
      </c>
      <c r="G12" s="110">
        <f t="shared" si="3"/>
        <v>20.266666666666666</v>
      </c>
      <c r="H12" s="110">
        <f t="shared" si="4"/>
        <v>19.8</v>
      </c>
      <c r="I12" s="110">
        <f t="shared" si="5"/>
        <v>19.166666666666668</v>
      </c>
    </row>
    <row r="13" spans="2:9" x14ac:dyDescent="0.15">
      <c r="B13" s="3">
        <v>10</v>
      </c>
      <c r="C13" s="111">
        <v>28</v>
      </c>
      <c r="D13" s="110">
        <f t="shared" si="0"/>
        <v>27.066666666666666</v>
      </c>
      <c r="E13" s="110">
        <f t="shared" si="1"/>
        <v>26.971428571428572</v>
      </c>
      <c r="F13" s="110">
        <f t="shared" si="2"/>
        <v>26.45</v>
      </c>
      <c r="G13" s="110">
        <f t="shared" si="3"/>
        <v>25.644444444444446</v>
      </c>
      <c r="H13" s="110">
        <f t="shared" si="4"/>
        <v>25</v>
      </c>
      <c r="I13" s="110">
        <f t="shared" si="5"/>
        <v>24.833333333333332</v>
      </c>
    </row>
    <row r="14" spans="2:9" x14ac:dyDescent="0.15">
      <c r="B14" s="3">
        <v>11</v>
      </c>
      <c r="C14" s="111">
        <v>52</v>
      </c>
      <c r="D14" s="110">
        <f t="shared" si="0"/>
        <v>40.800000000000004</v>
      </c>
      <c r="E14" s="110">
        <f t="shared" si="1"/>
        <v>39.657142857142851</v>
      </c>
      <c r="F14" s="110">
        <f t="shared" si="2"/>
        <v>38.700000000000003</v>
      </c>
      <c r="G14" s="110">
        <f t="shared" si="3"/>
        <v>37.86666666666666</v>
      </c>
      <c r="H14" s="110">
        <f t="shared" si="4"/>
        <v>37.200000000000003</v>
      </c>
      <c r="I14" s="110">
        <f t="shared" si="5"/>
        <v>36.466666666666669</v>
      </c>
    </row>
    <row r="15" spans="2:9" x14ac:dyDescent="0.15">
      <c r="B15" s="3">
        <v>12</v>
      </c>
      <c r="C15" s="111">
        <v>60</v>
      </c>
      <c r="D15" s="110">
        <f>(C14*0.7+C15*0.8)/1.5</f>
        <v>56.266666666666673</v>
      </c>
      <c r="E15" s="110">
        <f t="shared" si="1"/>
        <v>55.885714285714293</v>
      </c>
      <c r="F15" s="110">
        <f t="shared" si="2"/>
        <v>54.4</v>
      </c>
      <c r="G15" s="110">
        <f t="shared" si="3"/>
        <v>52.177777777777777</v>
      </c>
      <c r="H15" s="110">
        <f t="shared" si="4"/>
        <v>50.4</v>
      </c>
      <c r="I15" s="110">
        <f t="shared" si="5"/>
        <v>47.733333333333327</v>
      </c>
    </row>
    <row r="16" spans="2:9" x14ac:dyDescent="0.15">
      <c r="B16" s="3">
        <v>13</v>
      </c>
      <c r="C16" s="111">
        <v>60</v>
      </c>
      <c r="D16" s="110">
        <f t="shared" si="0"/>
        <v>60</v>
      </c>
      <c r="E16" s="110">
        <f t="shared" si="1"/>
        <v>60</v>
      </c>
      <c r="F16" s="110">
        <f t="shared" si="2"/>
        <v>59.6</v>
      </c>
      <c r="G16" s="110">
        <f t="shared" si="3"/>
        <v>58.93333333333333</v>
      </c>
      <c r="H16" s="110">
        <f t="shared" si="4"/>
        <v>58.4</v>
      </c>
      <c r="I16" s="110">
        <f t="shared" si="5"/>
        <v>57.6</v>
      </c>
    </row>
    <row r="17" spans="2:9" x14ac:dyDescent="0.15">
      <c r="B17" s="3">
        <v>14</v>
      </c>
      <c r="C17" s="111">
        <v>60</v>
      </c>
      <c r="D17" s="110">
        <f t="shared" si="0"/>
        <v>60</v>
      </c>
      <c r="E17" s="110">
        <f t="shared" si="1"/>
        <v>60</v>
      </c>
      <c r="F17" s="110">
        <f t="shared" si="2"/>
        <v>60</v>
      </c>
      <c r="G17" s="110">
        <f t="shared" si="3"/>
        <v>60</v>
      </c>
      <c r="H17" s="110">
        <f t="shared" si="4"/>
        <v>60</v>
      </c>
      <c r="I17" s="110">
        <f t="shared" si="5"/>
        <v>60</v>
      </c>
    </row>
    <row r="18" spans="2:9" x14ac:dyDescent="0.15">
      <c r="B18" s="3">
        <v>15</v>
      </c>
      <c r="C18" s="111">
        <v>60</v>
      </c>
      <c r="D18" s="110">
        <f t="shared" si="0"/>
        <v>60</v>
      </c>
      <c r="E18" s="110">
        <f t="shared" si="1"/>
        <v>60</v>
      </c>
      <c r="F18" s="110">
        <f t="shared" si="2"/>
        <v>60</v>
      </c>
      <c r="G18" s="110">
        <f t="shared" si="3"/>
        <v>60</v>
      </c>
      <c r="H18" s="110">
        <f t="shared" si="4"/>
        <v>60</v>
      </c>
      <c r="I18" s="110">
        <f t="shared" si="5"/>
        <v>60</v>
      </c>
    </row>
    <row r="19" spans="2:9" x14ac:dyDescent="0.15">
      <c r="B19" s="3">
        <v>16</v>
      </c>
      <c r="C19" s="111">
        <v>60</v>
      </c>
      <c r="D19" s="110">
        <f t="shared" si="0"/>
        <v>60</v>
      </c>
      <c r="E19" s="110">
        <f t="shared" si="1"/>
        <v>60</v>
      </c>
      <c r="F19" s="110">
        <f t="shared" si="2"/>
        <v>60</v>
      </c>
      <c r="G19" s="110">
        <f t="shared" si="3"/>
        <v>60</v>
      </c>
      <c r="H19" s="110">
        <f t="shared" si="4"/>
        <v>60</v>
      </c>
      <c r="I19" s="110">
        <f t="shared" si="5"/>
        <v>60</v>
      </c>
    </row>
    <row r="20" spans="2:9" x14ac:dyDescent="0.15">
      <c r="B20" s="3">
        <v>17</v>
      </c>
      <c r="C20" s="111">
        <v>60</v>
      </c>
      <c r="D20" s="110">
        <f>(C19*0.7+C20*0.8)/1.5</f>
        <v>60</v>
      </c>
      <c r="E20" s="110">
        <f t="shared" si="1"/>
        <v>60</v>
      </c>
      <c r="F20" s="110">
        <f>(C18*0.1+C19+C20*0.9)/2</f>
        <v>60</v>
      </c>
      <c r="G20" s="110">
        <f t="shared" si="3"/>
        <v>60</v>
      </c>
      <c r="H20" s="110">
        <f t="shared" si="4"/>
        <v>60</v>
      </c>
      <c r="I20" s="110">
        <f>(C18*0.9+C19+C20+C21*0.1)/3</f>
        <v>60</v>
      </c>
    </row>
    <row r="21" spans="2:9" x14ac:dyDescent="0.15">
      <c r="B21" s="3">
        <v>18</v>
      </c>
      <c r="C21" s="111">
        <v>60</v>
      </c>
      <c r="D21" s="110">
        <f t="shared" si="0"/>
        <v>60</v>
      </c>
      <c r="E21" s="110">
        <f t="shared" si="1"/>
        <v>60</v>
      </c>
      <c r="F21" s="110">
        <f>(C19*0.1+C20+C21*0.9)/2</f>
        <v>60</v>
      </c>
      <c r="G21" s="110">
        <f t="shared" si="3"/>
        <v>60</v>
      </c>
      <c r="H21" s="110">
        <f t="shared" si="4"/>
        <v>60</v>
      </c>
      <c r="I21" s="110">
        <f t="shared" si="5"/>
        <v>60</v>
      </c>
    </row>
    <row r="22" spans="2:9" x14ac:dyDescent="0.15">
      <c r="B22" s="3">
        <v>19</v>
      </c>
      <c r="C22" s="111">
        <v>60</v>
      </c>
      <c r="D22" s="110">
        <f t="shared" si="0"/>
        <v>60</v>
      </c>
      <c r="E22" s="110">
        <f t="shared" si="1"/>
        <v>60</v>
      </c>
      <c r="F22" s="110">
        <f t="shared" si="2"/>
        <v>60</v>
      </c>
      <c r="G22" s="110">
        <f t="shared" si="3"/>
        <v>60</v>
      </c>
      <c r="H22" s="110">
        <f t="shared" si="4"/>
        <v>60</v>
      </c>
      <c r="I22" s="110">
        <f t="shared" si="5"/>
        <v>60</v>
      </c>
    </row>
    <row r="23" spans="2:9" x14ac:dyDescent="0.15">
      <c r="B23" s="3">
        <v>20</v>
      </c>
      <c r="C23" s="111">
        <v>60</v>
      </c>
      <c r="D23" s="110">
        <f t="shared" si="0"/>
        <v>60</v>
      </c>
      <c r="E23" s="110">
        <f t="shared" si="1"/>
        <v>60</v>
      </c>
      <c r="F23" s="110">
        <f t="shared" si="2"/>
        <v>60</v>
      </c>
      <c r="G23" s="110">
        <f t="shared" si="3"/>
        <v>60</v>
      </c>
      <c r="H23" s="110">
        <f t="shared" si="4"/>
        <v>60</v>
      </c>
      <c r="I23" s="110">
        <f t="shared" si="5"/>
        <v>60</v>
      </c>
    </row>
    <row r="24" spans="2:9" x14ac:dyDescent="0.15">
      <c r="B24" s="3">
        <v>21</v>
      </c>
      <c r="C24" s="111">
        <v>60</v>
      </c>
      <c r="D24" s="110">
        <f t="shared" si="0"/>
        <v>60</v>
      </c>
      <c r="E24" s="110">
        <f t="shared" si="1"/>
        <v>60</v>
      </c>
      <c r="F24" s="110">
        <f t="shared" si="2"/>
        <v>60</v>
      </c>
      <c r="G24" s="110">
        <f t="shared" si="3"/>
        <v>60</v>
      </c>
      <c r="H24" s="110">
        <f t="shared" si="4"/>
        <v>60</v>
      </c>
      <c r="I24" s="110">
        <f t="shared" si="5"/>
        <v>60</v>
      </c>
    </row>
    <row r="25" spans="2:9" x14ac:dyDescent="0.15">
      <c r="B25" s="3">
        <v>22</v>
      </c>
      <c r="C25" s="111">
        <v>60</v>
      </c>
      <c r="D25" s="110">
        <f t="shared" ref="D25:D31" si="6">(C24*0.7+C25*0.8)/1.5</f>
        <v>60</v>
      </c>
      <c r="E25" s="110">
        <f t="shared" ref="E25:E31" si="7">(C24*0.9+C25*0.85)/1.75</f>
        <v>60</v>
      </c>
      <c r="F25" s="110">
        <f t="shared" ref="F25:F31" si="8">(C23*0.1+C24+C25*0.9)/2</f>
        <v>60</v>
      </c>
      <c r="G25" s="110">
        <f t="shared" ref="G25:G31" si="9">(C23*0.3+C24+C25*0.95)/2.25</f>
        <v>60</v>
      </c>
      <c r="H25" s="110">
        <f t="shared" ref="H25:H31" si="10">(C23*0.5+C24+C25)/2.5</f>
        <v>60</v>
      </c>
      <c r="I25" s="110">
        <f t="shared" ref="I25:I31" si="11">(C23*0.9+C24+C25+C26*0.1)/3</f>
        <v>60</v>
      </c>
    </row>
    <row r="26" spans="2:9" x14ac:dyDescent="0.15">
      <c r="B26" s="3">
        <v>23</v>
      </c>
      <c r="C26" s="111">
        <v>60</v>
      </c>
      <c r="D26" s="110">
        <f t="shared" si="6"/>
        <v>60</v>
      </c>
      <c r="E26" s="110">
        <f t="shared" si="7"/>
        <v>60</v>
      </c>
      <c r="F26" s="110">
        <f t="shared" si="8"/>
        <v>60</v>
      </c>
      <c r="G26" s="110">
        <f t="shared" si="9"/>
        <v>60</v>
      </c>
      <c r="H26" s="110">
        <f t="shared" si="10"/>
        <v>60</v>
      </c>
      <c r="I26" s="110">
        <f t="shared" si="11"/>
        <v>60</v>
      </c>
    </row>
    <row r="27" spans="2:9" x14ac:dyDescent="0.15">
      <c r="B27" s="3">
        <v>24</v>
      </c>
      <c r="C27" s="111">
        <v>60</v>
      </c>
      <c r="D27" s="110">
        <f t="shared" si="6"/>
        <v>60</v>
      </c>
      <c r="E27" s="110">
        <f t="shared" si="7"/>
        <v>60</v>
      </c>
      <c r="F27" s="110">
        <f t="shared" si="8"/>
        <v>60</v>
      </c>
      <c r="G27" s="110">
        <f t="shared" si="9"/>
        <v>60</v>
      </c>
      <c r="H27" s="110">
        <f t="shared" si="10"/>
        <v>60</v>
      </c>
      <c r="I27" s="110">
        <f t="shared" si="11"/>
        <v>60</v>
      </c>
    </row>
    <row r="28" spans="2:9" x14ac:dyDescent="0.15">
      <c r="B28" s="3">
        <v>25</v>
      </c>
      <c r="C28" s="111">
        <v>60</v>
      </c>
      <c r="D28" s="110">
        <f t="shared" si="6"/>
        <v>60</v>
      </c>
      <c r="E28" s="110">
        <f t="shared" si="7"/>
        <v>60</v>
      </c>
      <c r="F28" s="110">
        <f t="shared" si="8"/>
        <v>60</v>
      </c>
      <c r="G28" s="110">
        <f t="shared" si="9"/>
        <v>60</v>
      </c>
      <c r="H28" s="110">
        <f t="shared" si="10"/>
        <v>60</v>
      </c>
      <c r="I28" s="110">
        <f t="shared" si="11"/>
        <v>58</v>
      </c>
    </row>
    <row r="29" spans="2:9" x14ac:dyDescent="0.15">
      <c r="D29" s="110">
        <f t="shared" si="6"/>
        <v>28</v>
      </c>
      <c r="E29" s="110">
        <f t="shared" si="7"/>
        <v>30.857142857142858</v>
      </c>
      <c r="F29" s="110">
        <f t="shared" si="8"/>
        <v>33</v>
      </c>
      <c r="G29" s="110">
        <f t="shared" si="9"/>
        <v>34.666666666666664</v>
      </c>
      <c r="H29" s="110">
        <f t="shared" si="10"/>
        <v>36</v>
      </c>
      <c r="I29" s="110">
        <f t="shared" si="11"/>
        <v>38</v>
      </c>
    </row>
    <row r="30" spans="2:9" x14ac:dyDescent="0.15">
      <c r="D30" s="110">
        <f t="shared" si="6"/>
        <v>0</v>
      </c>
      <c r="E30" s="110">
        <f t="shared" si="7"/>
        <v>0</v>
      </c>
      <c r="F30" s="110">
        <f t="shared" si="8"/>
        <v>3</v>
      </c>
      <c r="G30" s="110">
        <f t="shared" si="9"/>
        <v>8</v>
      </c>
      <c r="H30" s="110">
        <f t="shared" si="10"/>
        <v>12</v>
      </c>
      <c r="I30" s="110">
        <f t="shared" si="11"/>
        <v>18</v>
      </c>
    </row>
    <row r="31" spans="2:9" x14ac:dyDescent="0.15">
      <c r="D31" s="110">
        <f t="shared" si="6"/>
        <v>0</v>
      </c>
      <c r="E31" s="110">
        <f t="shared" si="7"/>
        <v>0</v>
      </c>
      <c r="F31" s="110">
        <f t="shared" si="8"/>
        <v>0</v>
      </c>
      <c r="G31" s="110">
        <f t="shared" si="9"/>
        <v>0</v>
      </c>
      <c r="H31" s="110">
        <f t="shared" si="10"/>
        <v>0</v>
      </c>
      <c r="I31" s="110">
        <f t="shared" si="11"/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2:P163"/>
  <sheetViews>
    <sheetView workbookViewId="0">
      <selection activeCell="H14" sqref="H14"/>
    </sheetView>
  </sheetViews>
  <sheetFormatPr defaultRowHeight="13.5" x14ac:dyDescent="0.15"/>
  <cols>
    <col min="3" max="3" width="21.75" customWidth="1"/>
    <col min="4" max="4" width="9" style="107"/>
    <col min="5" max="5" width="9.25" style="107" bestFit="1" customWidth="1"/>
    <col min="7" max="8" width="9.25" bestFit="1" customWidth="1"/>
    <col min="12" max="13" width="4.75" customWidth="1"/>
    <col min="15" max="15" width="9" style="107"/>
    <col min="16" max="16" width="22.125" customWidth="1"/>
    <col min="20" max="20" width="9.25" bestFit="1" customWidth="1"/>
    <col min="21" max="21" width="9.75" customWidth="1"/>
    <col min="22" max="22" width="10.25" bestFit="1" customWidth="1"/>
    <col min="24" max="24" width="9.25" bestFit="1" customWidth="1"/>
  </cols>
  <sheetData>
    <row r="2" spans="1:16" x14ac:dyDescent="0.15">
      <c r="K2">
        <v>30107</v>
      </c>
      <c r="L2" s="230">
        <v>300</v>
      </c>
      <c r="M2" s="230" t="s">
        <v>348</v>
      </c>
      <c r="N2">
        <v>7</v>
      </c>
      <c r="O2" s="107">
        <v>41800</v>
      </c>
      <c r="P2" t="s">
        <v>351</v>
      </c>
    </row>
    <row r="3" spans="1:16" x14ac:dyDescent="0.15">
      <c r="A3">
        <v>40210</v>
      </c>
      <c r="B3" t="s">
        <v>329</v>
      </c>
      <c r="C3" t="str">
        <f>VLOOKUP(A3,$K$2:$P$163,6)</f>
        <v>PHC　B種 φ400　L=10ｍ</v>
      </c>
      <c r="D3" s="107">
        <f>VLOOKUP(A3,$K$2:$O$163,5)</f>
        <v>108600</v>
      </c>
      <c r="E3" s="107">
        <f>D3*0.45</f>
        <v>48870</v>
      </c>
      <c r="G3" s="107">
        <f>D3*48</f>
        <v>5212800</v>
      </c>
      <c r="H3" s="107">
        <f>E3*48</f>
        <v>2345760</v>
      </c>
      <c r="K3">
        <v>30108</v>
      </c>
      <c r="L3" s="230"/>
      <c r="M3" s="230"/>
      <c r="N3">
        <v>8</v>
      </c>
      <c r="O3" s="107">
        <v>46600</v>
      </c>
      <c r="P3" t="s">
        <v>352</v>
      </c>
    </row>
    <row r="4" spans="1:16" x14ac:dyDescent="0.15">
      <c r="B4" t="str">
        <f>IF(A4="","","中杭")</f>
        <v/>
      </c>
      <c r="C4" t="str">
        <f>IF(A4="","",VLOOKUP(A4,$K$2:$P$163,6))</f>
        <v/>
      </c>
      <c r="D4" s="107" t="str">
        <f>IF(A4="","",VLOOKUP(A4,$K$2:$O$163,5))</f>
        <v/>
      </c>
      <c r="E4" s="107" t="str">
        <f>IF(A4="","",D4*0.45)</f>
        <v/>
      </c>
      <c r="G4" s="107"/>
      <c r="H4" s="107"/>
      <c r="K4">
        <v>30109</v>
      </c>
      <c r="L4" s="230"/>
      <c r="M4" s="230"/>
      <c r="N4">
        <v>9</v>
      </c>
      <c r="O4" s="107">
        <v>51400</v>
      </c>
      <c r="P4" t="s">
        <v>353</v>
      </c>
    </row>
    <row r="5" spans="1:16" x14ac:dyDescent="0.15">
      <c r="A5">
        <v>40110</v>
      </c>
      <c r="B5" t="s">
        <v>330</v>
      </c>
      <c r="C5" t="str">
        <f>VLOOKUP(A5,$K$2:$P$163,6)</f>
        <v>PHC　A種 φ400　L=10ｍ</v>
      </c>
      <c r="D5" s="107">
        <f>VLOOKUP(A5,$K$2:$O$163,5)</f>
        <v>83700</v>
      </c>
      <c r="E5" s="107">
        <f>D5*0.45</f>
        <v>37665</v>
      </c>
      <c r="G5" s="107">
        <f>D5*48</f>
        <v>4017600</v>
      </c>
      <c r="H5" s="107">
        <f>E5*48</f>
        <v>1807920</v>
      </c>
      <c r="K5">
        <v>30110</v>
      </c>
      <c r="L5" s="230"/>
      <c r="M5" s="230"/>
      <c r="N5">
        <v>10</v>
      </c>
      <c r="O5" s="107">
        <v>56200</v>
      </c>
      <c r="P5" t="s">
        <v>354</v>
      </c>
    </row>
    <row r="6" spans="1:16" x14ac:dyDescent="0.15">
      <c r="D6" s="107">
        <f>SUM(D3:D5)</f>
        <v>192300</v>
      </c>
      <c r="E6" s="107">
        <f>SUM(E3:E5)</f>
        <v>86535</v>
      </c>
      <c r="F6">
        <v>40</v>
      </c>
      <c r="G6" s="107">
        <f>D6*F6</f>
        <v>7692000</v>
      </c>
      <c r="H6" s="107">
        <f>E6*F6</f>
        <v>3461400</v>
      </c>
      <c r="K6">
        <v>30111</v>
      </c>
      <c r="L6" s="230"/>
      <c r="M6" s="230"/>
      <c r="N6">
        <v>11</v>
      </c>
      <c r="O6" s="107">
        <v>61000</v>
      </c>
      <c r="P6" t="s">
        <v>355</v>
      </c>
    </row>
    <row r="7" spans="1:16" x14ac:dyDescent="0.15">
      <c r="H7" s="107"/>
      <c r="K7">
        <v>30112</v>
      </c>
      <c r="L7" s="230"/>
      <c r="M7" s="230"/>
      <c r="N7">
        <v>12</v>
      </c>
      <c r="O7" s="107">
        <v>65800</v>
      </c>
      <c r="P7" t="s">
        <v>356</v>
      </c>
    </row>
    <row r="8" spans="1:16" x14ac:dyDescent="0.15">
      <c r="A8">
        <v>35210</v>
      </c>
      <c r="B8" t="s">
        <v>329</v>
      </c>
      <c r="C8" t="str">
        <f>VLOOKUP(A8,$K$2:$P$163,6)</f>
        <v>PHC　B種 φ350　L=10ｍ</v>
      </c>
      <c r="D8" s="107">
        <f>VLOOKUP(A8,$K$2:$O$163,5)</f>
        <v>85900</v>
      </c>
      <c r="E8" s="107">
        <f>D8*0.45</f>
        <v>38655</v>
      </c>
      <c r="F8" s="107"/>
      <c r="H8" s="107"/>
      <c r="K8">
        <v>30113</v>
      </c>
      <c r="L8" s="230"/>
      <c r="M8" s="230"/>
      <c r="N8">
        <v>13</v>
      </c>
      <c r="O8" s="107">
        <v>70600</v>
      </c>
      <c r="P8" t="s">
        <v>357</v>
      </c>
    </row>
    <row r="9" spans="1:16" x14ac:dyDescent="0.15">
      <c r="B9" t="str">
        <f>IF(A9="","","中杭")</f>
        <v/>
      </c>
      <c r="C9" t="str">
        <f>IF(A9="","",VLOOKUP(A9,$K$2:$P$163,6))</f>
        <v/>
      </c>
      <c r="D9" s="107" t="str">
        <f>IF(A9="","",VLOOKUP(A9,$K$2:$O$163,5))</f>
        <v/>
      </c>
      <c r="E9" s="107" t="str">
        <f>IF(A9="","",D9*0.45)</f>
        <v/>
      </c>
      <c r="H9" s="107"/>
      <c r="K9">
        <v>30114</v>
      </c>
      <c r="L9" s="230"/>
      <c r="M9" s="230"/>
      <c r="N9">
        <v>14</v>
      </c>
    </row>
    <row r="10" spans="1:16" x14ac:dyDescent="0.15">
      <c r="A10">
        <v>35110</v>
      </c>
      <c r="B10" t="s">
        <v>330</v>
      </c>
      <c r="C10" t="str">
        <f>VLOOKUP(A10,$K$2:$P$163,6)</f>
        <v>PHC　A種 φ350　L=10ｍ</v>
      </c>
      <c r="D10" s="107">
        <f>VLOOKUP(A10,$K$2:$O$163,5)</f>
        <v>67200</v>
      </c>
      <c r="E10" s="107">
        <f>D10*0.45</f>
        <v>30240</v>
      </c>
      <c r="F10" s="107"/>
      <c r="H10" s="107"/>
      <c r="K10">
        <v>30115</v>
      </c>
      <c r="L10" s="230"/>
      <c r="M10" s="230"/>
      <c r="N10">
        <v>15</v>
      </c>
    </row>
    <row r="11" spans="1:16" x14ac:dyDescent="0.15">
      <c r="D11" s="107">
        <f>SUM(D8:D10)</f>
        <v>153100</v>
      </c>
      <c r="E11" s="107">
        <f>SUM(E8:E10)</f>
        <v>68895</v>
      </c>
      <c r="F11" s="107">
        <v>46</v>
      </c>
      <c r="G11">
        <f>D11*F11</f>
        <v>7042600</v>
      </c>
      <c r="H11" s="107">
        <f>E11*F11</f>
        <v>3169170</v>
      </c>
      <c r="K11">
        <v>30207</v>
      </c>
      <c r="L11" s="230"/>
      <c r="M11" s="230" t="s">
        <v>349</v>
      </c>
      <c r="N11">
        <v>7</v>
      </c>
      <c r="O11" s="107">
        <v>55500</v>
      </c>
      <c r="P11" t="s">
        <v>358</v>
      </c>
    </row>
    <row r="12" spans="1:16" x14ac:dyDescent="0.15">
      <c r="H12" s="107"/>
      <c r="K12">
        <v>30208</v>
      </c>
      <c r="L12" s="230"/>
      <c r="M12" s="230"/>
      <c r="N12">
        <v>8</v>
      </c>
      <c r="O12" s="107">
        <v>60700</v>
      </c>
      <c r="P12" t="s">
        <v>359</v>
      </c>
    </row>
    <row r="13" spans="1:16" x14ac:dyDescent="0.15">
      <c r="A13">
        <v>30210</v>
      </c>
      <c r="B13" t="s">
        <v>329</v>
      </c>
      <c r="C13" t="str">
        <f>VLOOKUP(A13,$K$2:$P$163,6)</f>
        <v>PHC　B種 φ300　L=10ｍ</v>
      </c>
      <c r="D13" s="107">
        <f>VLOOKUP(A13,$K$2:$O$163,5)</f>
        <v>71100</v>
      </c>
      <c r="E13" s="107">
        <f>D13*0.45</f>
        <v>31995</v>
      </c>
      <c r="F13" s="107"/>
      <c r="H13" s="107"/>
      <c r="K13">
        <v>30209</v>
      </c>
      <c r="L13" s="230"/>
      <c r="M13" s="230"/>
      <c r="N13">
        <v>9</v>
      </c>
      <c r="O13" s="107">
        <v>65900</v>
      </c>
      <c r="P13" t="s">
        <v>360</v>
      </c>
    </row>
    <row r="14" spans="1:16" x14ac:dyDescent="0.15">
      <c r="B14" t="str">
        <f>IF(A14="","","中杭")</f>
        <v/>
      </c>
      <c r="C14" t="str">
        <f>IF(A14="","",VLOOKUP(A14,$K$2:$P$163,6))</f>
        <v/>
      </c>
      <c r="D14" s="107" t="str">
        <f>IF(A14="","",VLOOKUP(A14,$K$2:$O$163,5))</f>
        <v/>
      </c>
      <c r="E14" s="107" t="str">
        <f>IF(A14="","",D14*0.45)</f>
        <v/>
      </c>
      <c r="H14" s="107"/>
      <c r="K14">
        <v>30210</v>
      </c>
      <c r="L14" s="230"/>
      <c r="M14" s="230"/>
      <c r="N14">
        <v>10</v>
      </c>
      <c r="O14" s="107">
        <v>71100</v>
      </c>
      <c r="P14" t="s">
        <v>361</v>
      </c>
    </row>
    <row r="15" spans="1:16" x14ac:dyDescent="0.15">
      <c r="A15">
        <v>30110</v>
      </c>
      <c r="B15" t="s">
        <v>330</v>
      </c>
      <c r="C15" t="str">
        <f>VLOOKUP(A15,$K$2:$P$163,6)</f>
        <v>PHC　A種 φ300　L=10ｍ</v>
      </c>
      <c r="D15" s="107">
        <f>VLOOKUP(A15,$K$2:$O$163,5)</f>
        <v>56200</v>
      </c>
      <c r="E15" s="107">
        <f>D15*0.45</f>
        <v>25290</v>
      </c>
      <c r="F15" s="107"/>
      <c r="H15" s="107"/>
      <c r="K15">
        <v>30211</v>
      </c>
      <c r="L15" s="230"/>
      <c r="M15" s="230"/>
      <c r="N15">
        <v>11</v>
      </c>
      <c r="O15" s="107">
        <v>76300</v>
      </c>
      <c r="P15" t="s">
        <v>362</v>
      </c>
    </row>
    <row r="16" spans="1:16" x14ac:dyDescent="0.15">
      <c r="D16" s="107">
        <f>SUM(D13:D15)</f>
        <v>127300</v>
      </c>
      <c r="E16" s="107">
        <f>SUM(E13:E15)</f>
        <v>57285</v>
      </c>
      <c r="F16" s="107">
        <v>56</v>
      </c>
      <c r="G16">
        <f>D16*F16</f>
        <v>7128800</v>
      </c>
      <c r="H16" s="107">
        <f>E16*F16</f>
        <v>3207960</v>
      </c>
      <c r="K16">
        <v>30212</v>
      </c>
      <c r="L16" s="230"/>
      <c r="M16" s="230"/>
      <c r="N16">
        <v>12</v>
      </c>
      <c r="O16" s="107">
        <v>81500</v>
      </c>
      <c r="P16" t="s">
        <v>363</v>
      </c>
    </row>
    <row r="17" spans="6:16" x14ac:dyDescent="0.15">
      <c r="F17" s="107"/>
      <c r="K17">
        <v>30213</v>
      </c>
      <c r="L17" s="230"/>
      <c r="M17" s="230"/>
      <c r="N17">
        <v>13</v>
      </c>
      <c r="O17" s="107">
        <v>86700</v>
      </c>
      <c r="P17" t="s">
        <v>364</v>
      </c>
    </row>
    <row r="18" spans="6:16" x14ac:dyDescent="0.15">
      <c r="K18">
        <v>30214</v>
      </c>
      <c r="L18" s="230"/>
      <c r="M18" s="230"/>
      <c r="N18">
        <v>14</v>
      </c>
      <c r="O18" s="107">
        <v>91000</v>
      </c>
      <c r="P18" t="s">
        <v>365</v>
      </c>
    </row>
    <row r="19" spans="6:16" x14ac:dyDescent="0.15">
      <c r="K19">
        <v>30215</v>
      </c>
      <c r="L19" s="230"/>
      <c r="M19" s="230"/>
      <c r="N19">
        <v>15</v>
      </c>
      <c r="O19" s="107">
        <v>97100</v>
      </c>
      <c r="P19" t="s">
        <v>366</v>
      </c>
    </row>
    <row r="20" spans="6:16" x14ac:dyDescent="0.15">
      <c r="K20">
        <v>30307</v>
      </c>
      <c r="L20" s="230"/>
      <c r="M20" s="230" t="s">
        <v>350</v>
      </c>
      <c r="N20">
        <v>7</v>
      </c>
      <c r="O20" s="107">
        <v>61200</v>
      </c>
      <c r="P20" t="s">
        <v>367</v>
      </c>
    </row>
    <row r="21" spans="6:16" x14ac:dyDescent="0.15">
      <c r="K21">
        <v>30308</v>
      </c>
      <c r="L21" s="230"/>
      <c r="M21" s="230"/>
      <c r="N21">
        <v>8</v>
      </c>
      <c r="O21" s="107">
        <v>66700</v>
      </c>
      <c r="P21" t="s">
        <v>368</v>
      </c>
    </row>
    <row r="22" spans="6:16" x14ac:dyDescent="0.15">
      <c r="K22">
        <v>30309</v>
      </c>
      <c r="L22" s="230"/>
      <c r="M22" s="230"/>
      <c r="N22">
        <v>9</v>
      </c>
      <c r="O22" s="107">
        <v>72200</v>
      </c>
      <c r="P22" t="s">
        <v>369</v>
      </c>
    </row>
    <row r="23" spans="6:16" x14ac:dyDescent="0.15">
      <c r="F23" s="107"/>
      <c r="K23">
        <v>30310</v>
      </c>
      <c r="L23" s="230"/>
      <c r="M23" s="230"/>
      <c r="N23">
        <v>10</v>
      </c>
      <c r="O23" s="107">
        <v>77700</v>
      </c>
      <c r="P23" t="s">
        <v>370</v>
      </c>
    </row>
    <row r="24" spans="6:16" x14ac:dyDescent="0.15">
      <c r="F24" s="107"/>
      <c r="K24">
        <v>30311</v>
      </c>
      <c r="L24" s="230"/>
      <c r="M24" s="230"/>
      <c r="N24">
        <v>11</v>
      </c>
      <c r="O24" s="107">
        <v>83200</v>
      </c>
      <c r="P24" t="s">
        <v>371</v>
      </c>
    </row>
    <row r="25" spans="6:16" x14ac:dyDescent="0.15">
      <c r="F25" s="107"/>
      <c r="K25">
        <v>30312</v>
      </c>
      <c r="L25" s="230"/>
      <c r="M25" s="230"/>
      <c r="N25">
        <v>12</v>
      </c>
      <c r="O25" s="107">
        <v>88700</v>
      </c>
      <c r="P25" t="s">
        <v>372</v>
      </c>
    </row>
    <row r="26" spans="6:16" x14ac:dyDescent="0.15">
      <c r="K26">
        <v>30313</v>
      </c>
      <c r="L26" s="230"/>
      <c r="M26" s="230"/>
      <c r="N26">
        <v>13</v>
      </c>
      <c r="O26" s="107">
        <v>94200</v>
      </c>
      <c r="P26" t="s">
        <v>373</v>
      </c>
    </row>
    <row r="27" spans="6:16" x14ac:dyDescent="0.15">
      <c r="K27">
        <v>30314</v>
      </c>
      <c r="L27" s="230"/>
      <c r="M27" s="230"/>
      <c r="N27">
        <v>14</v>
      </c>
      <c r="O27" s="107">
        <v>99700</v>
      </c>
      <c r="P27" t="s">
        <v>374</v>
      </c>
    </row>
    <row r="28" spans="6:16" x14ac:dyDescent="0.15">
      <c r="F28" s="107"/>
      <c r="G28" s="107"/>
      <c r="K28">
        <v>30315</v>
      </c>
      <c r="L28" s="230"/>
      <c r="M28" s="230"/>
      <c r="N28">
        <v>15</v>
      </c>
      <c r="O28" s="107">
        <v>105200</v>
      </c>
      <c r="P28" t="s">
        <v>375</v>
      </c>
    </row>
    <row r="29" spans="6:16" x14ac:dyDescent="0.15">
      <c r="F29" s="107"/>
      <c r="G29" s="107"/>
      <c r="K29">
        <v>35107</v>
      </c>
      <c r="L29" s="230">
        <v>350</v>
      </c>
      <c r="M29" s="230" t="s">
        <v>348</v>
      </c>
      <c r="N29">
        <v>7</v>
      </c>
      <c r="O29" s="107">
        <v>51000</v>
      </c>
      <c r="P29" t="s">
        <v>376</v>
      </c>
    </row>
    <row r="30" spans="6:16" x14ac:dyDescent="0.15">
      <c r="F30" s="107"/>
      <c r="G30" s="108"/>
      <c r="K30">
        <v>35108</v>
      </c>
      <c r="L30" s="230"/>
      <c r="M30" s="230"/>
      <c r="N30">
        <v>8</v>
      </c>
      <c r="O30" s="107">
        <v>56400</v>
      </c>
      <c r="P30" t="s">
        <v>377</v>
      </c>
    </row>
    <row r="31" spans="6:16" x14ac:dyDescent="0.15">
      <c r="G31" s="107"/>
      <c r="K31">
        <v>35109</v>
      </c>
      <c r="L31" s="230"/>
      <c r="M31" s="230"/>
      <c r="N31">
        <v>9</v>
      </c>
      <c r="O31" s="107">
        <v>61800</v>
      </c>
      <c r="P31" t="s">
        <v>378</v>
      </c>
    </row>
    <row r="32" spans="6:16" x14ac:dyDescent="0.15">
      <c r="G32" s="108"/>
      <c r="I32" s="108"/>
      <c r="K32">
        <v>35110</v>
      </c>
      <c r="L32" s="230"/>
      <c r="M32" s="230"/>
      <c r="N32">
        <v>10</v>
      </c>
      <c r="O32" s="107">
        <v>67200</v>
      </c>
      <c r="P32" t="s">
        <v>379</v>
      </c>
    </row>
    <row r="33" spans="7:16" x14ac:dyDescent="0.15">
      <c r="K33">
        <v>35111</v>
      </c>
      <c r="L33" s="230"/>
      <c r="M33" s="230"/>
      <c r="N33">
        <v>11</v>
      </c>
      <c r="O33" s="107">
        <v>72600</v>
      </c>
      <c r="P33" t="s">
        <v>380</v>
      </c>
    </row>
    <row r="34" spans="7:16" x14ac:dyDescent="0.15">
      <c r="G34" s="108"/>
      <c r="H34" s="107"/>
      <c r="K34">
        <v>35112</v>
      </c>
      <c r="L34" s="230"/>
      <c r="M34" s="230"/>
      <c r="N34">
        <v>12</v>
      </c>
      <c r="O34" s="107">
        <v>78000</v>
      </c>
      <c r="P34" t="s">
        <v>381</v>
      </c>
    </row>
    <row r="35" spans="7:16" x14ac:dyDescent="0.15">
      <c r="K35">
        <v>35113</v>
      </c>
      <c r="L35" s="230"/>
      <c r="M35" s="230"/>
      <c r="N35">
        <v>13</v>
      </c>
      <c r="O35" s="107">
        <v>83400</v>
      </c>
      <c r="P35" t="s">
        <v>382</v>
      </c>
    </row>
    <row r="36" spans="7:16" x14ac:dyDescent="0.15">
      <c r="K36">
        <v>35114</v>
      </c>
      <c r="L36" s="230"/>
      <c r="M36" s="230"/>
      <c r="N36">
        <v>14</v>
      </c>
    </row>
    <row r="37" spans="7:16" x14ac:dyDescent="0.15">
      <c r="K37">
        <v>35115</v>
      </c>
      <c r="L37" s="230"/>
      <c r="M37" s="230"/>
      <c r="N37">
        <v>15</v>
      </c>
    </row>
    <row r="38" spans="7:16" x14ac:dyDescent="0.15">
      <c r="K38">
        <v>35207</v>
      </c>
      <c r="L38" s="230"/>
      <c r="M38" s="230" t="s">
        <v>349</v>
      </c>
      <c r="N38">
        <v>7</v>
      </c>
      <c r="O38" s="107">
        <v>66100</v>
      </c>
      <c r="P38" t="s">
        <v>383</v>
      </c>
    </row>
    <row r="39" spans="7:16" x14ac:dyDescent="0.15">
      <c r="K39">
        <v>35208</v>
      </c>
      <c r="L39" s="230"/>
      <c r="M39" s="230"/>
      <c r="N39">
        <v>8</v>
      </c>
      <c r="O39" s="107">
        <v>72700</v>
      </c>
      <c r="P39" t="s">
        <v>384</v>
      </c>
    </row>
    <row r="40" spans="7:16" x14ac:dyDescent="0.15">
      <c r="K40">
        <v>35209</v>
      </c>
      <c r="L40" s="230"/>
      <c r="M40" s="230"/>
      <c r="N40">
        <v>9</v>
      </c>
      <c r="O40" s="107">
        <v>79300</v>
      </c>
      <c r="P40" t="s">
        <v>385</v>
      </c>
    </row>
    <row r="41" spans="7:16" x14ac:dyDescent="0.15">
      <c r="K41">
        <v>35210</v>
      </c>
      <c r="L41" s="230"/>
      <c r="M41" s="230"/>
      <c r="N41">
        <v>10</v>
      </c>
      <c r="O41" s="107">
        <v>85900</v>
      </c>
      <c r="P41" t="s">
        <v>386</v>
      </c>
    </row>
    <row r="42" spans="7:16" x14ac:dyDescent="0.15">
      <c r="K42">
        <v>35211</v>
      </c>
      <c r="L42" s="230"/>
      <c r="M42" s="230"/>
      <c r="N42">
        <v>11</v>
      </c>
      <c r="O42" s="107">
        <v>92500</v>
      </c>
      <c r="P42" t="s">
        <v>387</v>
      </c>
    </row>
    <row r="43" spans="7:16" x14ac:dyDescent="0.15">
      <c r="K43">
        <v>35212</v>
      </c>
      <c r="L43" s="230"/>
      <c r="M43" s="230"/>
      <c r="N43">
        <v>12</v>
      </c>
      <c r="O43" s="107">
        <v>99100</v>
      </c>
      <c r="P43" t="s">
        <v>388</v>
      </c>
    </row>
    <row r="44" spans="7:16" x14ac:dyDescent="0.15">
      <c r="K44">
        <v>35213</v>
      </c>
      <c r="L44" s="230"/>
      <c r="M44" s="230"/>
      <c r="N44">
        <v>13</v>
      </c>
      <c r="O44" s="107">
        <v>105700</v>
      </c>
      <c r="P44" t="s">
        <v>389</v>
      </c>
    </row>
    <row r="45" spans="7:16" x14ac:dyDescent="0.15">
      <c r="K45">
        <v>35214</v>
      </c>
      <c r="L45" s="230"/>
      <c r="M45" s="230"/>
      <c r="N45">
        <v>14</v>
      </c>
      <c r="O45" s="107">
        <v>112300</v>
      </c>
      <c r="P45" t="s">
        <v>390</v>
      </c>
    </row>
    <row r="46" spans="7:16" x14ac:dyDescent="0.15">
      <c r="K46">
        <v>35215</v>
      </c>
      <c r="L46" s="230"/>
      <c r="M46" s="230"/>
      <c r="N46">
        <v>15</v>
      </c>
      <c r="O46" s="107">
        <v>116900</v>
      </c>
      <c r="P46" t="s">
        <v>391</v>
      </c>
    </row>
    <row r="47" spans="7:16" x14ac:dyDescent="0.15">
      <c r="K47">
        <v>35307</v>
      </c>
      <c r="L47" s="230"/>
      <c r="M47" s="230" t="s">
        <v>350</v>
      </c>
      <c r="N47">
        <v>7</v>
      </c>
      <c r="O47" s="107">
        <v>73300</v>
      </c>
      <c r="P47" t="s">
        <v>392</v>
      </c>
    </row>
    <row r="48" spans="7:16" x14ac:dyDescent="0.15">
      <c r="K48">
        <v>35308</v>
      </c>
      <c r="L48" s="230"/>
      <c r="M48" s="230"/>
      <c r="N48">
        <v>8</v>
      </c>
      <c r="O48" s="107">
        <v>80300</v>
      </c>
      <c r="P48" t="s">
        <v>393</v>
      </c>
    </row>
    <row r="49" spans="11:16" x14ac:dyDescent="0.15">
      <c r="K49">
        <v>35309</v>
      </c>
      <c r="L49" s="230"/>
      <c r="M49" s="230"/>
      <c r="N49">
        <v>9</v>
      </c>
      <c r="O49" s="107">
        <v>87300</v>
      </c>
      <c r="P49" t="s">
        <v>394</v>
      </c>
    </row>
    <row r="50" spans="11:16" x14ac:dyDescent="0.15">
      <c r="K50">
        <v>35310</v>
      </c>
      <c r="L50" s="230"/>
      <c r="M50" s="230"/>
      <c r="N50">
        <v>10</v>
      </c>
      <c r="O50" s="107">
        <v>94300</v>
      </c>
      <c r="P50" t="s">
        <v>395</v>
      </c>
    </row>
    <row r="51" spans="11:16" x14ac:dyDescent="0.15">
      <c r="K51">
        <v>35311</v>
      </c>
      <c r="L51" s="230"/>
      <c r="M51" s="230"/>
      <c r="N51">
        <v>11</v>
      </c>
      <c r="O51" s="107">
        <v>101300</v>
      </c>
      <c r="P51" t="s">
        <v>396</v>
      </c>
    </row>
    <row r="52" spans="11:16" x14ac:dyDescent="0.15">
      <c r="K52">
        <v>35312</v>
      </c>
      <c r="L52" s="230"/>
      <c r="M52" s="230"/>
      <c r="N52">
        <v>12</v>
      </c>
      <c r="O52" s="107">
        <v>108300</v>
      </c>
      <c r="P52" t="s">
        <v>397</v>
      </c>
    </row>
    <row r="53" spans="11:16" x14ac:dyDescent="0.15">
      <c r="K53">
        <v>35313</v>
      </c>
      <c r="L53" s="230"/>
      <c r="M53" s="230"/>
      <c r="N53">
        <v>13</v>
      </c>
      <c r="O53" s="107">
        <v>115300</v>
      </c>
      <c r="P53" t="s">
        <v>398</v>
      </c>
    </row>
    <row r="54" spans="11:16" x14ac:dyDescent="0.15">
      <c r="K54">
        <v>35314</v>
      </c>
      <c r="L54" s="230"/>
      <c r="M54" s="230"/>
      <c r="N54">
        <v>14</v>
      </c>
      <c r="O54" s="107">
        <v>122300</v>
      </c>
      <c r="P54" t="s">
        <v>399</v>
      </c>
    </row>
    <row r="55" spans="11:16" x14ac:dyDescent="0.15">
      <c r="K55">
        <v>35315</v>
      </c>
      <c r="L55" s="230"/>
      <c r="M55" s="230"/>
      <c r="N55">
        <v>15</v>
      </c>
      <c r="O55" s="107">
        <v>120300</v>
      </c>
      <c r="P55" t="s">
        <v>400</v>
      </c>
    </row>
    <row r="56" spans="11:16" x14ac:dyDescent="0.15">
      <c r="K56">
        <v>40107</v>
      </c>
      <c r="L56" s="230">
        <v>400</v>
      </c>
      <c r="M56" s="230" t="s">
        <v>348</v>
      </c>
      <c r="N56">
        <v>7</v>
      </c>
      <c r="O56" s="107">
        <v>63300</v>
      </c>
      <c r="P56" t="s">
        <v>401</v>
      </c>
    </row>
    <row r="57" spans="11:16" x14ac:dyDescent="0.15">
      <c r="K57">
        <v>40108</v>
      </c>
      <c r="L57" s="230"/>
      <c r="M57" s="230"/>
      <c r="N57">
        <v>8</v>
      </c>
      <c r="O57" s="107">
        <v>70100</v>
      </c>
      <c r="P57" t="s">
        <v>402</v>
      </c>
    </row>
    <row r="58" spans="11:16" x14ac:dyDescent="0.15">
      <c r="K58">
        <v>40109</v>
      </c>
      <c r="L58" s="230"/>
      <c r="M58" s="230"/>
      <c r="N58">
        <v>9</v>
      </c>
      <c r="O58" s="107">
        <v>76900</v>
      </c>
      <c r="P58" t="s">
        <v>403</v>
      </c>
    </row>
    <row r="59" spans="11:16" x14ac:dyDescent="0.15">
      <c r="K59">
        <v>40110</v>
      </c>
      <c r="L59" s="230"/>
      <c r="M59" s="230"/>
      <c r="N59">
        <v>10</v>
      </c>
      <c r="O59" s="107">
        <v>83700</v>
      </c>
      <c r="P59" t="s">
        <v>404</v>
      </c>
    </row>
    <row r="60" spans="11:16" x14ac:dyDescent="0.15">
      <c r="K60">
        <v>40111</v>
      </c>
      <c r="L60" s="230"/>
      <c r="M60" s="230"/>
      <c r="N60">
        <v>11</v>
      </c>
      <c r="O60" s="107">
        <v>90500</v>
      </c>
      <c r="P60" t="s">
        <v>405</v>
      </c>
    </row>
    <row r="61" spans="11:16" x14ac:dyDescent="0.15">
      <c r="K61">
        <v>40112</v>
      </c>
      <c r="L61" s="230"/>
      <c r="M61" s="230"/>
      <c r="N61">
        <v>12</v>
      </c>
      <c r="O61" s="107">
        <v>97300</v>
      </c>
      <c r="P61" t="s">
        <v>406</v>
      </c>
    </row>
    <row r="62" spans="11:16" x14ac:dyDescent="0.15">
      <c r="K62">
        <v>40113</v>
      </c>
      <c r="L62" s="230"/>
      <c r="M62" s="230"/>
      <c r="N62">
        <v>13</v>
      </c>
      <c r="O62" s="107">
        <v>104100</v>
      </c>
      <c r="P62" t="s">
        <v>407</v>
      </c>
    </row>
    <row r="63" spans="11:16" x14ac:dyDescent="0.15">
      <c r="K63">
        <v>40114</v>
      </c>
      <c r="L63" s="230"/>
      <c r="M63" s="230"/>
      <c r="N63">
        <v>14</v>
      </c>
      <c r="O63" s="107">
        <v>110900</v>
      </c>
      <c r="P63" t="s">
        <v>408</v>
      </c>
    </row>
    <row r="64" spans="11:16" x14ac:dyDescent="0.15">
      <c r="K64">
        <v>40115</v>
      </c>
      <c r="L64" s="230"/>
      <c r="M64" s="230"/>
      <c r="N64">
        <v>15</v>
      </c>
      <c r="O64" s="107">
        <v>117700</v>
      </c>
      <c r="P64" t="s">
        <v>409</v>
      </c>
    </row>
    <row r="65" spans="11:16" x14ac:dyDescent="0.15">
      <c r="K65">
        <v>40207</v>
      </c>
      <c r="L65" s="230"/>
      <c r="M65" s="230" t="s">
        <v>349</v>
      </c>
      <c r="N65">
        <v>7</v>
      </c>
      <c r="O65" s="107">
        <v>84600</v>
      </c>
      <c r="P65" t="s">
        <v>410</v>
      </c>
    </row>
    <row r="66" spans="11:16" x14ac:dyDescent="0.15">
      <c r="K66">
        <v>40208</v>
      </c>
      <c r="L66" s="230"/>
      <c r="M66" s="230"/>
      <c r="N66">
        <v>8</v>
      </c>
      <c r="O66" s="107">
        <v>92600</v>
      </c>
      <c r="P66" t="s">
        <v>411</v>
      </c>
    </row>
    <row r="67" spans="11:16" x14ac:dyDescent="0.15">
      <c r="K67">
        <v>40209</v>
      </c>
      <c r="L67" s="230"/>
      <c r="M67" s="230"/>
      <c r="N67">
        <v>9</v>
      </c>
      <c r="O67" s="107">
        <v>100600</v>
      </c>
      <c r="P67" t="s">
        <v>412</v>
      </c>
    </row>
    <row r="68" spans="11:16" x14ac:dyDescent="0.15">
      <c r="K68">
        <v>40210</v>
      </c>
      <c r="L68" s="230"/>
      <c r="M68" s="230"/>
      <c r="N68">
        <v>10</v>
      </c>
      <c r="O68" s="107">
        <v>108600</v>
      </c>
      <c r="P68" t="s">
        <v>413</v>
      </c>
    </row>
    <row r="69" spans="11:16" x14ac:dyDescent="0.15">
      <c r="K69">
        <v>40211</v>
      </c>
      <c r="L69" s="230"/>
      <c r="M69" s="230"/>
      <c r="N69">
        <v>11</v>
      </c>
      <c r="O69" s="107">
        <v>116600</v>
      </c>
      <c r="P69" t="s">
        <v>414</v>
      </c>
    </row>
    <row r="70" spans="11:16" x14ac:dyDescent="0.15">
      <c r="K70">
        <v>40212</v>
      </c>
      <c r="L70" s="230"/>
      <c r="M70" s="230"/>
      <c r="N70">
        <v>12</v>
      </c>
      <c r="O70" s="107">
        <v>124600</v>
      </c>
      <c r="P70" t="s">
        <v>415</v>
      </c>
    </row>
    <row r="71" spans="11:16" x14ac:dyDescent="0.15">
      <c r="K71">
        <v>40213</v>
      </c>
      <c r="L71" s="230"/>
      <c r="M71" s="230"/>
      <c r="N71">
        <v>13</v>
      </c>
      <c r="O71" s="107">
        <v>132600</v>
      </c>
      <c r="P71" t="s">
        <v>416</v>
      </c>
    </row>
    <row r="72" spans="11:16" x14ac:dyDescent="0.15">
      <c r="K72">
        <v>40214</v>
      </c>
      <c r="L72" s="230"/>
      <c r="M72" s="230"/>
      <c r="N72">
        <v>14</v>
      </c>
      <c r="O72" s="107">
        <v>140600</v>
      </c>
      <c r="P72" t="s">
        <v>417</v>
      </c>
    </row>
    <row r="73" spans="11:16" x14ac:dyDescent="0.15">
      <c r="K73">
        <v>40215</v>
      </c>
      <c r="L73" s="230"/>
      <c r="M73" s="230"/>
      <c r="N73">
        <v>15</v>
      </c>
      <c r="O73" s="107">
        <v>148600</v>
      </c>
      <c r="P73" t="s">
        <v>418</v>
      </c>
    </row>
    <row r="74" spans="11:16" x14ac:dyDescent="0.15">
      <c r="K74">
        <v>40307</v>
      </c>
      <c r="L74" s="230"/>
      <c r="M74" s="230" t="s">
        <v>350</v>
      </c>
      <c r="N74">
        <v>7</v>
      </c>
      <c r="O74" s="107">
        <v>92600</v>
      </c>
      <c r="P74" t="s">
        <v>419</v>
      </c>
    </row>
    <row r="75" spans="11:16" x14ac:dyDescent="0.15">
      <c r="K75">
        <v>40308</v>
      </c>
      <c r="L75" s="230"/>
      <c r="M75" s="230"/>
      <c r="N75">
        <v>8</v>
      </c>
      <c r="O75" s="107">
        <v>101200</v>
      </c>
      <c r="P75" t="s">
        <v>420</v>
      </c>
    </row>
    <row r="76" spans="11:16" x14ac:dyDescent="0.15">
      <c r="K76">
        <v>40309</v>
      </c>
      <c r="L76" s="230"/>
      <c r="M76" s="230"/>
      <c r="N76">
        <v>9</v>
      </c>
      <c r="O76" s="107">
        <v>109800</v>
      </c>
      <c r="P76" t="s">
        <v>421</v>
      </c>
    </row>
    <row r="77" spans="11:16" x14ac:dyDescent="0.15">
      <c r="K77">
        <v>40310</v>
      </c>
      <c r="L77" s="230"/>
      <c r="M77" s="230"/>
      <c r="N77">
        <v>10</v>
      </c>
      <c r="O77" s="107">
        <v>118400</v>
      </c>
      <c r="P77" t="s">
        <v>422</v>
      </c>
    </row>
    <row r="78" spans="11:16" x14ac:dyDescent="0.15">
      <c r="K78">
        <v>40311</v>
      </c>
      <c r="L78" s="230"/>
      <c r="M78" s="230"/>
      <c r="N78">
        <v>11</v>
      </c>
      <c r="O78" s="107">
        <v>127000</v>
      </c>
      <c r="P78" t="s">
        <v>423</v>
      </c>
    </row>
    <row r="79" spans="11:16" x14ac:dyDescent="0.15">
      <c r="K79">
        <v>40312</v>
      </c>
      <c r="L79" s="230"/>
      <c r="M79" s="230"/>
      <c r="N79">
        <v>12</v>
      </c>
      <c r="O79" s="107">
        <v>135600</v>
      </c>
      <c r="P79" t="s">
        <v>424</v>
      </c>
    </row>
    <row r="80" spans="11:16" x14ac:dyDescent="0.15">
      <c r="K80">
        <v>40313</v>
      </c>
      <c r="L80" s="230"/>
      <c r="M80" s="230"/>
      <c r="N80">
        <v>13</v>
      </c>
      <c r="O80" s="107">
        <v>144200</v>
      </c>
      <c r="P80" t="s">
        <v>425</v>
      </c>
    </row>
    <row r="81" spans="11:16" x14ac:dyDescent="0.15">
      <c r="K81">
        <v>40314</v>
      </c>
      <c r="L81" s="230"/>
      <c r="M81" s="230"/>
      <c r="N81">
        <v>14</v>
      </c>
      <c r="O81" s="107">
        <v>152800</v>
      </c>
      <c r="P81" t="s">
        <v>426</v>
      </c>
    </row>
    <row r="82" spans="11:16" x14ac:dyDescent="0.15">
      <c r="K82">
        <v>40315</v>
      </c>
      <c r="L82" s="230"/>
      <c r="M82" s="230"/>
      <c r="N82">
        <v>15</v>
      </c>
      <c r="O82" s="107">
        <v>161400</v>
      </c>
      <c r="P82" t="s">
        <v>427</v>
      </c>
    </row>
    <row r="83" spans="11:16" x14ac:dyDescent="0.15">
      <c r="K83">
        <v>45107</v>
      </c>
      <c r="L83" s="230">
        <v>450</v>
      </c>
      <c r="M83" s="230" t="s">
        <v>348</v>
      </c>
      <c r="N83">
        <v>7</v>
      </c>
      <c r="O83" s="107">
        <v>75800</v>
      </c>
      <c r="P83" t="s">
        <v>428</v>
      </c>
    </row>
    <row r="84" spans="11:16" x14ac:dyDescent="0.15">
      <c r="K84">
        <v>45108</v>
      </c>
      <c r="L84" s="230"/>
      <c r="M84" s="230"/>
      <c r="N84">
        <v>8</v>
      </c>
      <c r="O84" s="107">
        <v>83900</v>
      </c>
      <c r="P84" t="s">
        <v>429</v>
      </c>
    </row>
    <row r="85" spans="11:16" x14ac:dyDescent="0.15">
      <c r="K85">
        <v>45109</v>
      </c>
      <c r="L85" s="230"/>
      <c r="M85" s="230"/>
      <c r="N85">
        <v>9</v>
      </c>
      <c r="O85" s="107">
        <v>92000</v>
      </c>
      <c r="P85" t="s">
        <v>430</v>
      </c>
    </row>
    <row r="86" spans="11:16" x14ac:dyDescent="0.15">
      <c r="K86">
        <v>45110</v>
      </c>
      <c r="L86" s="230"/>
      <c r="M86" s="230"/>
      <c r="N86">
        <v>10</v>
      </c>
      <c r="O86" s="107">
        <v>100100</v>
      </c>
      <c r="P86" t="s">
        <v>431</v>
      </c>
    </row>
    <row r="87" spans="11:16" x14ac:dyDescent="0.15">
      <c r="K87">
        <v>45111</v>
      </c>
      <c r="L87" s="230"/>
      <c r="M87" s="230"/>
      <c r="N87">
        <v>11</v>
      </c>
      <c r="O87" s="107">
        <v>108200</v>
      </c>
      <c r="P87" t="s">
        <v>432</v>
      </c>
    </row>
    <row r="88" spans="11:16" x14ac:dyDescent="0.15">
      <c r="K88">
        <v>45112</v>
      </c>
      <c r="L88" s="230"/>
      <c r="M88" s="230"/>
      <c r="N88">
        <v>12</v>
      </c>
      <c r="O88" s="107">
        <v>116300</v>
      </c>
      <c r="P88" t="s">
        <v>433</v>
      </c>
    </row>
    <row r="89" spans="11:16" x14ac:dyDescent="0.15">
      <c r="K89">
        <v>45113</v>
      </c>
      <c r="L89" s="230"/>
      <c r="M89" s="230"/>
      <c r="N89">
        <v>13</v>
      </c>
      <c r="O89" s="107">
        <v>124400</v>
      </c>
      <c r="P89" t="s">
        <v>434</v>
      </c>
    </row>
    <row r="90" spans="11:16" x14ac:dyDescent="0.15">
      <c r="K90">
        <v>45114</v>
      </c>
      <c r="L90" s="230"/>
      <c r="M90" s="230"/>
      <c r="N90">
        <v>14</v>
      </c>
      <c r="O90" s="107">
        <v>132500</v>
      </c>
      <c r="P90" t="s">
        <v>435</v>
      </c>
    </row>
    <row r="91" spans="11:16" x14ac:dyDescent="0.15">
      <c r="K91">
        <v>45115</v>
      </c>
      <c r="L91" s="230"/>
      <c r="M91" s="230"/>
      <c r="N91">
        <v>15</v>
      </c>
      <c r="O91" s="107">
        <v>140600</v>
      </c>
      <c r="P91" t="s">
        <v>436</v>
      </c>
    </row>
    <row r="92" spans="11:16" x14ac:dyDescent="0.15">
      <c r="K92">
        <v>45207</v>
      </c>
      <c r="L92" s="230"/>
      <c r="M92" s="230" t="s">
        <v>349</v>
      </c>
      <c r="N92">
        <v>7</v>
      </c>
      <c r="O92" s="107">
        <v>101400</v>
      </c>
      <c r="P92" t="s">
        <v>437</v>
      </c>
    </row>
    <row r="93" spans="11:16" x14ac:dyDescent="0.15">
      <c r="K93">
        <v>45208</v>
      </c>
      <c r="L93" s="230"/>
      <c r="M93" s="230"/>
      <c r="N93">
        <v>8</v>
      </c>
      <c r="O93" s="107">
        <v>111300</v>
      </c>
      <c r="P93" t="s">
        <v>438</v>
      </c>
    </row>
    <row r="94" spans="11:16" x14ac:dyDescent="0.15">
      <c r="K94">
        <v>45209</v>
      </c>
      <c r="L94" s="230"/>
      <c r="M94" s="230"/>
      <c r="N94">
        <v>9</v>
      </c>
      <c r="O94" s="107">
        <v>121200</v>
      </c>
      <c r="P94" t="s">
        <v>439</v>
      </c>
    </row>
    <row r="95" spans="11:16" x14ac:dyDescent="0.15">
      <c r="K95">
        <v>45210</v>
      </c>
      <c r="L95" s="230"/>
      <c r="M95" s="230"/>
      <c r="N95">
        <v>10</v>
      </c>
      <c r="O95" s="107">
        <v>131100</v>
      </c>
      <c r="P95" t="s">
        <v>440</v>
      </c>
    </row>
    <row r="96" spans="11:16" x14ac:dyDescent="0.15">
      <c r="K96">
        <v>45211</v>
      </c>
      <c r="L96" s="230"/>
      <c r="M96" s="230"/>
      <c r="N96">
        <v>11</v>
      </c>
      <c r="O96" s="107">
        <v>141000</v>
      </c>
      <c r="P96" t="s">
        <v>441</v>
      </c>
    </row>
    <row r="97" spans="11:16" x14ac:dyDescent="0.15">
      <c r="K97">
        <v>45212</v>
      </c>
      <c r="L97" s="230"/>
      <c r="M97" s="230"/>
      <c r="N97">
        <v>12</v>
      </c>
      <c r="O97" s="107">
        <v>150900</v>
      </c>
      <c r="P97" t="s">
        <v>442</v>
      </c>
    </row>
    <row r="98" spans="11:16" x14ac:dyDescent="0.15">
      <c r="K98">
        <v>45213</v>
      </c>
      <c r="L98" s="230"/>
      <c r="M98" s="230"/>
      <c r="N98">
        <v>13</v>
      </c>
      <c r="O98" s="107">
        <v>160600</v>
      </c>
      <c r="P98" t="s">
        <v>443</v>
      </c>
    </row>
    <row r="99" spans="11:16" x14ac:dyDescent="0.15">
      <c r="K99">
        <v>45214</v>
      </c>
      <c r="L99" s="230"/>
      <c r="M99" s="230"/>
      <c r="N99">
        <v>14</v>
      </c>
      <c r="O99" s="107">
        <v>170700</v>
      </c>
      <c r="P99" t="s">
        <v>444</v>
      </c>
    </row>
    <row r="100" spans="11:16" x14ac:dyDescent="0.15">
      <c r="K100">
        <v>45215</v>
      </c>
      <c r="L100" s="230"/>
      <c r="M100" s="230"/>
      <c r="N100">
        <v>15</v>
      </c>
      <c r="O100" s="107">
        <v>180600</v>
      </c>
      <c r="P100" t="s">
        <v>445</v>
      </c>
    </row>
    <row r="101" spans="11:16" x14ac:dyDescent="0.15">
      <c r="K101">
        <v>45307</v>
      </c>
      <c r="L101" s="230"/>
      <c r="M101" s="230" t="s">
        <v>350</v>
      </c>
      <c r="N101">
        <v>7</v>
      </c>
      <c r="O101" s="107">
        <v>111400</v>
      </c>
      <c r="P101" t="s">
        <v>437</v>
      </c>
    </row>
    <row r="102" spans="11:16" x14ac:dyDescent="0.15">
      <c r="K102">
        <v>45308</v>
      </c>
      <c r="L102" s="230"/>
      <c r="M102" s="230"/>
      <c r="N102">
        <v>8</v>
      </c>
      <c r="O102" s="107">
        <v>121800</v>
      </c>
      <c r="P102" t="s">
        <v>438</v>
      </c>
    </row>
    <row r="103" spans="11:16" x14ac:dyDescent="0.15">
      <c r="K103">
        <v>45309</v>
      </c>
      <c r="L103" s="230"/>
      <c r="M103" s="230"/>
      <c r="N103">
        <v>9</v>
      </c>
      <c r="O103" s="107">
        <v>132200</v>
      </c>
      <c r="P103" t="s">
        <v>439</v>
      </c>
    </row>
    <row r="104" spans="11:16" x14ac:dyDescent="0.15">
      <c r="K104">
        <v>45310</v>
      </c>
      <c r="L104" s="230"/>
      <c r="M104" s="230"/>
      <c r="N104">
        <v>10</v>
      </c>
      <c r="O104" s="107">
        <v>142600</v>
      </c>
      <c r="P104" t="s">
        <v>440</v>
      </c>
    </row>
    <row r="105" spans="11:16" x14ac:dyDescent="0.15">
      <c r="K105">
        <v>45311</v>
      </c>
      <c r="L105" s="230"/>
      <c r="M105" s="230"/>
      <c r="N105">
        <v>11</v>
      </c>
      <c r="O105" s="107">
        <v>153000</v>
      </c>
      <c r="P105" t="s">
        <v>441</v>
      </c>
    </row>
    <row r="106" spans="11:16" x14ac:dyDescent="0.15">
      <c r="K106">
        <v>45312</v>
      </c>
      <c r="L106" s="230"/>
      <c r="M106" s="230"/>
      <c r="N106">
        <v>12</v>
      </c>
      <c r="O106" s="107">
        <v>163400</v>
      </c>
      <c r="P106" t="s">
        <v>442</v>
      </c>
    </row>
    <row r="107" spans="11:16" x14ac:dyDescent="0.15">
      <c r="K107">
        <v>45313</v>
      </c>
      <c r="L107" s="230"/>
      <c r="M107" s="230"/>
      <c r="N107">
        <v>13</v>
      </c>
      <c r="O107" s="107">
        <v>173800</v>
      </c>
      <c r="P107" t="s">
        <v>443</v>
      </c>
    </row>
    <row r="108" spans="11:16" x14ac:dyDescent="0.15">
      <c r="K108">
        <v>45314</v>
      </c>
      <c r="L108" s="230"/>
      <c r="M108" s="230"/>
      <c r="N108">
        <v>14</v>
      </c>
      <c r="O108" s="107">
        <v>184200</v>
      </c>
      <c r="P108" t="s">
        <v>444</v>
      </c>
    </row>
    <row r="109" spans="11:16" x14ac:dyDescent="0.15">
      <c r="K109">
        <v>45315</v>
      </c>
      <c r="L109" s="230"/>
      <c r="M109" s="230"/>
      <c r="N109">
        <v>15</v>
      </c>
      <c r="O109" s="107">
        <v>194600</v>
      </c>
      <c r="P109" t="s">
        <v>445</v>
      </c>
    </row>
    <row r="110" spans="11:16" x14ac:dyDescent="0.15">
      <c r="K110">
        <v>50107</v>
      </c>
      <c r="L110" s="230">
        <v>500</v>
      </c>
      <c r="M110" s="230" t="s">
        <v>348</v>
      </c>
      <c r="N110">
        <v>7</v>
      </c>
      <c r="O110" s="107">
        <v>95900</v>
      </c>
      <c r="P110" t="s">
        <v>446</v>
      </c>
    </row>
    <row r="111" spans="11:16" x14ac:dyDescent="0.15">
      <c r="K111">
        <v>50108</v>
      </c>
      <c r="L111" s="230"/>
      <c r="M111" s="230"/>
      <c r="N111">
        <v>8</v>
      </c>
      <c r="O111" s="107">
        <v>106100</v>
      </c>
      <c r="P111" t="s">
        <v>447</v>
      </c>
    </row>
    <row r="112" spans="11:16" x14ac:dyDescent="0.15">
      <c r="K112">
        <v>50109</v>
      </c>
      <c r="L112" s="230"/>
      <c r="M112" s="230"/>
      <c r="N112">
        <v>9</v>
      </c>
      <c r="O112" s="107">
        <v>116300</v>
      </c>
      <c r="P112" t="s">
        <v>448</v>
      </c>
    </row>
    <row r="113" spans="11:16" x14ac:dyDescent="0.15">
      <c r="K113">
        <v>50110</v>
      </c>
      <c r="L113" s="230"/>
      <c r="M113" s="230"/>
      <c r="N113">
        <v>10</v>
      </c>
      <c r="O113" s="107">
        <v>126500</v>
      </c>
      <c r="P113" t="s">
        <v>449</v>
      </c>
    </row>
    <row r="114" spans="11:16" x14ac:dyDescent="0.15">
      <c r="K114">
        <v>50111</v>
      </c>
      <c r="L114" s="230"/>
      <c r="M114" s="230"/>
      <c r="N114">
        <v>11</v>
      </c>
      <c r="O114" s="107">
        <v>136700</v>
      </c>
      <c r="P114" t="s">
        <v>450</v>
      </c>
    </row>
    <row r="115" spans="11:16" x14ac:dyDescent="0.15">
      <c r="K115">
        <v>50112</v>
      </c>
      <c r="L115" s="230"/>
      <c r="M115" s="230"/>
      <c r="N115">
        <v>12</v>
      </c>
      <c r="O115" s="107">
        <v>146900</v>
      </c>
      <c r="P115" t="s">
        <v>451</v>
      </c>
    </row>
    <row r="116" spans="11:16" x14ac:dyDescent="0.15">
      <c r="K116">
        <v>50113</v>
      </c>
      <c r="L116" s="230"/>
      <c r="M116" s="230"/>
      <c r="N116">
        <v>13</v>
      </c>
      <c r="O116" s="107">
        <v>157100</v>
      </c>
      <c r="P116" t="s">
        <v>452</v>
      </c>
    </row>
    <row r="117" spans="11:16" x14ac:dyDescent="0.15">
      <c r="K117">
        <v>50114</v>
      </c>
      <c r="L117" s="230"/>
      <c r="M117" s="230"/>
      <c r="N117">
        <v>14</v>
      </c>
      <c r="O117" s="107">
        <v>167300</v>
      </c>
      <c r="P117" t="s">
        <v>453</v>
      </c>
    </row>
    <row r="118" spans="11:16" x14ac:dyDescent="0.15">
      <c r="K118">
        <v>50115</v>
      </c>
      <c r="L118" s="230"/>
      <c r="M118" s="230"/>
      <c r="N118">
        <v>15</v>
      </c>
      <c r="O118" s="107">
        <v>177500</v>
      </c>
      <c r="P118" t="s">
        <v>454</v>
      </c>
    </row>
    <row r="119" spans="11:16" x14ac:dyDescent="0.15">
      <c r="K119">
        <v>50207</v>
      </c>
      <c r="L119" s="230"/>
      <c r="M119" s="230" t="s">
        <v>349</v>
      </c>
      <c r="N119">
        <v>7</v>
      </c>
      <c r="O119" s="107">
        <v>127100</v>
      </c>
      <c r="P119" t="s">
        <v>455</v>
      </c>
    </row>
    <row r="120" spans="11:16" x14ac:dyDescent="0.15">
      <c r="K120">
        <v>50208</v>
      </c>
      <c r="L120" s="230"/>
      <c r="M120" s="230"/>
      <c r="N120">
        <v>8</v>
      </c>
      <c r="O120" s="107">
        <v>139600</v>
      </c>
      <c r="P120" t="s">
        <v>456</v>
      </c>
    </row>
    <row r="121" spans="11:16" x14ac:dyDescent="0.15">
      <c r="K121">
        <v>50209</v>
      </c>
      <c r="L121" s="230"/>
      <c r="M121" s="230"/>
      <c r="N121">
        <v>9</v>
      </c>
      <c r="O121" s="107">
        <v>152100</v>
      </c>
      <c r="P121" t="s">
        <v>457</v>
      </c>
    </row>
    <row r="122" spans="11:16" x14ac:dyDescent="0.15">
      <c r="K122">
        <v>50210</v>
      </c>
      <c r="L122" s="230"/>
      <c r="M122" s="230"/>
      <c r="N122">
        <v>10</v>
      </c>
      <c r="O122" s="107">
        <v>164600</v>
      </c>
      <c r="P122" t="s">
        <v>458</v>
      </c>
    </row>
    <row r="123" spans="11:16" x14ac:dyDescent="0.15">
      <c r="K123">
        <v>50211</v>
      </c>
      <c r="L123" s="230"/>
      <c r="M123" s="230"/>
      <c r="N123">
        <v>11</v>
      </c>
      <c r="O123" s="107">
        <v>177100</v>
      </c>
      <c r="P123" t="s">
        <v>459</v>
      </c>
    </row>
    <row r="124" spans="11:16" x14ac:dyDescent="0.15">
      <c r="K124">
        <v>50212</v>
      </c>
      <c r="L124" s="230"/>
      <c r="M124" s="230"/>
      <c r="N124">
        <v>12</v>
      </c>
      <c r="O124" s="107">
        <v>189600</v>
      </c>
      <c r="P124" t="s">
        <v>460</v>
      </c>
    </row>
    <row r="125" spans="11:16" x14ac:dyDescent="0.15">
      <c r="K125">
        <v>50213</v>
      </c>
      <c r="L125" s="230"/>
      <c r="M125" s="230"/>
      <c r="N125">
        <v>13</v>
      </c>
      <c r="O125" s="107">
        <v>202100</v>
      </c>
      <c r="P125" t="s">
        <v>461</v>
      </c>
    </row>
    <row r="126" spans="11:16" x14ac:dyDescent="0.15">
      <c r="K126">
        <v>50214</v>
      </c>
      <c r="L126" s="230"/>
      <c r="M126" s="230"/>
      <c r="N126">
        <v>14</v>
      </c>
      <c r="O126" s="107">
        <v>214600</v>
      </c>
      <c r="P126" t="s">
        <v>462</v>
      </c>
    </row>
    <row r="127" spans="11:16" x14ac:dyDescent="0.15">
      <c r="K127">
        <v>50215</v>
      </c>
      <c r="L127" s="230"/>
      <c r="M127" s="230"/>
      <c r="N127">
        <v>15</v>
      </c>
      <c r="O127" s="107">
        <v>227100</v>
      </c>
      <c r="P127" t="s">
        <v>463</v>
      </c>
    </row>
    <row r="128" spans="11:16" x14ac:dyDescent="0.15">
      <c r="K128">
        <v>50307</v>
      </c>
      <c r="L128" s="230"/>
      <c r="M128" s="230" t="s">
        <v>350</v>
      </c>
      <c r="N128">
        <v>7</v>
      </c>
      <c r="O128" s="107">
        <v>141200</v>
      </c>
      <c r="P128" t="s">
        <v>464</v>
      </c>
    </row>
    <row r="129" spans="11:16" x14ac:dyDescent="0.15">
      <c r="K129">
        <v>50308</v>
      </c>
      <c r="L129" s="230"/>
      <c r="M129" s="230"/>
      <c r="N129">
        <v>8</v>
      </c>
      <c r="O129" s="107">
        <v>154600</v>
      </c>
      <c r="P129" t="s">
        <v>465</v>
      </c>
    </row>
    <row r="130" spans="11:16" x14ac:dyDescent="0.15">
      <c r="K130">
        <v>50309</v>
      </c>
      <c r="L130" s="230"/>
      <c r="M130" s="230"/>
      <c r="N130">
        <v>9</v>
      </c>
      <c r="O130" s="107">
        <v>168000</v>
      </c>
      <c r="P130" t="s">
        <v>466</v>
      </c>
    </row>
    <row r="131" spans="11:16" x14ac:dyDescent="0.15">
      <c r="K131">
        <v>50310</v>
      </c>
      <c r="L131" s="230"/>
      <c r="M131" s="230"/>
      <c r="N131">
        <v>10</v>
      </c>
      <c r="O131" s="107">
        <v>181400</v>
      </c>
      <c r="P131" t="s">
        <v>467</v>
      </c>
    </row>
    <row r="132" spans="11:16" x14ac:dyDescent="0.15">
      <c r="K132">
        <v>50311</v>
      </c>
      <c r="L132" s="230"/>
      <c r="M132" s="230"/>
      <c r="N132">
        <v>11</v>
      </c>
      <c r="O132" s="107">
        <v>194800</v>
      </c>
      <c r="P132" t="s">
        <v>468</v>
      </c>
    </row>
    <row r="133" spans="11:16" x14ac:dyDescent="0.15">
      <c r="K133">
        <v>50312</v>
      </c>
      <c r="L133" s="230"/>
      <c r="M133" s="230"/>
      <c r="N133">
        <v>12</v>
      </c>
      <c r="O133" s="107">
        <v>208200</v>
      </c>
      <c r="P133" t="s">
        <v>469</v>
      </c>
    </row>
    <row r="134" spans="11:16" x14ac:dyDescent="0.15">
      <c r="K134">
        <v>50313</v>
      </c>
      <c r="L134" s="230"/>
      <c r="M134" s="230"/>
      <c r="N134">
        <v>13</v>
      </c>
      <c r="O134" s="107">
        <v>221600</v>
      </c>
      <c r="P134" t="s">
        <v>470</v>
      </c>
    </row>
    <row r="135" spans="11:16" x14ac:dyDescent="0.15">
      <c r="K135">
        <v>50314</v>
      </c>
      <c r="L135" s="230"/>
      <c r="M135" s="230"/>
      <c r="N135">
        <v>14</v>
      </c>
      <c r="O135" s="107">
        <v>235000</v>
      </c>
      <c r="P135" t="s">
        <v>471</v>
      </c>
    </row>
    <row r="136" spans="11:16" x14ac:dyDescent="0.15">
      <c r="K136">
        <v>50315</v>
      </c>
      <c r="L136" s="230"/>
      <c r="M136" s="230"/>
      <c r="N136">
        <v>15</v>
      </c>
      <c r="O136" s="107">
        <v>248400</v>
      </c>
      <c r="P136" t="s">
        <v>472</v>
      </c>
    </row>
    <row r="137" spans="11:16" x14ac:dyDescent="0.15">
      <c r="K137">
        <v>60107</v>
      </c>
      <c r="L137" s="230">
        <v>600</v>
      </c>
      <c r="M137" s="230" t="s">
        <v>348</v>
      </c>
      <c r="N137">
        <v>7</v>
      </c>
      <c r="O137" s="107">
        <v>132500</v>
      </c>
      <c r="P137" t="s">
        <v>473</v>
      </c>
    </row>
    <row r="138" spans="11:16" x14ac:dyDescent="0.15">
      <c r="K138">
        <v>60108</v>
      </c>
      <c r="L138" s="230"/>
      <c r="M138" s="230"/>
      <c r="N138">
        <v>8</v>
      </c>
      <c r="O138" s="107">
        <v>146000</v>
      </c>
      <c r="P138" t="s">
        <v>474</v>
      </c>
    </row>
    <row r="139" spans="11:16" x14ac:dyDescent="0.15">
      <c r="K139">
        <v>60109</v>
      </c>
      <c r="L139" s="230"/>
      <c r="M139" s="230"/>
      <c r="N139">
        <v>9</v>
      </c>
      <c r="O139" s="107">
        <v>150500</v>
      </c>
      <c r="P139" t="s">
        <v>475</v>
      </c>
    </row>
    <row r="140" spans="11:16" x14ac:dyDescent="0.15">
      <c r="K140">
        <v>60110</v>
      </c>
      <c r="L140" s="230"/>
      <c r="M140" s="230"/>
      <c r="N140">
        <v>10</v>
      </c>
      <c r="O140" s="107">
        <v>173000</v>
      </c>
      <c r="P140" t="s">
        <v>476</v>
      </c>
    </row>
    <row r="141" spans="11:16" x14ac:dyDescent="0.15">
      <c r="K141">
        <v>60111</v>
      </c>
      <c r="L141" s="230"/>
      <c r="M141" s="230"/>
      <c r="N141">
        <v>11</v>
      </c>
      <c r="O141" s="107">
        <v>186500</v>
      </c>
      <c r="P141" t="s">
        <v>477</v>
      </c>
    </row>
    <row r="142" spans="11:16" x14ac:dyDescent="0.15">
      <c r="K142">
        <v>60112</v>
      </c>
      <c r="L142" s="230"/>
      <c r="M142" s="230"/>
      <c r="N142">
        <v>12</v>
      </c>
      <c r="O142" s="107">
        <v>200000</v>
      </c>
      <c r="P142" t="s">
        <v>478</v>
      </c>
    </row>
    <row r="143" spans="11:16" x14ac:dyDescent="0.15">
      <c r="K143">
        <v>60113</v>
      </c>
      <c r="L143" s="230"/>
      <c r="M143" s="230"/>
      <c r="N143">
        <v>13</v>
      </c>
      <c r="O143" s="107">
        <v>213500</v>
      </c>
      <c r="P143" t="s">
        <v>479</v>
      </c>
    </row>
    <row r="144" spans="11:16" x14ac:dyDescent="0.15">
      <c r="K144">
        <v>60114</v>
      </c>
      <c r="L144" s="230"/>
      <c r="M144" s="230"/>
      <c r="N144">
        <v>14</v>
      </c>
      <c r="O144" s="107">
        <v>227000</v>
      </c>
      <c r="P144" t="s">
        <v>480</v>
      </c>
    </row>
    <row r="145" spans="11:16" x14ac:dyDescent="0.15">
      <c r="K145">
        <v>60115</v>
      </c>
      <c r="L145" s="230"/>
      <c r="M145" s="230"/>
      <c r="N145">
        <v>15</v>
      </c>
      <c r="O145" s="107">
        <v>240500</v>
      </c>
      <c r="P145" t="s">
        <v>481</v>
      </c>
    </row>
    <row r="146" spans="11:16" x14ac:dyDescent="0.15">
      <c r="K146">
        <v>60207</v>
      </c>
      <c r="L146" s="230"/>
      <c r="M146" s="230" t="s">
        <v>349</v>
      </c>
      <c r="N146">
        <v>7</v>
      </c>
      <c r="O146" s="107">
        <v>176300</v>
      </c>
      <c r="P146" t="s">
        <v>482</v>
      </c>
    </row>
    <row r="147" spans="11:16" x14ac:dyDescent="0.15">
      <c r="K147">
        <v>60208</v>
      </c>
      <c r="L147" s="230"/>
      <c r="M147" s="230"/>
      <c r="N147">
        <v>8</v>
      </c>
      <c r="O147" s="107">
        <v>192600</v>
      </c>
      <c r="P147" t="s">
        <v>483</v>
      </c>
    </row>
    <row r="148" spans="11:16" x14ac:dyDescent="0.15">
      <c r="K148">
        <v>60209</v>
      </c>
      <c r="L148" s="230"/>
      <c r="M148" s="230"/>
      <c r="N148">
        <v>9</v>
      </c>
      <c r="O148" s="107">
        <v>208900</v>
      </c>
      <c r="P148" t="s">
        <v>484</v>
      </c>
    </row>
    <row r="149" spans="11:16" x14ac:dyDescent="0.15">
      <c r="K149">
        <v>60210</v>
      </c>
      <c r="L149" s="230"/>
      <c r="M149" s="230"/>
      <c r="N149">
        <v>10</v>
      </c>
      <c r="O149" s="107">
        <v>225200</v>
      </c>
      <c r="P149" t="s">
        <v>485</v>
      </c>
    </row>
    <row r="150" spans="11:16" x14ac:dyDescent="0.15">
      <c r="K150">
        <v>60211</v>
      </c>
      <c r="L150" s="230"/>
      <c r="M150" s="230"/>
      <c r="N150">
        <v>11</v>
      </c>
      <c r="O150" s="107">
        <v>241500</v>
      </c>
      <c r="P150" t="s">
        <v>486</v>
      </c>
    </row>
    <row r="151" spans="11:16" x14ac:dyDescent="0.15">
      <c r="K151">
        <v>60212</v>
      </c>
      <c r="L151" s="230"/>
      <c r="M151" s="230"/>
      <c r="N151">
        <v>12</v>
      </c>
      <c r="O151" s="107">
        <v>257800</v>
      </c>
      <c r="P151" t="s">
        <v>487</v>
      </c>
    </row>
    <row r="152" spans="11:16" x14ac:dyDescent="0.15">
      <c r="K152">
        <v>60213</v>
      </c>
      <c r="L152" s="230"/>
      <c r="M152" s="230"/>
      <c r="N152">
        <v>13</v>
      </c>
      <c r="O152" s="107">
        <v>274100</v>
      </c>
      <c r="P152" t="s">
        <v>488</v>
      </c>
    </row>
    <row r="153" spans="11:16" x14ac:dyDescent="0.15">
      <c r="K153">
        <v>60214</v>
      </c>
      <c r="L153" s="230"/>
      <c r="M153" s="230"/>
      <c r="N153">
        <v>14</v>
      </c>
      <c r="O153" s="107">
        <v>290400</v>
      </c>
      <c r="P153" t="s">
        <v>489</v>
      </c>
    </row>
    <row r="154" spans="11:16" x14ac:dyDescent="0.15">
      <c r="K154">
        <v>60215</v>
      </c>
      <c r="L154" s="230"/>
      <c r="M154" s="230"/>
      <c r="N154">
        <v>15</v>
      </c>
      <c r="O154" s="107">
        <v>306700</v>
      </c>
      <c r="P154" t="s">
        <v>490</v>
      </c>
    </row>
    <row r="155" spans="11:16" x14ac:dyDescent="0.15">
      <c r="K155">
        <v>60307</v>
      </c>
      <c r="L155" s="230"/>
      <c r="M155" s="230" t="s">
        <v>350</v>
      </c>
      <c r="N155">
        <v>7</v>
      </c>
      <c r="O155" s="107">
        <v>192500</v>
      </c>
      <c r="P155" t="s">
        <v>491</v>
      </c>
    </row>
    <row r="156" spans="11:16" x14ac:dyDescent="0.15">
      <c r="K156">
        <v>60308</v>
      </c>
      <c r="L156" s="230"/>
      <c r="M156" s="230"/>
      <c r="N156">
        <v>8</v>
      </c>
      <c r="O156" s="107">
        <v>210600</v>
      </c>
      <c r="P156" t="s">
        <v>492</v>
      </c>
    </row>
    <row r="157" spans="11:16" x14ac:dyDescent="0.15">
      <c r="K157">
        <v>60309</v>
      </c>
      <c r="L157" s="230"/>
      <c r="M157" s="230"/>
      <c r="N157">
        <v>9</v>
      </c>
      <c r="O157" s="107">
        <v>228700</v>
      </c>
      <c r="P157" t="s">
        <v>493</v>
      </c>
    </row>
    <row r="158" spans="11:16" x14ac:dyDescent="0.15">
      <c r="K158">
        <v>60310</v>
      </c>
      <c r="L158" s="230"/>
      <c r="M158" s="230"/>
      <c r="N158">
        <v>10</v>
      </c>
      <c r="O158" s="107">
        <v>246800</v>
      </c>
      <c r="P158" t="s">
        <v>494</v>
      </c>
    </row>
    <row r="159" spans="11:16" x14ac:dyDescent="0.15">
      <c r="K159">
        <v>60311</v>
      </c>
      <c r="L159" s="230"/>
      <c r="M159" s="230"/>
      <c r="N159">
        <v>11</v>
      </c>
      <c r="O159" s="107">
        <v>264900</v>
      </c>
      <c r="P159" t="s">
        <v>495</v>
      </c>
    </row>
    <row r="160" spans="11:16" x14ac:dyDescent="0.15">
      <c r="K160">
        <v>60312</v>
      </c>
      <c r="L160" s="230"/>
      <c r="M160" s="230"/>
      <c r="N160">
        <v>12</v>
      </c>
      <c r="O160" s="107">
        <v>283000</v>
      </c>
      <c r="P160" t="s">
        <v>496</v>
      </c>
    </row>
    <row r="161" spans="11:16" x14ac:dyDescent="0.15">
      <c r="K161">
        <v>60313</v>
      </c>
      <c r="L161" s="230"/>
      <c r="M161" s="230"/>
      <c r="N161">
        <v>13</v>
      </c>
      <c r="O161" s="107">
        <v>301100</v>
      </c>
      <c r="P161" t="s">
        <v>497</v>
      </c>
    </row>
    <row r="162" spans="11:16" x14ac:dyDescent="0.15">
      <c r="K162">
        <v>60314</v>
      </c>
      <c r="L162" s="230"/>
      <c r="M162" s="230"/>
      <c r="N162">
        <v>14</v>
      </c>
      <c r="O162" s="107">
        <v>319200</v>
      </c>
      <c r="P162" t="s">
        <v>498</v>
      </c>
    </row>
    <row r="163" spans="11:16" x14ac:dyDescent="0.15">
      <c r="K163">
        <v>60315</v>
      </c>
      <c r="L163" s="230"/>
      <c r="M163" s="230"/>
      <c r="N163">
        <v>15</v>
      </c>
      <c r="O163" s="107">
        <v>337300</v>
      </c>
      <c r="P163" t="s">
        <v>499</v>
      </c>
    </row>
  </sheetData>
  <mergeCells count="24">
    <mergeCell ref="M2:M10"/>
    <mergeCell ref="M11:M19"/>
    <mergeCell ref="M20:M28"/>
    <mergeCell ref="L2:L28"/>
    <mergeCell ref="L29:L55"/>
    <mergeCell ref="M29:M37"/>
    <mergeCell ref="M38:M46"/>
    <mergeCell ref="M47:M55"/>
    <mergeCell ref="L56:L82"/>
    <mergeCell ref="M56:M64"/>
    <mergeCell ref="M65:M73"/>
    <mergeCell ref="M74:M82"/>
    <mergeCell ref="L83:L109"/>
    <mergeCell ref="M83:M91"/>
    <mergeCell ref="M92:M100"/>
    <mergeCell ref="M101:M109"/>
    <mergeCell ref="L110:L136"/>
    <mergeCell ref="M110:M118"/>
    <mergeCell ref="M119:M127"/>
    <mergeCell ref="M128:M136"/>
    <mergeCell ref="L137:L163"/>
    <mergeCell ref="M137:M145"/>
    <mergeCell ref="M146:M154"/>
    <mergeCell ref="M155:M163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E10:N13"/>
  <sheetViews>
    <sheetView workbookViewId="0">
      <selection activeCell="E10" sqref="E10:F10"/>
    </sheetView>
  </sheetViews>
  <sheetFormatPr defaultRowHeight="13.5" x14ac:dyDescent="0.15"/>
  <cols>
    <col min="12" max="12" width="9.5" bestFit="1" customWidth="1"/>
  </cols>
  <sheetData>
    <row r="10" spans="5:14" x14ac:dyDescent="0.15">
      <c r="E10">
        <v>7.3</v>
      </c>
      <c r="F10">
        <v>0</v>
      </c>
      <c r="J10">
        <v>7.52</v>
      </c>
      <c r="K10">
        <f>+J10-E10</f>
        <v>0.21999999999999975</v>
      </c>
      <c r="L10" s="200">
        <f>+I11*K10</f>
        <v>18.271578947368397</v>
      </c>
    </row>
    <row r="11" spans="5:14" x14ac:dyDescent="0.15">
      <c r="E11">
        <v>8.25</v>
      </c>
      <c r="F11">
        <v>78.900000000000006</v>
      </c>
      <c r="H11">
        <f>+E11-E10</f>
        <v>0.95000000000000018</v>
      </c>
      <c r="I11">
        <f>F11/H11</f>
        <v>83.052631578947356</v>
      </c>
      <c r="J11">
        <v>8.25</v>
      </c>
      <c r="K11">
        <f>+J11-J10</f>
        <v>0.73000000000000043</v>
      </c>
      <c r="L11" s="200">
        <v>78.900000000000006</v>
      </c>
      <c r="M11">
        <f>(L11+L10)/2*K11</f>
        <v>35.467626315789488</v>
      </c>
    </row>
    <row r="12" spans="5:14" x14ac:dyDescent="0.15">
      <c r="E12">
        <v>9.1</v>
      </c>
      <c r="F12">
        <v>107.1</v>
      </c>
      <c r="G12">
        <f>+F12-F11</f>
        <v>28.199999999999989</v>
      </c>
      <c r="H12">
        <f>+E12-E11</f>
        <v>0.84999999999999964</v>
      </c>
      <c r="I12">
        <f>+G12/H12</f>
        <v>33.176470588235297</v>
      </c>
      <c r="J12">
        <v>9.02</v>
      </c>
      <c r="K12">
        <f>+J12-J11</f>
        <v>0.76999999999999957</v>
      </c>
      <c r="L12" s="200">
        <f>+I12*K12+L11</f>
        <v>104.44588235294117</v>
      </c>
      <c r="M12">
        <f>+(L11+L12)/2*K12</f>
        <v>70.588164705882306</v>
      </c>
    </row>
    <row r="13" spans="5:14" x14ac:dyDescent="0.15">
      <c r="K13">
        <f>SUM(K11:K12)</f>
        <v>1.5</v>
      </c>
      <c r="M13">
        <f>SUM(M11:M12)</f>
        <v>106.05579102167179</v>
      </c>
      <c r="N13">
        <f>+M13/K13</f>
        <v>70.703860681114534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AG104"/>
  <sheetViews>
    <sheetView workbookViewId="0">
      <selection activeCell="C8" sqref="C8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636</v>
      </c>
      <c r="C5" s="4" t="s">
        <v>637</v>
      </c>
      <c r="D5" s="4" t="s">
        <v>638</v>
      </c>
      <c r="E5" s="4" t="s">
        <v>639</v>
      </c>
      <c r="F5" s="4" t="s">
        <v>640</v>
      </c>
      <c r="G5" s="4" t="s">
        <v>641</v>
      </c>
      <c r="H5" s="4" t="s">
        <v>642</v>
      </c>
      <c r="I5" s="4" t="s">
        <v>643</v>
      </c>
      <c r="J5" s="4" t="s">
        <v>644</v>
      </c>
      <c r="K5" s="4" t="s">
        <v>645</v>
      </c>
      <c r="L5" s="4" t="s">
        <v>646</v>
      </c>
      <c r="M5" s="4" t="s">
        <v>647</v>
      </c>
      <c r="N5" s="4" t="s">
        <v>648</v>
      </c>
    </row>
    <row r="6" spans="1:33" x14ac:dyDescent="0.15">
      <c r="A6" s="17" t="s">
        <v>649</v>
      </c>
      <c r="B6" s="18">
        <v>32</v>
      </c>
      <c r="C6" s="4">
        <v>100</v>
      </c>
      <c r="D6" s="4" t="e">
        <f ca="1">[1]!Pile(A6, 12)*100</f>
        <v>#NAME?</v>
      </c>
      <c r="E6" s="4" t="e">
        <f ca="1">[1]!Pile(A6, 22)*10*10*10*10</f>
        <v>#NAME?</v>
      </c>
      <c r="F6" s="104" t="e">
        <f ca="1">[1]!Pile(A6, 25)*10*10*10</f>
        <v>#NAME?</v>
      </c>
      <c r="G6" s="20" t="e">
        <f ca="1">[1]!PilePcFx(A6,2,1)*9.80665/100</f>
        <v>#NAME?</v>
      </c>
      <c r="H6" s="21">
        <f>1-(IF(0&gt;+B6*1000/C6-$E$19,0,(B6*1000/C6-$E$19)/100))</f>
        <v>-1.35</v>
      </c>
      <c r="I6" s="20" t="e">
        <f ca="1">[1]!PilePcFx(A6, 3,1)*9.80665/100</f>
        <v>#NAME?</v>
      </c>
      <c r="J6" s="20" t="e">
        <f ca="1">[1]!PilePcFx(A6,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[1]!PilePcFx(A6, 4, 1)*9.80665/100</f>
        <v>#NAME?</v>
      </c>
      <c r="N6" s="35" t="e">
        <f ca="1">[1]!PilePcFx(A6, 4, 2)*9.80665/100</f>
        <v>#NAME?</v>
      </c>
    </row>
    <row r="7" spans="1:33" x14ac:dyDescent="0.15">
      <c r="A7" s="17" t="s">
        <v>650</v>
      </c>
      <c r="B7" s="18">
        <v>9</v>
      </c>
      <c r="C7" s="4" t="e">
        <f ca="1">[2]!Pile(A7, 1)</f>
        <v>#NAME?</v>
      </c>
      <c r="D7" s="4" t="e">
        <f ca="1">[1]!Pile(A7, 12)*100</f>
        <v>#NAME?</v>
      </c>
      <c r="E7" s="4" t="e">
        <f ca="1">[1]!Pile(A7, 22)*10*10*10*10</f>
        <v>#NAME?</v>
      </c>
      <c r="F7" s="104" t="e">
        <f ca="1">[1]!Pile(A7, 25)*10*10*10</f>
        <v>#NAME?</v>
      </c>
      <c r="G7" s="20" t="e">
        <f ca="1">[1]!PilePcFx(A7,2,1)*9.80665/100</f>
        <v>#NAME?</v>
      </c>
      <c r="H7" s="21" t="e">
        <f ca="1">1-(IF(0&gt;+B7*1000/C7-$E$19,0,(B7*1000/C7-$E$19)/100))</f>
        <v>#NAME?</v>
      </c>
      <c r="I7" s="20" t="e">
        <f ca="1">[1]!PilePcFx(A7, 3,1)*9.80665/100</f>
        <v>#NAME?</v>
      </c>
      <c r="J7" s="20" t="e">
        <f ca="1">[1]!PilePcFx(A7,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[1]!PilePcFx(A7, 4, 1)*9.80665/100</f>
        <v>#NAME?</v>
      </c>
      <c r="N7" s="35" t="e">
        <f ca="1">[1]!PilePcFx(A7, 4, 2)*9.80665/100</f>
        <v>#NAME?</v>
      </c>
    </row>
    <row r="8" spans="1:33" x14ac:dyDescent="0.15">
      <c r="A8" s="17" t="s">
        <v>651</v>
      </c>
      <c r="B8" s="18">
        <v>9</v>
      </c>
      <c r="C8" s="4" t="e">
        <f ca="1">[1]!Pile(A8, 1)</f>
        <v>#NAME?</v>
      </c>
      <c r="D8" s="4" t="e">
        <f ca="1">[1]!Pile(A8, 12)*100</f>
        <v>#NAME?</v>
      </c>
      <c r="E8" s="4" t="e">
        <f ca="1">[1]!Pile(A8, 22)*10*10*10*10</f>
        <v>#NAME?</v>
      </c>
      <c r="F8" s="104" t="e">
        <f ca="1">[1]!Pile(A8, 25)*10*10*10</f>
        <v>#NAME?</v>
      </c>
      <c r="G8" s="20" t="e">
        <f ca="1">[1]!PilePcFx(A8,2,1)*9.80665/100</f>
        <v>#NAME?</v>
      </c>
      <c r="H8" s="21" t="e">
        <f ca="1">1-(IF(0&gt;+B8*1000/C8-$E$19,0,(B8*1000/C8-$E$19)/100))</f>
        <v>#NAME?</v>
      </c>
      <c r="I8" s="20" t="e">
        <f ca="1">[1]!PilePcFx(A8, 3,1)*9.80665/100</f>
        <v>#NAME?</v>
      </c>
      <c r="J8" s="20" t="e">
        <f ca="1">[1]!PilePcFx(A8,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[1]!PilePcFx(A8, 4, 1)*9.80665/100</f>
        <v>#NAME?</v>
      </c>
      <c r="N8" s="35" t="e">
        <f ca="1">[1]!PilePcFx(A8, 4, 2)*9.80665/100</f>
        <v>#NAME?</v>
      </c>
      <c r="O8" s="5"/>
    </row>
    <row r="9" spans="1:33" x14ac:dyDescent="0.15">
      <c r="A9" s="17" t="s">
        <v>652</v>
      </c>
      <c r="B9" s="18">
        <v>9</v>
      </c>
      <c r="C9" s="4" t="e">
        <f ca="1">[1]!Pile(A9, 1)</f>
        <v>#NAME?</v>
      </c>
      <c r="D9" s="4" t="e">
        <f ca="1">[1]!Pile(A9, 12)*100</f>
        <v>#NAME?</v>
      </c>
      <c r="E9" s="4" t="e">
        <f ca="1">[1]!Pile(A9, 22)*10*10*10*10</f>
        <v>#NAME?</v>
      </c>
      <c r="F9" s="104" t="e">
        <f ca="1">[1]!Pile(A9, 25)*10*10*10</f>
        <v>#NAME?</v>
      </c>
      <c r="G9" s="20" t="e">
        <f ca="1">[1]!PilePcFx(A9,2,1)*9.80665/100</f>
        <v>#NAME?</v>
      </c>
      <c r="H9" s="21" t="e">
        <f ca="1">1-(IF(0&gt;+B9*1000/C9-$E$19,0,(B9*1000/C9-$E$19)/100))</f>
        <v>#NAME?</v>
      </c>
      <c r="I9" s="20" t="e">
        <f ca="1">[1]!PilePcFx(A9, 3,1)*9.80665/100</f>
        <v>#NAME?</v>
      </c>
      <c r="J9" s="20" t="e">
        <f ca="1">[1]!PilePcFx(A9,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[1]!PilePcFx(A9, 4, 1)*9.80665/100</f>
        <v>#NAME?</v>
      </c>
      <c r="N9" s="35" t="e">
        <f ca="1">[1]!PilePcFx(A9, 4, 2)*9.80665/100</f>
        <v>#NAME?</v>
      </c>
    </row>
    <row r="10" spans="1:33" x14ac:dyDescent="0.15">
      <c r="A10" s="17" t="s">
        <v>653</v>
      </c>
      <c r="B10" s="18">
        <v>9</v>
      </c>
      <c r="C10" s="4" t="e">
        <f ca="1">[1]!Pile(A10, 1)</f>
        <v>#NAME?</v>
      </c>
      <c r="D10" s="4" t="e">
        <f ca="1">[1]!Pile(A10, 12)*100</f>
        <v>#NAME?</v>
      </c>
      <c r="E10" s="4" t="e">
        <f ca="1">[1]!Pile(A10, 22)*10*10*10*10</f>
        <v>#NAME?</v>
      </c>
      <c r="F10" s="104" t="e">
        <f ca="1">[1]!Pile(A10, 25)*10*10*10</f>
        <v>#NAME?</v>
      </c>
      <c r="G10" s="20" t="e">
        <f ca="1">[1]!PilePcFx(A10,2,1)*9.80665/100</f>
        <v>#NAME?</v>
      </c>
      <c r="H10" s="21" t="e">
        <f ca="1">1-(IF(0&gt;+B10*1000/C10-$E$19,0,(B10*1000/C10-$E$19)/100))</f>
        <v>#NAME?</v>
      </c>
      <c r="I10" s="20" t="e">
        <f ca="1">[1]!PilePcFx(A10, 3,1)*9.80665/100</f>
        <v>#NAME?</v>
      </c>
      <c r="J10" s="20" t="e">
        <f ca="1">[1]!PilePcFx(A10,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[1]!PilePcFx(A10, 4, 1)*9.80665/100</f>
        <v>#NAME?</v>
      </c>
      <c r="N10" s="35" t="e">
        <f ca="1">[1]!PilePcFx(A10,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4" t="s">
        <v>219</v>
      </c>
      <c r="C12" s="205"/>
      <c r="D12" s="205"/>
      <c r="E12" s="10" t="s">
        <v>654</v>
      </c>
      <c r="G12" s="19" t="s">
        <v>655</v>
      </c>
      <c r="H12" s="203" t="s">
        <v>220</v>
      </c>
      <c r="I12" s="203"/>
      <c r="J12" s="203"/>
      <c r="K12" s="3" t="s">
        <v>568</v>
      </c>
    </row>
    <row r="13" spans="1:33" ht="14.25" x14ac:dyDescent="0.15">
      <c r="A13" s="19" t="s">
        <v>656</v>
      </c>
      <c r="B13" s="204" t="s">
        <v>221</v>
      </c>
      <c r="C13" s="205"/>
      <c r="D13" s="205"/>
      <c r="E13" s="10" t="s">
        <v>716</v>
      </c>
      <c r="G13" s="19" t="s">
        <v>717</v>
      </c>
      <c r="H13" s="203" t="s">
        <v>222</v>
      </c>
      <c r="I13" s="203"/>
      <c r="J13" s="203"/>
      <c r="K13" s="3" t="s">
        <v>659</v>
      </c>
    </row>
    <row r="14" spans="1:33" ht="14.25" x14ac:dyDescent="0.15">
      <c r="A14" s="19" t="s">
        <v>660</v>
      </c>
      <c r="B14" s="204" t="s">
        <v>223</v>
      </c>
      <c r="C14" s="205"/>
      <c r="D14" s="205"/>
      <c r="E14" s="10" t="s">
        <v>661</v>
      </c>
      <c r="G14" s="19" t="s">
        <v>662</v>
      </c>
      <c r="H14" s="203" t="s">
        <v>224</v>
      </c>
      <c r="I14" s="203"/>
      <c r="J14" s="203"/>
      <c r="K14" s="3" t="s">
        <v>663</v>
      </c>
      <c r="L14" s="201" t="s">
        <v>664</v>
      </c>
      <c r="M14" s="202"/>
      <c r="AC14" s="19"/>
      <c r="AD14" s="25"/>
      <c r="AE14" s="4"/>
    </row>
    <row r="15" spans="1:33" ht="14.25" x14ac:dyDescent="0.15">
      <c r="A15" s="19" t="s">
        <v>665</v>
      </c>
      <c r="B15" s="204" t="s">
        <v>225</v>
      </c>
      <c r="C15" s="205"/>
      <c r="D15" s="205"/>
      <c r="E15" s="10" t="s">
        <v>666</v>
      </c>
      <c r="G15" s="19" t="s">
        <v>667</v>
      </c>
      <c r="H15" s="203" t="s">
        <v>226</v>
      </c>
      <c r="I15" s="203"/>
      <c r="J15" s="203"/>
      <c r="K15" s="3" t="s">
        <v>668</v>
      </c>
      <c r="L15" s="201" t="s">
        <v>669</v>
      </c>
      <c r="M15" s="202"/>
      <c r="S15" s="26"/>
      <c r="AC15" s="19"/>
      <c r="AD15" s="25"/>
      <c r="AG15" s="4"/>
    </row>
    <row r="16" spans="1:33" ht="14.25" x14ac:dyDescent="0.15">
      <c r="A16" s="19" t="s">
        <v>670</v>
      </c>
      <c r="B16" s="204" t="s">
        <v>227</v>
      </c>
      <c r="C16" s="205"/>
      <c r="D16" s="205"/>
      <c r="E16" s="10" t="s">
        <v>671</v>
      </c>
      <c r="G16" s="19" t="s">
        <v>672</v>
      </c>
      <c r="H16" s="203" t="s">
        <v>228</v>
      </c>
      <c r="I16" s="203"/>
      <c r="J16" s="203"/>
      <c r="K16" s="3" t="s">
        <v>673</v>
      </c>
      <c r="AD16" s="25"/>
    </row>
    <row r="17" spans="1:33" ht="14.25" x14ac:dyDescent="0.15">
      <c r="A17" s="19" t="s">
        <v>674</v>
      </c>
      <c r="B17" s="203" t="s">
        <v>229</v>
      </c>
      <c r="C17" s="203"/>
      <c r="D17" s="203"/>
      <c r="E17" s="3" t="s">
        <v>675</v>
      </c>
      <c r="G17" s="19" t="s">
        <v>676</v>
      </c>
      <c r="H17" s="203" t="s">
        <v>230</v>
      </c>
      <c r="I17" s="203"/>
      <c r="J17" s="203"/>
      <c r="K17" s="3" t="s">
        <v>677</v>
      </c>
      <c r="AC17" s="19"/>
      <c r="AD17" s="25"/>
      <c r="AG17" s="4"/>
    </row>
    <row r="18" spans="1:33" ht="13.5" x14ac:dyDescent="0.15">
      <c r="A18" s="19" t="s">
        <v>678</v>
      </c>
      <c r="B18" s="204" t="s">
        <v>231</v>
      </c>
      <c r="C18" s="205"/>
      <c r="D18" s="205"/>
      <c r="E18" s="204" t="s">
        <v>679</v>
      </c>
      <c r="F18" s="205"/>
      <c r="AC18" s="19"/>
      <c r="AD18" s="25"/>
      <c r="AG18" s="4"/>
    </row>
    <row r="19" spans="1:33" ht="13.5" x14ac:dyDescent="0.15">
      <c r="A19" s="19" t="s">
        <v>680</v>
      </c>
      <c r="B19" s="204" t="s">
        <v>232</v>
      </c>
      <c r="C19" s="205"/>
      <c r="D19" s="205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637</v>
      </c>
      <c r="C22" s="4" t="s">
        <v>681</v>
      </c>
      <c r="D22" s="4" t="s">
        <v>505</v>
      </c>
      <c r="E22" s="4" t="s">
        <v>636</v>
      </c>
      <c r="F22" s="4" t="s">
        <v>682</v>
      </c>
      <c r="G22" s="4" t="s">
        <v>683</v>
      </c>
      <c r="H22" s="4" t="s">
        <v>684</v>
      </c>
      <c r="I22" s="4" t="s">
        <v>685</v>
      </c>
      <c r="J22" s="4" t="s">
        <v>686</v>
      </c>
      <c r="K22" s="4" t="s">
        <v>687</v>
      </c>
      <c r="L22" s="4" t="s">
        <v>688</v>
      </c>
      <c r="M22" s="4" t="s">
        <v>689</v>
      </c>
      <c r="N22" s="4" t="s">
        <v>690</v>
      </c>
    </row>
    <row r="23" spans="1:33" x14ac:dyDescent="0.15">
      <c r="A23" s="27" t="str">
        <f>A6</f>
        <v>PHC30A</v>
      </c>
      <c r="B23" s="21">
        <v>0.1</v>
      </c>
      <c r="C23" s="28">
        <v>0.152</v>
      </c>
      <c r="D23" s="4">
        <f>B23*3.14</f>
        <v>0.31400000000000006</v>
      </c>
      <c r="E23" s="18">
        <v>3</v>
      </c>
      <c r="F23" s="105">
        <v>2</v>
      </c>
      <c r="G23" s="105">
        <v>0</v>
      </c>
      <c r="H23" s="18">
        <v>0</v>
      </c>
      <c r="I23" s="18">
        <v>3</v>
      </c>
      <c r="J23" s="18">
        <v>16</v>
      </c>
      <c r="K23" s="23">
        <f>1/3*100*C23*F23</f>
        <v>10.133333333333331</v>
      </c>
      <c r="L23" s="22">
        <f>1/3*(G23*H23*10/3+1/2*I23*J23)*D23</f>
        <v>2.5120000000000005</v>
      </c>
      <c r="M23" s="23">
        <f>+K23+L23</f>
        <v>12.645333333333332</v>
      </c>
      <c r="N23" s="23">
        <f>M23*2</f>
        <v>25.290666666666663</v>
      </c>
      <c r="P23" s="3">
        <f>1*1*20*2</f>
        <v>40</v>
      </c>
    </row>
    <row r="24" spans="1:33" x14ac:dyDescent="0.15">
      <c r="A24" s="27" t="str">
        <f>A7</f>
        <v>PHC35B</v>
      </c>
      <c r="B24" s="21">
        <v>0.55000000000000004</v>
      </c>
      <c r="C24" s="28">
        <f>B24^2*PI()/4</f>
        <v>0.23758294442772815</v>
      </c>
      <c r="D24" s="4">
        <f>B24*3.14</f>
        <v>1.7270000000000003</v>
      </c>
      <c r="E24" s="18">
        <v>7</v>
      </c>
      <c r="F24" s="105">
        <v>50</v>
      </c>
      <c r="G24" s="105">
        <v>0</v>
      </c>
      <c r="H24" s="18">
        <v>0</v>
      </c>
      <c r="I24" s="18">
        <v>0</v>
      </c>
      <c r="J24" s="18">
        <v>0</v>
      </c>
      <c r="K24" s="23">
        <f>1/3*300*C24*F24</f>
        <v>1187.9147221386409</v>
      </c>
      <c r="L24" s="22">
        <f>1/3*(G24*H24*10/3+1/2*I24*J24)*D24</f>
        <v>0</v>
      </c>
      <c r="M24" s="23">
        <f>+K24+L24</f>
        <v>1187.9147221386409</v>
      </c>
      <c r="N24" s="23">
        <f>M24*2</f>
        <v>2375.8294442772817</v>
      </c>
    </row>
    <row r="25" spans="1:33" x14ac:dyDescent="0.15">
      <c r="A25" s="27" t="str">
        <f>A8</f>
        <v>PHC45B</v>
      </c>
      <c r="B25" s="21">
        <v>0.6</v>
      </c>
      <c r="C25" s="28">
        <f>B25^2*PI()/4</f>
        <v>0.28274333882308139</v>
      </c>
      <c r="D25" s="4">
        <f>B25*3.14</f>
        <v>1.8839999999999999</v>
      </c>
      <c r="E25" s="18">
        <v>7</v>
      </c>
      <c r="F25" s="105">
        <v>50</v>
      </c>
      <c r="G25" s="105">
        <v>0</v>
      </c>
      <c r="H25" s="18">
        <v>0</v>
      </c>
      <c r="I25" s="18">
        <v>0</v>
      </c>
      <c r="J25" s="18">
        <v>0</v>
      </c>
      <c r="K25" s="23">
        <f>1/3*300*C25*F25</f>
        <v>1413.7166941154069</v>
      </c>
      <c r="L25" s="22">
        <f>1/3*(G25*H25*10/3+1/2*I25*J25)*D25</f>
        <v>0</v>
      </c>
      <c r="M25" s="23">
        <f>+K25+L25</f>
        <v>1413.7166941154069</v>
      </c>
      <c r="N25" s="23">
        <f>M25*2</f>
        <v>2827.4333882308138</v>
      </c>
      <c r="O25" s="5"/>
    </row>
    <row r="26" spans="1:33" x14ac:dyDescent="0.15">
      <c r="A26" s="27" t="str">
        <f>A9</f>
        <v>PHC50B</v>
      </c>
      <c r="B26" s="21">
        <v>0.65</v>
      </c>
      <c r="C26" s="28">
        <f>B26^2*PI()/4</f>
        <v>0.33183072403542191</v>
      </c>
      <c r="D26" s="4">
        <f>B26*3.14</f>
        <v>2.0410000000000004</v>
      </c>
      <c r="E26" s="18">
        <v>7</v>
      </c>
      <c r="F26" s="105">
        <v>50</v>
      </c>
      <c r="G26" s="105">
        <v>0</v>
      </c>
      <c r="H26" s="18">
        <v>0</v>
      </c>
      <c r="I26" s="18">
        <v>0</v>
      </c>
      <c r="J26" s="18">
        <v>0</v>
      </c>
      <c r="K26" s="23">
        <f>1/3*300*C26*F26</f>
        <v>1659.1536201771096</v>
      </c>
      <c r="L26" s="22">
        <f>1/3*(G26*H26*10/3+1/2*I26*J26)*D26</f>
        <v>0</v>
      </c>
      <c r="M26" s="23">
        <f>+K26+L26</f>
        <v>1659.1536201771096</v>
      </c>
      <c r="N26" s="23">
        <f>M26*2</f>
        <v>3318.3072403542192</v>
      </c>
      <c r="S26" s="26"/>
    </row>
    <row r="27" spans="1:33" x14ac:dyDescent="0.15">
      <c r="A27" s="27" t="str">
        <f>A10</f>
        <v>PHC60B</v>
      </c>
      <c r="B27" s="21">
        <v>0.75</v>
      </c>
      <c r="C27" s="28">
        <f>B27^2*PI()/4</f>
        <v>0.44178646691106466</v>
      </c>
      <c r="D27" s="4">
        <f>B27*3.14</f>
        <v>2.355</v>
      </c>
      <c r="E27" s="18">
        <v>7</v>
      </c>
      <c r="F27" s="105">
        <v>50</v>
      </c>
      <c r="G27" s="105">
        <v>0</v>
      </c>
      <c r="H27" s="18">
        <v>0</v>
      </c>
      <c r="I27" s="18">
        <v>0</v>
      </c>
      <c r="J27" s="18">
        <v>0</v>
      </c>
      <c r="K27" s="23">
        <f>1/3*300*C27*F27</f>
        <v>2208.9323345553235</v>
      </c>
      <c r="L27" s="22">
        <f>1/3*(G27*H27*10/3+1/2*I27*J27)*D27</f>
        <v>0</v>
      </c>
      <c r="M27" s="23">
        <f>+K27+L27</f>
        <v>2208.9323345553235</v>
      </c>
      <c r="N27" s="23">
        <f>M27*2</f>
        <v>4417.8646691106469</v>
      </c>
    </row>
    <row r="28" spans="1:33" x14ac:dyDescent="0.15">
      <c r="A28" s="155"/>
      <c r="B28" s="156"/>
      <c r="C28" s="157"/>
      <c r="D28" s="6"/>
      <c r="E28" s="15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9" t="s">
        <v>218</v>
      </c>
      <c r="B29" s="25" t="s">
        <v>219</v>
      </c>
      <c r="C29" s="4" t="s">
        <v>691</v>
      </c>
      <c r="D29" s="18"/>
      <c r="G29" s="18"/>
      <c r="J29" s="19" t="s">
        <v>692</v>
      </c>
      <c r="K29" s="3" t="s">
        <v>235</v>
      </c>
      <c r="M29" s="4" t="s">
        <v>693</v>
      </c>
    </row>
    <row r="30" spans="1:33" x14ac:dyDescent="0.15">
      <c r="A30" s="19" t="s">
        <v>234</v>
      </c>
      <c r="B30" s="3" t="s">
        <v>503</v>
      </c>
      <c r="K30" s="3" t="s">
        <v>694</v>
      </c>
      <c r="L30" s="31"/>
      <c r="M30" s="26"/>
    </row>
    <row r="31" spans="1:33" x14ac:dyDescent="0.15">
      <c r="A31" s="19" t="s">
        <v>695</v>
      </c>
      <c r="B31" s="3" t="s">
        <v>236</v>
      </c>
      <c r="C31" s="4" t="s">
        <v>696</v>
      </c>
      <c r="K31" s="19" t="s">
        <v>697</v>
      </c>
      <c r="L31" s="25" t="s">
        <v>238</v>
      </c>
      <c r="N31" s="25" t="s">
        <v>698</v>
      </c>
    </row>
    <row r="32" spans="1:33" ht="14.25" x14ac:dyDescent="0.15">
      <c r="A32" s="19" t="s">
        <v>699</v>
      </c>
      <c r="B32" s="25" t="s">
        <v>237</v>
      </c>
      <c r="C32" s="21"/>
      <c r="K32" s="19" t="s">
        <v>700</v>
      </c>
      <c r="L32" s="25" t="s">
        <v>240</v>
      </c>
      <c r="N32" s="25" t="s">
        <v>701</v>
      </c>
    </row>
    <row r="33" spans="1:19" x14ac:dyDescent="0.15">
      <c r="A33" s="32" t="s">
        <v>702</v>
      </c>
      <c r="B33" s="25" t="s">
        <v>239</v>
      </c>
      <c r="E33" s="4" t="s">
        <v>703</v>
      </c>
      <c r="J33" s="19" t="s">
        <v>704</v>
      </c>
      <c r="K33" s="3" t="s">
        <v>242</v>
      </c>
      <c r="M33" s="4" t="s">
        <v>91</v>
      </c>
      <c r="S33" s="26"/>
    </row>
    <row r="34" spans="1:19" x14ac:dyDescent="0.15">
      <c r="A34" s="32" t="s">
        <v>705</v>
      </c>
      <c r="B34" s="25" t="s">
        <v>241</v>
      </c>
      <c r="K34" s="25" t="s">
        <v>706</v>
      </c>
      <c r="O34" s="24"/>
    </row>
    <row r="35" spans="1:19" x14ac:dyDescent="0.15">
      <c r="A35" s="19" t="s">
        <v>707</v>
      </c>
      <c r="B35" s="25" t="s">
        <v>243</v>
      </c>
      <c r="C35" s="33"/>
      <c r="E35" s="4" t="s">
        <v>703</v>
      </c>
      <c r="J35" s="19" t="s">
        <v>708</v>
      </c>
      <c r="K35" s="3" t="s">
        <v>245</v>
      </c>
      <c r="O35" s="4" t="s">
        <v>90</v>
      </c>
    </row>
    <row r="36" spans="1:19" ht="14.25" x14ac:dyDescent="0.15">
      <c r="A36" s="29" t="s">
        <v>709</v>
      </c>
      <c r="B36" s="25" t="s">
        <v>244</v>
      </c>
      <c r="F36" s="4" t="s">
        <v>715</v>
      </c>
      <c r="J36" s="19" t="s">
        <v>718</v>
      </c>
      <c r="K36" s="3" t="s">
        <v>247</v>
      </c>
      <c r="O36" s="4" t="s">
        <v>712</v>
      </c>
    </row>
    <row r="37" spans="1:19" x14ac:dyDescent="0.15">
      <c r="B37" s="19" t="s">
        <v>713</v>
      </c>
      <c r="C37" s="25" t="s">
        <v>246</v>
      </c>
    </row>
    <row r="38" spans="1:19" ht="14.25" x14ac:dyDescent="0.15">
      <c r="C38" s="19" t="s">
        <v>714</v>
      </c>
      <c r="D38" s="103">
        <f>G37/8.2</f>
        <v>0</v>
      </c>
      <c r="E38" s="3" t="s">
        <v>715</v>
      </c>
      <c r="F38" s="25" t="s">
        <v>248</v>
      </c>
      <c r="G38" s="109"/>
      <c r="H38" s="109"/>
    </row>
    <row r="39" spans="1:19" x14ac:dyDescent="0.15">
      <c r="D39" s="19"/>
    </row>
    <row r="47" spans="1:19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9" x14ac:dyDescent="0.15">
      <c r="A48" s="4"/>
      <c r="B48" s="4"/>
      <c r="C48" s="4"/>
      <c r="F48" s="4"/>
      <c r="G48" s="34"/>
      <c r="H48" s="24"/>
      <c r="I48" s="35"/>
      <c r="J48" s="10"/>
      <c r="K48" s="21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6" spans="1:11" x14ac:dyDescent="0.15">
      <c r="A56" s="19"/>
      <c r="F56" s="4"/>
      <c r="I56" s="19"/>
      <c r="K56" s="19"/>
    </row>
    <row r="57" spans="1:11" x14ac:dyDescent="0.15">
      <c r="A57" s="19"/>
      <c r="F57" s="19"/>
    </row>
    <row r="58" spans="1:11" x14ac:dyDescent="0.15">
      <c r="A58" s="19"/>
      <c r="F58" s="19"/>
      <c r="K58" s="19"/>
    </row>
    <row r="59" spans="1:11" x14ac:dyDescent="0.15">
      <c r="A59" s="19"/>
      <c r="F59" s="19"/>
      <c r="K59" s="4"/>
    </row>
    <row r="60" spans="1:11" x14ac:dyDescent="0.15">
      <c r="F60" s="19"/>
    </row>
    <row r="77" spans="1:1" x14ac:dyDescent="0.15">
      <c r="A77" s="25"/>
    </row>
    <row r="78" spans="1:1" x14ac:dyDescent="0.15">
      <c r="A78" s="10"/>
    </row>
    <row r="81" spans="1:1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15">
      <c r="A82" s="4"/>
      <c r="B82" s="21"/>
      <c r="C82" s="4"/>
      <c r="D82" s="4"/>
      <c r="E82" s="4"/>
      <c r="F82" s="34"/>
      <c r="G82" s="20"/>
      <c r="H82" s="19"/>
      <c r="I82" s="36"/>
      <c r="J82" s="4"/>
      <c r="K82" s="4"/>
      <c r="L82" s="34"/>
      <c r="M82" s="21"/>
      <c r="N82" s="21"/>
      <c r="O82" s="21"/>
      <c r="P82" s="21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J85" s="4"/>
    </row>
    <row r="88" spans="1:16" x14ac:dyDescent="0.15">
      <c r="A88" s="19"/>
      <c r="J88" s="19"/>
    </row>
    <row r="89" spans="1:16" x14ac:dyDescent="0.15">
      <c r="A89" s="19"/>
      <c r="J89" s="19"/>
    </row>
    <row r="90" spans="1:16" x14ac:dyDescent="0.15">
      <c r="A90" s="19"/>
    </row>
    <row r="91" spans="1:16" x14ac:dyDescent="0.15">
      <c r="A91" s="19"/>
      <c r="B91" s="25"/>
      <c r="G91" s="25"/>
      <c r="J91" s="19"/>
    </row>
    <row r="92" spans="1:16" x14ac:dyDescent="0.15">
      <c r="A92" s="19"/>
      <c r="E92" s="25"/>
      <c r="J92" s="19"/>
    </row>
    <row r="93" spans="1:16" x14ac:dyDescent="0.15">
      <c r="B93" s="25"/>
      <c r="J93" s="19"/>
    </row>
    <row r="94" spans="1:16" x14ac:dyDescent="0.15">
      <c r="A94" s="19"/>
      <c r="E94" s="25"/>
      <c r="J94" s="19"/>
    </row>
    <row r="95" spans="1:16" x14ac:dyDescent="0.15">
      <c r="A95" s="19"/>
      <c r="B95" s="25"/>
      <c r="E95" s="4"/>
      <c r="J95" s="19"/>
    </row>
    <row r="96" spans="1:16" x14ac:dyDescent="0.15">
      <c r="A96" s="19"/>
      <c r="B96" s="25"/>
      <c r="C96" s="25"/>
      <c r="F96" s="25"/>
    </row>
    <row r="100" spans="1:17" x14ac:dyDescent="0.15">
      <c r="A100" s="5"/>
      <c r="B100" s="5"/>
      <c r="C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</row>
    <row r="101" spans="1:17" x14ac:dyDescent="0.1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5"/>
    </row>
    <row r="102" spans="1:17" x14ac:dyDescent="0.15">
      <c r="A102" s="5"/>
      <c r="B102" s="30"/>
      <c r="C102" s="30"/>
      <c r="D102" s="30"/>
      <c r="E102" s="30"/>
      <c r="F102" s="37"/>
      <c r="G102" s="30"/>
      <c r="H102" s="30"/>
      <c r="I102" s="30"/>
      <c r="J102" s="30"/>
      <c r="K102" s="30"/>
      <c r="L102" s="30"/>
      <c r="M102" s="37"/>
      <c r="N102" s="30"/>
      <c r="O102" s="30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P103" s="5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</sheetData>
  <mergeCells count="18">
    <mergeCell ref="B12:D12"/>
    <mergeCell ref="B13:D13"/>
    <mergeCell ref="B14:D14"/>
    <mergeCell ref="B15:D15"/>
    <mergeCell ref="H12:J12"/>
    <mergeCell ref="H13:J13"/>
    <mergeCell ref="H14:J14"/>
    <mergeCell ref="H15:J15"/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AG104"/>
  <sheetViews>
    <sheetView workbookViewId="0">
      <selection activeCell="E28" sqref="E28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636</v>
      </c>
      <c r="C5" s="4" t="s">
        <v>637</v>
      </c>
      <c r="D5" s="4" t="s">
        <v>638</v>
      </c>
      <c r="E5" s="4" t="s">
        <v>639</v>
      </c>
      <c r="F5" s="4" t="s">
        <v>640</v>
      </c>
      <c r="G5" s="4" t="s">
        <v>641</v>
      </c>
      <c r="H5" s="4" t="s">
        <v>642</v>
      </c>
      <c r="I5" s="4" t="s">
        <v>643</v>
      </c>
      <c r="J5" s="4" t="s">
        <v>644</v>
      </c>
      <c r="K5" s="4" t="s">
        <v>645</v>
      </c>
      <c r="L5" s="4" t="s">
        <v>646</v>
      </c>
      <c r="M5" s="4" t="s">
        <v>647</v>
      </c>
      <c r="N5" s="4" t="s">
        <v>648</v>
      </c>
    </row>
    <row r="6" spans="1:33" x14ac:dyDescent="0.15">
      <c r="A6" s="17" t="s">
        <v>649</v>
      </c>
      <c r="B6" s="18">
        <v>32</v>
      </c>
      <c r="C6" s="4" t="e">
        <f ca="1">[1]!Pile(A6, 1)</f>
        <v>#NAME?</v>
      </c>
      <c r="D6" s="4" t="e">
        <f ca="1">[1]!Pile(A6, 12)*100</f>
        <v>#NAME?</v>
      </c>
      <c r="E6" s="4" t="e">
        <f ca="1">[1]!Pile(A6, 22)*10*10*10*10</f>
        <v>#NAME?</v>
      </c>
      <c r="F6" s="104" t="e">
        <f ca="1">[1]!Pile(A6, 25)*10*10*10</f>
        <v>#NAME?</v>
      </c>
      <c r="G6" s="20" t="e">
        <f ca="1">[1]!PilePcFx(A6,2,1)*9.80665/100</f>
        <v>#NAME?</v>
      </c>
      <c r="H6" s="21" t="e">
        <f ca="1">1-(IF(0&gt;+B6*1000/C6-$E$19,0,(B6*1000/C6-$E$19)/100))</f>
        <v>#NAME?</v>
      </c>
      <c r="I6" s="20" t="e">
        <f ca="1">[1]!PilePcFx(A6, 3,1)*9.80665/100</f>
        <v>#NAME?</v>
      </c>
      <c r="J6" s="20" t="e">
        <f ca="1">[1]!PilePcFx(A6,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[1]!PilePcFx(A6, 4, 1)*9.80665/100</f>
        <v>#NAME?</v>
      </c>
      <c r="N6" s="35" t="e">
        <f ca="1">[1]!PilePcFx(A6, 4, 2)*9.80665/100</f>
        <v>#NAME?</v>
      </c>
    </row>
    <row r="7" spans="1:33" x14ac:dyDescent="0.15">
      <c r="A7" s="17" t="s">
        <v>650</v>
      </c>
      <c r="B7" s="18">
        <v>9</v>
      </c>
      <c r="C7" s="4" t="e">
        <f ca="1">[1]!Pile(A7, 1)</f>
        <v>#NAME?</v>
      </c>
      <c r="D7" s="4" t="e">
        <f ca="1">[1]!Pile(A7, 12)*100</f>
        <v>#NAME?</v>
      </c>
      <c r="E7" s="4" t="e">
        <f ca="1">[1]!Pile(A7, 22)*10*10*10*10</f>
        <v>#NAME?</v>
      </c>
      <c r="F7" s="104" t="e">
        <f ca="1">[1]!Pile(A7, 25)*10*10*10</f>
        <v>#NAME?</v>
      </c>
      <c r="G7" s="20" t="e">
        <f ca="1">[1]!PilePcFx(A7,2,1)*9.80665/100</f>
        <v>#NAME?</v>
      </c>
      <c r="H7" s="21" t="e">
        <f ca="1">1-(IF(0&gt;+B7*1000/C7-$E$19,0,(B7*1000/C7-$E$19)/100))</f>
        <v>#NAME?</v>
      </c>
      <c r="I7" s="20" t="e">
        <f ca="1">[1]!PilePcFx(A7, 3,1)*9.80665/100</f>
        <v>#NAME?</v>
      </c>
      <c r="J7" s="20" t="e">
        <f ca="1">[1]!PilePcFx(A7,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[1]!PilePcFx(A7, 4, 1)*9.80665/100</f>
        <v>#NAME?</v>
      </c>
      <c r="N7" s="35" t="e">
        <f ca="1">[1]!PilePcFx(A7, 4, 2)*9.80665/100</f>
        <v>#NAME?</v>
      </c>
    </row>
    <row r="8" spans="1:33" x14ac:dyDescent="0.15">
      <c r="A8" s="17" t="s">
        <v>651</v>
      </c>
      <c r="B8" s="18">
        <v>9</v>
      </c>
      <c r="C8" s="4" t="e">
        <f ca="1">[1]!Pile(A8, 1)</f>
        <v>#NAME?</v>
      </c>
      <c r="D8" s="4" t="e">
        <f ca="1">[1]!Pile(A8, 12)*100</f>
        <v>#NAME?</v>
      </c>
      <c r="E8" s="4" t="e">
        <f ca="1">[1]!Pile(A8, 22)*10*10*10*10</f>
        <v>#NAME?</v>
      </c>
      <c r="F8" s="104" t="e">
        <f ca="1">[1]!Pile(A8, 25)*10*10*10</f>
        <v>#NAME?</v>
      </c>
      <c r="G8" s="20" t="e">
        <f ca="1">[1]!PilePcFx(A8,2,1)*9.80665/100</f>
        <v>#NAME?</v>
      </c>
      <c r="H8" s="21" t="e">
        <f ca="1">1-(IF(0&gt;+B8*1000/C8-$E$19,0,(B8*1000/C8-$E$19)/100))</f>
        <v>#NAME?</v>
      </c>
      <c r="I8" s="20" t="e">
        <f ca="1">[1]!PilePcFx(A8, 3,1)*9.80665/100</f>
        <v>#NAME?</v>
      </c>
      <c r="J8" s="20" t="e">
        <f ca="1">[1]!PilePcFx(A8,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[1]!PilePcFx(A8, 4, 1)*9.80665/100</f>
        <v>#NAME?</v>
      </c>
      <c r="N8" s="35" t="e">
        <f ca="1">[1]!PilePcFx(A8, 4, 2)*9.80665/100</f>
        <v>#NAME?</v>
      </c>
      <c r="O8" s="5"/>
    </row>
    <row r="9" spans="1:33" x14ac:dyDescent="0.15">
      <c r="A9" s="17" t="s">
        <v>652</v>
      </c>
      <c r="B9" s="18">
        <v>9</v>
      </c>
      <c r="C9" s="4" t="e">
        <f ca="1">[1]!Pile(A9, 1)</f>
        <v>#NAME?</v>
      </c>
      <c r="D9" s="4" t="e">
        <f ca="1">[1]!Pile(A9, 12)*100</f>
        <v>#NAME?</v>
      </c>
      <c r="E9" s="4" t="e">
        <f ca="1">[1]!Pile(A9, 22)*10*10*10*10</f>
        <v>#NAME?</v>
      </c>
      <c r="F9" s="104" t="e">
        <f ca="1">[1]!Pile(A9, 25)*10*10*10</f>
        <v>#NAME?</v>
      </c>
      <c r="G9" s="20" t="e">
        <f ca="1">[1]!PilePcFx(A9,2,1)*9.80665/100</f>
        <v>#NAME?</v>
      </c>
      <c r="H9" s="21" t="e">
        <f ca="1">1-(IF(0&gt;+B9*1000/C9-$E$19,0,(B9*1000/C9-$E$19)/100))</f>
        <v>#NAME?</v>
      </c>
      <c r="I9" s="20" t="e">
        <f ca="1">[1]!PilePcFx(A9, 3,1)*9.80665/100</f>
        <v>#NAME?</v>
      </c>
      <c r="J9" s="20" t="e">
        <f ca="1">[1]!PilePcFx(A9,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[1]!PilePcFx(A9, 4, 1)*9.80665/100</f>
        <v>#NAME?</v>
      </c>
      <c r="N9" s="35" t="e">
        <f ca="1">[1]!PilePcFx(A9, 4, 2)*9.80665/100</f>
        <v>#NAME?</v>
      </c>
    </row>
    <row r="10" spans="1:33" x14ac:dyDescent="0.15">
      <c r="A10" s="17" t="s">
        <v>653</v>
      </c>
      <c r="B10" s="18">
        <v>9</v>
      </c>
      <c r="C10" s="4" t="e">
        <f ca="1">[1]!Pile(A10, 1)</f>
        <v>#NAME?</v>
      </c>
      <c r="D10" s="4" t="e">
        <f ca="1">[1]!Pile(A10, 12)*100</f>
        <v>#NAME?</v>
      </c>
      <c r="E10" s="4" t="e">
        <f ca="1">[1]!Pile(A10, 22)*10*10*10*10</f>
        <v>#NAME?</v>
      </c>
      <c r="F10" s="104" t="e">
        <f ca="1">[1]!Pile(A10, 25)*10*10*10</f>
        <v>#NAME?</v>
      </c>
      <c r="G10" s="20" t="e">
        <f ca="1">[1]!PilePcFx(A10,2,1)*9.80665/100</f>
        <v>#NAME?</v>
      </c>
      <c r="H10" s="21" t="e">
        <f ca="1">1-(IF(0&gt;+B10*1000/C10-$E$19,0,(B10*1000/C10-$E$19)/100))</f>
        <v>#NAME?</v>
      </c>
      <c r="I10" s="20" t="e">
        <f ca="1">[1]!PilePcFx(A10, 3,1)*9.80665/100</f>
        <v>#NAME?</v>
      </c>
      <c r="J10" s="20" t="e">
        <f ca="1">[1]!PilePcFx(A10,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[1]!PilePcFx(A10, 4, 1)*9.80665/100</f>
        <v>#NAME?</v>
      </c>
      <c r="N10" s="35" t="e">
        <f ca="1">[1]!PilePcFx(A10,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4" t="s">
        <v>219</v>
      </c>
      <c r="C12" s="205"/>
      <c r="D12" s="205"/>
      <c r="E12" s="10" t="s">
        <v>654</v>
      </c>
      <c r="G12" s="19" t="s">
        <v>655</v>
      </c>
      <c r="H12" s="203" t="s">
        <v>220</v>
      </c>
      <c r="I12" s="203"/>
      <c r="J12" s="203"/>
      <c r="K12" s="3" t="s">
        <v>568</v>
      </c>
    </row>
    <row r="13" spans="1:33" ht="14.25" x14ac:dyDescent="0.15">
      <c r="A13" s="19" t="s">
        <v>656</v>
      </c>
      <c r="B13" s="204" t="s">
        <v>221</v>
      </c>
      <c r="C13" s="205"/>
      <c r="D13" s="205"/>
      <c r="E13" s="10" t="s">
        <v>657</v>
      </c>
      <c r="G13" s="19" t="s">
        <v>658</v>
      </c>
      <c r="H13" s="203" t="s">
        <v>222</v>
      </c>
      <c r="I13" s="203"/>
      <c r="J13" s="203"/>
      <c r="K13" s="3" t="s">
        <v>659</v>
      </c>
    </row>
    <row r="14" spans="1:33" ht="14.25" x14ac:dyDescent="0.15">
      <c r="A14" s="19" t="s">
        <v>660</v>
      </c>
      <c r="B14" s="204" t="s">
        <v>223</v>
      </c>
      <c r="C14" s="205"/>
      <c r="D14" s="205"/>
      <c r="E14" s="10" t="s">
        <v>661</v>
      </c>
      <c r="G14" s="19" t="s">
        <v>662</v>
      </c>
      <c r="H14" s="203" t="s">
        <v>224</v>
      </c>
      <c r="I14" s="203"/>
      <c r="J14" s="203"/>
      <c r="K14" s="3" t="s">
        <v>663</v>
      </c>
      <c r="L14" s="201" t="s">
        <v>664</v>
      </c>
      <c r="M14" s="202"/>
      <c r="AC14" s="19"/>
      <c r="AD14" s="25"/>
      <c r="AE14" s="4"/>
    </row>
    <row r="15" spans="1:33" ht="14.25" x14ac:dyDescent="0.15">
      <c r="A15" s="19" t="s">
        <v>665</v>
      </c>
      <c r="B15" s="204" t="s">
        <v>225</v>
      </c>
      <c r="C15" s="205"/>
      <c r="D15" s="205"/>
      <c r="E15" s="10" t="s">
        <v>666</v>
      </c>
      <c r="G15" s="19" t="s">
        <v>667</v>
      </c>
      <c r="H15" s="203" t="s">
        <v>226</v>
      </c>
      <c r="I15" s="203"/>
      <c r="J15" s="203"/>
      <c r="K15" s="3" t="s">
        <v>668</v>
      </c>
      <c r="L15" s="201" t="s">
        <v>669</v>
      </c>
      <c r="M15" s="202"/>
      <c r="S15" s="26"/>
      <c r="AC15" s="19"/>
      <c r="AD15" s="25"/>
      <c r="AG15" s="4"/>
    </row>
    <row r="16" spans="1:33" ht="14.25" x14ac:dyDescent="0.15">
      <c r="A16" s="19" t="s">
        <v>670</v>
      </c>
      <c r="B16" s="204" t="s">
        <v>227</v>
      </c>
      <c r="C16" s="205"/>
      <c r="D16" s="205"/>
      <c r="E16" s="10" t="s">
        <v>671</v>
      </c>
      <c r="G16" s="19" t="s">
        <v>672</v>
      </c>
      <c r="H16" s="203" t="s">
        <v>228</v>
      </c>
      <c r="I16" s="203"/>
      <c r="J16" s="203"/>
      <c r="K16" s="3" t="s">
        <v>673</v>
      </c>
      <c r="AD16" s="25"/>
    </row>
    <row r="17" spans="1:33" ht="14.25" x14ac:dyDescent="0.15">
      <c r="A17" s="19" t="s">
        <v>674</v>
      </c>
      <c r="B17" s="203" t="s">
        <v>229</v>
      </c>
      <c r="C17" s="203"/>
      <c r="D17" s="203"/>
      <c r="E17" s="3" t="s">
        <v>675</v>
      </c>
      <c r="G17" s="19" t="s">
        <v>676</v>
      </c>
      <c r="H17" s="203" t="s">
        <v>230</v>
      </c>
      <c r="I17" s="203"/>
      <c r="J17" s="203"/>
      <c r="K17" s="3" t="s">
        <v>677</v>
      </c>
      <c r="AC17" s="19"/>
      <c r="AD17" s="25"/>
      <c r="AG17" s="4"/>
    </row>
    <row r="18" spans="1:33" ht="13.5" x14ac:dyDescent="0.15">
      <c r="A18" s="19" t="s">
        <v>678</v>
      </c>
      <c r="B18" s="204" t="s">
        <v>231</v>
      </c>
      <c r="C18" s="205"/>
      <c r="D18" s="205"/>
      <c r="E18" s="204" t="s">
        <v>679</v>
      </c>
      <c r="F18" s="205"/>
      <c r="AC18" s="19"/>
      <c r="AD18" s="25"/>
      <c r="AG18" s="4"/>
    </row>
    <row r="19" spans="1:33" ht="13.5" x14ac:dyDescent="0.15">
      <c r="A19" s="19" t="s">
        <v>680</v>
      </c>
      <c r="B19" s="204" t="s">
        <v>232</v>
      </c>
      <c r="C19" s="205"/>
      <c r="D19" s="205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637</v>
      </c>
      <c r="C22" s="4" t="s">
        <v>681</v>
      </c>
      <c r="D22" s="4" t="s">
        <v>505</v>
      </c>
      <c r="E22" s="4" t="s">
        <v>636</v>
      </c>
      <c r="F22" s="4" t="s">
        <v>682</v>
      </c>
      <c r="G22" s="4" t="s">
        <v>683</v>
      </c>
      <c r="H22" s="4" t="s">
        <v>684</v>
      </c>
      <c r="I22" s="4" t="s">
        <v>685</v>
      </c>
      <c r="J22" s="4" t="s">
        <v>686</v>
      </c>
      <c r="K22" s="4" t="s">
        <v>687</v>
      </c>
      <c r="L22" s="4" t="s">
        <v>688</v>
      </c>
      <c r="M22" s="4" t="s">
        <v>689</v>
      </c>
      <c r="N22" s="4" t="s">
        <v>690</v>
      </c>
    </row>
    <row r="23" spans="1:33" x14ac:dyDescent="0.15">
      <c r="A23" s="27" t="str">
        <f>A6</f>
        <v>PHC30A</v>
      </c>
      <c r="B23" s="21">
        <v>0.45</v>
      </c>
      <c r="C23" s="28">
        <f>B23^2*PI()/4</f>
        <v>0.15904312808798329</v>
      </c>
      <c r="D23" s="4">
        <f>B23*3.14</f>
        <v>1.413</v>
      </c>
      <c r="E23" s="18">
        <v>7</v>
      </c>
      <c r="F23" s="105">
        <v>50</v>
      </c>
      <c r="G23" s="105">
        <v>0</v>
      </c>
      <c r="H23" s="18">
        <v>0</v>
      </c>
      <c r="I23" s="18">
        <v>0</v>
      </c>
      <c r="J23" s="18">
        <v>0</v>
      </c>
      <c r="K23" s="23">
        <f>1/3*425*C23*F23</f>
        <v>1126.5554906232148</v>
      </c>
      <c r="L23" s="22">
        <f>1/3*(G23*H23*10/3+1/2*I23*J23)*D23</f>
        <v>0</v>
      </c>
      <c r="M23" s="23">
        <f>+K23+L23</f>
        <v>1126.5554906232148</v>
      </c>
      <c r="N23" s="23">
        <f>M23*2</f>
        <v>2253.1109812464297</v>
      </c>
      <c r="P23" s="3">
        <f>1*1*20*2</f>
        <v>40</v>
      </c>
    </row>
    <row r="24" spans="1:33" x14ac:dyDescent="0.15">
      <c r="A24" s="27" t="str">
        <f>A7</f>
        <v>PHC35B</v>
      </c>
      <c r="B24" s="21">
        <v>0.55000000000000004</v>
      </c>
      <c r="C24" s="28">
        <f>B24^2*PI()/4</f>
        <v>0.23758294442772815</v>
      </c>
      <c r="D24" s="4">
        <f>B24*3.14</f>
        <v>1.7270000000000003</v>
      </c>
      <c r="E24" s="18">
        <v>7</v>
      </c>
      <c r="F24" s="105">
        <v>50</v>
      </c>
      <c r="G24" s="105">
        <v>0</v>
      </c>
      <c r="H24" s="18">
        <v>0</v>
      </c>
      <c r="I24" s="18">
        <v>0</v>
      </c>
      <c r="J24" s="18">
        <v>0</v>
      </c>
      <c r="K24" s="23">
        <f>1/3*425*C24*F24</f>
        <v>1682.8791896964076</v>
      </c>
      <c r="L24" s="22">
        <f>1/3*(G24*H24*10/3+1/2*I24*J24)*D24</f>
        <v>0</v>
      </c>
      <c r="M24" s="23">
        <f>+K24+L24</f>
        <v>1682.8791896964076</v>
      </c>
      <c r="N24" s="23">
        <f>M24*2</f>
        <v>3365.7583793928152</v>
      </c>
    </row>
    <row r="25" spans="1:33" x14ac:dyDescent="0.15">
      <c r="A25" s="27" t="str">
        <f>A8</f>
        <v>PHC45B</v>
      </c>
      <c r="B25" s="21">
        <v>0.6</v>
      </c>
      <c r="C25" s="28">
        <f>B25^2*PI()/4</f>
        <v>0.28274333882308139</v>
      </c>
      <c r="D25" s="4">
        <f>B25*3.14</f>
        <v>1.8839999999999999</v>
      </c>
      <c r="E25" s="18">
        <v>7</v>
      </c>
      <c r="F25" s="105">
        <v>50</v>
      </c>
      <c r="G25" s="105">
        <v>0</v>
      </c>
      <c r="H25" s="18">
        <v>0</v>
      </c>
      <c r="I25" s="18">
        <v>0</v>
      </c>
      <c r="J25" s="18">
        <v>0</v>
      </c>
      <c r="K25" s="23">
        <f>1/3*425*C25*F25</f>
        <v>2002.765316663493</v>
      </c>
      <c r="L25" s="22">
        <f>1/3*(G25*H25*10/3+1/2*I25*J25)*D25</f>
        <v>0</v>
      </c>
      <c r="M25" s="23">
        <f>+K25+L25</f>
        <v>2002.765316663493</v>
      </c>
      <c r="N25" s="23">
        <f>M25*2</f>
        <v>4005.5306333269859</v>
      </c>
      <c r="O25" s="5"/>
    </row>
    <row r="26" spans="1:33" x14ac:dyDescent="0.15">
      <c r="A26" s="27" t="str">
        <f>A9</f>
        <v>PHC50B</v>
      </c>
      <c r="B26" s="21">
        <v>0.65</v>
      </c>
      <c r="C26" s="28">
        <f>B26^2*PI()/4</f>
        <v>0.33183072403542191</v>
      </c>
      <c r="D26" s="4">
        <f>B26*3.14</f>
        <v>2.0410000000000004</v>
      </c>
      <c r="E26" s="18">
        <v>7</v>
      </c>
      <c r="F26" s="105">
        <v>50</v>
      </c>
      <c r="G26" s="105">
        <v>0</v>
      </c>
      <c r="H26" s="18">
        <v>0</v>
      </c>
      <c r="I26" s="18">
        <v>0</v>
      </c>
      <c r="J26" s="18">
        <v>0</v>
      </c>
      <c r="K26" s="23">
        <f>1/3*425*C26*F26</f>
        <v>2350.4676285842384</v>
      </c>
      <c r="L26" s="22">
        <f>1/3*(G26*H26*10/3+1/2*I26*J26)*D26</f>
        <v>0</v>
      </c>
      <c r="M26" s="23">
        <f>+K26+L26</f>
        <v>2350.4676285842384</v>
      </c>
      <c r="N26" s="23">
        <f>M26*2</f>
        <v>4700.9352571684767</v>
      </c>
      <c r="S26" s="26"/>
    </row>
    <row r="27" spans="1:33" x14ac:dyDescent="0.15">
      <c r="A27" s="27" t="str">
        <f>A10</f>
        <v>PHC60B</v>
      </c>
      <c r="B27" s="21">
        <v>0.75</v>
      </c>
      <c r="C27" s="28">
        <f>B27^2*PI()/4</f>
        <v>0.44178646691106466</v>
      </c>
      <c r="D27" s="4">
        <f>B27*3.14</f>
        <v>2.355</v>
      </c>
      <c r="E27" s="18">
        <v>7</v>
      </c>
      <c r="F27" s="105">
        <v>50</v>
      </c>
      <c r="G27" s="105">
        <v>0</v>
      </c>
      <c r="H27" s="18">
        <v>0</v>
      </c>
      <c r="I27" s="18">
        <v>0</v>
      </c>
      <c r="J27" s="18">
        <v>0</v>
      </c>
      <c r="K27" s="23">
        <f>1/3*425*C27*F27</f>
        <v>3129.3208072867078</v>
      </c>
      <c r="L27" s="22">
        <f>1/3*(G27*H27*10/3+1/2*I27*J27)*D27</f>
        <v>0</v>
      </c>
      <c r="M27" s="23">
        <f>+K27+L27</f>
        <v>3129.3208072867078</v>
      </c>
      <c r="N27" s="23">
        <f>M27*2</f>
        <v>6258.6416145734156</v>
      </c>
    </row>
    <row r="28" spans="1:33" x14ac:dyDescent="0.15">
      <c r="A28" s="155"/>
      <c r="B28" s="156"/>
      <c r="C28" s="157"/>
      <c r="D28" s="6"/>
      <c r="E28" s="15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9" t="s">
        <v>218</v>
      </c>
      <c r="B29" s="25" t="s">
        <v>219</v>
      </c>
      <c r="C29" s="4" t="s">
        <v>691</v>
      </c>
      <c r="D29" s="18"/>
      <c r="G29" s="18"/>
      <c r="J29" s="19" t="s">
        <v>692</v>
      </c>
      <c r="K29" s="3" t="s">
        <v>235</v>
      </c>
      <c r="M29" s="4" t="s">
        <v>693</v>
      </c>
    </row>
    <row r="30" spans="1:33" x14ac:dyDescent="0.15">
      <c r="A30" s="19" t="s">
        <v>234</v>
      </c>
      <c r="B30" s="3" t="s">
        <v>503</v>
      </c>
      <c r="K30" s="3" t="s">
        <v>694</v>
      </c>
      <c r="L30" s="31"/>
      <c r="M30" s="26"/>
    </row>
    <row r="31" spans="1:33" x14ac:dyDescent="0.15">
      <c r="A31" s="19" t="s">
        <v>695</v>
      </c>
      <c r="B31" s="3" t="s">
        <v>236</v>
      </c>
      <c r="C31" s="4" t="s">
        <v>696</v>
      </c>
      <c r="K31" s="19" t="s">
        <v>697</v>
      </c>
      <c r="L31" s="25" t="s">
        <v>238</v>
      </c>
      <c r="N31" s="25" t="s">
        <v>698</v>
      </c>
    </row>
    <row r="32" spans="1:33" ht="14.25" x14ac:dyDescent="0.15">
      <c r="A32" s="19" t="s">
        <v>699</v>
      </c>
      <c r="B32" s="25" t="s">
        <v>237</v>
      </c>
      <c r="C32" s="21"/>
      <c r="K32" s="19" t="s">
        <v>700</v>
      </c>
      <c r="L32" s="25" t="s">
        <v>240</v>
      </c>
      <c r="N32" s="25" t="s">
        <v>701</v>
      </c>
    </row>
    <row r="33" spans="1:19" x14ac:dyDescent="0.15">
      <c r="A33" s="32" t="s">
        <v>702</v>
      </c>
      <c r="B33" s="25" t="s">
        <v>239</v>
      </c>
      <c r="E33" s="4" t="s">
        <v>703</v>
      </c>
      <c r="J33" s="19" t="s">
        <v>704</v>
      </c>
      <c r="K33" s="3" t="s">
        <v>242</v>
      </c>
      <c r="M33" s="4" t="s">
        <v>91</v>
      </c>
      <c r="S33" s="26"/>
    </row>
    <row r="34" spans="1:19" x14ac:dyDescent="0.15">
      <c r="A34" s="32" t="s">
        <v>705</v>
      </c>
      <c r="B34" s="25" t="s">
        <v>241</v>
      </c>
      <c r="K34" s="25" t="s">
        <v>706</v>
      </c>
      <c r="O34" s="24"/>
    </row>
    <row r="35" spans="1:19" x14ac:dyDescent="0.15">
      <c r="A35" s="19" t="s">
        <v>707</v>
      </c>
      <c r="B35" s="25" t="s">
        <v>243</v>
      </c>
      <c r="C35" s="33"/>
      <c r="E35" s="4" t="s">
        <v>703</v>
      </c>
      <c r="J35" s="19" t="s">
        <v>708</v>
      </c>
      <c r="K35" s="3" t="s">
        <v>245</v>
      </c>
      <c r="O35" s="4" t="s">
        <v>90</v>
      </c>
    </row>
    <row r="36" spans="1:19" ht="14.25" x14ac:dyDescent="0.15">
      <c r="A36" s="29" t="s">
        <v>709</v>
      </c>
      <c r="B36" s="25" t="s">
        <v>244</v>
      </c>
      <c r="F36" s="4" t="s">
        <v>710</v>
      </c>
      <c r="J36" s="19" t="s">
        <v>711</v>
      </c>
      <c r="K36" s="3" t="s">
        <v>247</v>
      </c>
      <c r="O36" s="4" t="s">
        <v>712</v>
      </c>
    </row>
    <row r="37" spans="1:19" x14ac:dyDescent="0.15">
      <c r="B37" s="19" t="s">
        <v>713</v>
      </c>
      <c r="C37" s="25" t="s">
        <v>246</v>
      </c>
    </row>
    <row r="38" spans="1:19" ht="14.25" x14ac:dyDescent="0.15">
      <c r="C38" s="19" t="s">
        <v>714</v>
      </c>
      <c r="D38" s="103">
        <f>G37/8.2</f>
        <v>0</v>
      </c>
      <c r="E38" s="3" t="s">
        <v>715</v>
      </c>
      <c r="F38" s="25" t="s">
        <v>248</v>
      </c>
      <c r="G38" s="109"/>
      <c r="H38" s="109"/>
    </row>
    <row r="39" spans="1:19" x14ac:dyDescent="0.15">
      <c r="D39" s="19"/>
    </row>
    <row r="47" spans="1:19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9" x14ac:dyDescent="0.15">
      <c r="A48" s="4"/>
      <c r="B48" s="4"/>
      <c r="C48" s="4"/>
      <c r="F48" s="4"/>
      <c r="G48" s="34"/>
      <c r="H48" s="24"/>
      <c r="I48" s="35"/>
      <c r="J48" s="10"/>
      <c r="K48" s="21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6" spans="1:11" x14ac:dyDescent="0.15">
      <c r="A56" s="19"/>
      <c r="F56" s="4"/>
      <c r="I56" s="19"/>
      <c r="K56" s="19"/>
    </row>
    <row r="57" spans="1:11" x14ac:dyDescent="0.15">
      <c r="A57" s="19"/>
      <c r="F57" s="19"/>
    </row>
    <row r="58" spans="1:11" x14ac:dyDescent="0.15">
      <c r="A58" s="19"/>
      <c r="F58" s="19"/>
      <c r="K58" s="19"/>
    </row>
    <row r="59" spans="1:11" x14ac:dyDescent="0.15">
      <c r="A59" s="19"/>
      <c r="F59" s="19"/>
      <c r="K59" s="4"/>
    </row>
    <row r="60" spans="1:11" x14ac:dyDescent="0.15">
      <c r="F60" s="19"/>
    </row>
    <row r="77" spans="1:1" x14ac:dyDescent="0.15">
      <c r="A77" s="25"/>
    </row>
    <row r="78" spans="1:1" x14ac:dyDescent="0.15">
      <c r="A78" s="10"/>
    </row>
    <row r="81" spans="1:1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15">
      <c r="A82" s="4"/>
      <c r="B82" s="21"/>
      <c r="C82" s="4"/>
      <c r="D82" s="4"/>
      <c r="E82" s="4"/>
      <c r="F82" s="34"/>
      <c r="G82" s="20"/>
      <c r="H82" s="19"/>
      <c r="I82" s="36"/>
      <c r="J82" s="4"/>
      <c r="K82" s="4"/>
      <c r="L82" s="34"/>
      <c r="M82" s="21"/>
      <c r="N82" s="21"/>
      <c r="O82" s="21"/>
      <c r="P82" s="21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J85" s="4"/>
    </row>
    <row r="88" spans="1:16" x14ac:dyDescent="0.15">
      <c r="A88" s="19"/>
      <c r="J88" s="19"/>
    </row>
    <row r="89" spans="1:16" x14ac:dyDescent="0.15">
      <c r="A89" s="19"/>
      <c r="J89" s="19"/>
    </row>
    <row r="90" spans="1:16" x14ac:dyDescent="0.15">
      <c r="A90" s="19"/>
    </row>
    <row r="91" spans="1:16" x14ac:dyDescent="0.15">
      <c r="A91" s="19"/>
      <c r="B91" s="25"/>
      <c r="G91" s="25"/>
      <c r="J91" s="19"/>
    </row>
    <row r="92" spans="1:16" x14ac:dyDescent="0.15">
      <c r="A92" s="19"/>
      <c r="E92" s="25"/>
      <c r="J92" s="19"/>
    </row>
    <row r="93" spans="1:16" x14ac:dyDescent="0.15">
      <c r="B93" s="25"/>
      <c r="J93" s="19"/>
    </row>
    <row r="94" spans="1:16" x14ac:dyDescent="0.15">
      <c r="A94" s="19"/>
      <c r="E94" s="25"/>
      <c r="J94" s="19"/>
    </row>
    <row r="95" spans="1:16" x14ac:dyDescent="0.15">
      <c r="A95" s="19"/>
      <c r="B95" s="25"/>
      <c r="E95" s="4"/>
      <c r="J95" s="19"/>
    </row>
    <row r="96" spans="1:16" x14ac:dyDescent="0.15">
      <c r="A96" s="19"/>
      <c r="B96" s="25"/>
      <c r="C96" s="25"/>
      <c r="F96" s="25"/>
    </row>
    <row r="100" spans="1:17" x14ac:dyDescent="0.15">
      <c r="A100" s="5"/>
      <c r="B100" s="5"/>
      <c r="C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</row>
    <row r="101" spans="1:17" x14ac:dyDescent="0.1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5"/>
    </row>
    <row r="102" spans="1:17" x14ac:dyDescent="0.15">
      <c r="A102" s="5"/>
      <c r="B102" s="30"/>
      <c r="C102" s="30"/>
      <c r="D102" s="30"/>
      <c r="E102" s="30"/>
      <c r="F102" s="37"/>
      <c r="G102" s="30"/>
      <c r="H102" s="30"/>
      <c r="I102" s="30"/>
      <c r="J102" s="30"/>
      <c r="K102" s="30"/>
      <c r="L102" s="30"/>
      <c r="M102" s="37"/>
      <c r="N102" s="30"/>
      <c r="O102" s="30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P103" s="5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</sheetData>
  <mergeCells count="18"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  <mergeCell ref="H12:J12"/>
    <mergeCell ref="H13:J13"/>
    <mergeCell ref="H14:J14"/>
    <mergeCell ref="H15:J15"/>
    <mergeCell ref="B12:D12"/>
    <mergeCell ref="B13:D13"/>
    <mergeCell ref="B14:D14"/>
    <mergeCell ref="B15:D15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G105"/>
  <sheetViews>
    <sheetView workbookViewId="0">
      <selection activeCell="K24" sqref="K24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4</v>
      </c>
      <c r="C5" s="4" t="s">
        <v>3</v>
      </c>
      <c r="D5" s="4" t="s">
        <v>5</v>
      </c>
      <c r="E5" s="4" t="s">
        <v>6</v>
      </c>
      <c r="F5" s="4" t="s">
        <v>7</v>
      </c>
      <c r="G5" s="4" t="s">
        <v>1</v>
      </c>
      <c r="H5" s="4" t="s">
        <v>0</v>
      </c>
      <c r="I5" s="4" t="s">
        <v>58</v>
      </c>
      <c r="J5" s="4" t="s">
        <v>59</v>
      </c>
      <c r="K5" s="4" t="s">
        <v>60</v>
      </c>
      <c r="L5" s="4" t="s">
        <v>61</v>
      </c>
      <c r="M5" s="4" t="s">
        <v>62</v>
      </c>
      <c r="N5" s="4" t="s">
        <v>63</v>
      </c>
    </row>
    <row r="6" spans="1:33" x14ac:dyDescent="0.15">
      <c r="A6" s="17" t="s">
        <v>631</v>
      </c>
      <c r="B6" s="18">
        <v>32</v>
      </c>
      <c r="C6" s="4" t="e">
        <f ca="1">[1]!Pile(A6, 1)</f>
        <v>#NAME?</v>
      </c>
      <c r="D6" s="4" t="e">
        <f ca="1">[1]!Pile(A6, 12)*100</f>
        <v>#NAME?</v>
      </c>
      <c r="E6" s="4" t="e">
        <f ca="1">[1]!Pile(A6, 22)*10*10*10*10</f>
        <v>#NAME?</v>
      </c>
      <c r="F6" s="104" t="e">
        <f ca="1">[1]!Pile(A6, 25)*10*10*10</f>
        <v>#NAME?</v>
      </c>
      <c r="G6" s="20" t="e">
        <f ca="1">[1]!PilePcFx(A6,2,1)*9.80665/100</f>
        <v>#NAME?</v>
      </c>
      <c r="H6" s="21" t="e">
        <f ca="1">1-(IF(0&gt;+B6*1000/C6-$E$19,0,(B6*1000/C6-$E$19)/100))</f>
        <v>#NAME?</v>
      </c>
      <c r="I6" s="20" t="e">
        <f ca="1">[1]!PilePcFx(A6, 3,1)*9.80665/100</f>
        <v>#NAME?</v>
      </c>
      <c r="J6" s="20" t="e">
        <f ca="1">[1]!PilePcFx(A6,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[1]!PilePcFx(A6, 4, 1)*9.80665/100</f>
        <v>#NAME?</v>
      </c>
      <c r="N6" s="35" t="e">
        <f ca="1">[1]!PilePcFx(A6, 4, 2)*9.80665/100</f>
        <v>#NAME?</v>
      </c>
    </row>
    <row r="7" spans="1:33" x14ac:dyDescent="0.15">
      <c r="A7" s="17" t="s">
        <v>632</v>
      </c>
      <c r="B7" s="18">
        <v>9</v>
      </c>
      <c r="C7" s="4" t="e">
        <f ca="1">[1]!Pile(A7, 1)</f>
        <v>#NAME?</v>
      </c>
      <c r="D7" s="4" t="e">
        <f ca="1">[1]!Pile(A7, 12)*100</f>
        <v>#NAME?</v>
      </c>
      <c r="E7" s="4" t="e">
        <f ca="1">[1]!Pile(A7, 22)*10*10*10*10</f>
        <v>#NAME?</v>
      </c>
      <c r="F7" s="104" t="e">
        <f ca="1">[1]!Pile(A7, 25)*10*10*10</f>
        <v>#NAME?</v>
      </c>
      <c r="G7" s="20" t="e">
        <f ca="1">[1]!PilePcFx(A7,2,1)*9.80665/100</f>
        <v>#NAME?</v>
      </c>
      <c r="H7" s="21" t="e">
        <f ca="1">1-(IF(0&gt;+B7*1000/C7-$E$19,0,(B7*1000/C7-$E$19)/100))</f>
        <v>#NAME?</v>
      </c>
      <c r="I7" s="20" t="e">
        <f ca="1">[1]!PilePcFx(A7, 3,1)*9.80665/100</f>
        <v>#NAME?</v>
      </c>
      <c r="J7" s="20" t="e">
        <f ca="1">[1]!PilePcFx(A7,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[1]!PilePcFx(A7, 4, 1)*9.80665/100</f>
        <v>#NAME?</v>
      </c>
      <c r="N7" s="35" t="e">
        <f ca="1">[1]!PilePcFx(A7, 4, 2)*9.80665/100</f>
        <v>#NAME?</v>
      </c>
    </row>
    <row r="8" spans="1:33" x14ac:dyDescent="0.15">
      <c r="A8" s="17" t="s">
        <v>633</v>
      </c>
      <c r="B8" s="18">
        <v>9</v>
      </c>
      <c r="C8" s="4" t="e">
        <f ca="1">[1]!Pile(A8, 1)</f>
        <v>#NAME?</v>
      </c>
      <c r="D8" s="4" t="e">
        <f ca="1">[1]!Pile(A8, 12)*100</f>
        <v>#NAME?</v>
      </c>
      <c r="E8" s="4" t="e">
        <f ca="1">[1]!Pile(A8, 22)*10*10*10*10</f>
        <v>#NAME?</v>
      </c>
      <c r="F8" s="104" t="e">
        <f ca="1">[1]!Pile(A8, 25)*10*10*10</f>
        <v>#NAME?</v>
      </c>
      <c r="G8" s="20" t="e">
        <f ca="1">[1]!PilePcFx(A8,2,1)*9.80665/100</f>
        <v>#NAME?</v>
      </c>
      <c r="H8" s="21" t="e">
        <f ca="1">1-(IF(0&gt;+B8*1000/C8-$E$19,0,(B8*1000/C8-$E$19)/100))</f>
        <v>#NAME?</v>
      </c>
      <c r="I8" s="20" t="e">
        <f ca="1">[1]!PilePcFx(A8, 3,1)*9.80665/100</f>
        <v>#NAME?</v>
      </c>
      <c r="J8" s="20" t="e">
        <f ca="1">[1]!PilePcFx(A8,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[1]!PilePcFx(A8, 4, 1)*9.80665/100</f>
        <v>#NAME?</v>
      </c>
      <c r="N8" s="35" t="e">
        <f ca="1">[1]!PilePcFx(A8, 4, 2)*9.80665/100</f>
        <v>#NAME?</v>
      </c>
      <c r="O8" s="5"/>
    </row>
    <row r="9" spans="1:33" x14ac:dyDescent="0.15">
      <c r="A9" s="17" t="s">
        <v>635</v>
      </c>
      <c r="B9" s="18">
        <v>9</v>
      </c>
      <c r="C9" s="4" t="e">
        <f ca="1">[1]!Pile(A9, 1)</f>
        <v>#NAME?</v>
      </c>
      <c r="D9" s="4" t="e">
        <f ca="1">[1]!Pile(A9, 12)*100</f>
        <v>#NAME?</v>
      </c>
      <c r="E9" s="4" t="e">
        <f ca="1">[1]!Pile(A9, 22)*10*10*10*10</f>
        <v>#NAME?</v>
      </c>
      <c r="F9" s="104" t="e">
        <f ca="1">[1]!Pile(A9, 25)*10*10*10</f>
        <v>#NAME?</v>
      </c>
      <c r="G9" s="20" t="e">
        <f ca="1">[1]!PilePcFx(A9,2,1)*9.80665/100</f>
        <v>#NAME?</v>
      </c>
      <c r="H9" s="21" t="e">
        <f ca="1">1-(IF(0&gt;+B9*1000/C9-$E$19,0,(B9*1000/C9-$E$19)/100))</f>
        <v>#NAME?</v>
      </c>
      <c r="I9" s="20" t="e">
        <f ca="1">[1]!PilePcFx(A9, 3,1)*9.80665/100</f>
        <v>#NAME?</v>
      </c>
      <c r="J9" s="20" t="e">
        <f ca="1">[1]!PilePcFx(A9,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[1]!PilePcFx(A9, 4, 1)*9.80665/100</f>
        <v>#NAME?</v>
      </c>
      <c r="N9" s="35" t="e">
        <f ca="1">[1]!PilePcFx(A9, 4, 2)*9.80665/100</f>
        <v>#NAME?</v>
      </c>
    </row>
    <row r="10" spans="1:33" x14ac:dyDescent="0.15">
      <c r="A10" s="17" t="s">
        <v>634</v>
      </c>
      <c r="B10" s="18">
        <v>9</v>
      </c>
      <c r="C10" s="4" t="e">
        <f ca="1">[1]!Pile(A10, 1)</f>
        <v>#NAME?</v>
      </c>
      <c r="D10" s="4" t="e">
        <f ca="1">[1]!Pile(A10, 12)*100</f>
        <v>#NAME?</v>
      </c>
      <c r="E10" s="4" t="e">
        <f ca="1">[1]!Pile(A10, 22)*10*10*10*10</f>
        <v>#NAME?</v>
      </c>
      <c r="F10" s="104" t="e">
        <f ca="1">[1]!Pile(A10, 25)*10*10*10</f>
        <v>#NAME?</v>
      </c>
      <c r="G10" s="20" t="e">
        <f ca="1">[1]!PilePcFx(A10,2,1)*9.80665/100</f>
        <v>#NAME?</v>
      </c>
      <c r="H10" s="21" t="e">
        <f ca="1">1-(IF(0&gt;+B10*1000/C10-$E$19,0,(B10*1000/C10-$E$19)/100))</f>
        <v>#NAME?</v>
      </c>
      <c r="I10" s="20" t="e">
        <f ca="1">[1]!PilePcFx(A10, 3,1)*9.80665/100</f>
        <v>#NAME?</v>
      </c>
      <c r="J10" s="20" t="e">
        <f ca="1">[1]!PilePcFx(A10,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[1]!PilePcFx(A10, 4, 1)*9.80665/100</f>
        <v>#NAME?</v>
      </c>
      <c r="N10" s="35" t="e">
        <f ca="1">[1]!PilePcFx(A10,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4" t="s">
        <v>219</v>
      </c>
      <c r="C12" s="205"/>
      <c r="D12" s="205"/>
      <c r="E12" s="10" t="s">
        <v>331</v>
      </c>
      <c r="G12" s="19" t="s">
        <v>64</v>
      </c>
      <c r="H12" s="203" t="s">
        <v>220</v>
      </c>
      <c r="I12" s="203"/>
      <c r="J12" s="203"/>
      <c r="K12" s="3" t="s">
        <v>335</v>
      </c>
    </row>
    <row r="13" spans="1:33" ht="14.25" x14ac:dyDescent="0.15">
      <c r="A13" s="19" t="s">
        <v>65</v>
      </c>
      <c r="B13" s="204" t="s">
        <v>221</v>
      </c>
      <c r="C13" s="205"/>
      <c r="D13" s="205"/>
      <c r="E13" s="10" t="s">
        <v>2</v>
      </c>
      <c r="G13" s="19" t="s">
        <v>66</v>
      </c>
      <c r="H13" s="203" t="s">
        <v>222</v>
      </c>
      <c r="I13" s="203"/>
      <c r="J13" s="203"/>
      <c r="K13" s="3" t="s">
        <v>335</v>
      </c>
    </row>
    <row r="14" spans="1:33" ht="14.25" x14ac:dyDescent="0.15">
      <c r="A14" s="19" t="s">
        <v>67</v>
      </c>
      <c r="B14" s="204" t="s">
        <v>223</v>
      </c>
      <c r="C14" s="205"/>
      <c r="D14" s="205"/>
      <c r="E14" s="10" t="s">
        <v>332</v>
      </c>
      <c r="G14" s="19" t="s">
        <v>68</v>
      </c>
      <c r="H14" s="203" t="s">
        <v>224</v>
      </c>
      <c r="I14" s="203"/>
      <c r="J14" s="203"/>
      <c r="K14" s="3" t="s">
        <v>87</v>
      </c>
      <c r="L14" s="201" t="s">
        <v>69</v>
      </c>
      <c r="M14" s="202"/>
      <c r="AC14" s="19"/>
      <c r="AD14" s="25"/>
      <c r="AE14" s="4"/>
    </row>
    <row r="15" spans="1:33" ht="14.25" x14ac:dyDescent="0.15">
      <c r="A15" s="19" t="s">
        <v>70</v>
      </c>
      <c r="B15" s="204" t="s">
        <v>225</v>
      </c>
      <c r="C15" s="205"/>
      <c r="D15" s="205"/>
      <c r="E15" s="10" t="s">
        <v>333</v>
      </c>
      <c r="G15" s="19" t="s">
        <v>71</v>
      </c>
      <c r="H15" s="203" t="s">
        <v>226</v>
      </c>
      <c r="I15" s="203"/>
      <c r="J15" s="203"/>
      <c r="K15" s="3" t="s">
        <v>88</v>
      </c>
      <c r="L15" s="201" t="s">
        <v>72</v>
      </c>
      <c r="M15" s="202"/>
      <c r="S15" s="26"/>
      <c r="AC15" s="19"/>
      <c r="AD15" s="25"/>
      <c r="AG15" s="4"/>
    </row>
    <row r="16" spans="1:33" ht="14.25" x14ac:dyDescent="0.15">
      <c r="A16" s="19" t="s">
        <v>73</v>
      </c>
      <c r="B16" s="204" t="s">
        <v>227</v>
      </c>
      <c r="C16" s="205"/>
      <c r="D16" s="205"/>
      <c r="E16" s="10" t="s">
        <v>334</v>
      </c>
      <c r="G16" s="19" t="s">
        <v>74</v>
      </c>
      <c r="H16" s="203" t="s">
        <v>228</v>
      </c>
      <c r="I16" s="203"/>
      <c r="J16" s="203"/>
      <c r="K16" s="3" t="s">
        <v>335</v>
      </c>
      <c r="AD16" s="25"/>
    </row>
    <row r="17" spans="1:33" ht="14.25" x14ac:dyDescent="0.15">
      <c r="A17" s="19" t="s">
        <v>75</v>
      </c>
      <c r="B17" s="203" t="s">
        <v>229</v>
      </c>
      <c r="C17" s="203"/>
      <c r="D17" s="203"/>
      <c r="E17" s="3" t="s">
        <v>335</v>
      </c>
      <c r="G17" s="19" t="s">
        <v>76</v>
      </c>
      <c r="H17" s="203" t="s">
        <v>230</v>
      </c>
      <c r="I17" s="203"/>
      <c r="J17" s="203"/>
      <c r="K17" s="3" t="s">
        <v>335</v>
      </c>
      <c r="AC17" s="19"/>
      <c r="AD17" s="25"/>
      <c r="AG17" s="4"/>
    </row>
    <row r="18" spans="1:33" ht="13.5" x14ac:dyDescent="0.15">
      <c r="A18" s="19" t="s">
        <v>77</v>
      </c>
      <c r="B18" s="204" t="s">
        <v>231</v>
      </c>
      <c r="C18" s="205"/>
      <c r="D18" s="205"/>
      <c r="E18" s="204" t="s">
        <v>78</v>
      </c>
      <c r="F18" s="205"/>
      <c r="AC18" s="19"/>
      <c r="AD18" s="25"/>
      <c r="AG18" s="4"/>
    </row>
    <row r="19" spans="1:33" ht="13.5" x14ac:dyDescent="0.15">
      <c r="A19" s="19" t="s">
        <v>79</v>
      </c>
      <c r="B19" s="204" t="s">
        <v>232</v>
      </c>
      <c r="C19" s="205"/>
      <c r="D19" s="205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3</v>
      </c>
      <c r="C22" s="4" t="s">
        <v>80</v>
      </c>
      <c r="D22" s="4" t="s">
        <v>505</v>
      </c>
      <c r="E22" s="4" t="s">
        <v>43</v>
      </c>
      <c r="F22" s="4" t="s">
        <v>44</v>
      </c>
      <c r="G22" s="4" t="s">
        <v>45</v>
      </c>
      <c r="H22" s="4" t="s">
        <v>46</v>
      </c>
      <c r="I22" s="4" t="s">
        <v>47</v>
      </c>
      <c r="J22" s="4" t="s">
        <v>48</v>
      </c>
      <c r="K22" s="4" t="s">
        <v>50</v>
      </c>
      <c r="L22" s="4" t="s">
        <v>51</v>
      </c>
      <c r="M22" s="4" t="s">
        <v>49</v>
      </c>
      <c r="N22" s="4" t="s">
        <v>52</v>
      </c>
    </row>
    <row r="23" spans="1:33" x14ac:dyDescent="0.15">
      <c r="A23" s="27" t="str">
        <f>A6</f>
        <v>PHC30A</v>
      </c>
      <c r="B23" s="21" t="e">
        <f ca="1">[1]!Pile(A23, 1)/1000</f>
        <v>#NAME?</v>
      </c>
      <c r="C23" s="28" t="e">
        <f ca="1">B23^2*PI()/4</f>
        <v>#NAME?</v>
      </c>
      <c r="D23" s="4" t="e">
        <f ca="1">B23*3.14</f>
        <v>#NAME?</v>
      </c>
      <c r="E23" s="18">
        <v>9</v>
      </c>
      <c r="F23" s="105">
        <v>50</v>
      </c>
      <c r="G23" s="105">
        <v>0</v>
      </c>
      <c r="H23" s="18">
        <v>13</v>
      </c>
      <c r="I23" s="18">
        <v>0</v>
      </c>
      <c r="J23" s="18">
        <v>0</v>
      </c>
      <c r="K23" s="23" t="e">
        <f ca="1">1/3*300*C23*F23</f>
        <v>#NAME?</v>
      </c>
      <c r="L23" s="22" t="e">
        <f ca="1">1/3*(G23*H23*10/3+1/2*I23*J23)*D23</f>
        <v>#NAME?</v>
      </c>
      <c r="M23" s="23" t="e">
        <f ca="1">+K23+L23</f>
        <v>#NAME?</v>
      </c>
      <c r="N23" s="23" t="e">
        <f ca="1">M23*2</f>
        <v>#NAME?</v>
      </c>
      <c r="P23" s="3">
        <f>1*1*20*2</f>
        <v>40</v>
      </c>
    </row>
    <row r="24" spans="1:33" x14ac:dyDescent="0.15">
      <c r="A24" s="27" t="str">
        <f>A7</f>
        <v>PHC35B</v>
      </c>
      <c r="B24" s="21" t="e">
        <f ca="1">[1]!Pile(A24, 1)/1000</f>
        <v>#NAME?</v>
      </c>
      <c r="C24" s="28" t="e">
        <f ca="1">B24^2*PI()/4</f>
        <v>#NAME?</v>
      </c>
      <c r="D24" s="4" t="e">
        <f ca="1">B24*3.14</f>
        <v>#NAME?</v>
      </c>
      <c r="E24" s="18">
        <v>9</v>
      </c>
      <c r="F24" s="105">
        <v>50</v>
      </c>
      <c r="G24" s="105">
        <v>0</v>
      </c>
      <c r="H24" s="18">
        <v>13</v>
      </c>
      <c r="I24" s="18">
        <v>0</v>
      </c>
      <c r="J24" s="18">
        <v>0</v>
      </c>
      <c r="K24" s="23" t="e">
        <f ca="1">1/3*200*C24*F24</f>
        <v>#NAME?</v>
      </c>
      <c r="L24" s="22" t="e">
        <f ca="1">1/3*(G24*H24*10/3+1/2*I24*J24)*D24</f>
        <v>#NAME?</v>
      </c>
      <c r="M24" s="23" t="e">
        <f ca="1">+K24+L24</f>
        <v>#NAME?</v>
      </c>
      <c r="N24" s="23" t="e">
        <f ca="1">M24*2</f>
        <v>#NAME?</v>
      </c>
    </row>
    <row r="25" spans="1:33" x14ac:dyDescent="0.15">
      <c r="A25" s="27" t="str">
        <f>A8</f>
        <v>PHC45B</v>
      </c>
      <c r="B25" s="21" t="e">
        <f ca="1">[1]!Pile(A25, 1)/1000</f>
        <v>#NAME?</v>
      </c>
      <c r="C25" s="28" t="e">
        <f ca="1">B25^2*PI()/4</f>
        <v>#NAME?</v>
      </c>
      <c r="D25" s="4" t="e">
        <f ca="1">B25*3.14</f>
        <v>#NAME?</v>
      </c>
      <c r="E25" s="18">
        <v>9</v>
      </c>
      <c r="F25" s="105">
        <v>50</v>
      </c>
      <c r="G25" s="105">
        <v>0</v>
      </c>
      <c r="H25" s="18">
        <v>13</v>
      </c>
      <c r="I25" s="18">
        <v>0</v>
      </c>
      <c r="J25" s="18">
        <v>0</v>
      </c>
      <c r="K25" s="23" t="e">
        <f ca="1">1/3*300*C25*F25</f>
        <v>#NAME?</v>
      </c>
      <c r="L25" s="22" t="e">
        <f ca="1">1/3*(G25*H25*10/3+1/2*I25*J25)*D25</f>
        <v>#NAME?</v>
      </c>
      <c r="M25" s="23" t="e">
        <f ca="1">+K25+L25</f>
        <v>#NAME?</v>
      </c>
      <c r="N25" s="23" t="e">
        <f ca="1">M25*2</f>
        <v>#NAME?</v>
      </c>
      <c r="O25" s="5"/>
    </row>
    <row r="26" spans="1:33" x14ac:dyDescent="0.15">
      <c r="A26" s="27" t="str">
        <f>A9</f>
        <v>PHC50B</v>
      </c>
      <c r="B26" s="21" t="e">
        <f ca="1">[1]!Pile(A26, 1)/1000</f>
        <v>#NAME?</v>
      </c>
      <c r="C26" s="28" t="e">
        <f ca="1">B26^2*PI()/4</f>
        <v>#NAME?</v>
      </c>
      <c r="D26" s="4" t="e">
        <f ca="1">B26*3.14</f>
        <v>#NAME?</v>
      </c>
      <c r="E26" s="18">
        <v>9</v>
      </c>
      <c r="F26" s="105">
        <v>50</v>
      </c>
      <c r="G26" s="105">
        <v>0</v>
      </c>
      <c r="H26" s="18">
        <v>13</v>
      </c>
      <c r="I26" s="18">
        <v>0</v>
      </c>
      <c r="J26" s="18">
        <v>0</v>
      </c>
      <c r="K26" s="23" t="e">
        <f ca="1">1/3*300*C26*F26</f>
        <v>#NAME?</v>
      </c>
      <c r="L26" s="22" t="e">
        <f ca="1">1/3*(G26*H26*10/3+1/2*I26*J26)*D26</f>
        <v>#NAME?</v>
      </c>
      <c r="M26" s="23" t="e">
        <f ca="1">+K26+L26</f>
        <v>#NAME?</v>
      </c>
      <c r="N26" s="23" t="e">
        <f ca="1">M26*2</f>
        <v>#NAME?</v>
      </c>
      <c r="S26" s="26"/>
    </row>
    <row r="27" spans="1:33" x14ac:dyDescent="0.15">
      <c r="A27" s="27" t="str">
        <f>A10</f>
        <v>PHC60B</v>
      </c>
      <c r="B27" s="21" t="e">
        <f ca="1">[1]!Pile(A27, 1)/1000</f>
        <v>#NAME?</v>
      </c>
      <c r="C27" s="28" t="e">
        <f ca="1">B27^2*PI()/4</f>
        <v>#NAME?</v>
      </c>
      <c r="D27" s="4" t="e">
        <f ca="1">B27*3.14</f>
        <v>#NAME?</v>
      </c>
      <c r="E27" s="18">
        <v>9</v>
      </c>
      <c r="F27" s="105">
        <v>50</v>
      </c>
      <c r="G27" s="105">
        <v>0</v>
      </c>
      <c r="H27" s="18">
        <v>13</v>
      </c>
      <c r="I27" s="18">
        <v>0</v>
      </c>
      <c r="J27" s="18">
        <v>0</v>
      </c>
      <c r="K27" s="23" t="e">
        <f ca="1">1/3*300*C27*F27</f>
        <v>#NAME?</v>
      </c>
      <c r="L27" s="22" t="e">
        <f ca="1">1/3*(G27*H27*10/3+1/2*I27*J27)*D27</f>
        <v>#NAME?</v>
      </c>
      <c r="M27" s="23" t="e">
        <f ca="1">+K27+L27</f>
        <v>#NAME?</v>
      </c>
      <c r="N27" s="23" t="e">
        <f ca="1">M27*2</f>
        <v>#NAME?</v>
      </c>
    </row>
    <row r="28" spans="1:33" x14ac:dyDescent="0.15">
      <c r="A28" s="155"/>
      <c r="B28" s="156"/>
      <c r="C28" s="157"/>
      <c r="D28" s="6"/>
      <c r="E28" s="1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55"/>
      <c r="B29" s="156"/>
      <c r="C29" s="157"/>
      <c r="D29" s="6"/>
      <c r="E29" s="158"/>
      <c r="F29" s="105"/>
      <c r="G29" s="105"/>
      <c r="H29" s="18"/>
      <c r="I29" s="158"/>
      <c r="J29" s="158"/>
      <c r="K29" s="159"/>
      <c r="L29" s="161"/>
      <c r="M29" s="159"/>
      <c r="N29" s="159"/>
    </row>
    <row r="30" spans="1:33" x14ac:dyDescent="0.15">
      <c r="A30" s="19" t="s">
        <v>81</v>
      </c>
      <c r="B30" s="25" t="s">
        <v>219</v>
      </c>
      <c r="C30" s="4" t="s">
        <v>2</v>
      </c>
      <c r="D30" s="18"/>
      <c r="G30" s="18"/>
      <c r="J30" s="19" t="s">
        <v>82</v>
      </c>
      <c r="K30" s="3" t="s">
        <v>235</v>
      </c>
      <c r="M30" s="4" t="s">
        <v>89</v>
      </c>
    </row>
    <row r="31" spans="1:33" x14ac:dyDescent="0.15">
      <c r="A31" s="19" t="s">
        <v>234</v>
      </c>
      <c r="B31" s="3" t="s">
        <v>503</v>
      </c>
      <c r="K31" s="3" t="s">
        <v>504</v>
      </c>
      <c r="L31" s="31"/>
      <c r="M31" s="26"/>
    </row>
    <row r="32" spans="1:33" x14ac:dyDescent="0.15">
      <c r="A32" s="19" t="s">
        <v>31</v>
      </c>
      <c r="B32" s="3" t="s">
        <v>236</v>
      </c>
      <c r="C32" s="4" t="s">
        <v>2</v>
      </c>
      <c r="K32" s="19" t="s">
        <v>33</v>
      </c>
      <c r="L32" s="25" t="s">
        <v>238</v>
      </c>
      <c r="N32" s="25" t="s">
        <v>2</v>
      </c>
    </row>
    <row r="33" spans="1:19" ht="14.25" x14ac:dyDescent="0.15">
      <c r="A33" s="19" t="s">
        <v>32</v>
      </c>
      <c r="B33" s="25" t="s">
        <v>237</v>
      </c>
      <c r="C33" s="21"/>
      <c r="K33" s="19" t="s">
        <v>36</v>
      </c>
      <c r="L33" s="25" t="s">
        <v>240</v>
      </c>
      <c r="N33" s="25" t="s">
        <v>337</v>
      </c>
    </row>
    <row r="34" spans="1:19" x14ac:dyDescent="0.15">
      <c r="A34" s="32" t="s">
        <v>34</v>
      </c>
      <c r="B34" s="25" t="s">
        <v>239</v>
      </c>
      <c r="E34" s="4" t="s">
        <v>35</v>
      </c>
      <c r="J34" s="19" t="s">
        <v>38</v>
      </c>
      <c r="K34" s="3" t="s">
        <v>242</v>
      </c>
      <c r="M34" s="4" t="s">
        <v>90</v>
      </c>
      <c r="S34" s="26"/>
    </row>
    <row r="35" spans="1:19" x14ac:dyDescent="0.15">
      <c r="A35" s="32" t="s">
        <v>37</v>
      </c>
      <c r="B35" s="25" t="s">
        <v>241</v>
      </c>
      <c r="K35" s="25" t="s">
        <v>41</v>
      </c>
      <c r="O35" s="24"/>
    </row>
    <row r="36" spans="1:19" x14ac:dyDescent="0.15">
      <c r="A36" s="19" t="s">
        <v>39</v>
      </c>
      <c r="B36" s="25" t="s">
        <v>243</v>
      </c>
      <c r="C36" s="33"/>
      <c r="E36" s="4" t="s">
        <v>40</v>
      </c>
      <c r="J36" s="19" t="s">
        <v>83</v>
      </c>
      <c r="K36" s="3" t="s">
        <v>245</v>
      </c>
      <c r="O36" s="4" t="s">
        <v>91</v>
      </c>
    </row>
    <row r="37" spans="1:19" ht="14.25" x14ac:dyDescent="0.15">
      <c r="A37" s="29" t="s">
        <v>42</v>
      </c>
      <c r="B37" s="25" t="s">
        <v>244</v>
      </c>
      <c r="F37" s="4" t="s">
        <v>336</v>
      </c>
      <c r="J37" s="19" t="s">
        <v>85</v>
      </c>
      <c r="K37" s="3" t="s">
        <v>247</v>
      </c>
      <c r="O37" s="4" t="s">
        <v>91</v>
      </c>
    </row>
    <row r="38" spans="1:19" x14ac:dyDescent="0.15">
      <c r="B38" s="19" t="s">
        <v>84</v>
      </c>
      <c r="C38" s="25" t="s">
        <v>246</v>
      </c>
    </row>
    <row r="39" spans="1:19" ht="14.25" x14ac:dyDescent="0.15">
      <c r="C39" s="19" t="s">
        <v>86</v>
      </c>
      <c r="D39" s="103">
        <f>G38/8.2</f>
        <v>0</v>
      </c>
      <c r="E39" s="3" t="s">
        <v>336</v>
      </c>
      <c r="F39" s="25" t="s">
        <v>248</v>
      </c>
      <c r="G39" s="109"/>
      <c r="H39" s="109"/>
    </row>
    <row r="40" spans="1:19" x14ac:dyDescent="0.15">
      <c r="D40" s="19"/>
    </row>
    <row r="48" spans="1:19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1" spans="1:11" x14ac:dyDescent="0.15">
      <c r="A51" s="4"/>
      <c r="B51" s="4"/>
      <c r="C51" s="4"/>
      <c r="F51" s="4"/>
      <c r="G51" s="34"/>
      <c r="H51" s="24"/>
      <c r="I51" s="35"/>
      <c r="J51" s="10"/>
      <c r="K51" s="21"/>
    </row>
    <row r="57" spans="1:11" x14ac:dyDescent="0.15">
      <c r="A57" s="19"/>
      <c r="F57" s="4"/>
      <c r="I57" s="19"/>
      <c r="K57" s="19"/>
    </row>
    <row r="58" spans="1:11" x14ac:dyDescent="0.15">
      <c r="A58" s="19"/>
      <c r="F58" s="19"/>
    </row>
    <row r="59" spans="1:11" x14ac:dyDescent="0.15">
      <c r="A59" s="19"/>
      <c r="F59" s="19"/>
      <c r="K59" s="19"/>
    </row>
    <row r="60" spans="1:11" x14ac:dyDescent="0.15">
      <c r="A60" s="19"/>
      <c r="F60" s="19"/>
      <c r="K60" s="4"/>
    </row>
    <row r="61" spans="1:11" x14ac:dyDescent="0.15">
      <c r="F61" s="19"/>
    </row>
    <row r="78" spans="1:1" x14ac:dyDescent="0.15">
      <c r="A78" s="25"/>
    </row>
    <row r="79" spans="1:1" x14ac:dyDescent="0.15">
      <c r="A79" s="10"/>
    </row>
    <row r="82" spans="1:16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A85" s="4"/>
      <c r="B85" s="21"/>
      <c r="C85" s="4"/>
      <c r="D85" s="4"/>
      <c r="E85" s="4"/>
      <c r="F85" s="34"/>
      <c r="G85" s="20"/>
      <c r="H85" s="19"/>
      <c r="I85" s="36"/>
      <c r="J85" s="4"/>
      <c r="K85" s="4"/>
      <c r="L85" s="34"/>
      <c r="M85" s="21"/>
      <c r="N85" s="21"/>
      <c r="O85" s="21"/>
      <c r="P85" s="21"/>
    </row>
    <row r="86" spans="1:16" x14ac:dyDescent="0.15">
      <c r="J86" s="4"/>
    </row>
    <row r="89" spans="1:16" x14ac:dyDescent="0.15">
      <c r="A89" s="19"/>
      <c r="J89" s="19"/>
    </row>
    <row r="90" spans="1:16" x14ac:dyDescent="0.15">
      <c r="A90" s="19"/>
      <c r="J90" s="19"/>
    </row>
    <row r="91" spans="1:16" x14ac:dyDescent="0.15">
      <c r="A91" s="19"/>
    </row>
    <row r="92" spans="1:16" x14ac:dyDescent="0.15">
      <c r="A92" s="19"/>
      <c r="B92" s="25"/>
      <c r="G92" s="25"/>
      <c r="J92" s="19"/>
    </row>
    <row r="93" spans="1:16" x14ac:dyDescent="0.15">
      <c r="A93" s="19"/>
      <c r="E93" s="25"/>
      <c r="J93" s="19"/>
    </row>
    <row r="94" spans="1:16" x14ac:dyDescent="0.15">
      <c r="B94" s="25"/>
      <c r="J94" s="19"/>
    </row>
    <row r="95" spans="1:16" x14ac:dyDescent="0.15">
      <c r="A95" s="19"/>
      <c r="E95" s="25"/>
      <c r="J95" s="19"/>
    </row>
    <row r="96" spans="1:16" x14ac:dyDescent="0.15">
      <c r="A96" s="19"/>
      <c r="B96" s="25"/>
      <c r="E96" s="4"/>
      <c r="J96" s="19"/>
    </row>
    <row r="97" spans="1:17" x14ac:dyDescent="0.15">
      <c r="A97" s="19"/>
      <c r="B97" s="25"/>
      <c r="C97" s="25"/>
      <c r="F97" s="25"/>
    </row>
    <row r="101" spans="1:17" x14ac:dyDescent="0.15">
      <c r="A101" s="5"/>
      <c r="B101" s="5"/>
      <c r="C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Q101" s="5"/>
    </row>
    <row r="102" spans="1:17" x14ac:dyDescent="0.1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  <row r="105" spans="1:17" x14ac:dyDescent="0.15">
      <c r="A105" s="5"/>
      <c r="B105" s="30"/>
      <c r="C105" s="30"/>
      <c r="D105" s="30"/>
      <c r="E105" s="30"/>
      <c r="F105" s="37"/>
      <c r="G105" s="30"/>
      <c r="H105" s="30"/>
      <c r="I105" s="30"/>
      <c r="J105" s="30"/>
      <c r="K105" s="30"/>
      <c r="L105" s="30"/>
      <c r="M105" s="37"/>
      <c r="N105" s="30"/>
      <c r="O105" s="30"/>
      <c r="P105" s="5"/>
      <c r="Q105" s="5"/>
    </row>
  </sheetData>
  <mergeCells count="18">
    <mergeCell ref="B12:D12"/>
    <mergeCell ref="B13:D13"/>
    <mergeCell ref="B14:D14"/>
    <mergeCell ref="B15:D15"/>
    <mergeCell ref="H12:J12"/>
    <mergeCell ref="H13:J13"/>
    <mergeCell ref="H14:J14"/>
    <mergeCell ref="H15:J15"/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39"/>
  <sheetViews>
    <sheetView zoomScale="75" workbookViewId="0">
      <selection activeCell="B10" sqref="B10"/>
    </sheetView>
  </sheetViews>
  <sheetFormatPr defaultRowHeight="12.6" customHeight="1" x14ac:dyDescent="0.15"/>
  <cols>
    <col min="1" max="1" width="11.625" style="3" customWidth="1"/>
    <col min="2" max="29" width="6.25" style="3" customWidth="1"/>
    <col min="30" max="30" width="6.25" style="38" customWidth="1"/>
    <col min="31" max="31" width="6.25" style="3" customWidth="1"/>
    <col min="32" max="16384" width="9" style="3"/>
  </cols>
  <sheetData>
    <row r="1" spans="1:30" ht="12.6" customHeight="1" x14ac:dyDescent="0.15">
      <c r="A1" s="3" t="s">
        <v>249</v>
      </c>
    </row>
    <row r="3" spans="1:30" ht="12.6" customHeight="1" x14ac:dyDescent="0.15">
      <c r="A3" s="3" t="s">
        <v>250</v>
      </c>
    </row>
    <row r="4" spans="1:30" ht="12.6" customHeight="1" x14ac:dyDescent="0.15">
      <c r="A4" s="39"/>
      <c r="B4" s="40" t="s">
        <v>512</v>
      </c>
      <c r="C4" s="41" t="s">
        <v>513</v>
      </c>
      <c r="D4" s="41" t="s">
        <v>506</v>
      </c>
      <c r="E4" s="41" t="s">
        <v>500</v>
      </c>
      <c r="F4" s="41" t="s">
        <v>501</v>
      </c>
      <c r="G4" s="41" t="s">
        <v>502</v>
      </c>
      <c r="H4" s="115"/>
      <c r="I4" s="41" t="s">
        <v>514</v>
      </c>
      <c r="J4" s="41" t="s">
        <v>507</v>
      </c>
      <c r="K4" s="41" t="s">
        <v>344</v>
      </c>
      <c r="L4" s="41" t="s">
        <v>56</v>
      </c>
      <c r="M4" s="41" t="s">
        <v>345</v>
      </c>
      <c r="N4" s="41" t="s">
        <v>346</v>
      </c>
      <c r="O4" s="41"/>
      <c r="P4" s="41" t="s">
        <v>515</v>
      </c>
      <c r="Q4" s="41" t="s">
        <v>508</v>
      </c>
      <c r="R4" s="41" t="s">
        <v>509</v>
      </c>
      <c r="S4" s="41" t="s">
        <v>347</v>
      </c>
      <c r="T4" s="41"/>
      <c r="U4" s="41" t="s">
        <v>516</v>
      </c>
      <c r="V4" s="41" t="s">
        <v>510</v>
      </c>
      <c r="W4" s="41" t="s">
        <v>511</v>
      </c>
      <c r="X4" s="41"/>
      <c r="Y4" s="41"/>
      <c r="Z4" s="41"/>
      <c r="AA4" s="41"/>
      <c r="AB4" s="41"/>
      <c r="AC4" s="152" t="s">
        <v>251</v>
      </c>
      <c r="AD4" s="3"/>
    </row>
    <row r="5" spans="1:30" ht="12.6" customHeight="1" x14ac:dyDescent="0.15">
      <c r="A5" s="42" t="s">
        <v>551</v>
      </c>
      <c r="B5" s="113">
        <v>400</v>
      </c>
      <c r="C5" s="114">
        <v>392</v>
      </c>
      <c r="D5" s="113">
        <v>341</v>
      </c>
      <c r="E5" s="113">
        <v>296</v>
      </c>
      <c r="F5" s="113">
        <v>283</v>
      </c>
      <c r="G5" s="113">
        <v>204</v>
      </c>
      <c r="H5" s="151"/>
      <c r="I5" s="113">
        <v>433</v>
      </c>
      <c r="J5" s="113">
        <v>748</v>
      </c>
      <c r="K5" s="113">
        <v>578</v>
      </c>
      <c r="L5" s="138">
        <v>519</v>
      </c>
      <c r="M5" s="114">
        <v>377</v>
      </c>
      <c r="N5" s="114">
        <v>301</v>
      </c>
      <c r="O5" s="114"/>
      <c r="P5" s="114">
        <v>332</v>
      </c>
      <c r="Q5" s="114">
        <v>691</v>
      </c>
      <c r="R5" s="117">
        <v>527</v>
      </c>
      <c r="S5" s="114">
        <v>140</v>
      </c>
      <c r="T5" s="113"/>
      <c r="U5" s="113">
        <v>330</v>
      </c>
      <c r="V5" s="118">
        <v>622</v>
      </c>
      <c r="W5" s="114">
        <v>199</v>
      </c>
      <c r="X5" s="114"/>
      <c r="Y5" s="114"/>
      <c r="Z5" s="114"/>
      <c r="AA5" s="114"/>
      <c r="AB5" s="69"/>
      <c r="AC5" s="43">
        <f>SUM(B5:AB5)</f>
        <v>7713</v>
      </c>
      <c r="AD5" s="3"/>
    </row>
    <row r="6" spans="1:30" ht="12.6" customHeight="1" x14ac:dyDescent="0.15">
      <c r="A6" s="44" t="s">
        <v>552</v>
      </c>
      <c r="B6" s="45">
        <f t="shared" ref="B6:G6" si="0">0.81*B11</f>
        <v>1.62</v>
      </c>
      <c r="C6" s="45">
        <f t="shared" si="0"/>
        <v>2.4300000000000002</v>
      </c>
      <c r="D6" s="45">
        <f t="shared" si="0"/>
        <v>2.4300000000000002</v>
      </c>
      <c r="E6" s="45">
        <f t="shared" si="0"/>
        <v>1.62</v>
      </c>
      <c r="F6" s="45">
        <f t="shared" si="0"/>
        <v>1.62</v>
      </c>
      <c r="G6" s="45">
        <f t="shared" si="0"/>
        <v>1.62</v>
      </c>
      <c r="H6" s="45"/>
      <c r="I6" s="45">
        <f t="shared" ref="I6:N6" si="1">0.81*I11</f>
        <v>2.4300000000000002</v>
      </c>
      <c r="J6" s="45">
        <f t="shared" si="1"/>
        <v>4.0500000000000007</v>
      </c>
      <c r="K6" s="45">
        <f t="shared" si="1"/>
        <v>3.24</v>
      </c>
      <c r="L6" s="45">
        <f t="shared" si="1"/>
        <v>3.24</v>
      </c>
      <c r="M6" s="45">
        <f t="shared" si="1"/>
        <v>1.62</v>
      </c>
      <c r="N6" s="45">
        <f t="shared" si="1"/>
        <v>1.62</v>
      </c>
      <c r="O6" s="45"/>
      <c r="P6" s="45">
        <f>0.81*P11</f>
        <v>2.4300000000000002</v>
      </c>
      <c r="Q6" s="45">
        <f>0.81*Q11</f>
        <v>4.0500000000000007</v>
      </c>
      <c r="R6" s="45">
        <f>0.81*R11</f>
        <v>3.24</v>
      </c>
      <c r="S6" s="45">
        <f>0.81*S11</f>
        <v>0.81</v>
      </c>
      <c r="T6" s="45"/>
      <c r="U6" s="45">
        <f>0.81*U11</f>
        <v>2.4300000000000002</v>
      </c>
      <c r="V6" s="45">
        <f>0.81*V11</f>
        <v>4.0500000000000007</v>
      </c>
      <c r="W6" s="45">
        <f>0.81*W11</f>
        <v>0.81</v>
      </c>
      <c r="X6" s="45"/>
      <c r="Y6" s="45"/>
      <c r="Z6" s="45"/>
      <c r="AA6" s="45"/>
      <c r="AB6" s="45"/>
      <c r="AC6" s="46"/>
      <c r="AD6" s="3"/>
    </row>
    <row r="7" spans="1:30" ht="12.6" customHeight="1" x14ac:dyDescent="0.15">
      <c r="A7" s="44" t="s">
        <v>553</v>
      </c>
      <c r="B7" s="47">
        <v>1.05</v>
      </c>
      <c r="C7" s="47">
        <v>1.05</v>
      </c>
      <c r="D7" s="47">
        <v>1.05</v>
      </c>
      <c r="E7" s="47">
        <v>1.05</v>
      </c>
      <c r="F7" s="47">
        <v>1.05</v>
      </c>
      <c r="G7" s="47">
        <v>1.05</v>
      </c>
      <c r="H7" s="47"/>
      <c r="I7" s="47">
        <v>1.05</v>
      </c>
      <c r="J7" s="47">
        <v>1.05</v>
      </c>
      <c r="K7" s="47">
        <v>1.05</v>
      </c>
      <c r="L7" s="47">
        <v>1.05</v>
      </c>
      <c r="M7" s="47">
        <v>1.05</v>
      </c>
      <c r="N7" s="47">
        <v>1.05</v>
      </c>
      <c r="O7" s="47"/>
      <c r="P7" s="47">
        <v>1.05</v>
      </c>
      <c r="Q7" s="47">
        <v>1.05</v>
      </c>
      <c r="R7" s="47">
        <v>1.05</v>
      </c>
      <c r="S7" s="47">
        <v>1.05</v>
      </c>
      <c r="T7" s="47"/>
      <c r="U7" s="47">
        <v>1.05</v>
      </c>
      <c r="V7" s="47">
        <v>1.05</v>
      </c>
      <c r="W7" s="47">
        <v>1.05</v>
      </c>
      <c r="X7" s="47"/>
      <c r="Y7" s="47"/>
      <c r="Z7" s="47"/>
      <c r="AA7" s="47"/>
      <c r="AB7" s="47"/>
      <c r="AC7" s="46"/>
      <c r="AD7" s="3"/>
    </row>
    <row r="8" spans="1:30" ht="12.6" customHeight="1" x14ac:dyDescent="0.15">
      <c r="A8" s="48" t="s">
        <v>252</v>
      </c>
      <c r="B8" s="49">
        <f t="shared" ref="B8:G8" si="2">+B6*B7*20</f>
        <v>34.020000000000003</v>
      </c>
      <c r="C8" s="49">
        <f t="shared" si="2"/>
        <v>51.030000000000008</v>
      </c>
      <c r="D8" s="49">
        <f t="shared" si="2"/>
        <v>51.030000000000008</v>
      </c>
      <c r="E8" s="49">
        <f t="shared" si="2"/>
        <v>34.020000000000003</v>
      </c>
      <c r="F8" s="49">
        <f t="shared" si="2"/>
        <v>34.020000000000003</v>
      </c>
      <c r="G8" s="49">
        <f t="shared" si="2"/>
        <v>34.020000000000003</v>
      </c>
      <c r="H8" s="119"/>
      <c r="I8" s="49">
        <f t="shared" ref="I8:N8" si="3">+I6*I7*20</f>
        <v>51.030000000000008</v>
      </c>
      <c r="J8" s="49">
        <f t="shared" si="3"/>
        <v>85.050000000000026</v>
      </c>
      <c r="K8" s="49">
        <f t="shared" si="3"/>
        <v>68.040000000000006</v>
      </c>
      <c r="L8" s="120">
        <f t="shared" si="3"/>
        <v>68.040000000000006</v>
      </c>
      <c r="M8" s="49">
        <f t="shared" si="3"/>
        <v>34.020000000000003</v>
      </c>
      <c r="N8" s="49">
        <f t="shared" si="3"/>
        <v>34.020000000000003</v>
      </c>
      <c r="O8" s="49"/>
      <c r="P8" s="49">
        <f>+P6*P7*20</f>
        <v>51.030000000000008</v>
      </c>
      <c r="Q8" s="49">
        <f>+Q6*Q7*20</f>
        <v>85.050000000000026</v>
      </c>
      <c r="R8" s="119">
        <f>+R6*R7*20</f>
        <v>68.040000000000006</v>
      </c>
      <c r="S8" s="49">
        <f>+S6*S7*20</f>
        <v>17.010000000000002</v>
      </c>
      <c r="T8" s="49"/>
      <c r="U8" s="49">
        <f>+U6*U7*20</f>
        <v>51.030000000000008</v>
      </c>
      <c r="V8" s="120">
        <f>+V6*V7*20</f>
        <v>85.050000000000026</v>
      </c>
      <c r="W8" s="49">
        <f>+W6*W7*20</f>
        <v>17.010000000000002</v>
      </c>
      <c r="X8" s="49"/>
      <c r="Y8" s="49"/>
      <c r="Z8" s="49"/>
      <c r="AA8" s="49"/>
      <c r="AB8" s="106"/>
      <c r="AC8" s="153">
        <f>SUM(B8:AB8)</f>
        <v>952.56000000000017</v>
      </c>
      <c r="AD8" s="3"/>
    </row>
    <row r="9" spans="1:30" ht="12.6" customHeight="1" x14ac:dyDescent="0.15">
      <c r="A9" s="48" t="s">
        <v>253</v>
      </c>
      <c r="B9" s="49">
        <f t="shared" ref="B9:G9" si="4">B8+B5</f>
        <v>434.02</v>
      </c>
      <c r="C9" s="49">
        <f t="shared" si="4"/>
        <v>443.03000000000003</v>
      </c>
      <c r="D9" s="49">
        <f t="shared" si="4"/>
        <v>392.03000000000003</v>
      </c>
      <c r="E9" s="49">
        <f t="shared" si="4"/>
        <v>330.02</v>
      </c>
      <c r="F9" s="49">
        <f t="shared" si="4"/>
        <v>317.02</v>
      </c>
      <c r="G9" s="49">
        <f t="shared" si="4"/>
        <v>238.02</v>
      </c>
      <c r="H9" s="119"/>
      <c r="I9" s="49">
        <f t="shared" ref="I9:N9" si="5">I8+I5</f>
        <v>484.03000000000003</v>
      </c>
      <c r="J9" s="49">
        <f t="shared" si="5"/>
        <v>833.05000000000007</v>
      </c>
      <c r="K9" s="49">
        <f t="shared" si="5"/>
        <v>646.04</v>
      </c>
      <c r="L9" s="120">
        <f t="shared" si="5"/>
        <v>587.04</v>
      </c>
      <c r="M9" s="49">
        <f t="shared" si="5"/>
        <v>411.02</v>
      </c>
      <c r="N9" s="49">
        <f t="shared" si="5"/>
        <v>335.02</v>
      </c>
      <c r="O9" s="49"/>
      <c r="P9" s="49">
        <f>P8+P5</f>
        <v>383.03000000000003</v>
      </c>
      <c r="Q9" s="49">
        <f>Q8+Q5</f>
        <v>776.05000000000007</v>
      </c>
      <c r="R9" s="119">
        <f>R8+R5</f>
        <v>595.04</v>
      </c>
      <c r="S9" s="49">
        <f>S8+S5</f>
        <v>157.01</v>
      </c>
      <c r="T9" s="49"/>
      <c r="U9" s="49">
        <f>U8+U5</f>
        <v>381.03000000000003</v>
      </c>
      <c r="V9" s="120">
        <f>V8+V5</f>
        <v>707.05000000000007</v>
      </c>
      <c r="W9" s="49">
        <f>W8+W5</f>
        <v>216.01</v>
      </c>
      <c r="X9" s="49"/>
      <c r="Y9" s="49"/>
      <c r="Z9" s="49"/>
      <c r="AA9" s="49"/>
      <c r="AB9" s="49"/>
      <c r="AC9" s="153">
        <f>SUM(B9:AB9)</f>
        <v>8665.56</v>
      </c>
      <c r="AD9" s="3"/>
    </row>
    <row r="10" spans="1:30" ht="12.6" customHeight="1" x14ac:dyDescent="0.15">
      <c r="A10" s="44" t="s">
        <v>254</v>
      </c>
      <c r="B10" s="114">
        <v>170</v>
      </c>
      <c r="C10" s="114">
        <v>170</v>
      </c>
      <c r="D10" s="114">
        <v>170</v>
      </c>
      <c r="E10" s="114">
        <v>170</v>
      </c>
      <c r="F10" s="114">
        <v>170</v>
      </c>
      <c r="G10" s="114">
        <v>170</v>
      </c>
      <c r="H10" s="114">
        <v>170</v>
      </c>
      <c r="I10" s="114">
        <v>170</v>
      </c>
      <c r="J10" s="114">
        <v>170</v>
      </c>
      <c r="K10" s="114">
        <v>170</v>
      </c>
      <c r="L10" s="114">
        <v>170</v>
      </c>
      <c r="M10" s="114">
        <v>170</v>
      </c>
      <c r="N10" s="114">
        <v>170</v>
      </c>
      <c r="O10" s="114">
        <v>170</v>
      </c>
      <c r="P10" s="114">
        <v>170</v>
      </c>
      <c r="Q10" s="114">
        <v>170</v>
      </c>
      <c r="R10" s="114">
        <v>170</v>
      </c>
      <c r="S10" s="114">
        <v>170</v>
      </c>
      <c r="T10" s="114">
        <v>170</v>
      </c>
      <c r="U10" s="114">
        <v>170</v>
      </c>
      <c r="V10" s="114">
        <v>170</v>
      </c>
      <c r="W10" s="114">
        <v>170</v>
      </c>
      <c r="X10" s="114"/>
      <c r="Y10" s="114"/>
      <c r="Z10" s="114"/>
      <c r="AA10" s="114"/>
      <c r="AB10" s="69"/>
      <c r="AC10" s="46"/>
      <c r="AD10" s="3"/>
    </row>
    <row r="11" spans="1:30" ht="12.6" customHeight="1" x14ac:dyDescent="0.15">
      <c r="A11" s="50" t="s">
        <v>255</v>
      </c>
      <c r="B11" s="51">
        <v>2</v>
      </c>
      <c r="C11" s="51">
        <v>3</v>
      </c>
      <c r="D11" s="51">
        <v>3</v>
      </c>
      <c r="E11" s="51">
        <v>2</v>
      </c>
      <c r="F11" s="51">
        <v>2</v>
      </c>
      <c r="G11" s="51">
        <v>2</v>
      </c>
      <c r="H11" s="121"/>
      <c r="I11" s="51">
        <v>3</v>
      </c>
      <c r="J11" s="51">
        <v>5</v>
      </c>
      <c r="K11" s="51">
        <v>4</v>
      </c>
      <c r="L11" s="122">
        <v>4</v>
      </c>
      <c r="M11" s="51">
        <v>2</v>
      </c>
      <c r="N11" s="51">
        <v>2</v>
      </c>
      <c r="O11" s="51"/>
      <c r="P11" s="51">
        <v>3</v>
      </c>
      <c r="Q11" s="51">
        <v>5</v>
      </c>
      <c r="R11" s="121">
        <v>4</v>
      </c>
      <c r="S11" s="51">
        <v>1</v>
      </c>
      <c r="T11" s="51"/>
      <c r="U11" s="51">
        <v>3</v>
      </c>
      <c r="V11" s="122">
        <v>5</v>
      </c>
      <c r="W11" s="51">
        <v>1</v>
      </c>
      <c r="X11" s="51"/>
      <c r="Y11" s="51"/>
      <c r="Z11" s="51"/>
      <c r="AA11" s="51"/>
      <c r="AB11" s="51"/>
      <c r="AC11" s="153">
        <f>SUM(B11:AB11)</f>
        <v>56</v>
      </c>
      <c r="AD11" s="3"/>
    </row>
    <row r="12" spans="1:30" ht="12.6" customHeight="1" x14ac:dyDescent="0.15">
      <c r="A12" s="52" t="s">
        <v>256</v>
      </c>
      <c r="B12" s="53">
        <f t="shared" ref="B12:G12" si="6">+B10*B11</f>
        <v>340</v>
      </c>
      <c r="C12" s="53">
        <f t="shared" si="6"/>
        <v>510</v>
      </c>
      <c r="D12" s="53">
        <f t="shared" si="6"/>
        <v>510</v>
      </c>
      <c r="E12" s="53">
        <f t="shared" si="6"/>
        <v>340</v>
      </c>
      <c r="F12" s="53">
        <f t="shared" si="6"/>
        <v>340</v>
      </c>
      <c r="G12" s="53">
        <f t="shared" si="6"/>
        <v>340</v>
      </c>
      <c r="H12" s="123"/>
      <c r="I12" s="53">
        <f t="shared" ref="I12:N12" si="7">+I10*I11</f>
        <v>510</v>
      </c>
      <c r="J12" s="53">
        <f t="shared" si="7"/>
        <v>850</v>
      </c>
      <c r="K12" s="53">
        <f t="shared" si="7"/>
        <v>680</v>
      </c>
      <c r="L12" s="124">
        <f t="shared" si="7"/>
        <v>680</v>
      </c>
      <c r="M12" s="53">
        <f t="shared" si="7"/>
        <v>340</v>
      </c>
      <c r="N12" s="53">
        <f t="shared" si="7"/>
        <v>340</v>
      </c>
      <c r="O12" s="53"/>
      <c r="P12" s="53">
        <f>+P10*P11</f>
        <v>510</v>
      </c>
      <c r="Q12" s="53">
        <f>+Q10*Q11</f>
        <v>850</v>
      </c>
      <c r="R12" s="123">
        <f>+R10*R11</f>
        <v>680</v>
      </c>
      <c r="S12" s="53">
        <f>+S10*S11</f>
        <v>170</v>
      </c>
      <c r="T12" s="53"/>
      <c r="U12" s="53">
        <f>+U10*U11</f>
        <v>510</v>
      </c>
      <c r="V12" s="124">
        <f>+V10*V11</f>
        <v>850</v>
      </c>
      <c r="W12" s="53">
        <f>+W10*W11</f>
        <v>170</v>
      </c>
      <c r="X12" s="53"/>
      <c r="Y12" s="53"/>
      <c r="Z12" s="53"/>
      <c r="AA12" s="53"/>
      <c r="AB12" s="53"/>
      <c r="AC12" s="55"/>
      <c r="AD12" s="3"/>
    </row>
    <row r="13" spans="1:30" ht="12.6" customHeight="1" x14ac:dyDescent="0.15">
      <c r="A13" s="52" t="s">
        <v>257</v>
      </c>
      <c r="B13" s="14">
        <f t="shared" ref="B13:G13" si="8">B9/B12</f>
        <v>1.2765294117647059</v>
      </c>
      <c r="C13" s="14">
        <f t="shared" si="8"/>
        <v>0.86868627450980396</v>
      </c>
      <c r="D13" s="14">
        <f t="shared" si="8"/>
        <v>0.76868627450980398</v>
      </c>
      <c r="E13" s="14">
        <f t="shared" si="8"/>
        <v>0.97064705882352931</v>
      </c>
      <c r="F13" s="14">
        <f t="shared" si="8"/>
        <v>0.93241176470588227</v>
      </c>
      <c r="G13" s="14">
        <f t="shared" si="8"/>
        <v>0.70005882352941184</v>
      </c>
      <c r="H13" s="125"/>
      <c r="I13" s="14">
        <f t="shared" ref="I13:N13" si="9">I9/I12</f>
        <v>0.9490784313725491</v>
      </c>
      <c r="J13" s="14">
        <f t="shared" si="9"/>
        <v>0.98005882352941187</v>
      </c>
      <c r="K13" s="14">
        <f t="shared" si="9"/>
        <v>0.95005882352941173</v>
      </c>
      <c r="L13" s="126">
        <f t="shared" si="9"/>
        <v>0.86329411764705877</v>
      </c>
      <c r="M13" s="14">
        <f t="shared" si="9"/>
        <v>1.2088823529411765</v>
      </c>
      <c r="N13" s="14">
        <f t="shared" si="9"/>
        <v>0.98535294117647054</v>
      </c>
      <c r="O13" s="14"/>
      <c r="P13" s="14">
        <f>P9/P12</f>
        <v>0.75103921568627452</v>
      </c>
      <c r="Q13" s="14">
        <f>Q9/Q12</f>
        <v>0.91300000000000003</v>
      </c>
      <c r="R13" s="125">
        <f>R9/R12</f>
        <v>0.87505882352941167</v>
      </c>
      <c r="S13" s="14">
        <f>S9/S12</f>
        <v>0.9235882352941176</v>
      </c>
      <c r="T13" s="14"/>
      <c r="U13" s="14">
        <f>U9/U12</f>
        <v>0.74711764705882355</v>
      </c>
      <c r="V13" s="126">
        <f>V9/V12</f>
        <v>0.83182352941176474</v>
      </c>
      <c r="W13" s="14">
        <f>W9/W12</f>
        <v>1.2706470588235295</v>
      </c>
      <c r="X13" s="14"/>
      <c r="Y13" s="14"/>
      <c r="Z13" s="14"/>
      <c r="AA13" s="14"/>
      <c r="AB13" s="14"/>
      <c r="AC13" s="55"/>
      <c r="AD13" s="3"/>
    </row>
    <row r="14" spans="1:30" ht="12.6" customHeight="1" x14ac:dyDescent="0.15">
      <c r="A14" s="52" t="s">
        <v>258</v>
      </c>
      <c r="B14" s="6" t="str">
        <f t="shared" ref="B14:G14" si="10">IF(B13&lt;1,"OK","ＮＧ")</f>
        <v>ＮＧ</v>
      </c>
      <c r="C14" s="6" t="str">
        <f t="shared" si="10"/>
        <v>OK</v>
      </c>
      <c r="D14" s="6" t="str">
        <f t="shared" si="10"/>
        <v>OK</v>
      </c>
      <c r="E14" s="6" t="str">
        <f t="shared" si="10"/>
        <v>OK</v>
      </c>
      <c r="F14" s="6" t="str">
        <f t="shared" si="10"/>
        <v>OK</v>
      </c>
      <c r="G14" s="6" t="str">
        <f t="shared" si="10"/>
        <v>OK</v>
      </c>
      <c r="H14" s="127"/>
      <c r="I14" s="6" t="str">
        <f t="shared" ref="I14:N14" si="11">IF(I13&lt;1,"OK","ＮＧ")</f>
        <v>OK</v>
      </c>
      <c r="J14" s="6" t="str">
        <f t="shared" si="11"/>
        <v>OK</v>
      </c>
      <c r="K14" s="6" t="str">
        <f t="shared" si="11"/>
        <v>OK</v>
      </c>
      <c r="L14" s="128" t="str">
        <f t="shared" si="11"/>
        <v>OK</v>
      </c>
      <c r="M14" s="6" t="str">
        <f t="shared" si="11"/>
        <v>ＮＧ</v>
      </c>
      <c r="N14" s="6" t="str">
        <f t="shared" si="11"/>
        <v>OK</v>
      </c>
      <c r="O14" s="6"/>
      <c r="P14" s="6" t="str">
        <f>IF(P13&lt;1,"OK","ＮＧ")</f>
        <v>OK</v>
      </c>
      <c r="Q14" s="6" t="str">
        <f>IF(Q13&lt;1,"OK","ＮＧ")</f>
        <v>OK</v>
      </c>
      <c r="R14" s="127" t="str">
        <f>IF(R13&lt;1,"OK","ＮＧ")</f>
        <v>OK</v>
      </c>
      <c r="S14" s="6" t="str">
        <f>IF(S13&lt;1,"OK","ＮＧ")</f>
        <v>OK</v>
      </c>
      <c r="T14" s="6"/>
      <c r="U14" s="6" t="str">
        <f>IF(U13&lt;1,"OK","ＮＧ")</f>
        <v>OK</v>
      </c>
      <c r="V14" s="128" t="str">
        <f>IF(V13&lt;1,"OK","ＮＧ")</f>
        <v>OK</v>
      </c>
      <c r="W14" s="6" t="str">
        <f>IF(W13&lt;1,"OK","ＮＧ")</f>
        <v>ＮＧ</v>
      </c>
      <c r="X14" s="6"/>
      <c r="Y14" s="6"/>
      <c r="Z14" s="6"/>
      <c r="AA14" s="6"/>
      <c r="AB14" s="6"/>
      <c r="AC14" s="55"/>
      <c r="AD14" s="3"/>
    </row>
    <row r="15" spans="1:30" ht="12.6" customHeight="1" x14ac:dyDescent="0.15">
      <c r="A15" s="56" t="s">
        <v>259</v>
      </c>
      <c r="B15" s="57"/>
      <c r="C15" s="57"/>
      <c r="D15" s="57"/>
      <c r="E15" s="57"/>
      <c r="F15" s="57"/>
      <c r="G15" s="57"/>
      <c r="H15" s="147"/>
      <c r="I15" s="12"/>
      <c r="J15" s="12"/>
      <c r="K15" s="12"/>
      <c r="L15" s="130"/>
      <c r="M15" s="12"/>
      <c r="N15" s="12"/>
      <c r="O15" s="12"/>
      <c r="P15" s="12"/>
      <c r="Q15" s="12"/>
      <c r="R15" s="129"/>
      <c r="S15" s="12"/>
      <c r="T15" s="12"/>
      <c r="U15" s="12"/>
      <c r="V15" s="130"/>
      <c r="W15" s="12"/>
      <c r="X15" s="12"/>
      <c r="Y15" s="12"/>
      <c r="Z15" s="12"/>
      <c r="AA15" s="12"/>
      <c r="AB15" s="12"/>
      <c r="AC15" s="154"/>
      <c r="AD15" s="3"/>
    </row>
    <row r="16" spans="1:30" ht="12.6" customHeight="1" x14ac:dyDescent="0.15">
      <c r="A16" s="3" t="s">
        <v>260</v>
      </c>
      <c r="B16" s="5"/>
      <c r="C16" s="5"/>
      <c r="D16" s="5"/>
      <c r="E16" s="5"/>
      <c r="F16" s="5"/>
      <c r="G16" s="5"/>
      <c r="H16" s="131"/>
      <c r="I16" s="5"/>
      <c r="J16" s="5"/>
      <c r="K16" s="5"/>
      <c r="L16" s="132"/>
      <c r="M16" s="5"/>
      <c r="N16" s="5"/>
      <c r="O16" s="5"/>
      <c r="P16" s="5"/>
      <c r="Q16" s="5"/>
      <c r="R16" s="131"/>
      <c r="S16" s="5"/>
      <c r="T16" s="5"/>
      <c r="U16" s="5"/>
      <c r="V16" s="132"/>
      <c r="AC16" s="58"/>
      <c r="AD16" s="3"/>
    </row>
    <row r="17" spans="1:30" ht="12.6" customHeight="1" x14ac:dyDescent="0.15">
      <c r="A17" s="59"/>
      <c r="B17" s="40" t="str">
        <f t="shared" ref="B17:G18" si="12">+B4</f>
        <v>Y0-X0</v>
      </c>
      <c r="C17" s="41" t="str">
        <f t="shared" si="12"/>
        <v>Y0-X1</v>
      </c>
      <c r="D17" s="41" t="str">
        <f t="shared" si="12"/>
        <v>Y0-X2</v>
      </c>
      <c r="E17" s="41" t="str">
        <f t="shared" si="12"/>
        <v>Y0-X3</v>
      </c>
      <c r="F17" s="41" t="str">
        <f t="shared" si="12"/>
        <v>Y0-X4</v>
      </c>
      <c r="G17" s="41" t="str">
        <f t="shared" si="12"/>
        <v>Y0-X5</v>
      </c>
      <c r="H17" s="115"/>
      <c r="I17" s="41" t="str">
        <f t="shared" ref="I17:N18" si="13">+I4</f>
        <v>Y1-X0</v>
      </c>
      <c r="J17" s="41" t="str">
        <f t="shared" si="13"/>
        <v>Y1-X1</v>
      </c>
      <c r="K17" s="41" t="str">
        <f t="shared" si="13"/>
        <v>Y1-X2</v>
      </c>
      <c r="L17" s="116" t="str">
        <f t="shared" si="13"/>
        <v>Y1-X3</v>
      </c>
      <c r="M17" s="41" t="str">
        <f t="shared" si="13"/>
        <v>Y1-X4</v>
      </c>
      <c r="N17" s="41" t="str">
        <f t="shared" si="13"/>
        <v>Y1-X5</v>
      </c>
      <c r="O17" s="41"/>
      <c r="P17" s="41" t="str">
        <f t="shared" ref="P17:S18" si="14">+P4</f>
        <v>Y2-X0</v>
      </c>
      <c r="Q17" s="41" t="str">
        <f t="shared" si="14"/>
        <v>Y2-X1</v>
      </c>
      <c r="R17" s="115" t="str">
        <f t="shared" si="14"/>
        <v>Y2-X2</v>
      </c>
      <c r="S17" s="41" t="str">
        <f t="shared" si="14"/>
        <v>Y2-X3</v>
      </c>
      <c r="T17" s="41"/>
      <c r="U17" s="41" t="str">
        <f t="shared" ref="U17:W18" si="15">+U4</f>
        <v>Y3-X0</v>
      </c>
      <c r="V17" s="116" t="str">
        <f t="shared" si="15"/>
        <v>Y3-X1</v>
      </c>
      <c r="W17" s="41" t="str">
        <f t="shared" si="15"/>
        <v>Y3-X2</v>
      </c>
      <c r="X17" s="41"/>
      <c r="Y17" s="41"/>
      <c r="Z17" s="41"/>
      <c r="AA17" s="41"/>
      <c r="AB17" s="15"/>
      <c r="AC17" s="60" t="s">
        <v>251</v>
      </c>
      <c r="AD17" s="3"/>
    </row>
    <row r="18" spans="1:30" ht="12.6" customHeight="1" x14ac:dyDescent="0.15">
      <c r="A18" s="61" t="s">
        <v>551</v>
      </c>
      <c r="B18" s="62">
        <f t="shared" si="12"/>
        <v>400</v>
      </c>
      <c r="C18" s="63">
        <f t="shared" si="12"/>
        <v>392</v>
      </c>
      <c r="D18" s="63">
        <f t="shared" si="12"/>
        <v>341</v>
      </c>
      <c r="E18" s="63">
        <f t="shared" si="12"/>
        <v>296</v>
      </c>
      <c r="F18" s="63">
        <f t="shared" si="12"/>
        <v>283</v>
      </c>
      <c r="G18" s="63">
        <f t="shared" si="12"/>
        <v>204</v>
      </c>
      <c r="H18" s="133"/>
      <c r="I18" s="63">
        <f t="shared" si="13"/>
        <v>433</v>
      </c>
      <c r="J18" s="63">
        <f t="shared" si="13"/>
        <v>748</v>
      </c>
      <c r="K18" s="63">
        <f t="shared" si="13"/>
        <v>578</v>
      </c>
      <c r="L18" s="134">
        <f t="shared" si="13"/>
        <v>519</v>
      </c>
      <c r="M18" s="63">
        <f t="shared" si="13"/>
        <v>377</v>
      </c>
      <c r="N18" s="63">
        <f t="shared" si="13"/>
        <v>301</v>
      </c>
      <c r="O18" s="63"/>
      <c r="P18" s="63">
        <f t="shared" si="14"/>
        <v>332</v>
      </c>
      <c r="Q18" s="63">
        <f t="shared" si="14"/>
        <v>691</v>
      </c>
      <c r="R18" s="133">
        <f t="shared" si="14"/>
        <v>527</v>
      </c>
      <c r="S18" s="63">
        <f t="shared" si="14"/>
        <v>140</v>
      </c>
      <c r="T18" s="63"/>
      <c r="U18" s="63">
        <f t="shared" si="15"/>
        <v>330</v>
      </c>
      <c r="V18" s="134">
        <f t="shared" si="15"/>
        <v>622</v>
      </c>
      <c r="W18" s="63">
        <f t="shared" si="15"/>
        <v>199</v>
      </c>
      <c r="X18" s="63"/>
      <c r="Y18" s="63"/>
      <c r="Z18" s="63"/>
      <c r="AA18" s="63"/>
      <c r="AB18" s="64"/>
      <c r="AC18" s="43"/>
      <c r="AD18" s="3"/>
    </row>
    <row r="19" spans="1:30" ht="12.6" customHeight="1" x14ac:dyDescent="0.15">
      <c r="A19" s="44" t="s">
        <v>554</v>
      </c>
      <c r="B19" s="65">
        <v>2</v>
      </c>
      <c r="C19" s="112">
        <v>3</v>
      </c>
      <c r="D19" s="112">
        <v>3</v>
      </c>
      <c r="E19" s="112">
        <v>3</v>
      </c>
      <c r="F19" s="112">
        <v>7</v>
      </c>
      <c r="G19" s="112">
        <v>8</v>
      </c>
      <c r="H19" s="135"/>
      <c r="I19" s="112">
        <v>94</v>
      </c>
      <c r="J19" s="112">
        <v>88</v>
      </c>
      <c r="K19" s="112">
        <v>2</v>
      </c>
      <c r="L19" s="136">
        <v>11</v>
      </c>
      <c r="M19" s="112">
        <v>0</v>
      </c>
      <c r="N19" s="112">
        <v>16</v>
      </c>
      <c r="O19" s="112"/>
      <c r="P19" s="112">
        <v>4</v>
      </c>
      <c r="Q19" s="112">
        <v>8</v>
      </c>
      <c r="R19" s="135">
        <v>7</v>
      </c>
      <c r="S19" s="112">
        <v>26</v>
      </c>
      <c r="T19" s="112"/>
      <c r="U19" s="112">
        <v>17</v>
      </c>
      <c r="V19" s="136">
        <v>67</v>
      </c>
      <c r="W19" s="112">
        <v>71</v>
      </c>
      <c r="X19" s="112"/>
      <c r="Y19" s="112"/>
      <c r="Z19" s="112"/>
      <c r="AA19" s="112"/>
      <c r="AB19" s="66"/>
      <c r="AC19" s="46"/>
      <c r="AD19" s="3"/>
    </row>
    <row r="20" spans="1:30" ht="12.6" customHeight="1" x14ac:dyDescent="0.15">
      <c r="A20" s="44" t="s">
        <v>555</v>
      </c>
      <c r="B20" s="67">
        <v>19</v>
      </c>
      <c r="C20" s="68">
        <v>13</v>
      </c>
      <c r="D20" s="68">
        <v>15</v>
      </c>
      <c r="E20" s="68">
        <v>9</v>
      </c>
      <c r="F20" s="68">
        <v>15</v>
      </c>
      <c r="G20" s="68">
        <v>13</v>
      </c>
      <c r="H20" s="137"/>
      <c r="I20" s="68">
        <v>5</v>
      </c>
      <c r="J20" s="68">
        <v>11</v>
      </c>
      <c r="K20" s="68">
        <v>6</v>
      </c>
      <c r="L20" s="138">
        <v>70</v>
      </c>
      <c r="M20" s="68">
        <v>14</v>
      </c>
      <c r="N20" s="68">
        <v>14</v>
      </c>
      <c r="O20" s="68"/>
      <c r="P20" s="68">
        <v>28</v>
      </c>
      <c r="Q20" s="68">
        <v>50</v>
      </c>
      <c r="R20" s="137">
        <v>73</v>
      </c>
      <c r="S20" s="68">
        <v>80</v>
      </c>
      <c r="T20" s="68"/>
      <c r="U20" s="68">
        <v>49</v>
      </c>
      <c r="V20" s="138">
        <v>62</v>
      </c>
      <c r="W20" s="68">
        <v>75</v>
      </c>
      <c r="X20" s="68"/>
      <c r="Y20" s="68"/>
      <c r="Z20" s="68"/>
      <c r="AA20" s="68"/>
      <c r="AB20" s="47"/>
      <c r="AC20" s="46"/>
      <c r="AD20" s="3"/>
    </row>
    <row r="21" spans="1:30" ht="12.6" customHeight="1" x14ac:dyDescent="0.15">
      <c r="A21" s="52" t="s">
        <v>556</v>
      </c>
      <c r="B21" s="70">
        <f t="shared" ref="B21:G21" si="16">MAX(B19,B20)</f>
        <v>19</v>
      </c>
      <c r="C21" s="71">
        <f t="shared" si="16"/>
        <v>13</v>
      </c>
      <c r="D21" s="71">
        <f t="shared" si="16"/>
        <v>15</v>
      </c>
      <c r="E21" s="71">
        <f t="shared" si="16"/>
        <v>9</v>
      </c>
      <c r="F21" s="71">
        <f t="shared" si="16"/>
        <v>15</v>
      </c>
      <c r="G21" s="71">
        <f t="shared" si="16"/>
        <v>13</v>
      </c>
      <c r="H21" s="139"/>
      <c r="I21" s="71">
        <f t="shared" ref="I21:N21" si="17">MAX(I19,I20)</f>
        <v>94</v>
      </c>
      <c r="J21" s="71">
        <f t="shared" si="17"/>
        <v>88</v>
      </c>
      <c r="K21" s="71">
        <f t="shared" si="17"/>
        <v>6</v>
      </c>
      <c r="L21" s="140">
        <f t="shared" si="17"/>
        <v>70</v>
      </c>
      <c r="M21" s="71">
        <f t="shared" si="17"/>
        <v>14</v>
      </c>
      <c r="N21" s="71">
        <f t="shared" si="17"/>
        <v>16</v>
      </c>
      <c r="O21" s="71"/>
      <c r="P21" s="71">
        <f>MAX(P19,P20)</f>
        <v>28</v>
      </c>
      <c r="Q21" s="71">
        <f>MAX(Q19,Q20)</f>
        <v>50</v>
      </c>
      <c r="R21" s="139">
        <f>MAX(R19,R20)</f>
        <v>73</v>
      </c>
      <c r="S21" s="71">
        <f>MAX(S19,S20)</f>
        <v>80</v>
      </c>
      <c r="T21" s="71"/>
      <c r="U21" s="71">
        <f>MAX(U19,U20)</f>
        <v>49</v>
      </c>
      <c r="V21" s="140">
        <f>MAX(V19,V20)</f>
        <v>67</v>
      </c>
      <c r="W21" s="71">
        <f>MAX(W19,W20)</f>
        <v>75</v>
      </c>
      <c r="X21" s="71"/>
      <c r="Y21" s="71"/>
      <c r="Z21" s="71"/>
      <c r="AA21" s="71"/>
      <c r="AB21" s="72"/>
      <c r="AC21" s="46"/>
      <c r="AD21" s="3"/>
    </row>
    <row r="22" spans="1:30" ht="12.6" customHeight="1" x14ac:dyDescent="0.15">
      <c r="A22" s="52" t="s">
        <v>557</v>
      </c>
      <c r="B22" s="73">
        <f t="shared" ref="B22:G22" si="18">+B21+B18</f>
        <v>419</v>
      </c>
      <c r="C22" s="53">
        <f t="shared" si="18"/>
        <v>405</v>
      </c>
      <c r="D22" s="53">
        <f t="shared" si="18"/>
        <v>356</v>
      </c>
      <c r="E22" s="53">
        <f t="shared" si="18"/>
        <v>305</v>
      </c>
      <c r="F22" s="53">
        <f t="shared" si="18"/>
        <v>298</v>
      </c>
      <c r="G22" s="53">
        <f t="shared" si="18"/>
        <v>217</v>
      </c>
      <c r="H22" s="123"/>
      <c r="I22" s="53">
        <f t="shared" ref="I22:N22" si="19">+I21+I18</f>
        <v>527</v>
      </c>
      <c r="J22" s="53">
        <f t="shared" si="19"/>
        <v>836</v>
      </c>
      <c r="K22" s="53">
        <f t="shared" si="19"/>
        <v>584</v>
      </c>
      <c r="L22" s="124">
        <f t="shared" si="19"/>
        <v>589</v>
      </c>
      <c r="M22" s="53">
        <f t="shared" si="19"/>
        <v>391</v>
      </c>
      <c r="N22" s="53">
        <f t="shared" si="19"/>
        <v>317</v>
      </c>
      <c r="O22" s="53"/>
      <c r="P22" s="53">
        <f>+P21+P18</f>
        <v>360</v>
      </c>
      <c r="Q22" s="53">
        <f>+Q21+Q18</f>
        <v>741</v>
      </c>
      <c r="R22" s="123">
        <f>+R21+R18</f>
        <v>600</v>
      </c>
      <c r="S22" s="53">
        <f>+S21+S18</f>
        <v>220</v>
      </c>
      <c r="T22" s="53"/>
      <c r="U22" s="53">
        <f>+U21+U18</f>
        <v>379</v>
      </c>
      <c r="V22" s="124">
        <f>+V21+V18</f>
        <v>689</v>
      </c>
      <c r="W22" s="53">
        <f>+W21+W18</f>
        <v>274</v>
      </c>
      <c r="X22" s="53"/>
      <c r="Y22" s="53"/>
      <c r="Z22" s="53"/>
      <c r="AA22" s="53"/>
      <c r="AB22" s="54"/>
      <c r="AC22" s="46">
        <f>SUM(B22:AB22)</f>
        <v>8507</v>
      </c>
      <c r="AD22" s="3"/>
    </row>
    <row r="23" spans="1:30" ht="12.6" customHeight="1" x14ac:dyDescent="0.15">
      <c r="A23" s="52" t="s">
        <v>552</v>
      </c>
      <c r="B23" s="74">
        <f t="shared" ref="B23:G24" si="20">+B6</f>
        <v>1.62</v>
      </c>
      <c r="C23" s="75">
        <f t="shared" si="20"/>
        <v>2.4300000000000002</v>
      </c>
      <c r="D23" s="75">
        <f t="shared" si="20"/>
        <v>2.4300000000000002</v>
      </c>
      <c r="E23" s="75">
        <f t="shared" si="20"/>
        <v>1.62</v>
      </c>
      <c r="F23" s="75">
        <f t="shared" si="20"/>
        <v>1.62</v>
      </c>
      <c r="G23" s="75">
        <f t="shared" si="20"/>
        <v>1.62</v>
      </c>
      <c r="H23" s="141"/>
      <c r="I23" s="75">
        <f t="shared" ref="I23:N24" si="21">+I6</f>
        <v>2.4300000000000002</v>
      </c>
      <c r="J23" s="75">
        <f t="shared" si="21"/>
        <v>4.0500000000000007</v>
      </c>
      <c r="K23" s="75">
        <f t="shared" si="21"/>
        <v>3.24</v>
      </c>
      <c r="L23" s="142">
        <f t="shared" si="21"/>
        <v>3.24</v>
      </c>
      <c r="M23" s="75">
        <f t="shared" si="21"/>
        <v>1.62</v>
      </c>
      <c r="N23" s="75">
        <f t="shared" si="21"/>
        <v>1.62</v>
      </c>
      <c r="O23" s="75"/>
      <c r="P23" s="75">
        <f t="shared" ref="P23:S24" si="22">+P6</f>
        <v>2.4300000000000002</v>
      </c>
      <c r="Q23" s="75">
        <f t="shared" si="22"/>
        <v>4.0500000000000007</v>
      </c>
      <c r="R23" s="141">
        <f t="shared" si="22"/>
        <v>3.24</v>
      </c>
      <c r="S23" s="75">
        <f t="shared" si="22"/>
        <v>0.81</v>
      </c>
      <c r="T23" s="75"/>
      <c r="U23" s="75">
        <f t="shared" ref="U23:W24" si="23">+U6</f>
        <v>2.4300000000000002</v>
      </c>
      <c r="V23" s="142">
        <f t="shared" si="23"/>
        <v>4.0500000000000007</v>
      </c>
      <c r="W23" s="75">
        <f t="shared" si="23"/>
        <v>0.81</v>
      </c>
      <c r="X23" s="75"/>
      <c r="Y23" s="75"/>
      <c r="Z23" s="75"/>
      <c r="AA23" s="75"/>
      <c r="AB23" s="75"/>
      <c r="AC23" s="46"/>
      <c r="AD23" s="3"/>
    </row>
    <row r="24" spans="1:30" ht="12.6" customHeight="1" x14ac:dyDescent="0.15">
      <c r="A24" s="52" t="s">
        <v>553</v>
      </c>
      <c r="B24" s="76">
        <f t="shared" si="20"/>
        <v>1.05</v>
      </c>
      <c r="C24" s="54">
        <f t="shared" si="20"/>
        <v>1.05</v>
      </c>
      <c r="D24" s="54">
        <f t="shared" si="20"/>
        <v>1.05</v>
      </c>
      <c r="E24" s="54">
        <f t="shared" si="20"/>
        <v>1.05</v>
      </c>
      <c r="F24" s="54">
        <f t="shared" si="20"/>
        <v>1.05</v>
      </c>
      <c r="G24" s="54">
        <f t="shared" si="20"/>
        <v>1.05</v>
      </c>
      <c r="H24" s="143"/>
      <c r="I24" s="54">
        <f t="shared" si="21"/>
        <v>1.05</v>
      </c>
      <c r="J24" s="54">
        <f t="shared" si="21"/>
        <v>1.05</v>
      </c>
      <c r="K24" s="54">
        <f t="shared" si="21"/>
        <v>1.05</v>
      </c>
      <c r="L24" s="144">
        <f t="shared" si="21"/>
        <v>1.05</v>
      </c>
      <c r="M24" s="54">
        <f t="shared" si="21"/>
        <v>1.05</v>
      </c>
      <c r="N24" s="54">
        <f t="shared" si="21"/>
        <v>1.05</v>
      </c>
      <c r="O24" s="54"/>
      <c r="P24" s="54">
        <f t="shared" si="22"/>
        <v>1.05</v>
      </c>
      <c r="Q24" s="54">
        <f t="shared" si="22"/>
        <v>1.05</v>
      </c>
      <c r="R24" s="143">
        <f t="shared" si="22"/>
        <v>1.05</v>
      </c>
      <c r="S24" s="54">
        <f t="shared" si="22"/>
        <v>1.05</v>
      </c>
      <c r="T24" s="54"/>
      <c r="U24" s="54">
        <f t="shared" si="23"/>
        <v>1.05</v>
      </c>
      <c r="V24" s="144">
        <f t="shared" si="23"/>
        <v>1.05</v>
      </c>
      <c r="W24" s="54">
        <f t="shared" si="23"/>
        <v>1.05</v>
      </c>
      <c r="X24" s="54"/>
      <c r="Y24" s="54"/>
      <c r="Z24" s="54"/>
      <c r="AA24" s="54"/>
      <c r="AB24" s="54"/>
      <c r="AC24" s="46"/>
      <c r="AD24" s="3"/>
    </row>
    <row r="25" spans="1:30" ht="12.6" customHeight="1" x14ac:dyDescent="0.15">
      <c r="A25" s="52" t="s">
        <v>252</v>
      </c>
      <c r="B25" s="73">
        <f t="shared" ref="B25:G25" si="24">B23*B24*2*9.80665</f>
        <v>33.362223300000004</v>
      </c>
      <c r="C25" s="53">
        <f t="shared" si="24"/>
        <v>50.043334950000002</v>
      </c>
      <c r="D25" s="53">
        <f t="shared" si="24"/>
        <v>50.043334950000002</v>
      </c>
      <c r="E25" s="53">
        <f t="shared" si="24"/>
        <v>33.362223300000004</v>
      </c>
      <c r="F25" s="53">
        <f t="shared" si="24"/>
        <v>33.362223300000004</v>
      </c>
      <c r="G25" s="53">
        <f t="shared" si="24"/>
        <v>33.362223300000004</v>
      </c>
      <c r="H25" s="123"/>
      <c r="I25" s="53">
        <f t="shared" ref="I25:N25" si="25">I23*I24*2*9.80665</f>
        <v>50.043334950000002</v>
      </c>
      <c r="J25" s="53">
        <f t="shared" si="25"/>
        <v>83.405558250000027</v>
      </c>
      <c r="K25" s="53">
        <f t="shared" si="25"/>
        <v>66.724446600000007</v>
      </c>
      <c r="L25" s="124">
        <f t="shared" si="25"/>
        <v>66.724446600000007</v>
      </c>
      <c r="M25" s="53">
        <f t="shared" si="25"/>
        <v>33.362223300000004</v>
      </c>
      <c r="N25" s="53">
        <f t="shared" si="25"/>
        <v>33.362223300000004</v>
      </c>
      <c r="O25" s="53"/>
      <c r="P25" s="53">
        <f>P23*P24*2*9.80665</f>
        <v>50.043334950000002</v>
      </c>
      <c r="Q25" s="53">
        <f>Q23*Q24*2*9.80665</f>
        <v>83.405558250000027</v>
      </c>
      <c r="R25" s="123">
        <f>R23*R24*2*9.80665</f>
        <v>66.724446600000007</v>
      </c>
      <c r="S25" s="53">
        <f>S23*S24*2*9.80665</f>
        <v>16.681111650000002</v>
      </c>
      <c r="T25" s="53"/>
      <c r="U25" s="53">
        <f>U23*U24*2*9.80665</f>
        <v>50.043334950000002</v>
      </c>
      <c r="V25" s="124">
        <f>V23*V24*2*9.80665</f>
        <v>83.405558250000027</v>
      </c>
      <c r="W25" s="53">
        <f>W23*W24*2*9.80665</f>
        <v>16.681111650000002</v>
      </c>
      <c r="X25" s="53"/>
      <c r="Y25" s="53"/>
      <c r="Z25" s="53"/>
      <c r="AA25" s="53"/>
      <c r="AB25" s="54"/>
      <c r="AC25" s="46">
        <f>SUM(B25:AB25)</f>
        <v>934.14225240000019</v>
      </c>
      <c r="AD25" s="3"/>
    </row>
    <row r="26" spans="1:30" ht="12.6" customHeight="1" x14ac:dyDescent="0.15">
      <c r="A26" s="52" t="s">
        <v>253</v>
      </c>
      <c r="B26" s="73">
        <f t="shared" ref="B26:G26" si="26">B22+B25</f>
        <v>452.36222329999998</v>
      </c>
      <c r="C26" s="53">
        <f t="shared" si="26"/>
        <v>455.04333495000003</v>
      </c>
      <c r="D26" s="53">
        <f t="shared" si="26"/>
        <v>406.04333495000003</v>
      </c>
      <c r="E26" s="53">
        <f t="shared" si="26"/>
        <v>338.36222329999998</v>
      </c>
      <c r="F26" s="53">
        <f t="shared" si="26"/>
        <v>331.36222329999998</v>
      </c>
      <c r="G26" s="53">
        <f t="shared" si="26"/>
        <v>250.36222330000001</v>
      </c>
      <c r="H26" s="123"/>
      <c r="I26" s="53">
        <f t="shared" ref="I26:N26" si="27">I22+I25</f>
        <v>577.04333495000003</v>
      </c>
      <c r="J26" s="53">
        <f t="shared" si="27"/>
        <v>919.40555825000001</v>
      </c>
      <c r="K26" s="53">
        <f t="shared" si="27"/>
        <v>650.72444659999996</v>
      </c>
      <c r="L26" s="124">
        <f t="shared" si="27"/>
        <v>655.72444659999996</v>
      </c>
      <c r="M26" s="53">
        <f t="shared" si="27"/>
        <v>424.36222329999998</v>
      </c>
      <c r="N26" s="53">
        <f t="shared" si="27"/>
        <v>350.36222329999998</v>
      </c>
      <c r="O26" s="53"/>
      <c r="P26" s="53">
        <f>P22+P25</f>
        <v>410.04333495000003</v>
      </c>
      <c r="Q26" s="53">
        <f>Q22+Q25</f>
        <v>824.40555825000001</v>
      </c>
      <c r="R26" s="123">
        <f>R22+R25</f>
        <v>666.72444659999996</v>
      </c>
      <c r="S26" s="53">
        <f>S22+S25</f>
        <v>236.68111164999999</v>
      </c>
      <c r="T26" s="53"/>
      <c r="U26" s="53">
        <f>U22+U25</f>
        <v>429.04333495000003</v>
      </c>
      <c r="V26" s="124">
        <f>V22+V25</f>
        <v>772.40555825000001</v>
      </c>
      <c r="W26" s="53">
        <f>W22+W25</f>
        <v>290.68111164999999</v>
      </c>
      <c r="X26" s="53"/>
      <c r="Y26" s="53"/>
      <c r="Z26" s="53"/>
      <c r="AA26" s="53"/>
      <c r="AB26" s="54"/>
      <c r="AC26" s="46">
        <f>SUM(B26:AB26)</f>
        <v>9441.1422523999991</v>
      </c>
      <c r="AD26" s="3"/>
    </row>
    <row r="27" spans="1:30" ht="12.6" customHeight="1" x14ac:dyDescent="0.15">
      <c r="A27" s="52" t="s">
        <v>558</v>
      </c>
      <c r="B27" s="73">
        <f t="shared" ref="B27:G27" si="28">+B10*2</f>
        <v>340</v>
      </c>
      <c r="C27" s="53">
        <f t="shared" si="28"/>
        <v>340</v>
      </c>
      <c r="D27" s="53">
        <f t="shared" si="28"/>
        <v>340</v>
      </c>
      <c r="E27" s="53">
        <f t="shared" si="28"/>
        <v>340</v>
      </c>
      <c r="F27" s="53">
        <f t="shared" si="28"/>
        <v>340</v>
      </c>
      <c r="G27" s="53">
        <f t="shared" si="28"/>
        <v>340</v>
      </c>
      <c r="H27" s="123"/>
      <c r="I27" s="53">
        <f t="shared" ref="I27:N27" si="29">+I10*2</f>
        <v>340</v>
      </c>
      <c r="J27" s="53">
        <f t="shared" si="29"/>
        <v>340</v>
      </c>
      <c r="K27" s="53">
        <f t="shared" si="29"/>
        <v>340</v>
      </c>
      <c r="L27" s="124">
        <f t="shared" si="29"/>
        <v>340</v>
      </c>
      <c r="M27" s="53">
        <f t="shared" si="29"/>
        <v>340</v>
      </c>
      <c r="N27" s="53">
        <f t="shared" si="29"/>
        <v>340</v>
      </c>
      <c r="O27" s="53"/>
      <c r="P27" s="53">
        <f>+P10*2</f>
        <v>340</v>
      </c>
      <c r="Q27" s="53">
        <f>+Q10*2</f>
        <v>340</v>
      </c>
      <c r="R27" s="123">
        <f>+R10*2</f>
        <v>340</v>
      </c>
      <c r="S27" s="53">
        <f>+S10*2</f>
        <v>340</v>
      </c>
      <c r="T27" s="53"/>
      <c r="U27" s="53">
        <f>+U10*2</f>
        <v>340</v>
      </c>
      <c r="V27" s="124">
        <f>+V10*2</f>
        <v>340</v>
      </c>
      <c r="W27" s="53">
        <f>+W10*2</f>
        <v>340</v>
      </c>
      <c r="X27" s="53"/>
      <c r="Y27" s="53"/>
      <c r="Z27" s="53"/>
      <c r="AA27" s="53"/>
      <c r="AB27" s="54"/>
      <c r="AC27" s="46"/>
      <c r="AD27" s="3"/>
    </row>
    <row r="28" spans="1:30" ht="12.6" customHeight="1" x14ac:dyDescent="0.15">
      <c r="A28" s="77" t="s">
        <v>255</v>
      </c>
      <c r="B28" s="78">
        <f t="shared" ref="B28:G28" si="30">+B11</f>
        <v>2</v>
      </c>
      <c r="C28" s="79">
        <f t="shared" si="30"/>
        <v>3</v>
      </c>
      <c r="D28" s="79">
        <f t="shared" si="30"/>
        <v>3</v>
      </c>
      <c r="E28" s="79">
        <f t="shared" si="30"/>
        <v>2</v>
      </c>
      <c r="F28" s="79">
        <f t="shared" si="30"/>
        <v>2</v>
      </c>
      <c r="G28" s="79">
        <f t="shared" si="30"/>
        <v>2</v>
      </c>
      <c r="H28" s="145"/>
      <c r="I28" s="79">
        <f t="shared" ref="I28:N28" si="31">+I11</f>
        <v>3</v>
      </c>
      <c r="J28" s="79">
        <f t="shared" si="31"/>
        <v>5</v>
      </c>
      <c r="K28" s="79">
        <f t="shared" si="31"/>
        <v>4</v>
      </c>
      <c r="L28" s="146">
        <f t="shared" si="31"/>
        <v>4</v>
      </c>
      <c r="M28" s="79">
        <f t="shared" si="31"/>
        <v>2</v>
      </c>
      <c r="N28" s="79">
        <f t="shared" si="31"/>
        <v>2</v>
      </c>
      <c r="O28" s="79"/>
      <c r="P28" s="79">
        <f>+P11</f>
        <v>3</v>
      </c>
      <c r="Q28" s="79">
        <f>+Q11</f>
        <v>5</v>
      </c>
      <c r="R28" s="145">
        <f>+R11</f>
        <v>4</v>
      </c>
      <c r="S28" s="79">
        <f>+S11</f>
        <v>1</v>
      </c>
      <c r="T28" s="79"/>
      <c r="U28" s="79">
        <f>+U11</f>
        <v>3</v>
      </c>
      <c r="V28" s="146">
        <f>+V11</f>
        <v>5</v>
      </c>
      <c r="W28" s="79">
        <f>+W11</f>
        <v>1</v>
      </c>
      <c r="X28" s="79"/>
      <c r="Y28" s="79"/>
      <c r="Z28" s="79"/>
      <c r="AA28" s="79"/>
      <c r="AB28" s="79"/>
      <c r="AC28" s="46">
        <f>SUM(B28:AB28)</f>
        <v>56</v>
      </c>
      <c r="AD28" s="3"/>
    </row>
    <row r="29" spans="1:30" ht="12.6" customHeight="1" x14ac:dyDescent="0.15">
      <c r="A29" s="52" t="s">
        <v>559</v>
      </c>
      <c r="B29" s="73">
        <f t="shared" ref="B29:G29" si="32">+B27*B28</f>
        <v>680</v>
      </c>
      <c r="C29" s="53">
        <f t="shared" si="32"/>
        <v>1020</v>
      </c>
      <c r="D29" s="53">
        <f t="shared" si="32"/>
        <v>1020</v>
      </c>
      <c r="E29" s="53">
        <f t="shared" si="32"/>
        <v>680</v>
      </c>
      <c r="F29" s="53">
        <f t="shared" si="32"/>
        <v>680</v>
      </c>
      <c r="G29" s="53">
        <f t="shared" si="32"/>
        <v>680</v>
      </c>
      <c r="H29" s="123"/>
      <c r="I29" s="53">
        <f t="shared" ref="I29:N29" si="33">+I27*I28</f>
        <v>1020</v>
      </c>
      <c r="J29" s="53">
        <f t="shared" si="33"/>
        <v>1700</v>
      </c>
      <c r="K29" s="53">
        <f t="shared" si="33"/>
        <v>1360</v>
      </c>
      <c r="L29" s="124">
        <f t="shared" si="33"/>
        <v>1360</v>
      </c>
      <c r="M29" s="53">
        <f t="shared" si="33"/>
        <v>680</v>
      </c>
      <c r="N29" s="53">
        <f t="shared" si="33"/>
        <v>680</v>
      </c>
      <c r="O29" s="53"/>
      <c r="P29" s="53">
        <f>+P27*P28</f>
        <v>1020</v>
      </c>
      <c r="Q29" s="53">
        <f>+Q27*Q28</f>
        <v>1700</v>
      </c>
      <c r="R29" s="123">
        <f>+R27*R28</f>
        <v>1360</v>
      </c>
      <c r="S29" s="53">
        <f>+S27*S28</f>
        <v>340</v>
      </c>
      <c r="T29" s="53"/>
      <c r="U29" s="53">
        <f>+U27*U28</f>
        <v>1020</v>
      </c>
      <c r="V29" s="124">
        <f>+V27*V28</f>
        <v>1700</v>
      </c>
      <c r="W29" s="53">
        <f>+W27*W28</f>
        <v>340</v>
      </c>
      <c r="X29" s="53"/>
      <c r="Y29" s="53"/>
      <c r="Z29" s="53"/>
      <c r="AA29" s="53"/>
      <c r="AB29" s="54"/>
      <c r="AC29" s="46"/>
      <c r="AD29" s="3"/>
    </row>
    <row r="30" spans="1:30" ht="12.6" customHeight="1" x14ac:dyDescent="0.15">
      <c r="A30" s="52" t="s">
        <v>560</v>
      </c>
      <c r="B30" s="76">
        <f t="shared" ref="B30:G30" si="34">+B26/B29</f>
        <v>0.66523856367647061</v>
      </c>
      <c r="C30" s="54">
        <f t="shared" si="34"/>
        <v>0.44612091661764708</v>
      </c>
      <c r="D30" s="54">
        <f t="shared" si="34"/>
        <v>0.39808170093137257</v>
      </c>
      <c r="E30" s="54">
        <f t="shared" si="34"/>
        <v>0.49759150485294112</v>
      </c>
      <c r="F30" s="54">
        <f t="shared" si="34"/>
        <v>0.48729738720588234</v>
      </c>
      <c r="G30" s="54">
        <f t="shared" si="34"/>
        <v>0.36817974014705884</v>
      </c>
      <c r="H30" s="143"/>
      <c r="I30" s="54">
        <f t="shared" ref="I30:N30" si="35">+I26/I29</f>
        <v>0.565728759754902</v>
      </c>
      <c r="J30" s="54">
        <f t="shared" si="35"/>
        <v>0.54082679897058827</v>
      </c>
      <c r="K30" s="54">
        <f t="shared" si="35"/>
        <v>0.47847385779411761</v>
      </c>
      <c r="L30" s="144">
        <f t="shared" si="35"/>
        <v>0.48215032838235289</v>
      </c>
      <c r="M30" s="54">
        <f t="shared" si="35"/>
        <v>0.62406209308823524</v>
      </c>
      <c r="N30" s="54">
        <f t="shared" si="35"/>
        <v>0.51523856367647058</v>
      </c>
      <c r="O30" s="54"/>
      <c r="P30" s="54">
        <f>+P26/P29</f>
        <v>0.40200326955882354</v>
      </c>
      <c r="Q30" s="54">
        <f>+Q26/Q29</f>
        <v>0.48494444602941178</v>
      </c>
      <c r="R30" s="143">
        <f>+R26/R29</f>
        <v>0.49023856367647056</v>
      </c>
      <c r="S30" s="54">
        <f>+S26/S29</f>
        <v>0.69612091661764708</v>
      </c>
      <c r="T30" s="54"/>
      <c r="U30" s="54">
        <f>+U26/U29</f>
        <v>0.42063072053921574</v>
      </c>
      <c r="V30" s="144">
        <f>+V26/V29</f>
        <v>0.45435621073529414</v>
      </c>
      <c r="W30" s="54">
        <f>+W26/W29</f>
        <v>0.85494444602941178</v>
      </c>
      <c r="X30" s="54"/>
      <c r="Y30" s="54"/>
      <c r="Z30" s="54"/>
      <c r="AA30" s="54"/>
      <c r="AB30" s="54"/>
      <c r="AC30" s="46"/>
      <c r="AD30" s="3"/>
    </row>
    <row r="31" spans="1:30" ht="12.6" customHeight="1" x14ac:dyDescent="0.15">
      <c r="A31" s="52" t="s">
        <v>258</v>
      </c>
      <c r="B31" s="7" t="str">
        <f t="shared" ref="B31:G31" si="36">IF(B30&lt;1,"OK","ＮＧ")</f>
        <v>OK</v>
      </c>
      <c r="C31" s="6" t="str">
        <f t="shared" si="36"/>
        <v>OK</v>
      </c>
      <c r="D31" s="6" t="str">
        <f t="shared" si="36"/>
        <v>OK</v>
      </c>
      <c r="E31" s="6" t="str">
        <f t="shared" si="36"/>
        <v>OK</v>
      </c>
      <c r="F31" s="6" t="str">
        <f t="shared" si="36"/>
        <v>OK</v>
      </c>
      <c r="G31" s="6" t="str">
        <f t="shared" si="36"/>
        <v>OK</v>
      </c>
      <c r="H31" s="127"/>
      <c r="I31" s="6" t="str">
        <f t="shared" ref="I31:N31" si="37">IF(I30&lt;1,"OK","ＮＧ")</f>
        <v>OK</v>
      </c>
      <c r="J31" s="6" t="str">
        <f t="shared" si="37"/>
        <v>OK</v>
      </c>
      <c r="K31" s="6" t="str">
        <f t="shared" si="37"/>
        <v>OK</v>
      </c>
      <c r="L31" s="128" t="str">
        <f t="shared" si="37"/>
        <v>OK</v>
      </c>
      <c r="M31" s="6" t="str">
        <f t="shared" si="37"/>
        <v>OK</v>
      </c>
      <c r="N31" s="6" t="str">
        <f t="shared" si="37"/>
        <v>OK</v>
      </c>
      <c r="O31" s="6"/>
      <c r="P31" s="6" t="str">
        <f>IF(P30&lt;1,"OK","ＮＧ")</f>
        <v>OK</v>
      </c>
      <c r="Q31" s="6" t="str">
        <f>IF(Q30&lt;1,"OK","ＮＧ")</f>
        <v>OK</v>
      </c>
      <c r="R31" s="127" t="str">
        <f>IF(R30&lt;1,"OK","ＮＧ")</f>
        <v>OK</v>
      </c>
      <c r="S31" s="6" t="str">
        <f>IF(S30&lt;1,"OK","ＮＧ")</f>
        <v>OK</v>
      </c>
      <c r="T31" s="6"/>
      <c r="U31" s="6" t="str">
        <f>IF(U30&lt;1,"OK","ＮＧ")</f>
        <v>OK</v>
      </c>
      <c r="V31" s="128" t="str">
        <f>IF(V30&lt;1,"OK","ＮＧ")</f>
        <v>OK</v>
      </c>
      <c r="W31" s="6" t="str">
        <f>IF(W30&lt;1,"OK","ＮＧ")</f>
        <v>OK</v>
      </c>
      <c r="X31" s="6"/>
      <c r="Y31" s="6"/>
      <c r="Z31" s="6"/>
      <c r="AA31" s="6"/>
      <c r="AB31" s="6"/>
      <c r="AC31" s="46"/>
      <c r="AD31" s="3"/>
    </row>
    <row r="32" spans="1:30" ht="12.6" customHeight="1" x14ac:dyDescent="0.15">
      <c r="A32" s="80" t="s">
        <v>259</v>
      </c>
      <c r="B32" s="81"/>
      <c r="C32" s="6"/>
      <c r="D32" s="57"/>
      <c r="E32" s="57"/>
      <c r="F32" s="57"/>
      <c r="G32" s="57"/>
      <c r="H32" s="147"/>
      <c r="I32" s="57"/>
      <c r="J32" s="57"/>
      <c r="K32" s="57"/>
      <c r="L32" s="148"/>
      <c r="M32" s="57"/>
      <c r="N32" s="57"/>
      <c r="O32" s="57"/>
      <c r="P32" s="57"/>
      <c r="Q32" s="57"/>
      <c r="R32" s="147"/>
      <c r="S32" s="57"/>
      <c r="T32" s="57"/>
      <c r="U32" s="57"/>
      <c r="V32" s="148"/>
      <c r="W32" s="57"/>
      <c r="X32" s="57"/>
      <c r="Y32" s="57"/>
      <c r="Z32" s="57"/>
      <c r="AA32" s="57"/>
      <c r="AB32" s="12"/>
      <c r="AC32" s="46"/>
      <c r="AD32" s="3"/>
    </row>
    <row r="33" spans="1:30" ht="12.6" customHeight="1" x14ac:dyDescent="0.15">
      <c r="A33" s="82" t="s">
        <v>533</v>
      </c>
      <c r="B33" s="62">
        <f t="shared" ref="B33:G33" si="38">+B18+B21+B25</f>
        <v>452.36222329999998</v>
      </c>
      <c r="C33" s="63">
        <f t="shared" si="38"/>
        <v>455.04333495000003</v>
      </c>
      <c r="D33" s="63">
        <f t="shared" si="38"/>
        <v>406.04333495000003</v>
      </c>
      <c r="E33" s="63">
        <f t="shared" si="38"/>
        <v>338.36222329999998</v>
      </c>
      <c r="F33" s="63">
        <f t="shared" si="38"/>
        <v>331.36222329999998</v>
      </c>
      <c r="G33" s="63">
        <f t="shared" si="38"/>
        <v>250.36222330000001</v>
      </c>
      <c r="H33" s="133"/>
      <c r="I33" s="63">
        <f t="shared" ref="I33:N33" si="39">+I18+I21+I25</f>
        <v>577.04333495000003</v>
      </c>
      <c r="J33" s="63">
        <f t="shared" si="39"/>
        <v>919.40555825000001</v>
      </c>
      <c r="K33" s="63">
        <f t="shared" si="39"/>
        <v>650.72444659999996</v>
      </c>
      <c r="L33" s="134">
        <f t="shared" si="39"/>
        <v>655.72444659999996</v>
      </c>
      <c r="M33" s="63">
        <f t="shared" si="39"/>
        <v>424.36222329999998</v>
      </c>
      <c r="N33" s="63">
        <f t="shared" si="39"/>
        <v>350.36222329999998</v>
      </c>
      <c r="O33" s="63"/>
      <c r="P33" s="63">
        <f>+P18+P21+P25</f>
        <v>410.04333495000003</v>
      </c>
      <c r="Q33" s="63">
        <f>+Q18+Q21+Q25</f>
        <v>824.40555825000001</v>
      </c>
      <c r="R33" s="133">
        <f>+R18+R21+R25</f>
        <v>666.72444659999996</v>
      </c>
      <c r="S33" s="63">
        <f>+S18+S21+S25</f>
        <v>236.68111164999999</v>
      </c>
      <c r="T33" s="63"/>
      <c r="U33" s="63">
        <f>+U18+U21+U25</f>
        <v>429.04333495000003</v>
      </c>
      <c r="V33" s="134">
        <f>+V18+V21+V25</f>
        <v>772.40555825000001</v>
      </c>
      <c r="W33" s="63">
        <f>+W18+W21+W25</f>
        <v>290.68111164999999</v>
      </c>
      <c r="X33" s="63"/>
      <c r="Y33" s="63"/>
      <c r="Z33" s="63"/>
      <c r="AA33" s="63"/>
      <c r="AB33" s="63"/>
      <c r="AC33" s="83" t="s">
        <v>534</v>
      </c>
      <c r="AD33" s="3"/>
    </row>
    <row r="34" spans="1:30" ht="12.6" customHeight="1" x14ac:dyDescent="0.15">
      <c r="A34" s="82" t="s">
        <v>535</v>
      </c>
      <c r="B34" s="73">
        <f t="shared" ref="B34:G34" si="40">+B18-B21+B25</f>
        <v>414.36222329999998</v>
      </c>
      <c r="C34" s="53">
        <f t="shared" si="40"/>
        <v>429.04333495000003</v>
      </c>
      <c r="D34" s="53">
        <f t="shared" si="40"/>
        <v>376.04333495000003</v>
      </c>
      <c r="E34" s="53">
        <f t="shared" si="40"/>
        <v>320.36222329999998</v>
      </c>
      <c r="F34" s="53">
        <f t="shared" si="40"/>
        <v>301.36222329999998</v>
      </c>
      <c r="G34" s="53">
        <f t="shared" si="40"/>
        <v>224.36222330000001</v>
      </c>
      <c r="H34" s="123"/>
      <c r="I34" s="53">
        <f t="shared" ref="I34:N34" si="41">+I18-I21+I25</f>
        <v>389.04333495000003</v>
      </c>
      <c r="J34" s="53">
        <f t="shared" si="41"/>
        <v>743.40555825000001</v>
      </c>
      <c r="K34" s="53">
        <f t="shared" si="41"/>
        <v>638.72444659999996</v>
      </c>
      <c r="L34" s="124">
        <f t="shared" si="41"/>
        <v>515.72444659999996</v>
      </c>
      <c r="M34" s="53">
        <f t="shared" si="41"/>
        <v>396.36222329999998</v>
      </c>
      <c r="N34" s="53">
        <f t="shared" si="41"/>
        <v>318.36222329999998</v>
      </c>
      <c r="O34" s="53"/>
      <c r="P34" s="53">
        <f>+P18-P21+P25</f>
        <v>354.04333495000003</v>
      </c>
      <c r="Q34" s="53">
        <f>+Q18-Q21+Q25</f>
        <v>724.40555825000001</v>
      </c>
      <c r="R34" s="123">
        <f>+R18-R21+R25</f>
        <v>520.72444659999996</v>
      </c>
      <c r="S34" s="53">
        <f>+S18-S21+S25</f>
        <v>76.681111650000005</v>
      </c>
      <c r="T34" s="53"/>
      <c r="U34" s="53">
        <f>+U18-U21+U25</f>
        <v>331.04333495000003</v>
      </c>
      <c r="V34" s="124">
        <f>+V18-V21+V25</f>
        <v>638.40555825000001</v>
      </c>
      <c r="W34" s="53">
        <f>+W18-W21+W25</f>
        <v>140.68111164999999</v>
      </c>
      <c r="X34" s="53"/>
      <c r="Y34" s="53"/>
      <c r="Z34" s="53"/>
      <c r="AA34" s="53"/>
      <c r="AB34" s="53"/>
      <c r="AC34" s="55" t="s">
        <v>536</v>
      </c>
      <c r="AD34" s="3"/>
    </row>
    <row r="35" spans="1:30" ht="12.6" customHeight="1" x14ac:dyDescent="0.15">
      <c r="A35" s="82" t="s">
        <v>537</v>
      </c>
      <c r="B35" s="73">
        <f t="shared" ref="B35:G35" si="42">+B26/B28</f>
        <v>226.18111164999999</v>
      </c>
      <c r="C35" s="53">
        <f t="shared" si="42"/>
        <v>151.68111165000002</v>
      </c>
      <c r="D35" s="53">
        <f t="shared" si="42"/>
        <v>135.34777831666668</v>
      </c>
      <c r="E35" s="53">
        <f t="shared" si="42"/>
        <v>169.18111164999999</v>
      </c>
      <c r="F35" s="53">
        <f t="shared" si="42"/>
        <v>165.68111164999999</v>
      </c>
      <c r="G35" s="53">
        <f t="shared" si="42"/>
        <v>125.18111165000001</v>
      </c>
      <c r="H35" s="123"/>
      <c r="I35" s="53">
        <f t="shared" ref="I35:N35" si="43">+I26/I28</f>
        <v>192.34777831666668</v>
      </c>
      <c r="J35" s="53">
        <f t="shared" si="43"/>
        <v>183.88111165000001</v>
      </c>
      <c r="K35" s="53">
        <f t="shared" si="43"/>
        <v>162.68111164999999</v>
      </c>
      <c r="L35" s="124">
        <f t="shared" si="43"/>
        <v>163.93111164999999</v>
      </c>
      <c r="M35" s="53">
        <f t="shared" si="43"/>
        <v>212.18111164999999</v>
      </c>
      <c r="N35" s="53">
        <f t="shared" si="43"/>
        <v>175.18111164999999</v>
      </c>
      <c r="O35" s="53"/>
      <c r="P35" s="53">
        <f>+P26/P28</f>
        <v>136.68111165000002</v>
      </c>
      <c r="Q35" s="53">
        <f>+Q26/Q28</f>
        <v>164.88111165000001</v>
      </c>
      <c r="R35" s="123">
        <f>+R26/R28</f>
        <v>166.68111164999999</v>
      </c>
      <c r="S35" s="53">
        <f>+S26/S28</f>
        <v>236.68111164999999</v>
      </c>
      <c r="T35" s="53"/>
      <c r="U35" s="53">
        <f>+U26/U28</f>
        <v>143.01444498333333</v>
      </c>
      <c r="V35" s="124">
        <f>+V26/V28</f>
        <v>154.48111165</v>
      </c>
      <c r="W35" s="53">
        <f>+W26/W28</f>
        <v>290.68111164999999</v>
      </c>
      <c r="X35" s="53"/>
      <c r="Y35" s="53"/>
      <c r="Z35" s="53"/>
      <c r="AA35" s="53"/>
      <c r="AB35" s="53"/>
      <c r="AC35" s="84">
        <f>MAX(B35:AB35)</f>
        <v>290.68111164999999</v>
      </c>
      <c r="AD35" s="3"/>
    </row>
    <row r="36" spans="1:30" ht="12.6" customHeight="1" x14ac:dyDescent="0.15">
      <c r="A36" s="80" t="s">
        <v>538</v>
      </c>
      <c r="B36" s="85">
        <f t="shared" ref="B36:G36" si="44">+B34/B28</f>
        <v>207.18111164999999</v>
      </c>
      <c r="C36" s="86">
        <f t="shared" si="44"/>
        <v>143.01444498333333</v>
      </c>
      <c r="D36" s="86">
        <f t="shared" si="44"/>
        <v>125.34777831666668</v>
      </c>
      <c r="E36" s="86">
        <f t="shared" si="44"/>
        <v>160.18111164999999</v>
      </c>
      <c r="F36" s="86">
        <f t="shared" si="44"/>
        <v>150.68111164999999</v>
      </c>
      <c r="G36" s="86">
        <f t="shared" si="44"/>
        <v>112.18111165000001</v>
      </c>
      <c r="H36" s="149"/>
      <c r="I36" s="86">
        <f t="shared" ref="I36:N36" si="45">+I34/I28</f>
        <v>129.68111165000002</v>
      </c>
      <c r="J36" s="86">
        <f t="shared" si="45"/>
        <v>148.68111164999999</v>
      </c>
      <c r="K36" s="86">
        <f t="shared" si="45"/>
        <v>159.68111164999999</v>
      </c>
      <c r="L36" s="150">
        <f t="shared" si="45"/>
        <v>128.93111164999999</v>
      </c>
      <c r="M36" s="86">
        <f t="shared" si="45"/>
        <v>198.18111164999999</v>
      </c>
      <c r="N36" s="86">
        <f t="shared" si="45"/>
        <v>159.18111164999999</v>
      </c>
      <c r="O36" s="86"/>
      <c r="P36" s="86">
        <f>+P34/P28</f>
        <v>118.01444498333335</v>
      </c>
      <c r="Q36" s="86">
        <f>+Q34/Q28</f>
        <v>144.88111165000001</v>
      </c>
      <c r="R36" s="149">
        <f>+R34/R28</f>
        <v>130.18111164999999</v>
      </c>
      <c r="S36" s="86">
        <f>+S34/S28</f>
        <v>76.681111650000005</v>
      </c>
      <c r="T36" s="86"/>
      <c r="U36" s="86">
        <f>+U34/U28</f>
        <v>110.34777831666668</v>
      </c>
      <c r="V36" s="150">
        <f>+V34/V28</f>
        <v>127.68111165000001</v>
      </c>
      <c r="W36" s="86">
        <f>+W34/W28</f>
        <v>140.68111164999999</v>
      </c>
      <c r="X36" s="86"/>
      <c r="Y36" s="86"/>
      <c r="Z36" s="86"/>
      <c r="AA36" s="86"/>
      <c r="AB36" s="86"/>
      <c r="AC36" s="87">
        <f>MIN(B36:AB36)</f>
        <v>76.681111650000005</v>
      </c>
      <c r="AD36" s="3"/>
    </row>
    <row r="37" spans="1:30" ht="12.6" customHeight="1" x14ac:dyDescent="0.15">
      <c r="A37" s="19" t="s">
        <v>539</v>
      </c>
      <c r="B37" s="3" t="s">
        <v>261</v>
      </c>
      <c r="F37" s="19" t="s">
        <v>540</v>
      </c>
      <c r="G37" s="3" t="s">
        <v>262</v>
      </c>
      <c r="J37" s="19" t="s">
        <v>541</v>
      </c>
      <c r="K37" s="3" t="s">
        <v>263</v>
      </c>
      <c r="M37" s="5"/>
      <c r="N37" s="5"/>
      <c r="O37" s="88" t="s">
        <v>542</v>
      </c>
      <c r="P37" s="89" t="s">
        <v>543</v>
      </c>
      <c r="Q37" s="9"/>
    </row>
    <row r="38" spans="1:30" ht="12.6" customHeight="1" x14ac:dyDescent="0.15">
      <c r="A38" s="19" t="s">
        <v>544</v>
      </c>
      <c r="B38" s="3" t="s">
        <v>266</v>
      </c>
      <c r="F38" s="19" t="s">
        <v>545</v>
      </c>
      <c r="G38" s="3" t="s">
        <v>267</v>
      </c>
      <c r="J38" s="19" t="s">
        <v>546</v>
      </c>
      <c r="K38" s="3" t="s">
        <v>268</v>
      </c>
      <c r="O38" s="88" t="s">
        <v>547</v>
      </c>
      <c r="P38" s="89" t="s">
        <v>548</v>
      </c>
    </row>
    <row r="39" spans="1:30" ht="12.6" customHeight="1" x14ac:dyDescent="0.15">
      <c r="A39" s="19" t="s">
        <v>549</v>
      </c>
      <c r="B39" s="3" t="s">
        <v>271</v>
      </c>
      <c r="F39" s="19"/>
      <c r="J39" s="90" t="s">
        <v>550</v>
      </c>
      <c r="K39" s="3" t="s">
        <v>272</v>
      </c>
      <c r="N39" s="19"/>
    </row>
  </sheetData>
  <phoneticPr fontId="2"/>
  <pageMargins left="0.98425196850393704" right="0.39370078740157483" top="0.98425196850393704" bottom="0.78740157480314965" header="0.51181102362204722" footer="0.51181102362204722"/>
  <pageSetup paperSize="8" orientation="landscape" horizontalDpi="400" verticalDpi="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AA39"/>
  <sheetViews>
    <sheetView zoomScale="75" workbookViewId="0">
      <selection activeCell="G46" sqref="G46"/>
    </sheetView>
  </sheetViews>
  <sheetFormatPr defaultRowHeight="12.6" customHeight="1" x14ac:dyDescent="0.15"/>
  <cols>
    <col min="1" max="1" width="1.625" style="3" customWidth="1"/>
    <col min="2" max="2" width="11.625" style="3" customWidth="1"/>
    <col min="3" max="8" width="6.25" style="3" customWidth="1"/>
    <col min="9" max="9" width="1.625" style="3" customWidth="1"/>
    <col min="10" max="15" width="6.25" style="3" customWidth="1"/>
    <col min="16" max="16" width="1.625" style="3" customWidth="1"/>
    <col min="17" max="20" width="6.25" style="3" customWidth="1"/>
    <col min="21" max="21" width="1.625" style="3" customWidth="1"/>
    <col min="22" max="24" width="6.25" style="3" customWidth="1"/>
    <col min="25" max="25" width="1.625" style="3" customWidth="1"/>
    <col min="26" max="26" width="6.25" style="3" customWidth="1"/>
    <col min="27" max="27" width="6.25" style="38" customWidth="1"/>
    <col min="28" max="28" width="6.25" style="3" customWidth="1"/>
    <col min="29" max="16384" width="9" style="3"/>
  </cols>
  <sheetData>
    <row r="1" spans="2:27" ht="12.6" customHeight="1" x14ac:dyDescent="0.15">
      <c r="B1" s="3" t="s">
        <v>249</v>
      </c>
    </row>
    <row r="3" spans="2:27" ht="12.6" customHeight="1" x14ac:dyDescent="0.15">
      <c r="B3" s="3" t="s">
        <v>250</v>
      </c>
    </row>
    <row r="4" spans="2:27" ht="12.6" customHeight="1" x14ac:dyDescent="0.15">
      <c r="B4" s="39"/>
      <c r="C4" s="40" t="s">
        <v>512</v>
      </c>
      <c r="D4" s="41" t="s">
        <v>513</v>
      </c>
      <c r="E4" s="41" t="s">
        <v>506</v>
      </c>
      <c r="F4" s="41" t="s">
        <v>500</v>
      </c>
      <c r="G4" s="41" t="s">
        <v>501</v>
      </c>
      <c r="H4" s="41" t="s">
        <v>502</v>
      </c>
      <c r="I4" s="41"/>
      <c r="J4" s="41" t="s">
        <v>514</v>
      </c>
      <c r="K4" s="41" t="s">
        <v>507</v>
      </c>
      <c r="L4" s="41" t="s">
        <v>344</v>
      </c>
      <c r="M4" s="41" t="s">
        <v>56</v>
      </c>
      <c r="N4" s="41" t="s">
        <v>345</v>
      </c>
      <c r="O4" s="41" t="s">
        <v>346</v>
      </c>
      <c r="P4" s="41"/>
      <c r="Q4" s="41" t="s">
        <v>515</v>
      </c>
      <c r="R4" s="41" t="s">
        <v>508</v>
      </c>
      <c r="S4" s="41" t="s">
        <v>509</v>
      </c>
      <c r="T4" s="41" t="s">
        <v>347</v>
      </c>
      <c r="U4" s="41"/>
      <c r="V4" s="41" t="s">
        <v>516</v>
      </c>
      <c r="W4" s="41" t="s">
        <v>510</v>
      </c>
      <c r="X4" s="41" t="s">
        <v>511</v>
      </c>
      <c r="Y4" s="41"/>
      <c r="Z4" s="152" t="s">
        <v>251</v>
      </c>
      <c r="AA4" s="3"/>
    </row>
    <row r="5" spans="2:27" ht="12.6" customHeight="1" x14ac:dyDescent="0.15">
      <c r="B5" s="42" t="s">
        <v>517</v>
      </c>
      <c r="C5" s="113">
        <v>202</v>
      </c>
      <c r="D5" s="114">
        <v>377</v>
      </c>
      <c r="E5" s="113">
        <v>327</v>
      </c>
      <c r="F5" s="113">
        <v>308</v>
      </c>
      <c r="G5" s="113">
        <v>297</v>
      </c>
      <c r="H5" s="113">
        <v>220</v>
      </c>
      <c r="I5" s="113"/>
      <c r="J5" s="113">
        <v>432</v>
      </c>
      <c r="K5" s="113">
        <v>728</v>
      </c>
      <c r="L5" s="113">
        <v>558</v>
      </c>
      <c r="M5" s="68">
        <v>488</v>
      </c>
      <c r="N5" s="114">
        <v>280</v>
      </c>
      <c r="O5" s="114">
        <v>234</v>
      </c>
      <c r="P5" s="114"/>
      <c r="Q5" s="114">
        <v>325</v>
      </c>
      <c r="R5" s="114">
        <v>676</v>
      </c>
      <c r="S5" s="114">
        <v>514</v>
      </c>
      <c r="T5" s="114">
        <v>94</v>
      </c>
      <c r="U5" s="113"/>
      <c r="V5" s="113">
        <v>334</v>
      </c>
      <c r="W5" s="114">
        <v>628</v>
      </c>
      <c r="X5" s="114">
        <v>189</v>
      </c>
      <c r="Y5" s="69"/>
      <c r="Z5" s="43">
        <f>SUM(C5:Y5)</f>
        <v>7211</v>
      </c>
      <c r="AA5" s="3"/>
    </row>
    <row r="6" spans="2:27" ht="12.6" customHeight="1" x14ac:dyDescent="0.15">
      <c r="B6" s="44" t="s">
        <v>518</v>
      </c>
      <c r="C6" s="45">
        <f>0.81*C11</f>
        <v>1.62</v>
      </c>
      <c r="D6" s="45">
        <f>0.81*D11</f>
        <v>1.62</v>
      </c>
      <c r="E6" s="45">
        <f t="shared" ref="E6:X6" si="0">0.81*E11</f>
        <v>1.62</v>
      </c>
      <c r="F6" s="45">
        <f t="shared" si="0"/>
        <v>1.62</v>
      </c>
      <c r="G6" s="45">
        <f t="shared" si="0"/>
        <v>1.62</v>
      </c>
      <c r="H6" s="45">
        <f t="shared" si="0"/>
        <v>1.62</v>
      </c>
      <c r="I6" s="45"/>
      <c r="J6" s="45">
        <f t="shared" si="0"/>
        <v>2.4300000000000002</v>
      </c>
      <c r="K6" s="45">
        <f t="shared" si="0"/>
        <v>3.24</v>
      </c>
      <c r="L6" s="45">
        <f t="shared" si="0"/>
        <v>2.4300000000000002</v>
      </c>
      <c r="M6" s="45">
        <f t="shared" si="0"/>
        <v>2.4300000000000002</v>
      </c>
      <c r="N6" s="45">
        <f t="shared" si="0"/>
        <v>1.62</v>
      </c>
      <c r="O6" s="45">
        <f t="shared" si="0"/>
        <v>1.62</v>
      </c>
      <c r="P6" s="45"/>
      <c r="Q6" s="45">
        <f t="shared" si="0"/>
        <v>1.62</v>
      </c>
      <c r="R6" s="45">
        <f t="shared" si="0"/>
        <v>3.24</v>
      </c>
      <c r="S6" s="45">
        <f t="shared" si="0"/>
        <v>2.4300000000000002</v>
      </c>
      <c r="T6" s="45">
        <f t="shared" si="0"/>
        <v>1.62</v>
      </c>
      <c r="U6" s="45"/>
      <c r="V6" s="45">
        <f t="shared" si="0"/>
        <v>1.62</v>
      </c>
      <c r="W6" s="45">
        <f t="shared" si="0"/>
        <v>3.24</v>
      </c>
      <c r="X6" s="45">
        <f t="shared" si="0"/>
        <v>1.62</v>
      </c>
      <c r="Y6" s="45"/>
      <c r="Z6" s="46"/>
      <c r="AA6" s="3"/>
    </row>
    <row r="7" spans="2:27" ht="12.6" customHeight="1" x14ac:dyDescent="0.15">
      <c r="B7" s="44" t="s">
        <v>519</v>
      </c>
      <c r="C7" s="47">
        <v>0.95</v>
      </c>
      <c r="D7" s="47">
        <v>0.95</v>
      </c>
      <c r="E7" s="47">
        <v>0.95</v>
      </c>
      <c r="F7" s="47">
        <v>0.95</v>
      </c>
      <c r="G7" s="47">
        <v>0.95</v>
      </c>
      <c r="H7" s="47">
        <v>0.95</v>
      </c>
      <c r="I7" s="47"/>
      <c r="J7" s="47">
        <v>0.95</v>
      </c>
      <c r="K7" s="47">
        <v>0.95</v>
      </c>
      <c r="L7" s="47">
        <v>0.95</v>
      </c>
      <c r="M7" s="47">
        <v>0.95</v>
      </c>
      <c r="N7" s="47">
        <v>0.95</v>
      </c>
      <c r="O7" s="47">
        <v>0.95</v>
      </c>
      <c r="P7" s="47"/>
      <c r="Q7" s="47">
        <v>0.95</v>
      </c>
      <c r="R7" s="47">
        <v>0.95</v>
      </c>
      <c r="S7" s="47">
        <v>0.95</v>
      </c>
      <c r="T7" s="47">
        <v>0.95</v>
      </c>
      <c r="U7" s="47"/>
      <c r="V7" s="47">
        <v>0.95</v>
      </c>
      <c r="W7" s="47">
        <v>0.95</v>
      </c>
      <c r="X7" s="47">
        <v>0.95</v>
      </c>
      <c r="Y7" s="47"/>
      <c r="Z7" s="46"/>
      <c r="AA7" s="3"/>
    </row>
    <row r="8" spans="2:27" ht="12.6" customHeight="1" x14ac:dyDescent="0.15">
      <c r="B8" s="48" t="s">
        <v>520</v>
      </c>
      <c r="C8" s="49">
        <f t="shared" ref="C8:H8" si="1">+C6*C7*20</f>
        <v>30.779999999999998</v>
      </c>
      <c r="D8" s="49">
        <f t="shared" si="1"/>
        <v>30.779999999999998</v>
      </c>
      <c r="E8" s="49">
        <f t="shared" si="1"/>
        <v>30.779999999999998</v>
      </c>
      <c r="F8" s="49">
        <f t="shared" si="1"/>
        <v>30.779999999999998</v>
      </c>
      <c r="G8" s="49">
        <f t="shared" si="1"/>
        <v>30.779999999999998</v>
      </c>
      <c r="H8" s="49">
        <f t="shared" si="1"/>
        <v>30.779999999999998</v>
      </c>
      <c r="I8" s="49"/>
      <c r="J8" s="49">
        <f t="shared" ref="J8:O8" si="2">+J6*J7*20</f>
        <v>46.17</v>
      </c>
      <c r="K8" s="49">
        <f t="shared" si="2"/>
        <v>61.559999999999995</v>
      </c>
      <c r="L8" s="49">
        <f t="shared" si="2"/>
        <v>46.17</v>
      </c>
      <c r="M8" s="49">
        <f t="shared" si="2"/>
        <v>46.17</v>
      </c>
      <c r="N8" s="49">
        <f t="shared" si="2"/>
        <v>30.779999999999998</v>
      </c>
      <c r="O8" s="49">
        <f t="shared" si="2"/>
        <v>30.779999999999998</v>
      </c>
      <c r="P8" s="49"/>
      <c r="Q8" s="49">
        <f>+Q6*Q7*20</f>
        <v>30.779999999999998</v>
      </c>
      <c r="R8" s="49">
        <f>+R6*R7*20</f>
        <v>61.559999999999995</v>
      </c>
      <c r="S8" s="49">
        <f>+S6*S7*20</f>
        <v>46.17</v>
      </c>
      <c r="T8" s="49">
        <f>+T6*T7*20</f>
        <v>30.779999999999998</v>
      </c>
      <c r="U8" s="49"/>
      <c r="V8" s="49">
        <f>+V6*V7*20</f>
        <v>30.779999999999998</v>
      </c>
      <c r="W8" s="49">
        <f>+W6*W7*20</f>
        <v>61.559999999999995</v>
      </c>
      <c r="X8" s="49">
        <f>+X6*X7*20</f>
        <v>30.779999999999998</v>
      </c>
      <c r="Y8" s="106"/>
      <c r="Z8" s="153">
        <f>SUM(C8:Y8)</f>
        <v>738.71999999999969</v>
      </c>
      <c r="AA8" s="3"/>
    </row>
    <row r="9" spans="2:27" ht="12.6" customHeight="1" x14ac:dyDescent="0.15">
      <c r="B9" s="48" t="s">
        <v>521</v>
      </c>
      <c r="C9" s="49">
        <f t="shared" ref="C9:H9" si="3">C8+C5</f>
        <v>232.78</v>
      </c>
      <c r="D9" s="49">
        <f t="shared" si="3"/>
        <v>407.78</v>
      </c>
      <c r="E9" s="49">
        <f t="shared" si="3"/>
        <v>357.78</v>
      </c>
      <c r="F9" s="49">
        <f t="shared" si="3"/>
        <v>338.78</v>
      </c>
      <c r="G9" s="49">
        <f t="shared" si="3"/>
        <v>327.78</v>
      </c>
      <c r="H9" s="49">
        <f t="shared" si="3"/>
        <v>250.78</v>
      </c>
      <c r="I9" s="49"/>
      <c r="J9" s="49">
        <f t="shared" ref="J9:O9" si="4">J8+J5</f>
        <v>478.17</v>
      </c>
      <c r="K9" s="49">
        <f t="shared" si="4"/>
        <v>789.56</v>
      </c>
      <c r="L9" s="49">
        <f t="shared" si="4"/>
        <v>604.16999999999996</v>
      </c>
      <c r="M9" s="49">
        <f t="shared" si="4"/>
        <v>534.16999999999996</v>
      </c>
      <c r="N9" s="49">
        <f t="shared" si="4"/>
        <v>310.77999999999997</v>
      </c>
      <c r="O9" s="49">
        <f t="shared" si="4"/>
        <v>264.77999999999997</v>
      </c>
      <c r="P9" s="49"/>
      <c r="Q9" s="49">
        <f>Q8+Q5</f>
        <v>355.78</v>
      </c>
      <c r="R9" s="49">
        <f>R8+R5</f>
        <v>737.56</v>
      </c>
      <c r="S9" s="49">
        <f>S8+S5</f>
        <v>560.16999999999996</v>
      </c>
      <c r="T9" s="49">
        <f>T8+T5</f>
        <v>124.78</v>
      </c>
      <c r="U9" s="49"/>
      <c r="V9" s="49">
        <f>V8+V5</f>
        <v>364.78</v>
      </c>
      <c r="W9" s="49">
        <f>W8+W5</f>
        <v>689.56</v>
      </c>
      <c r="X9" s="49">
        <f>X8+X5</f>
        <v>219.78</v>
      </c>
      <c r="Y9" s="49"/>
      <c r="Z9" s="153">
        <f>SUM(C9:Y9)</f>
        <v>7949.7199999999984</v>
      </c>
      <c r="AA9" s="3"/>
    </row>
    <row r="10" spans="2:27" ht="12.6" customHeight="1" x14ac:dyDescent="0.15">
      <c r="B10" s="44" t="s">
        <v>522</v>
      </c>
      <c r="C10" s="114">
        <v>274</v>
      </c>
      <c r="D10" s="114">
        <v>274</v>
      </c>
      <c r="E10" s="114">
        <v>274</v>
      </c>
      <c r="F10" s="114">
        <v>274</v>
      </c>
      <c r="G10" s="114">
        <v>274</v>
      </c>
      <c r="H10" s="114">
        <v>274</v>
      </c>
      <c r="I10" s="114"/>
      <c r="J10" s="114">
        <v>274</v>
      </c>
      <c r="K10" s="114">
        <v>274</v>
      </c>
      <c r="L10" s="114">
        <v>274</v>
      </c>
      <c r="M10" s="114">
        <v>274</v>
      </c>
      <c r="N10" s="114">
        <v>274</v>
      </c>
      <c r="O10" s="114">
        <v>274</v>
      </c>
      <c r="P10" s="114"/>
      <c r="Q10" s="114">
        <v>274</v>
      </c>
      <c r="R10" s="114">
        <v>274</v>
      </c>
      <c r="S10" s="114">
        <v>274</v>
      </c>
      <c r="T10" s="114">
        <v>274</v>
      </c>
      <c r="U10" s="114"/>
      <c r="V10" s="114">
        <v>274</v>
      </c>
      <c r="W10" s="114">
        <v>274</v>
      </c>
      <c r="X10" s="114">
        <v>274</v>
      </c>
      <c r="Y10" s="69"/>
      <c r="Z10" s="46"/>
      <c r="AA10" s="3"/>
    </row>
    <row r="11" spans="2:27" ht="12.6" customHeight="1" x14ac:dyDescent="0.15">
      <c r="B11" s="50" t="s">
        <v>523</v>
      </c>
      <c r="C11" s="51">
        <v>2</v>
      </c>
      <c r="D11" s="51">
        <v>2</v>
      </c>
      <c r="E11" s="51">
        <v>2</v>
      </c>
      <c r="F11" s="51">
        <v>2</v>
      </c>
      <c r="G11" s="51">
        <v>2</v>
      </c>
      <c r="H11" s="51">
        <v>2</v>
      </c>
      <c r="I11" s="51"/>
      <c r="J11" s="51">
        <v>3</v>
      </c>
      <c r="K11" s="51">
        <v>4</v>
      </c>
      <c r="L11" s="51">
        <v>3</v>
      </c>
      <c r="M11" s="51">
        <v>3</v>
      </c>
      <c r="N11" s="51">
        <v>2</v>
      </c>
      <c r="O11" s="51">
        <v>2</v>
      </c>
      <c r="P11" s="51"/>
      <c r="Q11" s="51">
        <v>2</v>
      </c>
      <c r="R11" s="51">
        <v>4</v>
      </c>
      <c r="S11" s="51">
        <v>3</v>
      </c>
      <c r="T11" s="51">
        <v>2</v>
      </c>
      <c r="U11" s="51"/>
      <c r="V11" s="51">
        <v>2</v>
      </c>
      <c r="W11" s="51">
        <v>4</v>
      </c>
      <c r="X11" s="51">
        <v>2</v>
      </c>
      <c r="Y11" s="51"/>
      <c r="Z11" s="153">
        <f>SUM(C11:Y11)</f>
        <v>48</v>
      </c>
      <c r="AA11" s="3"/>
    </row>
    <row r="12" spans="2:27" ht="12.6" customHeight="1" x14ac:dyDescent="0.15">
      <c r="B12" s="52" t="s">
        <v>524</v>
      </c>
      <c r="C12" s="53">
        <f t="shared" ref="C12:H12" si="5">+C10*C11</f>
        <v>548</v>
      </c>
      <c r="D12" s="53">
        <f t="shared" si="5"/>
        <v>548</v>
      </c>
      <c r="E12" s="53">
        <f t="shared" si="5"/>
        <v>548</v>
      </c>
      <c r="F12" s="53">
        <f t="shared" si="5"/>
        <v>548</v>
      </c>
      <c r="G12" s="53">
        <f t="shared" si="5"/>
        <v>548</v>
      </c>
      <c r="H12" s="53">
        <f t="shared" si="5"/>
        <v>548</v>
      </c>
      <c r="I12" s="53"/>
      <c r="J12" s="53">
        <f t="shared" ref="J12:O12" si="6">+J10*J11</f>
        <v>822</v>
      </c>
      <c r="K12" s="53">
        <f t="shared" si="6"/>
        <v>1096</v>
      </c>
      <c r="L12" s="53">
        <f t="shared" si="6"/>
        <v>822</v>
      </c>
      <c r="M12" s="53">
        <f t="shared" si="6"/>
        <v>822</v>
      </c>
      <c r="N12" s="53">
        <f t="shared" si="6"/>
        <v>548</v>
      </c>
      <c r="O12" s="53">
        <f t="shared" si="6"/>
        <v>548</v>
      </c>
      <c r="P12" s="53"/>
      <c r="Q12" s="53">
        <f>+Q10*Q11</f>
        <v>548</v>
      </c>
      <c r="R12" s="53">
        <f>+R10*R11</f>
        <v>1096</v>
      </c>
      <c r="S12" s="53">
        <f>+S10*S11</f>
        <v>822</v>
      </c>
      <c r="T12" s="53">
        <f>+T10*T11</f>
        <v>548</v>
      </c>
      <c r="U12" s="53"/>
      <c r="V12" s="53">
        <f>+V10*V11</f>
        <v>548</v>
      </c>
      <c r="W12" s="53">
        <f>+W10*W11</f>
        <v>1096</v>
      </c>
      <c r="X12" s="53">
        <f>+X10*X11</f>
        <v>548</v>
      </c>
      <c r="Y12" s="53"/>
      <c r="Z12" s="55"/>
      <c r="AA12" s="3"/>
    </row>
    <row r="13" spans="2:27" ht="12.6" customHeight="1" x14ac:dyDescent="0.15">
      <c r="B13" s="52" t="s">
        <v>525</v>
      </c>
      <c r="C13" s="14">
        <f t="shared" ref="C13:H13" si="7">C9/C12</f>
        <v>0.4247810218978102</v>
      </c>
      <c r="D13" s="14">
        <f t="shared" si="7"/>
        <v>0.74412408759124082</v>
      </c>
      <c r="E13" s="14">
        <f t="shared" si="7"/>
        <v>0.65288321167883212</v>
      </c>
      <c r="F13" s="14">
        <f t="shared" si="7"/>
        <v>0.6182116788321167</v>
      </c>
      <c r="G13" s="14">
        <f t="shared" si="7"/>
        <v>0.59813868613138677</v>
      </c>
      <c r="H13" s="14">
        <f t="shared" si="7"/>
        <v>0.45762773722627736</v>
      </c>
      <c r="I13" s="14"/>
      <c r="J13" s="14">
        <f t="shared" ref="J13:O13" si="8">J9/J12</f>
        <v>0.58171532846715335</v>
      </c>
      <c r="K13" s="14">
        <f t="shared" si="8"/>
        <v>0.7204014598540146</v>
      </c>
      <c r="L13" s="14">
        <f t="shared" si="8"/>
        <v>0.73499999999999999</v>
      </c>
      <c r="M13" s="14">
        <f t="shared" si="8"/>
        <v>0.64984184914841847</v>
      </c>
      <c r="N13" s="14">
        <f t="shared" si="8"/>
        <v>0.56711678832116785</v>
      </c>
      <c r="O13" s="14">
        <f t="shared" si="8"/>
        <v>0.48317518248175179</v>
      </c>
      <c r="P13" s="14"/>
      <c r="Q13" s="14">
        <f>Q9/Q12</f>
        <v>0.64923357664233572</v>
      </c>
      <c r="R13" s="14">
        <f>R9/R12</f>
        <v>0.67295620437956194</v>
      </c>
      <c r="S13" s="14">
        <f>S9/S12</f>
        <v>0.68147201946472014</v>
      </c>
      <c r="T13" s="14">
        <f>T9/T12</f>
        <v>0.22770072992700729</v>
      </c>
      <c r="U13" s="14"/>
      <c r="V13" s="14">
        <f>V9/V12</f>
        <v>0.66565693430656925</v>
      </c>
      <c r="W13" s="14">
        <f>W9/W12</f>
        <v>0.62916058394160579</v>
      </c>
      <c r="X13" s="14">
        <f>X9/X12</f>
        <v>0.40105839416058392</v>
      </c>
      <c r="Y13" s="14"/>
      <c r="Z13" s="55"/>
      <c r="AA13" s="3"/>
    </row>
    <row r="14" spans="2:27" ht="12.6" customHeight="1" x14ac:dyDescent="0.15">
      <c r="B14" s="52" t="s">
        <v>258</v>
      </c>
      <c r="C14" s="6" t="str">
        <f t="shared" ref="C14:H14" si="9">IF(C13&lt;1,"OK","ＮＧ")</f>
        <v>OK</v>
      </c>
      <c r="D14" s="6" t="str">
        <f t="shared" si="9"/>
        <v>OK</v>
      </c>
      <c r="E14" s="6" t="str">
        <f t="shared" si="9"/>
        <v>OK</v>
      </c>
      <c r="F14" s="6" t="str">
        <f t="shared" si="9"/>
        <v>OK</v>
      </c>
      <c r="G14" s="6" t="str">
        <f t="shared" si="9"/>
        <v>OK</v>
      </c>
      <c r="H14" s="6" t="str">
        <f t="shared" si="9"/>
        <v>OK</v>
      </c>
      <c r="I14" s="6"/>
      <c r="J14" s="6" t="str">
        <f t="shared" ref="J14:O14" si="10">IF(J13&lt;1,"OK","ＮＧ")</f>
        <v>OK</v>
      </c>
      <c r="K14" s="6" t="str">
        <f t="shared" si="10"/>
        <v>OK</v>
      </c>
      <c r="L14" s="6" t="str">
        <f t="shared" si="10"/>
        <v>OK</v>
      </c>
      <c r="M14" s="6" t="str">
        <f t="shared" si="10"/>
        <v>OK</v>
      </c>
      <c r="N14" s="6" t="str">
        <f t="shared" si="10"/>
        <v>OK</v>
      </c>
      <c r="O14" s="6" t="str">
        <f t="shared" si="10"/>
        <v>OK</v>
      </c>
      <c r="P14" s="6"/>
      <c r="Q14" s="6" t="str">
        <f>IF(Q13&lt;1,"OK","ＮＧ")</f>
        <v>OK</v>
      </c>
      <c r="R14" s="6" t="str">
        <f>IF(R13&lt;1,"OK","ＮＧ")</f>
        <v>OK</v>
      </c>
      <c r="S14" s="6" t="str">
        <f>IF(S13&lt;1,"OK","ＮＧ")</f>
        <v>OK</v>
      </c>
      <c r="T14" s="6" t="str">
        <f>IF(T13&lt;1,"OK","ＮＧ")</f>
        <v>OK</v>
      </c>
      <c r="U14" s="6"/>
      <c r="V14" s="6" t="str">
        <f>IF(V13&lt;1,"OK","ＮＧ")</f>
        <v>OK</v>
      </c>
      <c r="W14" s="6" t="str">
        <f>IF(W13&lt;1,"OK","ＮＧ")</f>
        <v>OK</v>
      </c>
      <c r="X14" s="6" t="str">
        <f>IF(X13&lt;1,"OK","ＮＧ")</f>
        <v>OK</v>
      </c>
      <c r="Y14" s="6"/>
      <c r="Z14" s="55"/>
      <c r="AA14" s="3"/>
    </row>
    <row r="15" spans="2:27" ht="12.6" customHeight="1" x14ac:dyDescent="0.15">
      <c r="B15" s="56" t="s">
        <v>259</v>
      </c>
      <c r="C15" s="57"/>
      <c r="D15" s="57"/>
      <c r="E15" s="57"/>
      <c r="F15" s="57"/>
      <c r="G15" s="57"/>
      <c r="H15" s="57"/>
      <c r="I15" s="5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54"/>
      <c r="AA15" s="3"/>
    </row>
    <row r="16" spans="2:27" ht="12.6" customHeight="1" x14ac:dyDescent="0.15">
      <c r="B16" s="3" t="s">
        <v>260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s="58"/>
      <c r="AA16" s="3"/>
    </row>
    <row r="17" spans="2:27" ht="12.6" customHeight="1" x14ac:dyDescent="0.15">
      <c r="B17" s="59"/>
      <c r="C17" s="40" t="str">
        <f t="shared" ref="C17:H18" si="11">+C4</f>
        <v>Y0-X0</v>
      </c>
      <c r="D17" s="41" t="str">
        <f t="shared" si="11"/>
        <v>Y0-X1</v>
      </c>
      <c r="E17" s="41" t="str">
        <f t="shared" si="11"/>
        <v>Y0-X2</v>
      </c>
      <c r="F17" s="41" t="str">
        <f t="shared" si="11"/>
        <v>Y0-X3</v>
      </c>
      <c r="G17" s="41" t="str">
        <f t="shared" si="11"/>
        <v>Y0-X4</v>
      </c>
      <c r="H17" s="41" t="str">
        <f t="shared" si="11"/>
        <v>Y0-X5</v>
      </c>
      <c r="I17" s="41"/>
      <c r="J17" s="41" t="str">
        <f t="shared" ref="J17:O18" si="12">+J4</f>
        <v>Y1-X0</v>
      </c>
      <c r="K17" s="41" t="str">
        <f t="shared" si="12"/>
        <v>Y1-X1</v>
      </c>
      <c r="L17" s="41" t="str">
        <f t="shared" si="12"/>
        <v>Y1-X2</v>
      </c>
      <c r="M17" s="41" t="str">
        <f t="shared" si="12"/>
        <v>Y1-X3</v>
      </c>
      <c r="N17" s="41" t="str">
        <f t="shared" si="12"/>
        <v>Y1-X4</v>
      </c>
      <c r="O17" s="41" t="str">
        <f t="shared" si="12"/>
        <v>Y1-X5</v>
      </c>
      <c r="P17" s="41"/>
      <c r="Q17" s="41" t="str">
        <f t="shared" ref="Q17:T18" si="13">+Q4</f>
        <v>Y2-X0</v>
      </c>
      <c r="R17" s="41" t="str">
        <f t="shared" si="13"/>
        <v>Y2-X1</v>
      </c>
      <c r="S17" s="41" t="str">
        <f t="shared" si="13"/>
        <v>Y2-X2</v>
      </c>
      <c r="T17" s="41" t="str">
        <f t="shared" si="13"/>
        <v>Y2-X3</v>
      </c>
      <c r="U17" s="41"/>
      <c r="V17" s="41" t="str">
        <f t="shared" ref="V17:X18" si="14">+V4</f>
        <v>Y3-X0</v>
      </c>
      <c r="W17" s="41" t="str">
        <f t="shared" si="14"/>
        <v>Y3-X1</v>
      </c>
      <c r="X17" s="41" t="str">
        <f t="shared" si="14"/>
        <v>Y3-X2</v>
      </c>
      <c r="Y17" s="15"/>
      <c r="Z17" s="60" t="s">
        <v>251</v>
      </c>
      <c r="AA17" s="3"/>
    </row>
    <row r="18" spans="2:27" ht="12.6" customHeight="1" x14ac:dyDescent="0.15">
      <c r="B18" s="61" t="s">
        <v>517</v>
      </c>
      <c r="C18" s="62">
        <f t="shared" si="11"/>
        <v>202</v>
      </c>
      <c r="D18" s="63">
        <f t="shared" si="11"/>
        <v>377</v>
      </c>
      <c r="E18" s="63">
        <f t="shared" si="11"/>
        <v>327</v>
      </c>
      <c r="F18" s="63">
        <f t="shared" si="11"/>
        <v>308</v>
      </c>
      <c r="G18" s="63">
        <f t="shared" si="11"/>
        <v>297</v>
      </c>
      <c r="H18" s="63">
        <f t="shared" si="11"/>
        <v>220</v>
      </c>
      <c r="I18" s="63"/>
      <c r="J18" s="63">
        <f t="shared" si="12"/>
        <v>432</v>
      </c>
      <c r="K18" s="63">
        <f t="shared" si="12"/>
        <v>728</v>
      </c>
      <c r="L18" s="63">
        <f t="shared" si="12"/>
        <v>558</v>
      </c>
      <c r="M18" s="63">
        <f t="shared" si="12"/>
        <v>488</v>
      </c>
      <c r="N18" s="63">
        <f t="shared" si="12"/>
        <v>280</v>
      </c>
      <c r="O18" s="63">
        <f t="shared" si="12"/>
        <v>234</v>
      </c>
      <c r="P18" s="63"/>
      <c r="Q18" s="63">
        <f t="shared" si="13"/>
        <v>325</v>
      </c>
      <c r="R18" s="63">
        <f t="shared" si="13"/>
        <v>676</v>
      </c>
      <c r="S18" s="63">
        <f t="shared" si="13"/>
        <v>514</v>
      </c>
      <c r="T18" s="63">
        <f t="shared" si="13"/>
        <v>94</v>
      </c>
      <c r="U18" s="63"/>
      <c r="V18" s="63">
        <f t="shared" si="14"/>
        <v>334</v>
      </c>
      <c r="W18" s="63">
        <f t="shared" si="14"/>
        <v>628</v>
      </c>
      <c r="X18" s="63">
        <f t="shared" si="14"/>
        <v>189</v>
      </c>
      <c r="Y18" s="64"/>
      <c r="Z18" s="43"/>
      <c r="AA18" s="3"/>
    </row>
    <row r="19" spans="2:27" ht="12.6" customHeight="1" x14ac:dyDescent="0.15">
      <c r="B19" s="44" t="s">
        <v>526</v>
      </c>
      <c r="C19" s="65">
        <v>4</v>
      </c>
      <c r="D19" s="112">
        <v>3</v>
      </c>
      <c r="E19" s="112">
        <v>3</v>
      </c>
      <c r="F19" s="112">
        <v>3</v>
      </c>
      <c r="G19" s="112">
        <v>6</v>
      </c>
      <c r="H19" s="112">
        <v>12</v>
      </c>
      <c r="I19" s="112"/>
      <c r="J19" s="112">
        <v>43</v>
      </c>
      <c r="K19" s="112">
        <v>41</v>
      </c>
      <c r="L19" s="112">
        <v>2</v>
      </c>
      <c r="M19" s="112">
        <v>10</v>
      </c>
      <c r="N19" s="112">
        <v>1</v>
      </c>
      <c r="O19" s="112">
        <v>16</v>
      </c>
      <c r="P19" s="112"/>
      <c r="Q19" s="112">
        <v>19</v>
      </c>
      <c r="R19" s="112">
        <v>31</v>
      </c>
      <c r="S19" s="112">
        <v>26</v>
      </c>
      <c r="T19" s="112">
        <v>32</v>
      </c>
      <c r="U19" s="112"/>
      <c r="V19" s="112">
        <v>14</v>
      </c>
      <c r="W19" s="112">
        <v>35</v>
      </c>
      <c r="X19" s="112">
        <v>43</v>
      </c>
      <c r="Y19" s="66"/>
      <c r="Z19" s="46"/>
      <c r="AA19" s="3"/>
    </row>
    <row r="20" spans="2:27" ht="12.6" customHeight="1" x14ac:dyDescent="0.15">
      <c r="B20" s="44" t="s">
        <v>527</v>
      </c>
      <c r="C20" s="67">
        <v>18</v>
      </c>
      <c r="D20" s="68">
        <v>11</v>
      </c>
      <c r="E20" s="68">
        <v>13</v>
      </c>
      <c r="F20" s="68">
        <v>7</v>
      </c>
      <c r="G20" s="68">
        <v>13</v>
      </c>
      <c r="H20" s="68">
        <v>9</v>
      </c>
      <c r="I20" s="68"/>
      <c r="J20" s="68">
        <v>20</v>
      </c>
      <c r="K20" s="68">
        <v>9</v>
      </c>
      <c r="L20" s="68">
        <v>6</v>
      </c>
      <c r="M20" s="68">
        <v>76</v>
      </c>
      <c r="N20" s="68">
        <v>11</v>
      </c>
      <c r="O20" s="68">
        <v>12</v>
      </c>
      <c r="P20" s="68"/>
      <c r="Q20" s="68">
        <v>1</v>
      </c>
      <c r="R20" s="68">
        <v>44</v>
      </c>
      <c r="S20" s="68">
        <v>73</v>
      </c>
      <c r="T20" s="68">
        <v>84</v>
      </c>
      <c r="U20" s="68"/>
      <c r="V20" s="68">
        <v>35</v>
      </c>
      <c r="W20" s="68">
        <v>55</v>
      </c>
      <c r="X20" s="68">
        <v>74</v>
      </c>
      <c r="Y20" s="47"/>
      <c r="Z20" s="46"/>
      <c r="AA20" s="3"/>
    </row>
    <row r="21" spans="2:27" ht="12.6" customHeight="1" x14ac:dyDescent="0.15">
      <c r="B21" s="52" t="s">
        <v>528</v>
      </c>
      <c r="C21" s="70">
        <f t="shared" ref="C21:H21" si="15">MAX(C19,C20)</f>
        <v>18</v>
      </c>
      <c r="D21" s="71">
        <f t="shared" si="15"/>
        <v>11</v>
      </c>
      <c r="E21" s="71">
        <f t="shared" si="15"/>
        <v>13</v>
      </c>
      <c r="F21" s="71">
        <f t="shared" si="15"/>
        <v>7</v>
      </c>
      <c r="G21" s="71">
        <f t="shared" si="15"/>
        <v>13</v>
      </c>
      <c r="H21" s="71">
        <f t="shared" si="15"/>
        <v>12</v>
      </c>
      <c r="I21" s="71"/>
      <c r="J21" s="71">
        <f t="shared" ref="J21:O21" si="16">MAX(J19,J20)</f>
        <v>43</v>
      </c>
      <c r="K21" s="71">
        <f t="shared" si="16"/>
        <v>41</v>
      </c>
      <c r="L21" s="71">
        <f t="shared" si="16"/>
        <v>6</v>
      </c>
      <c r="M21" s="71">
        <f t="shared" si="16"/>
        <v>76</v>
      </c>
      <c r="N21" s="71">
        <f t="shared" si="16"/>
        <v>11</v>
      </c>
      <c r="O21" s="71">
        <f t="shared" si="16"/>
        <v>16</v>
      </c>
      <c r="P21" s="71"/>
      <c r="Q21" s="71">
        <f>MAX(Q19,Q20)</f>
        <v>19</v>
      </c>
      <c r="R21" s="71">
        <f>MAX(R19,R20)</f>
        <v>44</v>
      </c>
      <c r="S21" s="71">
        <f>MAX(S19,S20)</f>
        <v>73</v>
      </c>
      <c r="T21" s="71">
        <f>MAX(T19,T20)</f>
        <v>84</v>
      </c>
      <c r="U21" s="71"/>
      <c r="V21" s="71">
        <f>MAX(V19,V20)</f>
        <v>35</v>
      </c>
      <c r="W21" s="71">
        <f>MAX(W19,W20)</f>
        <v>55</v>
      </c>
      <c r="X21" s="71">
        <f>MAX(X19,X20)</f>
        <v>74</v>
      </c>
      <c r="Y21" s="72"/>
      <c r="Z21" s="46"/>
      <c r="AA21" s="3"/>
    </row>
    <row r="22" spans="2:27" ht="12.6" customHeight="1" x14ac:dyDescent="0.15">
      <c r="B22" s="52" t="s">
        <v>529</v>
      </c>
      <c r="C22" s="73">
        <f t="shared" ref="C22:H22" si="17">+C21+C18</f>
        <v>220</v>
      </c>
      <c r="D22" s="53">
        <f t="shared" si="17"/>
        <v>388</v>
      </c>
      <c r="E22" s="53">
        <f t="shared" si="17"/>
        <v>340</v>
      </c>
      <c r="F22" s="53">
        <f t="shared" si="17"/>
        <v>315</v>
      </c>
      <c r="G22" s="53">
        <f t="shared" si="17"/>
        <v>310</v>
      </c>
      <c r="H22" s="53">
        <f t="shared" si="17"/>
        <v>232</v>
      </c>
      <c r="I22" s="53"/>
      <c r="J22" s="53">
        <f t="shared" ref="J22:O22" si="18">+J21+J18</f>
        <v>475</v>
      </c>
      <c r="K22" s="53">
        <f t="shared" si="18"/>
        <v>769</v>
      </c>
      <c r="L22" s="53">
        <f t="shared" si="18"/>
        <v>564</v>
      </c>
      <c r="M22" s="53">
        <f t="shared" si="18"/>
        <v>564</v>
      </c>
      <c r="N22" s="53">
        <f t="shared" si="18"/>
        <v>291</v>
      </c>
      <c r="O22" s="53">
        <f t="shared" si="18"/>
        <v>250</v>
      </c>
      <c r="P22" s="53"/>
      <c r="Q22" s="53">
        <f>+Q21+Q18</f>
        <v>344</v>
      </c>
      <c r="R22" s="53">
        <f>+R21+R18</f>
        <v>720</v>
      </c>
      <c r="S22" s="53">
        <f>+S21+S18</f>
        <v>587</v>
      </c>
      <c r="T22" s="53">
        <f>+T21+T18</f>
        <v>178</v>
      </c>
      <c r="U22" s="53"/>
      <c r="V22" s="53">
        <f>+V21+V18</f>
        <v>369</v>
      </c>
      <c r="W22" s="53">
        <f>+W21+W18</f>
        <v>683</v>
      </c>
      <c r="X22" s="53">
        <f>+X21+X18</f>
        <v>263</v>
      </c>
      <c r="Y22" s="54"/>
      <c r="Z22" s="46">
        <f>SUM(C22:Y22)</f>
        <v>7862</v>
      </c>
      <c r="AA22" s="3"/>
    </row>
    <row r="23" spans="2:27" ht="12.6" customHeight="1" x14ac:dyDescent="0.15">
      <c r="B23" s="52" t="s">
        <v>518</v>
      </c>
      <c r="C23" s="74">
        <f t="shared" ref="C23:H24" si="19">+C6</f>
        <v>1.62</v>
      </c>
      <c r="D23" s="75">
        <f t="shared" si="19"/>
        <v>1.62</v>
      </c>
      <c r="E23" s="75">
        <f t="shared" si="19"/>
        <v>1.62</v>
      </c>
      <c r="F23" s="75">
        <f t="shared" si="19"/>
        <v>1.62</v>
      </c>
      <c r="G23" s="75">
        <f t="shared" si="19"/>
        <v>1.62</v>
      </c>
      <c r="H23" s="75">
        <f t="shared" si="19"/>
        <v>1.62</v>
      </c>
      <c r="I23" s="75"/>
      <c r="J23" s="75">
        <f t="shared" ref="J23:O24" si="20">+J6</f>
        <v>2.4300000000000002</v>
      </c>
      <c r="K23" s="75">
        <f t="shared" si="20"/>
        <v>3.24</v>
      </c>
      <c r="L23" s="75">
        <f t="shared" si="20"/>
        <v>2.4300000000000002</v>
      </c>
      <c r="M23" s="75">
        <f t="shared" si="20"/>
        <v>2.4300000000000002</v>
      </c>
      <c r="N23" s="75">
        <f t="shared" si="20"/>
        <v>1.62</v>
      </c>
      <c r="O23" s="75">
        <f t="shared" si="20"/>
        <v>1.62</v>
      </c>
      <c r="P23" s="75"/>
      <c r="Q23" s="75">
        <f t="shared" ref="Q23:T24" si="21">+Q6</f>
        <v>1.62</v>
      </c>
      <c r="R23" s="75">
        <f t="shared" si="21"/>
        <v>3.24</v>
      </c>
      <c r="S23" s="75">
        <f t="shared" si="21"/>
        <v>2.4300000000000002</v>
      </c>
      <c r="T23" s="75">
        <f t="shared" si="21"/>
        <v>1.62</v>
      </c>
      <c r="U23" s="75"/>
      <c r="V23" s="75">
        <f t="shared" ref="V23:X24" si="22">+V6</f>
        <v>1.62</v>
      </c>
      <c r="W23" s="75">
        <f t="shared" si="22"/>
        <v>3.24</v>
      </c>
      <c r="X23" s="75">
        <f t="shared" si="22"/>
        <v>1.62</v>
      </c>
      <c r="Y23" s="75"/>
      <c r="Z23" s="46"/>
      <c r="AA23" s="3"/>
    </row>
    <row r="24" spans="2:27" ht="12.6" customHeight="1" x14ac:dyDescent="0.15">
      <c r="B24" s="52" t="s">
        <v>519</v>
      </c>
      <c r="C24" s="76">
        <f t="shared" si="19"/>
        <v>0.95</v>
      </c>
      <c r="D24" s="54">
        <f t="shared" si="19"/>
        <v>0.95</v>
      </c>
      <c r="E24" s="54">
        <f t="shared" si="19"/>
        <v>0.95</v>
      </c>
      <c r="F24" s="54">
        <f t="shared" si="19"/>
        <v>0.95</v>
      </c>
      <c r="G24" s="54">
        <f t="shared" si="19"/>
        <v>0.95</v>
      </c>
      <c r="H24" s="54">
        <f t="shared" si="19"/>
        <v>0.95</v>
      </c>
      <c r="I24" s="54"/>
      <c r="J24" s="54">
        <f t="shared" si="20"/>
        <v>0.95</v>
      </c>
      <c r="K24" s="54">
        <f t="shared" si="20"/>
        <v>0.95</v>
      </c>
      <c r="L24" s="54">
        <f t="shared" si="20"/>
        <v>0.95</v>
      </c>
      <c r="M24" s="54">
        <f t="shared" si="20"/>
        <v>0.95</v>
      </c>
      <c r="N24" s="54">
        <f t="shared" si="20"/>
        <v>0.95</v>
      </c>
      <c r="O24" s="54">
        <f t="shared" si="20"/>
        <v>0.95</v>
      </c>
      <c r="P24" s="54"/>
      <c r="Q24" s="54">
        <f t="shared" si="21"/>
        <v>0.95</v>
      </c>
      <c r="R24" s="54">
        <f t="shared" si="21"/>
        <v>0.95</v>
      </c>
      <c r="S24" s="54">
        <f t="shared" si="21"/>
        <v>0.95</v>
      </c>
      <c r="T24" s="54">
        <f t="shared" si="21"/>
        <v>0.95</v>
      </c>
      <c r="U24" s="54"/>
      <c r="V24" s="54">
        <f t="shared" si="22"/>
        <v>0.95</v>
      </c>
      <c r="W24" s="54">
        <f t="shared" si="22"/>
        <v>0.95</v>
      </c>
      <c r="X24" s="54">
        <f t="shared" si="22"/>
        <v>0.95</v>
      </c>
      <c r="Y24" s="54"/>
      <c r="Z24" s="46"/>
      <c r="AA24" s="3"/>
    </row>
    <row r="25" spans="2:27" ht="12.6" customHeight="1" x14ac:dyDescent="0.15">
      <c r="B25" s="52" t="s">
        <v>520</v>
      </c>
      <c r="C25" s="73">
        <f t="shared" ref="C25:H25" si="23">C23*C24*2*9.80665</f>
        <v>30.184868699999996</v>
      </c>
      <c r="D25" s="53">
        <f t="shared" si="23"/>
        <v>30.184868699999996</v>
      </c>
      <c r="E25" s="53">
        <f t="shared" si="23"/>
        <v>30.184868699999996</v>
      </c>
      <c r="F25" s="53">
        <f t="shared" si="23"/>
        <v>30.184868699999996</v>
      </c>
      <c r="G25" s="53">
        <f t="shared" si="23"/>
        <v>30.184868699999996</v>
      </c>
      <c r="H25" s="53">
        <f t="shared" si="23"/>
        <v>30.184868699999996</v>
      </c>
      <c r="I25" s="53"/>
      <c r="J25" s="53">
        <f t="shared" ref="J25:O25" si="24">J23*J24*2*9.80665</f>
        <v>45.27730305</v>
      </c>
      <c r="K25" s="53">
        <f t="shared" si="24"/>
        <v>60.369737399999991</v>
      </c>
      <c r="L25" s="53">
        <f t="shared" si="24"/>
        <v>45.27730305</v>
      </c>
      <c r="M25" s="53">
        <f t="shared" si="24"/>
        <v>45.27730305</v>
      </c>
      <c r="N25" s="53">
        <f t="shared" si="24"/>
        <v>30.184868699999996</v>
      </c>
      <c r="O25" s="53">
        <f t="shared" si="24"/>
        <v>30.184868699999996</v>
      </c>
      <c r="P25" s="53"/>
      <c r="Q25" s="53">
        <f>Q23*Q24*2*9.80665</f>
        <v>30.184868699999996</v>
      </c>
      <c r="R25" s="53">
        <f>R23*R24*2*9.80665</f>
        <v>60.369737399999991</v>
      </c>
      <c r="S25" s="53">
        <f>S23*S24*2*9.80665</f>
        <v>45.27730305</v>
      </c>
      <c r="T25" s="53">
        <f>T23*T24*2*9.80665</f>
        <v>30.184868699999996</v>
      </c>
      <c r="U25" s="53"/>
      <c r="V25" s="53">
        <f>V23*V24*2*9.80665</f>
        <v>30.184868699999996</v>
      </c>
      <c r="W25" s="53">
        <f>W23*W24*2*9.80665</f>
        <v>60.369737399999991</v>
      </c>
      <c r="X25" s="53">
        <f>X23*X24*2*9.80665</f>
        <v>30.184868699999996</v>
      </c>
      <c r="Y25" s="54"/>
      <c r="Z25" s="46">
        <f>SUM(C25:Y25)</f>
        <v>724.43684880000001</v>
      </c>
      <c r="AA25" s="3"/>
    </row>
    <row r="26" spans="2:27" ht="12.6" customHeight="1" x14ac:dyDescent="0.15">
      <c r="B26" s="52" t="s">
        <v>521</v>
      </c>
      <c r="C26" s="73">
        <f t="shared" ref="C26:H26" si="25">C22+C25</f>
        <v>250.18486869999998</v>
      </c>
      <c r="D26" s="53">
        <f t="shared" si="25"/>
        <v>418.18486869999998</v>
      </c>
      <c r="E26" s="53">
        <f t="shared" si="25"/>
        <v>370.18486869999998</v>
      </c>
      <c r="F26" s="53">
        <f t="shared" si="25"/>
        <v>345.18486869999998</v>
      </c>
      <c r="G26" s="53">
        <f t="shared" si="25"/>
        <v>340.18486869999998</v>
      </c>
      <c r="H26" s="53">
        <f t="shared" si="25"/>
        <v>262.18486869999998</v>
      </c>
      <c r="I26" s="53"/>
      <c r="J26" s="53">
        <f t="shared" ref="J26:O26" si="26">J22+J25</f>
        <v>520.27730305</v>
      </c>
      <c r="K26" s="53">
        <f t="shared" si="26"/>
        <v>829.36973739999996</v>
      </c>
      <c r="L26" s="53">
        <f t="shared" si="26"/>
        <v>609.27730305</v>
      </c>
      <c r="M26" s="53">
        <f t="shared" si="26"/>
        <v>609.27730305</v>
      </c>
      <c r="N26" s="53">
        <f t="shared" si="26"/>
        <v>321.18486869999998</v>
      </c>
      <c r="O26" s="53">
        <f t="shared" si="26"/>
        <v>280.18486869999998</v>
      </c>
      <c r="P26" s="53"/>
      <c r="Q26" s="53">
        <f>Q22+Q25</f>
        <v>374.18486869999998</v>
      </c>
      <c r="R26" s="53">
        <f>R22+R25</f>
        <v>780.36973739999996</v>
      </c>
      <c r="S26" s="53">
        <f>S22+S25</f>
        <v>632.27730305</v>
      </c>
      <c r="T26" s="53">
        <f>T22+T25</f>
        <v>208.18486869999998</v>
      </c>
      <c r="U26" s="53"/>
      <c r="V26" s="53">
        <f>V22+V25</f>
        <v>399.18486869999998</v>
      </c>
      <c r="W26" s="53">
        <f>W22+W25</f>
        <v>743.36973739999996</v>
      </c>
      <c r="X26" s="53">
        <f>X22+X25</f>
        <v>293.18486869999998</v>
      </c>
      <c r="Y26" s="54"/>
      <c r="Z26" s="46">
        <f>SUM(C26:Y26)</f>
        <v>8586.4368488000018</v>
      </c>
      <c r="AA26" s="3"/>
    </row>
    <row r="27" spans="2:27" ht="12.6" customHeight="1" x14ac:dyDescent="0.15">
      <c r="B27" s="52" t="s">
        <v>530</v>
      </c>
      <c r="C27" s="73">
        <f t="shared" ref="C27:H27" si="27">+C10*2</f>
        <v>548</v>
      </c>
      <c r="D27" s="53">
        <f t="shared" si="27"/>
        <v>548</v>
      </c>
      <c r="E27" s="53">
        <f t="shared" si="27"/>
        <v>548</v>
      </c>
      <c r="F27" s="53">
        <f t="shared" si="27"/>
        <v>548</v>
      </c>
      <c r="G27" s="53">
        <f t="shared" si="27"/>
        <v>548</v>
      </c>
      <c r="H27" s="53">
        <f t="shared" si="27"/>
        <v>548</v>
      </c>
      <c r="I27" s="53"/>
      <c r="J27" s="53">
        <f t="shared" ref="J27:O27" si="28">+J10*2</f>
        <v>548</v>
      </c>
      <c r="K27" s="53">
        <f t="shared" si="28"/>
        <v>548</v>
      </c>
      <c r="L27" s="53">
        <f t="shared" si="28"/>
        <v>548</v>
      </c>
      <c r="M27" s="53">
        <f t="shared" si="28"/>
        <v>548</v>
      </c>
      <c r="N27" s="53">
        <f t="shared" si="28"/>
        <v>548</v>
      </c>
      <c r="O27" s="53">
        <f t="shared" si="28"/>
        <v>548</v>
      </c>
      <c r="P27" s="53"/>
      <c r="Q27" s="53">
        <f>+Q10*2</f>
        <v>548</v>
      </c>
      <c r="R27" s="53">
        <f>+R10*2</f>
        <v>548</v>
      </c>
      <c r="S27" s="53">
        <f>+S10*2</f>
        <v>548</v>
      </c>
      <c r="T27" s="53">
        <f>+T10*2</f>
        <v>548</v>
      </c>
      <c r="U27" s="53"/>
      <c r="V27" s="53">
        <f>+V10*2</f>
        <v>548</v>
      </c>
      <c r="W27" s="53">
        <f>+W10*2</f>
        <v>548</v>
      </c>
      <c r="X27" s="53">
        <f>+X10*2</f>
        <v>548</v>
      </c>
      <c r="Y27" s="54"/>
      <c r="Z27" s="46"/>
      <c r="AA27" s="3"/>
    </row>
    <row r="28" spans="2:27" ht="12.6" customHeight="1" x14ac:dyDescent="0.15">
      <c r="B28" s="77" t="s">
        <v>523</v>
      </c>
      <c r="C28" s="78">
        <f t="shared" ref="C28:H28" si="29">+C11</f>
        <v>2</v>
      </c>
      <c r="D28" s="79">
        <f t="shared" si="29"/>
        <v>2</v>
      </c>
      <c r="E28" s="79">
        <f t="shared" si="29"/>
        <v>2</v>
      </c>
      <c r="F28" s="79">
        <f t="shared" si="29"/>
        <v>2</v>
      </c>
      <c r="G28" s="79">
        <f t="shared" si="29"/>
        <v>2</v>
      </c>
      <c r="H28" s="79">
        <f t="shared" si="29"/>
        <v>2</v>
      </c>
      <c r="I28" s="79"/>
      <c r="J28" s="79">
        <f t="shared" ref="J28:O28" si="30">+J11</f>
        <v>3</v>
      </c>
      <c r="K28" s="79">
        <f t="shared" si="30"/>
        <v>4</v>
      </c>
      <c r="L28" s="79">
        <f t="shared" si="30"/>
        <v>3</v>
      </c>
      <c r="M28" s="79">
        <f t="shared" si="30"/>
        <v>3</v>
      </c>
      <c r="N28" s="79">
        <f t="shared" si="30"/>
        <v>2</v>
      </c>
      <c r="O28" s="79">
        <f t="shared" si="30"/>
        <v>2</v>
      </c>
      <c r="P28" s="79"/>
      <c r="Q28" s="79">
        <f>+Q11</f>
        <v>2</v>
      </c>
      <c r="R28" s="79">
        <f>+R11</f>
        <v>4</v>
      </c>
      <c r="S28" s="79">
        <f>+S11</f>
        <v>3</v>
      </c>
      <c r="T28" s="79">
        <f>+T11</f>
        <v>2</v>
      </c>
      <c r="U28" s="79"/>
      <c r="V28" s="79">
        <f>+V11</f>
        <v>2</v>
      </c>
      <c r="W28" s="79">
        <f>+W11</f>
        <v>4</v>
      </c>
      <c r="X28" s="79">
        <f>+X11</f>
        <v>2</v>
      </c>
      <c r="Y28" s="79"/>
      <c r="Z28" s="46">
        <f>SUM(C28:Y28)</f>
        <v>48</v>
      </c>
      <c r="AA28" s="3"/>
    </row>
    <row r="29" spans="2:27" ht="12.6" customHeight="1" x14ac:dyDescent="0.15">
      <c r="B29" s="52" t="s">
        <v>531</v>
      </c>
      <c r="C29" s="73">
        <f t="shared" ref="C29:H29" si="31">+C27*C28</f>
        <v>1096</v>
      </c>
      <c r="D29" s="53">
        <f t="shared" si="31"/>
        <v>1096</v>
      </c>
      <c r="E29" s="53">
        <f t="shared" si="31"/>
        <v>1096</v>
      </c>
      <c r="F29" s="53">
        <f t="shared" si="31"/>
        <v>1096</v>
      </c>
      <c r="G29" s="53">
        <f t="shared" si="31"/>
        <v>1096</v>
      </c>
      <c r="H29" s="53">
        <f t="shared" si="31"/>
        <v>1096</v>
      </c>
      <c r="I29" s="53"/>
      <c r="J29" s="53">
        <f t="shared" ref="J29:O29" si="32">+J27*J28</f>
        <v>1644</v>
      </c>
      <c r="K29" s="53">
        <f t="shared" si="32"/>
        <v>2192</v>
      </c>
      <c r="L29" s="53">
        <f t="shared" si="32"/>
        <v>1644</v>
      </c>
      <c r="M29" s="53">
        <f t="shared" si="32"/>
        <v>1644</v>
      </c>
      <c r="N29" s="53">
        <f t="shared" si="32"/>
        <v>1096</v>
      </c>
      <c r="O29" s="53">
        <f t="shared" si="32"/>
        <v>1096</v>
      </c>
      <c r="P29" s="53"/>
      <c r="Q29" s="53">
        <f>+Q27*Q28</f>
        <v>1096</v>
      </c>
      <c r="R29" s="53">
        <f>+R27*R28</f>
        <v>2192</v>
      </c>
      <c r="S29" s="53">
        <f>+S27*S28</f>
        <v>1644</v>
      </c>
      <c r="T29" s="53">
        <f>+T27*T28</f>
        <v>1096</v>
      </c>
      <c r="U29" s="53"/>
      <c r="V29" s="53">
        <f>+V27*V28</f>
        <v>1096</v>
      </c>
      <c r="W29" s="53">
        <f>+W27*W28</f>
        <v>2192</v>
      </c>
      <c r="X29" s="53">
        <f>+X27*X28</f>
        <v>1096</v>
      </c>
      <c r="Y29" s="54"/>
      <c r="Z29" s="46"/>
      <c r="AA29" s="3"/>
    </row>
    <row r="30" spans="2:27" ht="12.6" customHeight="1" x14ac:dyDescent="0.15">
      <c r="B30" s="52" t="s">
        <v>532</v>
      </c>
      <c r="C30" s="76">
        <f t="shared" ref="C30:H30" si="33">+C26/C29</f>
        <v>0.22827086560218976</v>
      </c>
      <c r="D30" s="54">
        <f t="shared" si="33"/>
        <v>0.38155553713503648</v>
      </c>
      <c r="E30" s="54">
        <f t="shared" si="33"/>
        <v>0.33775991669708028</v>
      </c>
      <c r="F30" s="54">
        <f t="shared" si="33"/>
        <v>0.31494969771897807</v>
      </c>
      <c r="G30" s="54">
        <f t="shared" si="33"/>
        <v>0.31038765392335765</v>
      </c>
      <c r="H30" s="54">
        <f t="shared" si="33"/>
        <v>0.23921977071167883</v>
      </c>
      <c r="I30" s="54"/>
      <c r="J30" s="54">
        <f t="shared" ref="J30:O30" si="34">+J26/J29</f>
        <v>0.3164703789841849</v>
      </c>
      <c r="K30" s="54">
        <f t="shared" si="34"/>
        <v>0.3783621064781022</v>
      </c>
      <c r="L30" s="54">
        <f t="shared" si="34"/>
        <v>0.37060663202554744</v>
      </c>
      <c r="M30" s="54">
        <f t="shared" si="34"/>
        <v>0.37060663202554744</v>
      </c>
      <c r="N30" s="54">
        <f t="shared" si="34"/>
        <v>0.2930518875</v>
      </c>
      <c r="O30" s="54">
        <f t="shared" si="34"/>
        <v>0.25564312837591241</v>
      </c>
      <c r="P30" s="54"/>
      <c r="Q30" s="54">
        <f>+Q26/Q29</f>
        <v>0.34140955173357662</v>
      </c>
      <c r="R30" s="54">
        <f>+R26/R29</f>
        <v>0.35600809187956201</v>
      </c>
      <c r="S30" s="54">
        <f>+S26/S29</f>
        <v>0.38459689966545013</v>
      </c>
      <c r="T30" s="54">
        <f>+T26/T29</f>
        <v>0.18994969771897807</v>
      </c>
      <c r="U30" s="54"/>
      <c r="V30" s="54">
        <f>+V26/V29</f>
        <v>0.36421977071167883</v>
      </c>
      <c r="W30" s="54">
        <f>+W26/W29</f>
        <v>0.33912852983576641</v>
      </c>
      <c r="X30" s="54">
        <f>+X26/X29</f>
        <v>0.26750444224452552</v>
      </c>
      <c r="Y30" s="54"/>
      <c r="Z30" s="46"/>
      <c r="AA30" s="3"/>
    </row>
    <row r="31" spans="2:27" ht="12.6" customHeight="1" x14ac:dyDescent="0.15">
      <c r="B31" s="52" t="s">
        <v>258</v>
      </c>
      <c r="C31" s="7" t="str">
        <f t="shared" ref="C31:H31" si="35">IF(C30&lt;1,"OK","ＮＧ")</f>
        <v>OK</v>
      </c>
      <c r="D31" s="6" t="str">
        <f t="shared" si="35"/>
        <v>OK</v>
      </c>
      <c r="E31" s="6" t="str">
        <f t="shared" si="35"/>
        <v>OK</v>
      </c>
      <c r="F31" s="6" t="str">
        <f t="shared" si="35"/>
        <v>OK</v>
      </c>
      <c r="G31" s="6" t="str">
        <f t="shared" si="35"/>
        <v>OK</v>
      </c>
      <c r="H31" s="6" t="str">
        <f t="shared" si="35"/>
        <v>OK</v>
      </c>
      <c r="I31" s="6"/>
      <c r="J31" s="6" t="str">
        <f t="shared" ref="J31:O31" si="36">IF(J30&lt;1,"OK","ＮＧ")</f>
        <v>OK</v>
      </c>
      <c r="K31" s="6" t="str">
        <f t="shared" si="36"/>
        <v>OK</v>
      </c>
      <c r="L31" s="6" t="str">
        <f t="shared" si="36"/>
        <v>OK</v>
      </c>
      <c r="M31" s="6" t="str">
        <f t="shared" si="36"/>
        <v>OK</v>
      </c>
      <c r="N31" s="6" t="str">
        <f t="shared" si="36"/>
        <v>OK</v>
      </c>
      <c r="O31" s="6" t="str">
        <f t="shared" si="36"/>
        <v>OK</v>
      </c>
      <c r="P31" s="6"/>
      <c r="Q31" s="6" t="str">
        <f>IF(Q30&lt;1,"OK","ＮＧ")</f>
        <v>OK</v>
      </c>
      <c r="R31" s="6" t="str">
        <f>IF(R30&lt;1,"OK","ＮＧ")</f>
        <v>OK</v>
      </c>
      <c r="S31" s="6" t="str">
        <f>IF(S30&lt;1,"OK","ＮＧ")</f>
        <v>OK</v>
      </c>
      <c r="T31" s="6" t="str">
        <f>IF(T30&lt;1,"OK","ＮＧ")</f>
        <v>OK</v>
      </c>
      <c r="U31" s="6"/>
      <c r="V31" s="6" t="str">
        <f>IF(V30&lt;1,"OK","ＮＧ")</f>
        <v>OK</v>
      </c>
      <c r="W31" s="6" t="str">
        <f>IF(W30&lt;1,"OK","ＮＧ")</f>
        <v>OK</v>
      </c>
      <c r="X31" s="6" t="str">
        <f>IF(X30&lt;1,"OK","ＮＧ")</f>
        <v>OK</v>
      </c>
      <c r="Y31" s="6"/>
      <c r="Z31" s="46"/>
      <c r="AA31" s="3"/>
    </row>
    <row r="32" spans="2:27" ht="12.6" customHeight="1" x14ac:dyDescent="0.15">
      <c r="B32" s="80" t="s">
        <v>259</v>
      </c>
      <c r="C32" s="81"/>
      <c r="D32" s="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12"/>
      <c r="Z32" s="46"/>
      <c r="AA32" s="3"/>
    </row>
    <row r="33" spans="2:27" ht="12.6" customHeight="1" x14ac:dyDescent="0.15">
      <c r="B33" s="82" t="s">
        <v>533</v>
      </c>
      <c r="C33" s="62">
        <f t="shared" ref="C33:H33" si="37">+C18+C21+C25</f>
        <v>250.18486869999998</v>
      </c>
      <c r="D33" s="63">
        <f t="shared" si="37"/>
        <v>418.18486869999998</v>
      </c>
      <c r="E33" s="63">
        <f t="shared" si="37"/>
        <v>370.18486869999998</v>
      </c>
      <c r="F33" s="63">
        <f t="shared" si="37"/>
        <v>345.18486869999998</v>
      </c>
      <c r="G33" s="63">
        <f t="shared" si="37"/>
        <v>340.18486869999998</v>
      </c>
      <c r="H33" s="63">
        <f t="shared" si="37"/>
        <v>262.18486869999998</v>
      </c>
      <c r="I33" s="63"/>
      <c r="J33" s="63">
        <f t="shared" ref="J33:O33" si="38">+J18+J21+J25</f>
        <v>520.27730305</v>
      </c>
      <c r="K33" s="63">
        <f t="shared" si="38"/>
        <v>829.36973739999996</v>
      </c>
      <c r="L33" s="63">
        <f t="shared" si="38"/>
        <v>609.27730305</v>
      </c>
      <c r="M33" s="63">
        <f t="shared" si="38"/>
        <v>609.27730305</v>
      </c>
      <c r="N33" s="63">
        <f t="shared" si="38"/>
        <v>321.18486869999998</v>
      </c>
      <c r="O33" s="63">
        <f t="shared" si="38"/>
        <v>280.18486869999998</v>
      </c>
      <c r="P33" s="63"/>
      <c r="Q33" s="63">
        <f>+Q18+Q21+Q25</f>
        <v>374.18486869999998</v>
      </c>
      <c r="R33" s="63">
        <f>+R18+R21+R25</f>
        <v>780.36973739999996</v>
      </c>
      <c r="S33" s="63">
        <f>+S18+S21+S25</f>
        <v>632.27730305</v>
      </c>
      <c r="T33" s="63">
        <f>+T18+T21+T25</f>
        <v>208.18486869999998</v>
      </c>
      <c r="U33" s="63"/>
      <c r="V33" s="63">
        <f>+V18+V21+V25</f>
        <v>399.18486869999998</v>
      </c>
      <c r="W33" s="63">
        <f>+W18+W21+W25</f>
        <v>743.36973739999996</v>
      </c>
      <c r="X33" s="63">
        <f>+X18+X21+X25</f>
        <v>293.18486869999998</v>
      </c>
      <c r="Y33" s="63"/>
      <c r="Z33" s="83" t="s">
        <v>534</v>
      </c>
      <c r="AA33" s="3"/>
    </row>
    <row r="34" spans="2:27" ht="12.6" customHeight="1" x14ac:dyDescent="0.15">
      <c r="B34" s="82" t="s">
        <v>535</v>
      </c>
      <c r="C34" s="73">
        <f t="shared" ref="C34:H34" si="39">+C18-C21+C25</f>
        <v>214.18486869999998</v>
      </c>
      <c r="D34" s="53">
        <f t="shared" si="39"/>
        <v>396.18486869999998</v>
      </c>
      <c r="E34" s="53">
        <f t="shared" si="39"/>
        <v>344.18486869999998</v>
      </c>
      <c r="F34" s="53">
        <f t="shared" si="39"/>
        <v>331.18486869999998</v>
      </c>
      <c r="G34" s="53">
        <f t="shared" si="39"/>
        <v>314.18486869999998</v>
      </c>
      <c r="H34" s="53">
        <f t="shared" si="39"/>
        <v>238.18486869999998</v>
      </c>
      <c r="I34" s="53"/>
      <c r="J34" s="53">
        <f t="shared" ref="J34:O34" si="40">+J18-J21+J25</f>
        <v>434.27730305</v>
      </c>
      <c r="K34" s="53">
        <f t="shared" si="40"/>
        <v>747.36973739999996</v>
      </c>
      <c r="L34" s="53">
        <f t="shared" si="40"/>
        <v>597.27730305</v>
      </c>
      <c r="M34" s="53">
        <f t="shared" si="40"/>
        <v>457.27730305</v>
      </c>
      <c r="N34" s="53">
        <f t="shared" si="40"/>
        <v>299.18486869999998</v>
      </c>
      <c r="O34" s="53">
        <f t="shared" si="40"/>
        <v>248.18486869999998</v>
      </c>
      <c r="P34" s="53"/>
      <c r="Q34" s="53">
        <f>+Q18-Q21+Q25</f>
        <v>336.18486869999998</v>
      </c>
      <c r="R34" s="53">
        <f>+R18-R21+R25</f>
        <v>692.36973739999996</v>
      </c>
      <c r="S34" s="53">
        <f>+S18-S21+S25</f>
        <v>486.27730305</v>
      </c>
      <c r="T34" s="53">
        <f>+T18-T21+T25</f>
        <v>40.184868699999996</v>
      </c>
      <c r="U34" s="53"/>
      <c r="V34" s="53">
        <f>+V18-V21+V25</f>
        <v>329.18486869999998</v>
      </c>
      <c r="W34" s="53">
        <f>+W18-W21+W25</f>
        <v>633.36973739999996</v>
      </c>
      <c r="X34" s="53">
        <f>+X18-X21+X25</f>
        <v>145.18486869999998</v>
      </c>
      <c r="Y34" s="53"/>
      <c r="Z34" s="55" t="s">
        <v>536</v>
      </c>
      <c r="AA34" s="3"/>
    </row>
    <row r="35" spans="2:27" ht="12.6" customHeight="1" x14ac:dyDescent="0.15">
      <c r="B35" s="82" t="s">
        <v>537</v>
      </c>
      <c r="C35" s="73">
        <f t="shared" ref="C35:H35" si="41">+C26/C28</f>
        <v>125.09243434999999</v>
      </c>
      <c r="D35" s="53">
        <f t="shared" si="41"/>
        <v>209.09243434999999</v>
      </c>
      <c r="E35" s="53">
        <f t="shared" si="41"/>
        <v>185.09243434999999</v>
      </c>
      <c r="F35" s="53">
        <f t="shared" si="41"/>
        <v>172.59243434999999</v>
      </c>
      <c r="G35" s="53">
        <f t="shared" si="41"/>
        <v>170.09243434999999</v>
      </c>
      <c r="H35" s="53">
        <f t="shared" si="41"/>
        <v>131.09243434999999</v>
      </c>
      <c r="I35" s="53"/>
      <c r="J35" s="53">
        <f t="shared" ref="J35:O35" si="42">+J26/J28</f>
        <v>173.42576768333333</v>
      </c>
      <c r="K35" s="53">
        <f t="shared" si="42"/>
        <v>207.34243434999999</v>
      </c>
      <c r="L35" s="53">
        <f t="shared" si="42"/>
        <v>203.09243434999999</v>
      </c>
      <c r="M35" s="53">
        <f t="shared" si="42"/>
        <v>203.09243434999999</v>
      </c>
      <c r="N35" s="53">
        <f t="shared" si="42"/>
        <v>160.59243434999999</v>
      </c>
      <c r="O35" s="53">
        <f t="shared" si="42"/>
        <v>140.09243434999999</v>
      </c>
      <c r="P35" s="53"/>
      <c r="Q35" s="53">
        <f>+Q26/Q28</f>
        <v>187.09243434999999</v>
      </c>
      <c r="R35" s="53">
        <f>+R26/R28</f>
        <v>195.09243434999999</v>
      </c>
      <c r="S35" s="53">
        <f>+S26/S28</f>
        <v>210.75910101666668</v>
      </c>
      <c r="T35" s="53">
        <f>+T26/T28</f>
        <v>104.09243434999999</v>
      </c>
      <c r="U35" s="53"/>
      <c r="V35" s="53">
        <f>+V26/V28</f>
        <v>199.59243434999999</v>
      </c>
      <c r="W35" s="53">
        <f>+W26/W28</f>
        <v>185.84243434999999</v>
      </c>
      <c r="X35" s="53">
        <f>+X26/X28</f>
        <v>146.59243434999999</v>
      </c>
      <c r="Y35" s="53"/>
      <c r="Z35" s="84">
        <f>MAX(C35:Y35)</f>
        <v>210.75910101666668</v>
      </c>
      <c r="AA35" s="3"/>
    </row>
    <row r="36" spans="2:27" ht="12.6" customHeight="1" x14ac:dyDescent="0.15">
      <c r="B36" s="80" t="s">
        <v>538</v>
      </c>
      <c r="C36" s="85">
        <f t="shared" ref="C36:H36" si="43">+C34/C28</f>
        <v>107.09243434999999</v>
      </c>
      <c r="D36" s="86">
        <f t="shared" si="43"/>
        <v>198.09243434999999</v>
      </c>
      <c r="E36" s="86">
        <f t="shared" si="43"/>
        <v>172.09243434999999</v>
      </c>
      <c r="F36" s="86">
        <f t="shared" si="43"/>
        <v>165.59243434999999</v>
      </c>
      <c r="G36" s="86">
        <f t="shared" si="43"/>
        <v>157.09243434999999</v>
      </c>
      <c r="H36" s="86">
        <f t="shared" si="43"/>
        <v>119.09243434999999</v>
      </c>
      <c r="I36" s="86"/>
      <c r="J36" s="86">
        <f t="shared" ref="J36:O36" si="44">+J34/J28</f>
        <v>144.75910101666668</v>
      </c>
      <c r="K36" s="86">
        <f t="shared" si="44"/>
        <v>186.84243434999999</v>
      </c>
      <c r="L36" s="86">
        <f t="shared" si="44"/>
        <v>199.09243434999999</v>
      </c>
      <c r="M36" s="86">
        <f t="shared" si="44"/>
        <v>152.42576768333333</v>
      </c>
      <c r="N36" s="86">
        <f t="shared" si="44"/>
        <v>149.59243434999999</v>
      </c>
      <c r="O36" s="86">
        <f t="shared" si="44"/>
        <v>124.09243434999999</v>
      </c>
      <c r="P36" s="86"/>
      <c r="Q36" s="86">
        <f>+Q34/Q28</f>
        <v>168.09243434999999</v>
      </c>
      <c r="R36" s="86">
        <f>+R34/R28</f>
        <v>173.09243434999999</v>
      </c>
      <c r="S36" s="86">
        <f>+S34/S28</f>
        <v>162.09243434999999</v>
      </c>
      <c r="T36" s="86">
        <f>+T34/T28</f>
        <v>20.092434349999998</v>
      </c>
      <c r="U36" s="86"/>
      <c r="V36" s="86">
        <f>+V34/V28</f>
        <v>164.59243434999999</v>
      </c>
      <c r="W36" s="86">
        <f>+W34/W28</f>
        <v>158.34243434999999</v>
      </c>
      <c r="X36" s="86">
        <f>+X34/X28</f>
        <v>72.592434349999991</v>
      </c>
      <c r="Y36" s="86"/>
      <c r="Z36" s="87">
        <f>MIN(C36:Y36)</f>
        <v>20.092434349999998</v>
      </c>
      <c r="AA36" s="3"/>
    </row>
    <row r="37" spans="2:27" ht="12.6" customHeight="1" x14ac:dyDescent="0.15">
      <c r="B37" s="19" t="s">
        <v>539</v>
      </c>
      <c r="C37" s="3" t="s">
        <v>261</v>
      </c>
      <c r="F37" s="19" t="s">
        <v>540</v>
      </c>
      <c r="G37" s="3" t="s">
        <v>262</v>
      </c>
      <c r="K37" s="19" t="s">
        <v>541</v>
      </c>
      <c r="L37" s="3" t="s">
        <v>263</v>
      </c>
      <c r="N37" s="5"/>
      <c r="O37" s="5"/>
      <c r="P37" s="88" t="s">
        <v>542</v>
      </c>
      <c r="Q37" s="89" t="s">
        <v>543</v>
      </c>
      <c r="R37" s="9"/>
    </row>
    <row r="38" spans="2:27" ht="12.6" customHeight="1" x14ac:dyDescent="0.15">
      <c r="B38" s="19" t="s">
        <v>544</v>
      </c>
      <c r="C38" s="3" t="s">
        <v>266</v>
      </c>
      <c r="F38" s="19" t="s">
        <v>545</v>
      </c>
      <c r="G38" s="3" t="s">
        <v>267</v>
      </c>
      <c r="K38" s="19" t="s">
        <v>546</v>
      </c>
      <c r="L38" s="3" t="s">
        <v>268</v>
      </c>
      <c r="P38" s="88" t="s">
        <v>547</v>
      </c>
      <c r="Q38" s="89" t="s">
        <v>548</v>
      </c>
    </row>
    <row r="39" spans="2:27" ht="12.6" customHeight="1" x14ac:dyDescent="0.15">
      <c r="B39" s="19" t="s">
        <v>549</v>
      </c>
      <c r="C39" s="3" t="s">
        <v>271</v>
      </c>
      <c r="G39" s="19"/>
      <c r="K39" s="90" t="s">
        <v>550</v>
      </c>
      <c r="L39" s="3" t="s">
        <v>272</v>
      </c>
      <c r="O39" s="19"/>
    </row>
  </sheetData>
  <phoneticPr fontId="2"/>
  <pageMargins left="0.19685039370078741" right="0.19685039370078741" top="0.98425196850393704" bottom="0.78740157480314965" header="0.51181102362204722" footer="0.51181102362204722"/>
  <pageSetup paperSize="9" orientation="landscape" horizontalDpi="400" verticalDpi="4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P39"/>
  <sheetViews>
    <sheetView zoomScale="75" workbookViewId="0">
      <selection activeCell="C7" sqref="C7"/>
    </sheetView>
  </sheetViews>
  <sheetFormatPr defaultRowHeight="12.6" customHeight="1" x14ac:dyDescent="0.15"/>
  <cols>
    <col min="1" max="1" width="11.625" style="3" customWidth="1"/>
    <col min="2" max="41" width="6.25" style="3" customWidth="1"/>
    <col min="42" max="42" width="6.25" style="38" customWidth="1"/>
    <col min="43" max="43" width="6.25" style="3" customWidth="1"/>
    <col min="44" max="16384" width="9" style="3"/>
  </cols>
  <sheetData>
    <row r="1" spans="1:42" ht="12.6" customHeight="1" x14ac:dyDescent="0.15">
      <c r="A1" s="3" t="s">
        <v>249</v>
      </c>
    </row>
    <row r="3" spans="1:42" ht="12.6" customHeight="1" x14ac:dyDescent="0.15">
      <c r="A3" s="3" t="s">
        <v>250</v>
      </c>
    </row>
    <row r="4" spans="1:42" ht="12.6" customHeight="1" x14ac:dyDescent="0.15">
      <c r="A4" s="39"/>
      <c r="B4" s="40"/>
      <c r="C4" s="41" t="s">
        <v>594</v>
      </c>
      <c r="D4" s="41" t="s">
        <v>595</v>
      </c>
      <c r="E4" s="41" t="s">
        <v>596</v>
      </c>
      <c r="F4" s="41" t="s">
        <v>597</v>
      </c>
      <c r="G4" s="41" t="s">
        <v>598</v>
      </c>
      <c r="H4" s="41"/>
      <c r="I4" s="41" t="s">
        <v>599</v>
      </c>
      <c r="J4" s="41" t="s">
        <v>600</v>
      </c>
      <c r="K4" s="41" t="s">
        <v>601</v>
      </c>
      <c r="L4" s="41" t="s">
        <v>602</v>
      </c>
      <c r="M4" s="41" t="s">
        <v>603</v>
      </c>
      <c r="N4" s="41" t="s">
        <v>604</v>
      </c>
      <c r="O4" s="41" t="s">
        <v>605</v>
      </c>
      <c r="P4" s="41"/>
      <c r="Q4" s="41" t="s">
        <v>606</v>
      </c>
      <c r="R4" s="41" t="s">
        <v>607</v>
      </c>
      <c r="S4" s="41" t="s">
        <v>608</v>
      </c>
      <c r="T4" s="41" t="s">
        <v>609</v>
      </c>
      <c r="U4" s="41" t="s">
        <v>610</v>
      </c>
      <c r="V4" s="41" t="s">
        <v>611</v>
      </c>
      <c r="W4" s="41" t="s">
        <v>612</v>
      </c>
      <c r="X4" s="41"/>
      <c r="Y4" s="41" t="s">
        <v>613</v>
      </c>
      <c r="Z4" s="41" t="s">
        <v>614</v>
      </c>
      <c r="AA4" s="41" t="s">
        <v>615</v>
      </c>
      <c r="AB4" s="41" t="s">
        <v>616</v>
      </c>
      <c r="AC4" s="41" t="s">
        <v>617</v>
      </c>
      <c r="AD4" s="41" t="s">
        <v>618</v>
      </c>
      <c r="AE4" s="41" t="s">
        <v>619</v>
      </c>
      <c r="AF4" s="41"/>
      <c r="AG4" s="41" t="s">
        <v>620</v>
      </c>
      <c r="AH4" s="41" t="s">
        <v>621</v>
      </c>
      <c r="AI4" s="41" t="s">
        <v>622</v>
      </c>
      <c r="AJ4" s="41" t="s">
        <v>623</v>
      </c>
      <c r="AK4" s="41" t="s">
        <v>624</v>
      </c>
      <c r="AL4" s="41" t="s">
        <v>625</v>
      </c>
      <c r="AM4" s="41" t="s">
        <v>626</v>
      </c>
      <c r="AN4" s="41"/>
      <c r="AO4" s="152" t="s">
        <v>251</v>
      </c>
      <c r="AP4" s="3"/>
    </row>
    <row r="5" spans="1:42" ht="12.6" customHeight="1" x14ac:dyDescent="0.15">
      <c r="A5" s="42" t="s">
        <v>53</v>
      </c>
      <c r="B5" s="113"/>
      <c r="C5" s="114">
        <v>640.9</v>
      </c>
      <c r="D5" s="114">
        <v>1013.4</v>
      </c>
      <c r="E5" s="114">
        <v>778.7</v>
      </c>
      <c r="F5" s="114">
        <v>820.7</v>
      </c>
      <c r="G5" s="114">
        <v>566.70000000000005</v>
      </c>
      <c r="H5" s="114"/>
      <c r="I5" s="114">
        <v>458.2</v>
      </c>
      <c r="J5" s="114">
        <v>1846.6</v>
      </c>
      <c r="K5" s="114">
        <v>2180.6</v>
      </c>
      <c r="L5" s="114">
        <v>1763</v>
      </c>
      <c r="M5" s="114">
        <v>1623.1</v>
      </c>
      <c r="N5" s="114">
        <v>1225.4000000000001</v>
      </c>
      <c r="O5" s="114">
        <v>392.2</v>
      </c>
      <c r="P5" s="114"/>
      <c r="Q5" s="114">
        <v>991.7</v>
      </c>
      <c r="R5" s="114">
        <v>2445</v>
      </c>
      <c r="S5" s="114">
        <v>2507.6999999999998</v>
      </c>
      <c r="T5" s="114">
        <v>2289.8000000000002</v>
      </c>
      <c r="U5" s="114">
        <v>1681</v>
      </c>
      <c r="V5" s="114">
        <v>1342.2</v>
      </c>
      <c r="W5" s="114">
        <v>834.3</v>
      </c>
      <c r="X5" s="114"/>
      <c r="Y5" s="114">
        <v>955.7</v>
      </c>
      <c r="Z5" s="114">
        <v>1874.3</v>
      </c>
      <c r="AA5" s="114">
        <v>2055.6</v>
      </c>
      <c r="AB5" s="114">
        <v>2120.1999999999998</v>
      </c>
      <c r="AC5" s="114">
        <v>1733.7</v>
      </c>
      <c r="AD5" s="114">
        <v>1456.2</v>
      </c>
      <c r="AE5" s="114">
        <v>866</v>
      </c>
      <c r="AF5" s="114"/>
      <c r="AG5" s="114">
        <v>703.1</v>
      </c>
      <c r="AH5" s="114">
        <v>1325.1</v>
      </c>
      <c r="AI5" s="114">
        <v>1177.3</v>
      </c>
      <c r="AJ5" s="114">
        <v>1172.2</v>
      </c>
      <c r="AK5" s="114">
        <v>892.7</v>
      </c>
      <c r="AL5" s="114">
        <v>806</v>
      </c>
      <c r="AM5" s="114">
        <v>399.3</v>
      </c>
      <c r="AN5" s="114"/>
      <c r="AO5" s="43">
        <f>SUM(B5:AN5)</f>
        <v>42938.599999999991</v>
      </c>
      <c r="AP5" s="3"/>
    </row>
    <row r="6" spans="1:42" ht="12.6" customHeight="1" x14ac:dyDescent="0.15">
      <c r="A6" s="44" t="s">
        <v>54</v>
      </c>
      <c r="B6" s="45"/>
      <c r="C6" s="45">
        <f>1.5*1.5</f>
        <v>2.25</v>
      </c>
      <c r="D6" s="45">
        <f t="shared" ref="D6:AM6" si="0">1.5*1.5</f>
        <v>2.25</v>
      </c>
      <c r="E6" s="45">
        <f t="shared" si="0"/>
        <v>2.25</v>
      </c>
      <c r="F6" s="45">
        <f t="shared" si="0"/>
        <v>2.25</v>
      </c>
      <c r="G6" s="45">
        <f t="shared" si="0"/>
        <v>2.25</v>
      </c>
      <c r="H6" s="45"/>
      <c r="I6" s="45">
        <f t="shared" si="0"/>
        <v>2.25</v>
      </c>
      <c r="J6" s="45">
        <f t="shared" si="0"/>
        <v>2.25</v>
      </c>
      <c r="K6" s="45">
        <f t="shared" si="0"/>
        <v>2.25</v>
      </c>
      <c r="L6" s="45">
        <f t="shared" si="0"/>
        <v>2.25</v>
      </c>
      <c r="M6" s="45">
        <f t="shared" si="0"/>
        <v>2.25</v>
      </c>
      <c r="N6" s="45">
        <f t="shared" si="0"/>
        <v>2.25</v>
      </c>
      <c r="O6" s="45">
        <f t="shared" si="0"/>
        <v>2.25</v>
      </c>
      <c r="P6" s="45"/>
      <c r="Q6" s="45">
        <f t="shared" si="0"/>
        <v>2.25</v>
      </c>
      <c r="R6" s="45">
        <f t="shared" si="0"/>
        <v>2.25</v>
      </c>
      <c r="S6" s="45">
        <f t="shared" si="0"/>
        <v>2.25</v>
      </c>
      <c r="T6" s="45">
        <f t="shared" si="0"/>
        <v>2.25</v>
      </c>
      <c r="U6" s="45">
        <f t="shared" si="0"/>
        <v>2.25</v>
      </c>
      <c r="V6" s="45">
        <f t="shared" si="0"/>
        <v>2.25</v>
      </c>
      <c r="W6" s="45">
        <v>1</v>
      </c>
      <c r="X6" s="45"/>
      <c r="Y6" s="45">
        <f t="shared" si="0"/>
        <v>2.25</v>
      </c>
      <c r="Z6" s="45">
        <f t="shared" si="0"/>
        <v>2.25</v>
      </c>
      <c r="AA6" s="45">
        <f t="shared" si="0"/>
        <v>2.25</v>
      </c>
      <c r="AB6" s="45">
        <f t="shared" si="0"/>
        <v>2.25</v>
      </c>
      <c r="AC6" s="45">
        <f t="shared" si="0"/>
        <v>2.25</v>
      </c>
      <c r="AD6" s="45">
        <f t="shared" si="0"/>
        <v>2.25</v>
      </c>
      <c r="AE6" s="45">
        <f t="shared" si="0"/>
        <v>2.25</v>
      </c>
      <c r="AF6" s="45"/>
      <c r="AG6" s="45">
        <f t="shared" si="0"/>
        <v>2.25</v>
      </c>
      <c r="AH6" s="45">
        <f t="shared" si="0"/>
        <v>2.25</v>
      </c>
      <c r="AI6" s="45">
        <f t="shared" si="0"/>
        <v>2.25</v>
      </c>
      <c r="AJ6" s="45">
        <f t="shared" si="0"/>
        <v>2.25</v>
      </c>
      <c r="AK6" s="45">
        <f t="shared" si="0"/>
        <v>2.25</v>
      </c>
      <c r="AL6" s="45">
        <f t="shared" si="0"/>
        <v>2.25</v>
      </c>
      <c r="AM6" s="45">
        <f t="shared" si="0"/>
        <v>2.25</v>
      </c>
      <c r="AN6" s="45"/>
      <c r="AO6" s="46"/>
      <c r="AP6" s="3"/>
    </row>
    <row r="7" spans="1:42" ht="12.6" customHeight="1" x14ac:dyDescent="0.15">
      <c r="A7" s="44" t="s">
        <v>55</v>
      </c>
      <c r="B7" s="47"/>
      <c r="C7" s="47">
        <v>1.4</v>
      </c>
      <c r="D7" s="47">
        <v>1.4</v>
      </c>
      <c r="E7" s="47">
        <v>1.4</v>
      </c>
      <c r="F7" s="47">
        <v>1.4</v>
      </c>
      <c r="G7" s="47">
        <v>1.4</v>
      </c>
      <c r="H7" s="47">
        <v>1.4</v>
      </c>
      <c r="I7" s="47">
        <v>1.4</v>
      </c>
      <c r="J7" s="47">
        <v>1.4</v>
      </c>
      <c r="K7" s="47">
        <v>1.4</v>
      </c>
      <c r="L7" s="47">
        <v>1.4</v>
      </c>
      <c r="M7" s="47">
        <v>1.4</v>
      </c>
      <c r="N7" s="47">
        <v>1.4</v>
      </c>
      <c r="O7" s="47">
        <v>1.4</v>
      </c>
      <c r="P7" s="47">
        <v>1.4</v>
      </c>
      <c r="Q7" s="47">
        <v>1.4</v>
      </c>
      <c r="R7" s="47">
        <v>1.4</v>
      </c>
      <c r="S7" s="47">
        <v>1.4</v>
      </c>
      <c r="T7" s="47">
        <v>1.4</v>
      </c>
      <c r="U7" s="47">
        <v>1.4</v>
      </c>
      <c r="V7" s="47">
        <v>1.4</v>
      </c>
      <c r="W7" s="47">
        <v>1.4</v>
      </c>
      <c r="X7" s="47">
        <v>1.4</v>
      </c>
      <c r="Y7" s="47">
        <v>1.4</v>
      </c>
      <c r="Z7" s="47">
        <v>1.4</v>
      </c>
      <c r="AA7" s="47">
        <v>1.4</v>
      </c>
      <c r="AB7" s="47">
        <v>1.4</v>
      </c>
      <c r="AC7" s="47">
        <v>1.4</v>
      </c>
      <c r="AD7" s="47">
        <v>1.4</v>
      </c>
      <c r="AE7" s="47">
        <v>1.4</v>
      </c>
      <c r="AF7" s="47">
        <v>1.4</v>
      </c>
      <c r="AG7" s="47">
        <v>1.4</v>
      </c>
      <c r="AH7" s="47">
        <v>1.4</v>
      </c>
      <c r="AI7" s="47">
        <v>1.4</v>
      </c>
      <c r="AJ7" s="47">
        <v>1.4</v>
      </c>
      <c r="AK7" s="47">
        <v>1.4</v>
      </c>
      <c r="AL7" s="47">
        <v>1.4</v>
      </c>
      <c r="AM7" s="47">
        <v>1.4</v>
      </c>
      <c r="AN7" s="47"/>
      <c r="AO7" s="46"/>
      <c r="AP7" s="3"/>
    </row>
    <row r="8" spans="1:42" ht="12.6" customHeight="1" x14ac:dyDescent="0.15">
      <c r="A8" s="48" t="s">
        <v>252</v>
      </c>
      <c r="B8" s="49"/>
      <c r="C8" s="49">
        <f>+C6*C7*20</f>
        <v>63</v>
      </c>
      <c r="D8" s="49">
        <f t="shared" ref="D8:I8" si="1">+D6*D7*20</f>
        <v>63</v>
      </c>
      <c r="E8" s="49">
        <f t="shared" si="1"/>
        <v>63</v>
      </c>
      <c r="F8" s="49">
        <f t="shared" si="1"/>
        <v>63</v>
      </c>
      <c r="G8" s="49">
        <f t="shared" si="1"/>
        <v>63</v>
      </c>
      <c r="H8" s="49"/>
      <c r="I8" s="49">
        <f t="shared" si="1"/>
        <v>63</v>
      </c>
      <c r="J8" s="49">
        <f t="shared" ref="J8:O8" si="2">+J6*J7*20</f>
        <v>63</v>
      </c>
      <c r="K8" s="49">
        <f t="shared" si="2"/>
        <v>63</v>
      </c>
      <c r="L8" s="49">
        <f t="shared" si="2"/>
        <v>63</v>
      </c>
      <c r="M8" s="49">
        <f t="shared" si="2"/>
        <v>63</v>
      </c>
      <c r="N8" s="49">
        <f t="shared" si="2"/>
        <v>63</v>
      </c>
      <c r="O8" s="49">
        <f t="shared" si="2"/>
        <v>63</v>
      </c>
      <c r="P8" s="49"/>
      <c r="Q8" s="49">
        <f t="shared" ref="Q8:V8" si="3">+Q6*Q7*20</f>
        <v>63</v>
      </c>
      <c r="R8" s="49">
        <f t="shared" si="3"/>
        <v>63</v>
      </c>
      <c r="S8" s="49">
        <f t="shared" si="3"/>
        <v>63</v>
      </c>
      <c r="T8" s="49">
        <f t="shared" si="3"/>
        <v>63</v>
      </c>
      <c r="U8" s="49">
        <f t="shared" si="3"/>
        <v>63</v>
      </c>
      <c r="V8" s="49">
        <f t="shared" si="3"/>
        <v>63</v>
      </c>
      <c r="W8" s="49">
        <f>+W6*W7*24</f>
        <v>33.599999999999994</v>
      </c>
      <c r="X8" s="49"/>
      <c r="Y8" s="49">
        <f t="shared" ref="Y8:AE8" si="4">+Y6*Y7*20</f>
        <v>63</v>
      </c>
      <c r="Z8" s="49">
        <f t="shared" si="4"/>
        <v>63</v>
      </c>
      <c r="AA8" s="49">
        <f t="shared" si="4"/>
        <v>63</v>
      </c>
      <c r="AB8" s="49">
        <f t="shared" si="4"/>
        <v>63</v>
      </c>
      <c r="AC8" s="49">
        <f t="shared" si="4"/>
        <v>63</v>
      </c>
      <c r="AD8" s="49">
        <f t="shared" si="4"/>
        <v>63</v>
      </c>
      <c r="AE8" s="49">
        <f t="shared" si="4"/>
        <v>63</v>
      </c>
      <c r="AF8" s="49"/>
      <c r="AG8" s="49">
        <f t="shared" ref="AG8:AM8" si="5">+AG6*AG7*20</f>
        <v>63</v>
      </c>
      <c r="AH8" s="49">
        <f t="shared" si="5"/>
        <v>63</v>
      </c>
      <c r="AI8" s="49">
        <f t="shared" si="5"/>
        <v>63</v>
      </c>
      <c r="AJ8" s="49">
        <f t="shared" si="5"/>
        <v>63</v>
      </c>
      <c r="AK8" s="49">
        <f t="shared" si="5"/>
        <v>63</v>
      </c>
      <c r="AL8" s="49">
        <f t="shared" si="5"/>
        <v>63</v>
      </c>
      <c r="AM8" s="49">
        <f t="shared" si="5"/>
        <v>63</v>
      </c>
      <c r="AN8" s="49"/>
      <c r="AO8" s="153">
        <f>SUM(B8:AN8)</f>
        <v>2049.6</v>
      </c>
      <c r="AP8" s="3"/>
    </row>
    <row r="9" spans="1:42" ht="12.6" customHeight="1" x14ac:dyDescent="0.15">
      <c r="A9" s="48" t="s">
        <v>253</v>
      </c>
      <c r="B9" s="49"/>
      <c r="C9" s="49">
        <f>C8+C5</f>
        <v>703.9</v>
      </c>
      <c r="D9" s="49">
        <f>D8+D5</f>
        <v>1076.4000000000001</v>
      </c>
      <c r="E9" s="49">
        <f>E8+E5</f>
        <v>841.7</v>
      </c>
      <c r="F9" s="49">
        <f>F8+F5</f>
        <v>883.7</v>
      </c>
      <c r="G9" s="49">
        <f>G8+G5</f>
        <v>629.70000000000005</v>
      </c>
      <c r="H9" s="49"/>
      <c r="I9" s="49">
        <f t="shared" ref="I9:O9" si="6">I8+I5</f>
        <v>521.20000000000005</v>
      </c>
      <c r="J9" s="49">
        <f t="shared" si="6"/>
        <v>1909.6</v>
      </c>
      <c r="K9" s="49">
        <f t="shared" si="6"/>
        <v>2243.6</v>
      </c>
      <c r="L9" s="49">
        <f t="shared" si="6"/>
        <v>1826</v>
      </c>
      <c r="M9" s="49">
        <f t="shared" si="6"/>
        <v>1686.1</v>
      </c>
      <c r="N9" s="49">
        <f t="shared" si="6"/>
        <v>1288.4000000000001</v>
      </c>
      <c r="O9" s="49">
        <f t="shared" si="6"/>
        <v>455.2</v>
      </c>
      <c r="P9" s="49"/>
      <c r="Q9" s="49">
        <f t="shared" ref="Q9:V9" si="7">Q8+Q5</f>
        <v>1054.7</v>
      </c>
      <c r="R9" s="49">
        <f t="shared" si="7"/>
        <v>2508</v>
      </c>
      <c r="S9" s="49">
        <f t="shared" si="7"/>
        <v>2570.6999999999998</v>
      </c>
      <c r="T9" s="49">
        <f t="shared" si="7"/>
        <v>2352.8000000000002</v>
      </c>
      <c r="U9" s="49">
        <f t="shared" si="7"/>
        <v>1744</v>
      </c>
      <c r="V9" s="49">
        <f t="shared" si="7"/>
        <v>1405.2</v>
      </c>
      <c r="W9" s="49">
        <f>W8+W5</f>
        <v>867.9</v>
      </c>
      <c r="X9" s="49"/>
      <c r="Y9" s="49">
        <f t="shared" ref="Y9:AE9" si="8">Y8+Y5</f>
        <v>1018.7</v>
      </c>
      <c r="Z9" s="49">
        <f t="shared" si="8"/>
        <v>1937.3</v>
      </c>
      <c r="AA9" s="49">
        <f t="shared" si="8"/>
        <v>2118.6</v>
      </c>
      <c r="AB9" s="49">
        <f t="shared" si="8"/>
        <v>2183.1999999999998</v>
      </c>
      <c r="AC9" s="49">
        <f t="shared" si="8"/>
        <v>1796.7</v>
      </c>
      <c r="AD9" s="49">
        <f t="shared" si="8"/>
        <v>1519.2</v>
      </c>
      <c r="AE9" s="49">
        <f t="shared" si="8"/>
        <v>929</v>
      </c>
      <c r="AF9" s="49"/>
      <c r="AG9" s="49">
        <f t="shared" ref="AG9:AM9" si="9">AG8+AG5</f>
        <v>766.1</v>
      </c>
      <c r="AH9" s="49">
        <f t="shared" si="9"/>
        <v>1388.1</v>
      </c>
      <c r="AI9" s="49">
        <f t="shared" si="9"/>
        <v>1240.3</v>
      </c>
      <c r="AJ9" s="49">
        <f t="shared" si="9"/>
        <v>1235.2</v>
      </c>
      <c r="AK9" s="49">
        <f t="shared" si="9"/>
        <v>955.7</v>
      </c>
      <c r="AL9" s="49">
        <f t="shared" si="9"/>
        <v>869</v>
      </c>
      <c r="AM9" s="49">
        <f t="shared" si="9"/>
        <v>462.3</v>
      </c>
      <c r="AN9" s="49"/>
      <c r="AO9" s="153">
        <f>SUM(B9:AN9)</f>
        <v>44988.19999999999</v>
      </c>
      <c r="AP9" s="3"/>
    </row>
    <row r="10" spans="1:42" ht="12.6" customHeight="1" x14ac:dyDescent="0.15">
      <c r="A10" s="44" t="s">
        <v>254</v>
      </c>
      <c r="B10" s="114"/>
      <c r="C10" s="114">
        <v>1300</v>
      </c>
      <c r="D10" s="114">
        <v>1300</v>
      </c>
      <c r="E10" s="114">
        <v>1300</v>
      </c>
      <c r="F10" s="114">
        <v>1300</v>
      </c>
      <c r="G10" s="114">
        <v>1300</v>
      </c>
      <c r="H10" s="114"/>
      <c r="I10" s="114">
        <v>1300</v>
      </c>
      <c r="J10" s="114">
        <v>2500</v>
      </c>
      <c r="K10" s="114">
        <v>2500</v>
      </c>
      <c r="L10" s="114">
        <v>2500</v>
      </c>
      <c r="M10" s="114">
        <v>1800</v>
      </c>
      <c r="N10" s="114">
        <v>1300</v>
      </c>
      <c r="O10" s="114">
        <v>1300</v>
      </c>
      <c r="P10" s="114"/>
      <c r="Q10" s="114">
        <v>1300</v>
      </c>
      <c r="R10" s="114">
        <v>2600</v>
      </c>
      <c r="S10" s="114">
        <v>2600</v>
      </c>
      <c r="T10" s="114">
        <v>2500</v>
      </c>
      <c r="U10" s="114">
        <v>1800</v>
      </c>
      <c r="V10" s="114">
        <v>1800</v>
      </c>
      <c r="W10" s="114">
        <v>1300</v>
      </c>
      <c r="X10" s="114"/>
      <c r="Y10" s="114">
        <v>1300</v>
      </c>
      <c r="Z10" s="114">
        <v>2500</v>
      </c>
      <c r="AA10" s="114">
        <v>2500</v>
      </c>
      <c r="AB10" s="114">
        <v>2500</v>
      </c>
      <c r="AC10" s="114">
        <v>2500</v>
      </c>
      <c r="AD10" s="114">
        <v>1800</v>
      </c>
      <c r="AE10" s="114">
        <v>1300</v>
      </c>
      <c r="AF10" s="114"/>
      <c r="AG10" s="114">
        <v>1300</v>
      </c>
      <c r="AH10" s="114">
        <v>1800</v>
      </c>
      <c r="AI10" s="114">
        <v>1300</v>
      </c>
      <c r="AJ10" s="114">
        <v>1300</v>
      </c>
      <c r="AK10" s="114">
        <v>1300</v>
      </c>
      <c r="AL10" s="114">
        <v>1300</v>
      </c>
      <c r="AM10" s="114">
        <v>1300</v>
      </c>
      <c r="AN10" s="114"/>
      <c r="AO10" s="46"/>
      <c r="AP10" s="3"/>
    </row>
    <row r="11" spans="1:42" ht="12.6" customHeight="1" x14ac:dyDescent="0.15">
      <c r="A11" s="50" t="s">
        <v>255</v>
      </c>
      <c r="B11" s="51"/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1"/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>
        <v>1</v>
      </c>
      <c r="P11" s="51"/>
      <c r="Q11" s="51">
        <v>1</v>
      </c>
      <c r="R11" s="51">
        <v>1</v>
      </c>
      <c r="S11" s="51">
        <v>1</v>
      </c>
      <c r="T11" s="51">
        <v>1</v>
      </c>
      <c r="U11" s="51">
        <v>1</v>
      </c>
      <c r="V11" s="51">
        <v>1</v>
      </c>
      <c r="W11" s="51">
        <v>1</v>
      </c>
      <c r="X11" s="51"/>
      <c r="Y11" s="51">
        <v>1</v>
      </c>
      <c r="Z11" s="51">
        <v>1</v>
      </c>
      <c r="AA11" s="51">
        <v>1</v>
      </c>
      <c r="AB11" s="51">
        <v>1</v>
      </c>
      <c r="AC11" s="51">
        <v>1</v>
      </c>
      <c r="AD11" s="51">
        <v>1</v>
      </c>
      <c r="AE11" s="51">
        <v>1</v>
      </c>
      <c r="AF11" s="51"/>
      <c r="AG11" s="51">
        <v>1</v>
      </c>
      <c r="AH11" s="51">
        <v>1</v>
      </c>
      <c r="AI11" s="51">
        <v>1</v>
      </c>
      <c r="AJ11" s="51">
        <v>1</v>
      </c>
      <c r="AK11" s="51">
        <v>1</v>
      </c>
      <c r="AL11" s="51">
        <v>1</v>
      </c>
      <c r="AM11" s="51">
        <v>1</v>
      </c>
      <c r="AN11" s="51"/>
      <c r="AO11" s="153">
        <f>SUM(B11:AN11)</f>
        <v>33</v>
      </c>
      <c r="AP11" s="3"/>
    </row>
    <row r="12" spans="1:42" ht="12.6" customHeight="1" x14ac:dyDescent="0.15">
      <c r="A12" s="52" t="s">
        <v>256</v>
      </c>
      <c r="B12" s="53"/>
      <c r="C12" s="53">
        <f>+C10*C11</f>
        <v>1300</v>
      </c>
      <c r="D12" s="53">
        <f t="shared" ref="D12:I12" si="10">+D10*D11</f>
        <v>1300</v>
      </c>
      <c r="E12" s="53">
        <f t="shared" si="10"/>
        <v>1300</v>
      </c>
      <c r="F12" s="53">
        <f t="shared" si="10"/>
        <v>1300</v>
      </c>
      <c r="G12" s="53">
        <f t="shared" si="10"/>
        <v>1300</v>
      </c>
      <c r="H12" s="53"/>
      <c r="I12" s="53">
        <f t="shared" si="10"/>
        <v>1300</v>
      </c>
      <c r="J12" s="53">
        <f t="shared" ref="J12:O12" si="11">+J10*J11</f>
        <v>2500</v>
      </c>
      <c r="K12" s="53">
        <f t="shared" si="11"/>
        <v>2500</v>
      </c>
      <c r="L12" s="53">
        <f t="shared" si="11"/>
        <v>2500</v>
      </c>
      <c r="M12" s="53">
        <f t="shared" si="11"/>
        <v>1800</v>
      </c>
      <c r="N12" s="53">
        <f t="shared" si="11"/>
        <v>1300</v>
      </c>
      <c r="O12" s="53">
        <f t="shared" si="11"/>
        <v>1300</v>
      </c>
      <c r="P12" s="53"/>
      <c r="Q12" s="53">
        <f t="shared" ref="Q12:W12" si="12">+Q10*Q11</f>
        <v>1300</v>
      </c>
      <c r="R12" s="53">
        <f t="shared" si="12"/>
        <v>2600</v>
      </c>
      <c r="S12" s="53">
        <f t="shared" si="12"/>
        <v>2600</v>
      </c>
      <c r="T12" s="53">
        <f t="shared" si="12"/>
        <v>2500</v>
      </c>
      <c r="U12" s="53">
        <f t="shared" si="12"/>
        <v>1800</v>
      </c>
      <c r="V12" s="53">
        <f t="shared" si="12"/>
        <v>1800</v>
      </c>
      <c r="W12" s="53">
        <f t="shared" si="12"/>
        <v>1300</v>
      </c>
      <c r="X12" s="53"/>
      <c r="Y12" s="53">
        <f t="shared" ref="Y12:AE12" si="13">+Y10*Y11</f>
        <v>1300</v>
      </c>
      <c r="Z12" s="53">
        <f t="shared" si="13"/>
        <v>2500</v>
      </c>
      <c r="AA12" s="53">
        <f t="shared" si="13"/>
        <v>2500</v>
      </c>
      <c r="AB12" s="53">
        <f t="shared" si="13"/>
        <v>2500</v>
      </c>
      <c r="AC12" s="53">
        <f t="shared" si="13"/>
        <v>2500</v>
      </c>
      <c r="AD12" s="53">
        <f t="shared" si="13"/>
        <v>1800</v>
      </c>
      <c r="AE12" s="53">
        <f t="shared" si="13"/>
        <v>1300</v>
      </c>
      <c r="AF12" s="53"/>
      <c r="AG12" s="53">
        <f t="shared" ref="AG12:AM12" si="14">+AG10*AG11</f>
        <v>1300</v>
      </c>
      <c r="AH12" s="53">
        <f t="shared" si="14"/>
        <v>1800</v>
      </c>
      <c r="AI12" s="53">
        <f t="shared" si="14"/>
        <v>1300</v>
      </c>
      <c r="AJ12" s="53">
        <f t="shared" si="14"/>
        <v>1300</v>
      </c>
      <c r="AK12" s="53">
        <f t="shared" si="14"/>
        <v>1300</v>
      </c>
      <c r="AL12" s="53">
        <f t="shared" si="14"/>
        <v>1300</v>
      </c>
      <c r="AM12" s="53">
        <f t="shared" si="14"/>
        <v>1300</v>
      </c>
      <c r="AN12" s="53"/>
      <c r="AO12" s="55"/>
      <c r="AP12" s="3"/>
    </row>
    <row r="13" spans="1:42" ht="12.6" customHeight="1" x14ac:dyDescent="0.15">
      <c r="A13" s="52" t="s">
        <v>257</v>
      </c>
      <c r="B13" s="14"/>
      <c r="C13" s="14">
        <f>C9/C12</f>
        <v>0.54146153846153844</v>
      </c>
      <c r="D13" s="14">
        <f t="shared" ref="D13:I13" si="15">D9/D12</f>
        <v>0.82800000000000007</v>
      </c>
      <c r="E13" s="14">
        <f t="shared" si="15"/>
        <v>0.64746153846153853</v>
      </c>
      <c r="F13" s="14">
        <f t="shared" si="15"/>
        <v>0.67976923076923079</v>
      </c>
      <c r="G13" s="14">
        <f t="shared" si="15"/>
        <v>0.48438461538461541</v>
      </c>
      <c r="H13" s="14"/>
      <c r="I13" s="14">
        <f t="shared" si="15"/>
        <v>0.40092307692307694</v>
      </c>
      <c r="J13" s="14">
        <f t="shared" ref="J13:O13" si="16">J9/J12</f>
        <v>0.76383999999999996</v>
      </c>
      <c r="K13" s="14">
        <f t="shared" si="16"/>
        <v>0.89744000000000002</v>
      </c>
      <c r="L13" s="14">
        <f t="shared" si="16"/>
        <v>0.73040000000000005</v>
      </c>
      <c r="M13" s="14">
        <f t="shared" si="16"/>
        <v>0.93672222222222212</v>
      </c>
      <c r="N13" s="14">
        <f t="shared" si="16"/>
        <v>0.99107692307692319</v>
      </c>
      <c r="O13" s="14">
        <f t="shared" si="16"/>
        <v>0.35015384615384615</v>
      </c>
      <c r="P13" s="14"/>
      <c r="Q13" s="14">
        <f t="shared" ref="Q13:W13" si="17">Q9/Q12</f>
        <v>0.8113076923076924</v>
      </c>
      <c r="R13" s="14">
        <f t="shared" si="17"/>
        <v>0.96461538461538465</v>
      </c>
      <c r="S13" s="14">
        <f t="shared" si="17"/>
        <v>0.98873076923076919</v>
      </c>
      <c r="T13" s="14">
        <f t="shared" si="17"/>
        <v>0.94112000000000007</v>
      </c>
      <c r="U13" s="14">
        <f t="shared" si="17"/>
        <v>0.96888888888888891</v>
      </c>
      <c r="V13" s="14">
        <f t="shared" si="17"/>
        <v>0.78066666666666673</v>
      </c>
      <c r="W13" s="14">
        <f t="shared" si="17"/>
        <v>0.66761538461538461</v>
      </c>
      <c r="X13" s="14"/>
      <c r="Y13" s="14">
        <f t="shared" ref="Y13:AE13" si="18">Y9/Y12</f>
        <v>0.7836153846153846</v>
      </c>
      <c r="Z13" s="14">
        <f t="shared" si="18"/>
        <v>0.77491999999999994</v>
      </c>
      <c r="AA13" s="14">
        <f t="shared" si="18"/>
        <v>0.84743999999999997</v>
      </c>
      <c r="AB13" s="14">
        <f t="shared" si="18"/>
        <v>0.87327999999999995</v>
      </c>
      <c r="AC13" s="14">
        <f t="shared" si="18"/>
        <v>0.71867999999999999</v>
      </c>
      <c r="AD13" s="14">
        <f t="shared" si="18"/>
        <v>0.84399999999999997</v>
      </c>
      <c r="AE13" s="14">
        <f t="shared" si="18"/>
        <v>0.71461538461538465</v>
      </c>
      <c r="AF13" s="14"/>
      <c r="AG13" s="14">
        <f t="shared" ref="AG13:AM13" si="19">AG9/AG12</f>
        <v>0.58930769230769231</v>
      </c>
      <c r="AH13" s="14">
        <f t="shared" si="19"/>
        <v>0.77116666666666667</v>
      </c>
      <c r="AI13" s="14">
        <f t="shared" si="19"/>
        <v>0.95407692307692304</v>
      </c>
      <c r="AJ13" s="14">
        <f t="shared" si="19"/>
        <v>0.95015384615384624</v>
      </c>
      <c r="AK13" s="14">
        <f t="shared" si="19"/>
        <v>0.73515384615384616</v>
      </c>
      <c r="AL13" s="14">
        <f t="shared" si="19"/>
        <v>0.66846153846153844</v>
      </c>
      <c r="AM13" s="14">
        <f t="shared" si="19"/>
        <v>0.35561538461538461</v>
      </c>
      <c r="AN13" s="14"/>
      <c r="AO13" s="55"/>
      <c r="AP13" s="3"/>
    </row>
    <row r="14" spans="1:42" ht="12.6" customHeight="1" x14ac:dyDescent="0.15">
      <c r="A14" s="52" t="s">
        <v>258</v>
      </c>
      <c r="B14" s="6"/>
      <c r="C14" s="6" t="str">
        <f>IF(C13&lt;1,"OK","ＮＧ")</f>
        <v>OK</v>
      </c>
      <c r="D14" s="6" t="str">
        <f t="shared" ref="D14:I14" si="20">IF(D13&lt;1,"OK","ＮＧ")</f>
        <v>OK</v>
      </c>
      <c r="E14" s="6" t="str">
        <f t="shared" si="20"/>
        <v>OK</v>
      </c>
      <c r="F14" s="6" t="str">
        <f t="shared" si="20"/>
        <v>OK</v>
      </c>
      <c r="G14" s="6" t="str">
        <f t="shared" si="20"/>
        <v>OK</v>
      </c>
      <c r="H14" s="6"/>
      <c r="I14" s="6" t="str">
        <f t="shared" si="20"/>
        <v>OK</v>
      </c>
      <c r="J14" s="6" t="str">
        <f t="shared" ref="J14:O14" si="21">IF(J13&lt;1,"OK","ＮＧ")</f>
        <v>OK</v>
      </c>
      <c r="K14" s="6" t="str">
        <f t="shared" si="21"/>
        <v>OK</v>
      </c>
      <c r="L14" s="6" t="str">
        <f t="shared" si="21"/>
        <v>OK</v>
      </c>
      <c r="M14" s="6" t="str">
        <f t="shared" si="21"/>
        <v>OK</v>
      </c>
      <c r="N14" s="6" t="str">
        <f t="shared" si="21"/>
        <v>OK</v>
      </c>
      <c r="O14" s="6" t="str">
        <f t="shared" si="21"/>
        <v>OK</v>
      </c>
      <c r="P14" s="6"/>
      <c r="Q14" s="6" t="str">
        <f t="shared" ref="Q14:W14" si="22">IF(Q13&lt;1,"OK","ＮＧ")</f>
        <v>OK</v>
      </c>
      <c r="R14" s="6" t="str">
        <f t="shared" si="22"/>
        <v>OK</v>
      </c>
      <c r="S14" s="6" t="str">
        <f t="shared" si="22"/>
        <v>OK</v>
      </c>
      <c r="T14" s="6" t="str">
        <f t="shared" si="22"/>
        <v>OK</v>
      </c>
      <c r="U14" s="6" t="str">
        <f t="shared" si="22"/>
        <v>OK</v>
      </c>
      <c r="V14" s="6" t="str">
        <f t="shared" si="22"/>
        <v>OK</v>
      </c>
      <c r="W14" s="6" t="str">
        <f t="shared" si="22"/>
        <v>OK</v>
      </c>
      <c r="X14" s="6"/>
      <c r="Y14" s="6" t="str">
        <f t="shared" ref="Y14:AE14" si="23">IF(Y13&lt;1,"OK","ＮＧ")</f>
        <v>OK</v>
      </c>
      <c r="Z14" s="6" t="str">
        <f t="shared" si="23"/>
        <v>OK</v>
      </c>
      <c r="AA14" s="6" t="str">
        <f t="shared" si="23"/>
        <v>OK</v>
      </c>
      <c r="AB14" s="6" t="str">
        <f t="shared" si="23"/>
        <v>OK</v>
      </c>
      <c r="AC14" s="6" t="str">
        <f t="shared" si="23"/>
        <v>OK</v>
      </c>
      <c r="AD14" s="6" t="str">
        <f t="shared" si="23"/>
        <v>OK</v>
      </c>
      <c r="AE14" s="6" t="str">
        <f t="shared" si="23"/>
        <v>OK</v>
      </c>
      <c r="AF14" s="6"/>
      <c r="AG14" s="6" t="str">
        <f t="shared" ref="AG14:AM14" si="24">IF(AG13&lt;1,"OK","ＮＧ")</f>
        <v>OK</v>
      </c>
      <c r="AH14" s="6" t="str">
        <f t="shared" si="24"/>
        <v>OK</v>
      </c>
      <c r="AI14" s="6" t="str">
        <f t="shared" si="24"/>
        <v>OK</v>
      </c>
      <c r="AJ14" s="6" t="str">
        <f t="shared" si="24"/>
        <v>OK</v>
      </c>
      <c r="AK14" s="6" t="str">
        <f t="shared" si="24"/>
        <v>OK</v>
      </c>
      <c r="AL14" s="6" t="str">
        <f t="shared" si="24"/>
        <v>OK</v>
      </c>
      <c r="AM14" s="6" t="str">
        <f t="shared" si="24"/>
        <v>OK</v>
      </c>
      <c r="AN14" s="6"/>
      <c r="AO14" s="55"/>
      <c r="AP14" s="3"/>
    </row>
    <row r="15" spans="1:42" ht="12.6" customHeight="1" x14ac:dyDescent="0.15">
      <c r="A15" s="56" t="s">
        <v>259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54"/>
      <c r="AP15" s="3"/>
    </row>
    <row r="16" spans="1:42" ht="12.6" customHeight="1" x14ac:dyDescent="0.15">
      <c r="A16" s="3" t="s">
        <v>260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O16" s="58"/>
      <c r="AP16" s="3"/>
    </row>
    <row r="17" spans="1:42" ht="12.6" customHeight="1" x14ac:dyDescent="0.15">
      <c r="A17" s="59"/>
      <c r="B17" s="40"/>
      <c r="C17" s="41" t="str">
        <f t="shared" ref="C17:G18" si="25">+C4</f>
        <v>A-2</v>
      </c>
      <c r="D17" s="41" t="str">
        <f t="shared" si="25"/>
        <v>A-3</v>
      </c>
      <c r="E17" s="41" t="str">
        <f t="shared" si="25"/>
        <v>A-4</v>
      </c>
      <c r="F17" s="41" t="str">
        <f t="shared" si="25"/>
        <v>A-5</v>
      </c>
      <c r="G17" s="41" t="str">
        <f t="shared" si="25"/>
        <v>A-6</v>
      </c>
      <c r="H17" s="41"/>
      <c r="I17" s="41" t="str">
        <f t="shared" ref="I17:O17" si="26">+I4</f>
        <v>B-1</v>
      </c>
      <c r="J17" s="41" t="str">
        <f t="shared" si="26"/>
        <v>B-2</v>
      </c>
      <c r="K17" s="41" t="str">
        <f t="shared" si="26"/>
        <v>B-3</v>
      </c>
      <c r="L17" s="41" t="str">
        <f t="shared" si="26"/>
        <v>B-4</v>
      </c>
      <c r="M17" s="41" t="str">
        <f t="shared" si="26"/>
        <v>B-5</v>
      </c>
      <c r="N17" s="41" t="str">
        <f t="shared" si="26"/>
        <v>B-6</v>
      </c>
      <c r="O17" s="41" t="str">
        <f t="shared" si="26"/>
        <v>B-7</v>
      </c>
      <c r="P17" s="41"/>
      <c r="Q17" s="41" t="str">
        <f>+Q4</f>
        <v>C-1</v>
      </c>
      <c r="R17" s="41" t="str">
        <f t="shared" ref="R17:W17" si="27">+R4</f>
        <v>C-2</v>
      </c>
      <c r="S17" s="41" t="str">
        <f t="shared" si="27"/>
        <v>C-3</v>
      </c>
      <c r="T17" s="41" t="str">
        <f t="shared" si="27"/>
        <v>C-4</v>
      </c>
      <c r="U17" s="41" t="str">
        <f t="shared" si="27"/>
        <v>C-5</v>
      </c>
      <c r="V17" s="41" t="str">
        <f t="shared" si="27"/>
        <v>C-6</v>
      </c>
      <c r="W17" s="41" t="str">
        <f t="shared" si="27"/>
        <v>C-7</v>
      </c>
      <c r="X17" s="41"/>
      <c r="Y17" s="41" t="str">
        <f>+Y4</f>
        <v>D-1</v>
      </c>
      <c r="Z17" s="41" t="str">
        <f t="shared" ref="Z17:AE17" si="28">+Z4</f>
        <v>D-2</v>
      </c>
      <c r="AA17" s="41" t="str">
        <f t="shared" si="28"/>
        <v>D-3</v>
      </c>
      <c r="AB17" s="41" t="str">
        <f t="shared" si="28"/>
        <v>D-4</v>
      </c>
      <c r="AC17" s="41" t="str">
        <f t="shared" si="28"/>
        <v>D-5</v>
      </c>
      <c r="AD17" s="41" t="str">
        <f t="shared" si="28"/>
        <v>D-6</v>
      </c>
      <c r="AE17" s="41" t="str">
        <f t="shared" si="28"/>
        <v>D-7</v>
      </c>
      <c r="AF17" s="41"/>
      <c r="AG17" s="41" t="str">
        <f>+AG4</f>
        <v>E-1</v>
      </c>
      <c r="AH17" s="41" t="str">
        <f t="shared" ref="AH17:AM17" si="29">+AH4</f>
        <v>E-2</v>
      </c>
      <c r="AI17" s="41" t="str">
        <f t="shared" si="29"/>
        <v>E-3</v>
      </c>
      <c r="AJ17" s="41" t="str">
        <f t="shared" si="29"/>
        <v>E-4</v>
      </c>
      <c r="AK17" s="41" t="str">
        <f t="shared" si="29"/>
        <v>E-5</v>
      </c>
      <c r="AL17" s="41" t="str">
        <f t="shared" si="29"/>
        <v>E-6</v>
      </c>
      <c r="AM17" s="41" t="str">
        <f t="shared" si="29"/>
        <v>E-7</v>
      </c>
      <c r="AN17" s="41"/>
      <c r="AO17" s="60" t="s">
        <v>251</v>
      </c>
      <c r="AP17" s="3"/>
    </row>
    <row r="18" spans="1:42" ht="12.6" customHeight="1" x14ac:dyDescent="0.15">
      <c r="A18" s="61" t="s">
        <v>53</v>
      </c>
      <c r="B18" s="62"/>
      <c r="C18" s="63">
        <f t="shared" si="25"/>
        <v>640.9</v>
      </c>
      <c r="D18" s="63">
        <f t="shared" si="25"/>
        <v>1013.4</v>
      </c>
      <c r="E18" s="63">
        <f t="shared" si="25"/>
        <v>778.7</v>
      </c>
      <c r="F18" s="63">
        <f t="shared" si="25"/>
        <v>820.7</v>
      </c>
      <c r="G18" s="63">
        <f t="shared" si="25"/>
        <v>566.70000000000005</v>
      </c>
      <c r="H18" s="63"/>
      <c r="I18" s="63">
        <f t="shared" ref="I18:O18" si="30">+I5</f>
        <v>458.2</v>
      </c>
      <c r="J18" s="63">
        <f t="shared" si="30"/>
        <v>1846.6</v>
      </c>
      <c r="K18" s="63">
        <f t="shared" si="30"/>
        <v>2180.6</v>
      </c>
      <c r="L18" s="63">
        <f t="shared" si="30"/>
        <v>1763</v>
      </c>
      <c r="M18" s="63">
        <f t="shared" si="30"/>
        <v>1623.1</v>
      </c>
      <c r="N18" s="63">
        <f t="shared" si="30"/>
        <v>1225.4000000000001</v>
      </c>
      <c r="O18" s="63">
        <f t="shared" si="30"/>
        <v>392.2</v>
      </c>
      <c r="P18" s="63"/>
      <c r="Q18" s="63">
        <f>+Q5</f>
        <v>991.7</v>
      </c>
      <c r="R18" s="63">
        <f t="shared" ref="R18:W18" si="31">+R5</f>
        <v>2445</v>
      </c>
      <c r="S18" s="63">
        <f t="shared" si="31"/>
        <v>2507.6999999999998</v>
      </c>
      <c r="T18" s="63">
        <f t="shared" si="31"/>
        <v>2289.8000000000002</v>
      </c>
      <c r="U18" s="63">
        <f t="shared" si="31"/>
        <v>1681</v>
      </c>
      <c r="V18" s="63">
        <f t="shared" si="31"/>
        <v>1342.2</v>
      </c>
      <c r="W18" s="63">
        <f t="shared" si="31"/>
        <v>834.3</v>
      </c>
      <c r="X18" s="63"/>
      <c r="Y18" s="63">
        <f>+Y5</f>
        <v>955.7</v>
      </c>
      <c r="Z18" s="63">
        <f t="shared" ref="Z18:AE18" si="32">+Z5</f>
        <v>1874.3</v>
      </c>
      <c r="AA18" s="63">
        <f t="shared" si="32"/>
        <v>2055.6</v>
      </c>
      <c r="AB18" s="63">
        <f t="shared" si="32"/>
        <v>2120.1999999999998</v>
      </c>
      <c r="AC18" s="63">
        <f t="shared" si="32"/>
        <v>1733.7</v>
      </c>
      <c r="AD18" s="63">
        <f t="shared" si="32"/>
        <v>1456.2</v>
      </c>
      <c r="AE18" s="63">
        <f t="shared" si="32"/>
        <v>866</v>
      </c>
      <c r="AF18" s="63"/>
      <c r="AG18" s="63">
        <f>+AG5</f>
        <v>703.1</v>
      </c>
      <c r="AH18" s="63">
        <f t="shared" ref="AH18:AM18" si="33">+AH5</f>
        <v>1325.1</v>
      </c>
      <c r="AI18" s="63">
        <f t="shared" si="33"/>
        <v>1177.3</v>
      </c>
      <c r="AJ18" s="63">
        <f t="shared" si="33"/>
        <v>1172.2</v>
      </c>
      <c r="AK18" s="63">
        <f t="shared" si="33"/>
        <v>892.7</v>
      </c>
      <c r="AL18" s="63">
        <f t="shared" si="33"/>
        <v>806</v>
      </c>
      <c r="AM18" s="63">
        <f t="shared" si="33"/>
        <v>399.3</v>
      </c>
      <c r="AN18" s="63"/>
      <c r="AO18" s="43"/>
      <c r="AP18" s="3"/>
    </row>
    <row r="19" spans="1:42" ht="12.6" customHeight="1" x14ac:dyDescent="0.15">
      <c r="A19" s="44" t="s">
        <v>343</v>
      </c>
      <c r="B19" s="65"/>
      <c r="C19" s="112">
        <v>135.80000000000001</v>
      </c>
      <c r="D19" s="112">
        <v>17.399999999999999</v>
      </c>
      <c r="E19" s="112">
        <v>0.2</v>
      </c>
      <c r="F19" s="112">
        <v>146</v>
      </c>
      <c r="G19" s="112">
        <v>227.8</v>
      </c>
      <c r="H19" s="112"/>
      <c r="I19" s="112">
        <v>174.5</v>
      </c>
      <c r="J19" s="112">
        <v>107.2</v>
      </c>
      <c r="K19" s="112">
        <v>2.5</v>
      </c>
      <c r="L19" s="112">
        <v>1.9</v>
      </c>
      <c r="M19" s="112">
        <v>4.0999999999999996</v>
      </c>
      <c r="N19" s="112">
        <v>1</v>
      </c>
      <c r="O19" s="112">
        <v>104</v>
      </c>
      <c r="P19" s="112"/>
      <c r="Q19" s="112">
        <v>164.8</v>
      </c>
      <c r="R19" s="112">
        <v>166.4</v>
      </c>
      <c r="S19" s="112">
        <v>8.1999999999999993</v>
      </c>
      <c r="T19" s="112">
        <v>6.5</v>
      </c>
      <c r="U19" s="112">
        <v>44.4</v>
      </c>
      <c r="V19" s="112">
        <v>73.5</v>
      </c>
      <c r="W19" s="112">
        <v>122.1</v>
      </c>
      <c r="X19" s="112"/>
      <c r="Y19" s="112">
        <v>261.2</v>
      </c>
      <c r="Z19" s="112">
        <v>55.5</v>
      </c>
      <c r="AA19" s="112">
        <v>33.1</v>
      </c>
      <c r="AB19" s="112">
        <v>19.3</v>
      </c>
      <c r="AC19" s="112">
        <v>52.6</v>
      </c>
      <c r="AD19" s="112">
        <v>53.2</v>
      </c>
      <c r="AE19" s="112">
        <v>144.30000000000001</v>
      </c>
      <c r="AF19" s="112"/>
      <c r="AG19" s="112">
        <v>190.8</v>
      </c>
      <c r="AH19" s="112">
        <v>96.2</v>
      </c>
      <c r="AI19" s="112">
        <v>11</v>
      </c>
      <c r="AJ19" s="112">
        <v>20.5</v>
      </c>
      <c r="AK19" s="112">
        <v>49.1</v>
      </c>
      <c r="AL19" s="112">
        <v>23.5</v>
      </c>
      <c r="AM19" s="112">
        <v>102.1</v>
      </c>
      <c r="AN19" s="112"/>
      <c r="AO19" s="46"/>
      <c r="AP19" s="3"/>
    </row>
    <row r="20" spans="1:42" ht="12.6" customHeight="1" x14ac:dyDescent="0.15">
      <c r="A20" s="44" t="s">
        <v>342</v>
      </c>
      <c r="B20" s="67"/>
      <c r="C20" s="68">
        <v>701</v>
      </c>
      <c r="D20" s="68">
        <v>529.1</v>
      </c>
      <c r="E20" s="68">
        <v>2.5</v>
      </c>
      <c r="F20" s="68">
        <v>1.5</v>
      </c>
      <c r="G20" s="68">
        <v>0.3</v>
      </c>
      <c r="H20" s="68"/>
      <c r="I20" s="68">
        <v>2</v>
      </c>
      <c r="J20" s="68">
        <v>682.6</v>
      </c>
      <c r="K20" s="68">
        <v>521.9</v>
      </c>
      <c r="L20" s="68">
        <v>1.5</v>
      </c>
      <c r="M20" s="68">
        <v>0.8</v>
      </c>
      <c r="N20" s="68">
        <v>0.9</v>
      </c>
      <c r="O20" s="68">
        <v>1.3</v>
      </c>
      <c r="P20" s="68"/>
      <c r="Q20" s="68">
        <v>278.89999999999998</v>
      </c>
      <c r="R20" s="68">
        <v>283.7</v>
      </c>
      <c r="S20" s="68">
        <v>312.60000000000002</v>
      </c>
      <c r="T20" s="68">
        <v>356.4</v>
      </c>
      <c r="U20" s="68">
        <v>382.9</v>
      </c>
      <c r="V20" s="68">
        <v>345.6</v>
      </c>
      <c r="W20" s="68">
        <v>998.6</v>
      </c>
      <c r="X20" s="68"/>
      <c r="Y20" s="68">
        <v>273.60000000000002</v>
      </c>
      <c r="Z20" s="68">
        <v>298.2</v>
      </c>
      <c r="AA20" s="68">
        <v>326.7</v>
      </c>
      <c r="AB20" s="68">
        <v>363.2</v>
      </c>
      <c r="AC20" s="68">
        <v>380.8</v>
      </c>
      <c r="AD20" s="68">
        <v>344.6</v>
      </c>
      <c r="AE20" s="68">
        <v>998.6</v>
      </c>
      <c r="AF20" s="68"/>
      <c r="AG20" s="68">
        <v>9.3000000000000007</v>
      </c>
      <c r="AH20" s="68">
        <v>5.6</v>
      </c>
      <c r="AI20" s="68">
        <v>4.7</v>
      </c>
      <c r="AJ20" s="68">
        <v>5</v>
      </c>
      <c r="AK20" s="68">
        <v>3.1</v>
      </c>
      <c r="AL20" s="68">
        <v>2.2000000000000002</v>
      </c>
      <c r="AM20" s="68">
        <v>1.3</v>
      </c>
      <c r="AN20" s="68"/>
      <c r="AO20" s="46"/>
      <c r="AP20" s="3"/>
    </row>
    <row r="21" spans="1:42" ht="12.6" customHeight="1" x14ac:dyDescent="0.15">
      <c r="A21" s="52" t="s">
        <v>57</v>
      </c>
      <c r="B21" s="70"/>
      <c r="C21" s="71">
        <f>MAX(C19,C20)</f>
        <v>701</v>
      </c>
      <c r="D21" s="71">
        <f t="shared" ref="D21:I21" si="34">MAX(D19,D20)</f>
        <v>529.1</v>
      </c>
      <c r="E21" s="71">
        <f t="shared" si="34"/>
        <v>2.5</v>
      </c>
      <c r="F21" s="71">
        <f t="shared" si="34"/>
        <v>146</v>
      </c>
      <c r="G21" s="71">
        <f t="shared" si="34"/>
        <v>227.8</v>
      </c>
      <c r="H21" s="71"/>
      <c r="I21" s="71">
        <f t="shared" si="34"/>
        <v>174.5</v>
      </c>
      <c r="J21" s="71">
        <f t="shared" ref="J21:O21" si="35">MAX(J19,J20)</f>
        <v>682.6</v>
      </c>
      <c r="K21" s="71">
        <f t="shared" si="35"/>
        <v>521.9</v>
      </c>
      <c r="L21" s="71">
        <f t="shared" si="35"/>
        <v>1.9</v>
      </c>
      <c r="M21" s="71">
        <f t="shared" si="35"/>
        <v>4.0999999999999996</v>
      </c>
      <c r="N21" s="71">
        <f t="shared" si="35"/>
        <v>1</v>
      </c>
      <c r="O21" s="71">
        <f t="shared" si="35"/>
        <v>104</v>
      </c>
      <c r="P21" s="71"/>
      <c r="Q21" s="71">
        <f t="shared" ref="Q21:W21" si="36">MAX(Q19,Q20)</f>
        <v>278.89999999999998</v>
      </c>
      <c r="R21" s="71">
        <f t="shared" si="36"/>
        <v>283.7</v>
      </c>
      <c r="S21" s="71">
        <f t="shared" si="36"/>
        <v>312.60000000000002</v>
      </c>
      <c r="T21" s="71">
        <f t="shared" si="36"/>
        <v>356.4</v>
      </c>
      <c r="U21" s="71">
        <f t="shared" si="36"/>
        <v>382.9</v>
      </c>
      <c r="V21" s="71">
        <f t="shared" si="36"/>
        <v>345.6</v>
      </c>
      <c r="W21" s="71">
        <f t="shared" si="36"/>
        <v>998.6</v>
      </c>
      <c r="X21" s="71"/>
      <c r="Y21" s="71">
        <f t="shared" ref="Y21:AE21" si="37">MAX(Y19,Y20)</f>
        <v>273.60000000000002</v>
      </c>
      <c r="Z21" s="71">
        <f t="shared" si="37"/>
        <v>298.2</v>
      </c>
      <c r="AA21" s="71">
        <f t="shared" si="37"/>
        <v>326.7</v>
      </c>
      <c r="AB21" s="71">
        <f t="shared" si="37"/>
        <v>363.2</v>
      </c>
      <c r="AC21" s="71">
        <f t="shared" si="37"/>
        <v>380.8</v>
      </c>
      <c r="AD21" s="71">
        <f t="shared" si="37"/>
        <v>344.6</v>
      </c>
      <c r="AE21" s="71">
        <f t="shared" si="37"/>
        <v>998.6</v>
      </c>
      <c r="AF21" s="71"/>
      <c r="AG21" s="71">
        <f t="shared" ref="AG21:AM21" si="38">MAX(AG19,AG20)</f>
        <v>190.8</v>
      </c>
      <c r="AH21" s="71">
        <f t="shared" si="38"/>
        <v>96.2</v>
      </c>
      <c r="AI21" s="71">
        <f t="shared" si="38"/>
        <v>11</v>
      </c>
      <c r="AJ21" s="71">
        <f t="shared" si="38"/>
        <v>20.5</v>
      </c>
      <c r="AK21" s="71">
        <f t="shared" si="38"/>
        <v>49.1</v>
      </c>
      <c r="AL21" s="71">
        <f t="shared" si="38"/>
        <v>23.5</v>
      </c>
      <c r="AM21" s="71">
        <f t="shared" si="38"/>
        <v>102.1</v>
      </c>
      <c r="AN21" s="71"/>
      <c r="AO21" s="46"/>
      <c r="AP21" s="3"/>
    </row>
    <row r="22" spans="1:42" ht="12.6" customHeight="1" x14ac:dyDescent="0.15">
      <c r="A22" s="52" t="s">
        <v>273</v>
      </c>
      <c r="B22" s="73"/>
      <c r="C22" s="53">
        <f>+C21+C18</f>
        <v>1341.9</v>
      </c>
      <c r="D22" s="53">
        <f t="shared" ref="D22:I22" si="39">+D21+D18</f>
        <v>1542.5</v>
      </c>
      <c r="E22" s="53">
        <f t="shared" si="39"/>
        <v>781.2</v>
      </c>
      <c r="F22" s="53">
        <f t="shared" si="39"/>
        <v>966.7</v>
      </c>
      <c r="G22" s="53">
        <f t="shared" si="39"/>
        <v>794.5</v>
      </c>
      <c r="H22" s="53"/>
      <c r="I22" s="53">
        <f t="shared" si="39"/>
        <v>632.70000000000005</v>
      </c>
      <c r="J22" s="53">
        <f t="shared" ref="J22:O22" si="40">+J21+J18</f>
        <v>2529.1999999999998</v>
      </c>
      <c r="K22" s="53">
        <f t="shared" si="40"/>
        <v>2702.5</v>
      </c>
      <c r="L22" s="53">
        <f t="shared" si="40"/>
        <v>1764.9</v>
      </c>
      <c r="M22" s="53">
        <f t="shared" si="40"/>
        <v>1627.1999999999998</v>
      </c>
      <c r="N22" s="53">
        <f t="shared" si="40"/>
        <v>1226.4000000000001</v>
      </c>
      <c r="O22" s="53">
        <f t="shared" si="40"/>
        <v>496.2</v>
      </c>
      <c r="P22" s="53"/>
      <c r="Q22" s="53">
        <f t="shared" ref="Q22:W22" si="41">+Q21+Q18</f>
        <v>1270.5999999999999</v>
      </c>
      <c r="R22" s="53">
        <f t="shared" si="41"/>
        <v>2728.7</v>
      </c>
      <c r="S22" s="53">
        <f t="shared" si="41"/>
        <v>2820.2999999999997</v>
      </c>
      <c r="T22" s="53">
        <f t="shared" si="41"/>
        <v>2646.2000000000003</v>
      </c>
      <c r="U22" s="53">
        <f t="shared" si="41"/>
        <v>2063.9</v>
      </c>
      <c r="V22" s="53">
        <f t="shared" si="41"/>
        <v>1687.8000000000002</v>
      </c>
      <c r="W22" s="53">
        <f t="shared" si="41"/>
        <v>1832.9</v>
      </c>
      <c r="X22" s="53"/>
      <c r="Y22" s="53">
        <f t="shared" ref="Y22:AE22" si="42">+Y21+Y18</f>
        <v>1229.3000000000002</v>
      </c>
      <c r="Z22" s="53">
        <f t="shared" si="42"/>
        <v>2172.5</v>
      </c>
      <c r="AA22" s="53">
        <f t="shared" si="42"/>
        <v>2382.2999999999997</v>
      </c>
      <c r="AB22" s="53">
        <f t="shared" si="42"/>
        <v>2483.3999999999996</v>
      </c>
      <c r="AC22" s="53">
        <f t="shared" si="42"/>
        <v>2114.5</v>
      </c>
      <c r="AD22" s="53">
        <f t="shared" si="42"/>
        <v>1800.8000000000002</v>
      </c>
      <c r="AE22" s="53">
        <f t="shared" si="42"/>
        <v>1864.6</v>
      </c>
      <c r="AF22" s="53"/>
      <c r="AG22" s="53">
        <f t="shared" ref="AG22:AM22" si="43">+AG21+AG18</f>
        <v>893.90000000000009</v>
      </c>
      <c r="AH22" s="53">
        <f t="shared" si="43"/>
        <v>1421.3</v>
      </c>
      <c r="AI22" s="53">
        <f t="shared" si="43"/>
        <v>1188.3</v>
      </c>
      <c r="AJ22" s="53">
        <f t="shared" si="43"/>
        <v>1192.7</v>
      </c>
      <c r="AK22" s="53">
        <f t="shared" si="43"/>
        <v>941.80000000000007</v>
      </c>
      <c r="AL22" s="53">
        <f t="shared" si="43"/>
        <v>829.5</v>
      </c>
      <c r="AM22" s="53">
        <f t="shared" si="43"/>
        <v>501.4</v>
      </c>
      <c r="AN22" s="53"/>
      <c r="AO22" s="46">
        <f>SUM(B22:AN22)</f>
        <v>52472.600000000013</v>
      </c>
      <c r="AP22" s="3"/>
    </row>
    <row r="23" spans="1:42" ht="12.6" customHeight="1" x14ac:dyDescent="0.15">
      <c r="A23" s="52" t="s">
        <v>274</v>
      </c>
      <c r="B23" s="74"/>
      <c r="C23" s="75">
        <f t="shared" ref="C23:G24" si="44">+C6</f>
        <v>2.25</v>
      </c>
      <c r="D23" s="75">
        <f t="shared" si="44"/>
        <v>2.25</v>
      </c>
      <c r="E23" s="75">
        <f t="shared" si="44"/>
        <v>2.25</v>
      </c>
      <c r="F23" s="75">
        <f t="shared" si="44"/>
        <v>2.25</v>
      </c>
      <c r="G23" s="75">
        <f t="shared" si="44"/>
        <v>2.25</v>
      </c>
      <c r="H23" s="75"/>
      <c r="I23" s="75">
        <f t="shared" ref="I23:O23" si="45">+I6</f>
        <v>2.25</v>
      </c>
      <c r="J23" s="75">
        <f t="shared" si="45"/>
        <v>2.25</v>
      </c>
      <c r="K23" s="75">
        <f t="shared" si="45"/>
        <v>2.25</v>
      </c>
      <c r="L23" s="75">
        <f t="shared" si="45"/>
        <v>2.25</v>
      </c>
      <c r="M23" s="75">
        <f t="shared" si="45"/>
        <v>2.25</v>
      </c>
      <c r="N23" s="75">
        <f t="shared" si="45"/>
        <v>2.25</v>
      </c>
      <c r="O23" s="75">
        <f t="shared" si="45"/>
        <v>2.25</v>
      </c>
      <c r="P23" s="75"/>
      <c r="Q23" s="75">
        <f>+Q6</f>
        <v>2.25</v>
      </c>
      <c r="R23" s="75">
        <f t="shared" ref="R23:W23" si="46">+R6</f>
        <v>2.25</v>
      </c>
      <c r="S23" s="75">
        <f t="shared" si="46"/>
        <v>2.25</v>
      </c>
      <c r="T23" s="75">
        <f t="shared" si="46"/>
        <v>2.25</v>
      </c>
      <c r="U23" s="75">
        <f t="shared" si="46"/>
        <v>2.25</v>
      </c>
      <c r="V23" s="75">
        <f t="shared" si="46"/>
        <v>2.25</v>
      </c>
      <c r="W23" s="75">
        <f t="shared" si="46"/>
        <v>1</v>
      </c>
      <c r="X23" s="75"/>
      <c r="Y23" s="75">
        <f>+Y6</f>
        <v>2.25</v>
      </c>
      <c r="Z23" s="75">
        <f t="shared" ref="Z23:AE23" si="47">+Z6</f>
        <v>2.25</v>
      </c>
      <c r="AA23" s="75">
        <f t="shared" si="47"/>
        <v>2.25</v>
      </c>
      <c r="AB23" s="75">
        <f t="shared" si="47"/>
        <v>2.25</v>
      </c>
      <c r="AC23" s="75">
        <f t="shared" si="47"/>
        <v>2.25</v>
      </c>
      <c r="AD23" s="75">
        <f t="shared" si="47"/>
        <v>2.25</v>
      </c>
      <c r="AE23" s="75">
        <f t="shared" si="47"/>
        <v>2.25</v>
      </c>
      <c r="AF23" s="75"/>
      <c r="AG23" s="75">
        <f>+AG6</f>
        <v>2.25</v>
      </c>
      <c r="AH23" s="75">
        <f t="shared" ref="AH23:AM23" si="48">+AH6</f>
        <v>2.25</v>
      </c>
      <c r="AI23" s="75">
        <f t="shared" si="48"/>
        <v>2.25</v>
      </c>
      <c r="AJ23" s="75">
        <f t="shared" si="48"/>
        <v>2.25</v>
      </c>
      <c r="AK23" s="75">
        <f t="shared" si="48"/>
        <v>2.25</v>
      </c>
      <c r="AL23" s="75">
        <f t="shared" si="48"/>
        <v>2.25</v>
      </c>
      <c r="AM23" s="75">
        <f t="shared" si="48"/>
        <v>2.25</v>
      </c>
      <c r="AN23" s="75"/>
      <c r="AO23" s="46"/>
      <c r="AP23" s="3"/>
    </row>
    <row r="24" spans="1:42" ht="12.6" customHeight="1" x14ac:dyDescent="0.15">
      <c r="A24" s="52" t="s">
        <v>275</v>
      </c>
      <c r="B24" s="76"/>
      <c r="C24" s="54">
        <f t="shared" si="44"/>
        <v>1.4</v>
      </c>
      <c r="D24" s="54">
        <f t="shared" si="44"/>
        <v>1.4</v>
      </c>
      <c r="E24" s="54">
        <f t="shared" si="44"/>
        <v>1.4</v>
      </c>
      <c r="F24" s="54">
        <f t="shared" si="44"/>
        <v>1.4</v>
      </c>
      <c r="G24" s="54">
        <f t="shared" si="44"/>
        <v>1.4</v>
      </c>
      <c r="H24" s="54"/>
      <c r="I24" s="54">
        <f t="shared" ref="I24:O24" si="49">+I7</f>
        <v>1.4</v>
      </c>
      <c r="J24" s="54">
        <f t="shared" si="49"/>
        <v>1.4</v>
      </c>
      <c r="K24" s="54">
        <f t="shared" si="49"/>
        <v>1.4</v>
      </c>
      <c r="L24" s="54">
        <f t="shared" si="49"/>
        <v>1.4</v>
      </c>
      <c r="M24" s="54">
        <f t="shared" si="49"/>
        <v>1.4</v>
      </c>
      <c r="N24" s="54">
        <f t="shared" si="49"/>
        <v>1.4</v>
      </c>
      <c r="O24" s="54">
        <f t="shared" si="49"/>
        <v>1.4</v>
      </c>
      <c r="P24" s="54"/>
      <c r="Q24" s="54">
        <f>+Q7</f>
        <v>1.4</v>
      </c>
      <c r="R24" s="54">
        <f t="shared" ref="R24:W24" si="50">+R7</f>
        <v>1.4</v>
      </c>
      <c r="S24" s="54">
        <f t="shared" si="50"/>
        <v>1.4</v>
      </c>
      <c r="T24" s="54">
        <f t="shared" si="50"/>
        <v>1.4</v>
      </c>
      <c r="U24" s="54">
        <f t="shared" si="50"/>
        <v>1.4</v>
      </c>
      <c r="V24" s="54">
        <f t="shared" si="50"/>
        <v>1.4</v>
      </c>
      <c r="W24" s="54">
        <f t="shared" si="50"/>
        <v>1.4</v>
      </c>
      <c r="X24" s="54"/>
      <c r="Y24" s="54">
        <f>+Y7</f>
        <v>1.4</v>
      </c>
      <c r="Z24" s="54">
        <f t="shared" ref="Z24:AE24" si="51">+Z7</f>
        <v>1.4</v>
      </c>
      <c r="AA24" s="54">
        <f t="shared" si="51"/>
        <v>1.4</v>
      </c>
      <c r="AB24" s="54">
        <f t="shared" si="51"/>
        <v>1.4</v>
      </c>
      <c r="AC24" s="54">
        <f t="shared" si="51"/>
        <v>1.4</v>
      </c>
      <c r="AD24" s="54">
        <f t="shared" si="51"/>
        <v>1.4</v>
      </c>
      <c r="AE24" s="54">
        <f t="shared" si="51"/>
        <v>1.4</v>
      </c>
      <c r="AF24" s="54"/>
      <c r="AG24" s="54">
        <f>+AG7</f>
        <v>1.4</v>
      </c>
      <c r="AH24" s="54">
        <f t="shared" ref="AH24:AM24" si="52">+AH7</f>
        <v>1.4</v>
      </c>
      <c r="AI24" s="54">
        <f t="shared" si="52"/>
        <v>1.4</v>
      </c>
      <c r="AJ24" s="54">
        <f t="shared" si="52"/>
        <v>1.4</v>
      </c>
      <c r="AK24" s="54">
        <f t="shared" si="52"/>
        <v>1.4</v>
      </c>
      <c r="AL24" s="54">
        <f t="shared" si="52"/>
        <v>1.4</v>
      </c>
      <c r="AM24" s="54">
        <f t="shared" si="52"/>
        <v>1.4</v>
      </c>
      <c r="AN24" s="54"/>
      <c r="AO24" s="46"/>
      <c r="AP24" s="3"/>
    </row>
    <row r="25" spans="1:42" ht="12.6" customHeight="1" x14ac:dyDescent="0.15">
      <c r="A25" s="52" t="s">
        <v>276</v>
      </c>
      <c r="B25" s="73"/>
      <c r="C25" s="53">
        <f>C23*C24*2*9.80665</f>
        <v>61.781894999999992</v>
      </c>
      <c r="D25" s="53">
        <f t="shared" ref="D25:I25" si="53">D23*D24*2*9.80665</f>
        <v>61.781894999999992</v>
      </c>
      <c r="E25" s="53">
        <f t="shared" si="53"/>
        <v>61.781894999999992</v>
      </c>
      <c r="F25" s="53">
        <f t="shared" si="53"/>
        <v>61.781894999999992</v>
      </c>
      <c r="G25" s="53">
        <f t="shared" si="53"/>
        <v>61.781894999999992</v>
      </c>
      <c r="H25" s="53"/>
      <c r="I25" s="53">
        <f t="shared" si="53"/>
        <v>61.781894999999992</v>
      </c>
      <c r="J25" s="53">
        <f t="shared" ref="J25:O25" si="54">J23*J24*2*9.80665</f>
        <v>61.781894999999992</v>
      </c>
      <c r="K25" s="53">
        <f t="shared" si="54"/>
        <v>61.781894999999992</v>
      </c>
      <c r="L25" s="53">
        <f t="shared" si="54"/>
        <v>61.781894999999992</v>
      </c>
      <c r="M25" s="53">
        <f t="shared" si="54"/>
        <v>61.781894999999992</v>
      </c>
      <c r="N25" s="53">
        <f t="shared" si="54"/>
        <v>61.781894999999992</v>
      </c>
      <c r="O25" s="53">
        <f t="shared" si="54"/>
        <v>61.781894999999992</v>
      </c>
      <c r="P25" s="53"/>
      <c r="Q25" s="53">
        <f t="shared" ref="Q25:W25" si="55">Q23*Q24*2*9.80665</f>
        <v>61.781894999999992</v>
      </c>
      <c r="R25" s="53">
        <f t="shared" si="55"/>
        <v>61.781894999999992</v>
      </c>
      <c r="S25" s="53">
        <f t="shared" si="55"/>
        <v>61.781894999999992</v>
      </c>
      <c r="T25" s="53">
        <f t="shared" si="55"/>
        <v>61.781894999999992</v>
      </c>
      <c r="U25" s="53">
        <f t="shared" si="55"/>
        <v>61.781894999999992</v>
      </c>
      <c r="V25" s="53">
        <f t="shared" si="55"/>
        <v>61.781894999999992</v>
      </c>
      <c r="W25" s="53">
        <f t="shared" si="55"/>
        <v>27.458619999999996</v>
      </c>
      <c r="X25" s="53"/>
      <c r="Y25" s="53">
        <f t="shared" ref="Y25:AE25" si="56">Y23*Y24*2*9.80665</f>
        <v>61.781894999999992</v>
      </c>
      <c r="Z25" s="53">
        <f t="shared" si="56"/>
        <v>61.781894999999992</v>
      </c>
      <c r="AA25" s="53">
        <f t="shared" si="56"/>
        <v>61.781894999999992</v>
      </c>
      <c r="AB25" s="53">
        <f t="shared" si="56"/>
        <v>61.781894999999992</v>
      </c>
      <c r="AC25" s="53">
        <f t="shared" si="56"/>
        <v>61.781894999999992</v>
      </c>
      <c r="AD25" s="53">
        <f t="shared" si="56"/>
        <v>61.781894999999992</v>
      </c>
      <c r="AE25" s="53">
        <f t="shared" si="56"/>
        <v>61.781894999999992</v>
      </c>
      <c r="AF25" s="53"/>
      <c r="AG25" s="53">
        <f t="shared" ref="AG25:AM25" si="57">AG23*AG24*2*9.80665</f>
        <v>61.781894999999992</v>
      </c>
      <c r="AH25" s="53">
        <f t="shared" si="57"/>
        <v>61.781894999999992</v>
      </c>
      <c r="AI25" s="53">
        <f t="shared" si="57"/>
        <v>61.781894999999992</v>
      </c>
      <c r="AJ25" s="53">
        <f t="shared" si="57"/>
        <v>61.781894999999992</v>
      </c>
      <c r="AK25" s="53">
        <f t="shared" si="57"/>
        <v>61.781894999999992</v>
      </c>
      <c r="AL25" s="53">
        <f t="shared" si="57"/>
        <v>61.781894999999992</v>
      </c>
      <c r="AM25" s="53">
        <f t="shared" si="57"/>
        <v>61.781894999999992</v>
      </c>
      <c r="AN25" s="53"/>
      <c r="AO25" s="46">
        <f>SUM(B25:AN25)</f>
        <v>2004.4792600000005</v>
      </c>
      <c r="AP25" s="3"/>
    </row>
    <row r="26" spans="1:42" ht="12.6" customHeight="1" x14ac:dyDescent="0.15">
      <c r="A26" s="52" t="s">
        <v>277</v>
      </c>
      <c r="B26" s="73"/>
      <c r="C26" s="53">
        <f>C22+C25</f>
        <v>1403.6818950000002</v>
      </c>
      <c r="D26" s="53">
        <f t="shared" ref="D26:I26" si="58">D22+D25</f>
        <v>1604.2818950000001</v>
      </c>
      <c r="E26" s="53">
        <f t="shared" si="58"/>
        <v>842.98189500000001</v>
      </c>
      <c r="F26" s="53">
        <f t="shared" si="58"/>
        <v>1028.4818950000001</v>
      </c>
      <c r="G26" s="53">
        <f t="shared" si="58"/>
        <v>856.28189499999996</v>
      </c>
      <c r="H26" s="53"/>
      <c r="I26" s="53">
        <f t="shared" si="58"/>
        <v>694.48189500000001</v>
      </c>
      <c r="J26" s="53">
        <f t="shared" ref="J26:O26" si="59">J22+J25</f>
        <v>2590.9818949999999</v>
      </c>
      <c r="K26" s="53">
        <f t="shared" si="59"/>
        <v>2764.2818950000001</v>
      </c>
      <c r="L26" s="53">
        <f t="shared" si="59"/>
        <v>1826.6818950000002</v>
      </c>
      <c r="M26" s="53">
        <f t="shared" si="59"/>
        <v>1688.9818949999999</v>
      </c>
      <c r="N26" s="53">
        <f t="shared" si="59"/>
        <v>1288.1818950000002</v>
      </c>
      <c r="O26" s="53">
        <f t="shared" si="59"/>
        <v>557.98189500000001</v>
      </c>
      <c r="P26" s="53"/>
      <c r="Q26" s="53">
        <f t="shared" ref="Q26:W26" si="60">Q22+Q25</f>
        <v>1332.381895</v>
      </c>
      <c r="R26" s="53">
        <f t="shared" si="60"/>
        <v>2790.4818949999999</v>
      </c>
      <c r="S26" s="53">
        <f t="shared" si="60"/>
        <v>2882.0818949999998</v>
      </c>
      <c r="T26" s="53">
        <f t="shared" si="60"/>
        <v>2707.9818950000003</v>
      </c>
      <c r="U26" s="53">
        <f t="shared" si="60"/>
        <v>2125.6818950000002</v>
      </c>
      <c r="V26" s="53">
        <f t="shared" si="60"/>
        <v>1749.5818950000003</v>
      </c>
      <c r="W26" s="53">
        <f t="shared" si="60"/>
        <v>1860.35862</v>
      </c>
      <c r="X26" s="53"/>
      <c r="Y26" s="53">
        <f t="shared" ref="Y26:AE26" si="61">Y22+Y25</f>
        <v>1291.0818950000003</v>
      </c>
      <c r="Z26" s="53">
        <f t="shared" si="61"/>
        <v>2234.2818950000001</v>
      </c>
      <c r="AA26" s="53">
        <f t="shared" si="61"/>
        <v>2444.0818949999998</v>
      </c>
      <c r="AB26" s="53">
        <f t="shared" si="61"/>
        <v>2545.1818949999997</v>
      </c>
      <c r="AC26" s="53">
        <f t="shared" si="61"/>
        <v>2176.2818950000001</v>
      </c>
      <c r="AD26" s="53">
        <f t="shared" si="61"/>
        <v>1862.5818950000003</v>
      </c>
      <c r="AE26" s="53">
        <f t="shared" si="61"/>
        <v>1926.381895</v>
      </c>
      <c r="AF26" s="53"/>
      <c r="AG26" s="53">
        <f t="shared" ref="AG26:AM26" si="62">AG22+AG25</f>
        <v>955.68189500000005</v>
      </c>
      <c r="AH26" s="53">
        <f t="shared" si="62"/>
        <v>1483.081895</v>
      </c>
      <c r="AI26" s="53">
        <f t="shared" si="62"/>
        <v>1250.081895</v>
      </c>
      <c r="AJ26" s="53">
        <f t="shared" si="62"/>
        <v>1254.4818950000001</v>
      </c>
      <c r="AK26" s="53">
        <f t="shared" si="62"/>
        <v>1003.581895</v>
      </c>
      <c r="AL26" s="53">
        <f t="shared" si="62"/>
        <v>891.28189499999996</v>
      </c>
      <c r="AM26" s="53">
        <f t="shared" si="62"/>
        <v>563.18189499999994</v>
      </c>
      <c r="AN26" s="53"/>
      <c r="AO26" s="46">
        <f>SUM(B26:AN26)</f>
        <v>54477.07926000002</v>
      </c>
      <c r="AP26" s="3"/>
    </row>
    <row r="27" spans="1:42" ht="12.6" customHeight="1" x14ac:dyDescent="0.15">
      <c r="A27" s="52" t="s">
        <v>278</v>
      </c>
      <c r="B27" s="73"/>
      <c r="C27" s="53">
        <f>+C10*2</f>
        <v>2600</v>
      </c>
      <c r="D27" s="53">
        <f>+D10*2</f>
        <v>2600</v>
      </c>
      <c r="E27" s="53">
        <f>+E10*2</f>
        <v>2600</v>
      </c>
      <c r="F27" s="53">
        <f>+F10*2</f>
        <v>2600</v>
      </c>
      <c r="G27" s="53">
        <f>+G10*2</f>
        <v>2600</v>
      </c>
      <c r="H27" s="53"/>
      <c r="I27" s="53">
        <f t="shared" ref="I27:O27" si="63">+I10*2</f>
        <v>2600</v>
      </c>
      <c r="J27" s="53">
        <f t="shared" si="63"/>
        <v>5000</v>
      </c>
      <c r="K27" s="53">
        <f t="shared" si="63"/>
        <v>5000</v>
      </c>
      <c r="L27" s="53">
        <f t="shared" si="63"/>
        <v>5000</v>
      </c>
      <c r="M27" s="53">
        <f t="shared" si="63"/>
        <v>3600</v>
      </c>
      <c r="N27" s="53">
        <f t="shared" si="63"/>
        <v>2600</v>
      </c>
      <c r="O27" s="53">
        <f t="shared" si="63"/>
        <v>2600</v>
      </c>
      <c r="P27" s="53"/>
      <c r="Q27" s="53">
        <f>+Q10*2</f>
        <v>2600</v>
      </c>
      <c r="R27" s="53">
        <f t="shared" ref="R27:W27" si="64">+R10*2</f>
        <v>5200</v>
      </c>
      <c r="S27" s="53">
        <f t="shared" si="64"/>
        <v>5200</v>
      </c>
      <c r="T27" s="53">
        <f t="shared" si="64"/>
        <v>5000</v>
      </c>
      <c r="U27" s="53">
        <f t="shared" si="64"/>
        <v>3600</v>
      </c>
      <c r="V27" s="53">
        <f t="shared" si="64"/>
        <v>3600</v>
      </c>
      <c r="W27" s="53">
        <f t="shared" si="64"/>
        <v>2600</v>
      </c>
      <c r="X27" s="53"/>
      <c r="Y27" s="53">
        <f>+Y10*2</f>
        <v>2600</v>
      </c>
      <c r="Z27" s="53">
        <f t="shared" ref="Z27:AE27" si="65">+Z10*2</f>
        <v>5000</v>
      </c>
      <c r="AA27" s="53">
        <f t="shared" si="65"/>
        <v>5000</v>
      </c>
      <c r="AB27" s="53">
        <f t="shared" si="65"/>
        <v>5000</v>
      </c>
      <c r="AC27" s="53">
        <f t="shared" si="65"/>
        <v>5000</v>
      </c>
      <c r="AD27" s="53">
        <f t="shared" si="65"/>
        <v>3600</v>
      </c>
      <c r="AE27" s="53">
        <f t="shared" si="65"/>
        <v>2600</v>
      </c>
      <c r="AF27" s="53"/>
      <c r="AG27" s="53">
        <f>+AG10*2</f>
        <v>2600</v>
      </c>
      <c r="AH27" s="53">
        <f t="shared" ref="AH27:AM27" si="66">+AH10*2</f>
        <v>3600</v>
      </c>
      <c r="AI27" s="53">
        <f t="shared" si="66"/>
        <v>2600</v>
      </c>
      <c r="AJ27" s="53">
        <f t="shared" si="66"/>
        <v>2600</v>
      </c>
      <c r="AK27" s="53">
        <f t="shared" si="66"/>
        <v>2600</v>
      </c>
      <c r="AL27" s="53">
        <f t="shared" si="66"/>
        <v>2600</v>
      </c>
      <c r="AM27" s="53">
        <f t="shared" si="66"/>
        <v>2600</v>
      </c>
      <c r="AN27" s="53"/>
      <c r="AO27" s="46"/>
      <c r="AP27" s="3"/>
    </row>
    <row r="28" spans="1:42" ht="12.6" customHeight="1" x14ac:dyDescent="0.15">
      <c r="A28" s="77" t="s">
        <v>279</v>
      </c>
      <c r="B28" s="78"/>
      <c r="C28" s="79">
        <f>+C11</f>
        <v>1</v>
      </c>
      <c r="D28" s="79">
        <f>+D11</f>
        <v>1</v>
      </c>
      <c r="E28" s="79">
        <f>+E11</f>
        <v>1</v>
      </c>
      <c r="F28" s="79">
        <f>+F11</f>
        <v>1</v>
      </c>
      <c r="G28" s="79">
        <f>+G11</f>
        <v>1</v>
      </c>
      <c r="H28" s="79"/>
      <c r="I28" s="79">
        <f t="shared" ref="I28:O28" si="67">+I11</f>
        <v>1</v>
      </c>
      <c r="J28" s="79">
        <f t="shared" si="67"/>
        <v>1</v>
      </c>
      <c r="K28" s="79">
        <f t="shared" si="67"/>
        <v>1</v>
      </c>
      <c r="L28" s="79">
        <f t="shared" si="67"/>
        <v>1</v>
      </c>
      <c r="M28" s="79">
        <f t="shared" si="67"/>
        <v>1</v>
      </c>
      <c r="N28" s="79">
        <f t="shared" si="67"/>
        <v>1</v>
      </c>
      <c r="O28" s="79">
        <f t="shared" si="67"/>
        <v>1</v>
      </c>
      <c r="P28" s="79"/>
      <c r="Q28" s="79">
        <f>+Q11</f>
        <v>1</v>
      </c>
      <c r="R28" s="79">
        <f t="shared" ref="R28:W28" si="68">+R11</f>
        <v>1</v>
      </c>
      <c r="S28" s="79">
        <f t="shared" si="68"/>
        <v>1</v>
      </c>
      <c r="T28" s="79">
        <f t="shared" si="68"/>
        <v>1</v>
      </c>
      <c r="U28" s="79">
        <f t="shared" si="68"/>
        <v>1</v>
      </c>
      <c r="V28" s="79">
        <f t="shared" si="68"/>
        <v>1</v>
      </c>
      <c r="W28" s="79">
        <f t="shared" si="68"/>
        <v>1</v>
      </c>
      <c r="X28" s="79"/>
      <c r="Y28" s="79">
        <f>+Y11</f>
        <v>1</v>
      </c>
      <c r="Z28" s="79">
        <f t="shared" ref="Z28:AE28" si="69">+Z11</f>
        <v>1</v>
      </c>
      <c r="AA28" s="79">
        <f t="shared" si="69"/>
        <v>1</v>
      </c>
      <c r="AB28" s="79">
        <f t="shared" si="69"/>
        <v>1</v>
      </c>
      <c r="AC28" s="79">
        <f t="shared" si="69"/>
        <v>1</v>
      </c>
      <c r="AD28" s="79">
        <f t="shared" si="69"/>
        <v>1</v>
      </c>
      <c r="AE28" s="79">
        <f t="shared" si="69"/>
        <v>1</v>
      </c>
      <c r="AF28" s="79"/>
      <c r="AG28" s="79">
        <f>+AG11</f>
        <v>1</v>
      </c>
      <c r="AH28" s="79">
        <f t="shared" ref="AH28:AM28" si="70">+AH11</f>
        <v>1</v>
      </c>
      <c r="AI28" s="79">
        <f t="shared" si="70"/>
        <v>1</v>
      </c>
      <c r="AJ28" s="79">
        <f t="shared" si="70"/>
        <v>1</v>
      </c>
      <c r="AK28" s="79">
        <f t="shared" si="70"/>
        <v>1</v>
      </c>
      <c r="AL28" s="79">
        <f t="shared" si="70"/>
        <v>1</v>
      </c>
      <c r="AM28" s="79">
        <f t="shared" si="70"/>
        <v>1</v>
      </c>
      <c r="AN28" s="79"/>
      <c r="AO28" s="46">
        <f>SUM(B28:AN28)</f>
        <v>33</v>
      </c>
      <c r="AP28" s="3"/>
    </row>
    <row r="29" spans="1:42" ht="12.6" customHeight="1" x14ac:dyDescent="0.15">
      <c r="A29" s="52" t="s">
        <v>280</v>
      </c>
      <c r="B29" s="73"/>
      <c r="C29" s="53">
        <f>+C27*C28</f>
        <v>2600</v>
      </c>
      <c r="D29" s="53">
        <f t="shared" ref="D29:I29" si="71">+D27*D28</f>
        <v>2600</v>
      </c>
      <c r="E29" s="53">
        <f t="shared" si="71"/>
        <v>2600</v>
      </c>
      <c r="F29" s="53">
        <f t="shared" si="71"/>
        <v>2600</v>
      </c>
      <c r="G29" s="53">
        <f t="shared" si="71"/>
        <v>2600</v>
      </c>
      <c r="H29" s="53"/>
      <c r="I29" s="53">
        <f t="shared" si="71"/>
        <v>2600</v>
      </c>
      <c r="J29" s="53">
        <f t="shared" ref="J29:O29" si="72">+J27*J28</f>
        <v>5000</v>
      </c>
      <c r="K29" s="53">
        <f t="shared" si="72"/>
        <v>5000</v>
      </c>
      <c r="L29" s="53">
        <f t="shared" si="72"/>
        <v>5000</v>
      </c>
      <c r="M29" s="53">
        <f t="shared" si="72"/>
        <v>3600</v>
      </c>
      <c r="N29" s="53">
        <f t="shared" si="72"/>
        <v>2600</v>
      </c>
      <c r="O29" s="53">
        <f t="shared" si="72"/>
        <v>2600</v>
      </c>
      <c r="P29" s="53"/>
      <c r="Q29" s="53">
        <f t="shared" ref="Q29:W29" si="73">+Q27*Q28</f>
        <v>2600</v>
      </c>
      <c r="R29" s="53">
        <f t="shared" si="73"/>
        <v>5200</v>
      </c>
      <c r="S29" s="53">
        <f t="shared" si="73"/>
        <v>5200</v>
      </c>
      <c r="T29" s="53">
        <f t="shared" si="73"/>
        <v>5000</v>
      </c>
      <c r="U29" s="53">
        <f t="shared" si="73"/>
        <v>3600</v>
      </c>
      <c r="V29" s="53">
        <f t="shared" si="73"/>
        <v>3600</v>
      </c>
      <c r="W29" s="53">
        <f t="shared" si="73"/>
        <v>2600</v>
      </c>
      <c r="X29" s="53"/>
      <c r="Y29" s="53">
        <f t="shared" ref="Y29:AE29" si="74">+Y27*Y28</f>
        <v>2600</v>
      </c>
      <c r="Z29" s="53">
        <f t="shared" si="74"/>
        <v>5000</v>
      </c>
      <c r="AA29" s="53">
        <f t="shared" si="74"/>
        <v>5000</v>
      </c>
      <c r="AB29" s="53">
        <f t="shared" si="74"/>
        <v>5000</v>
      </c>
      <c r="AC29" s="53">
        <f t="shared" si="74"/>
        <v>5000</v>
      </c>
      <c r="AD29" s="53">
        <f t="shared" si="74"/>
        <v>3600</v>
      </c>
      <c r="AE29" s="53">
        <f t="shared" si="74"/>
        <v>2600</v>
      </c>
      <c r="AF29" s="53"/>
      <c r="AG29" s="53">
        <f t="shared" ref="AG29:AM29" si="75">+AG27*AG28</f>
        <v>2600</v>
      </c>
      <c r="AH29" s="53">
        <f t="shared" si="75"/>
        <v>3600</v>
      </c>
      <c r="AI29" s="53">
        <f t="shared" si="75"/>
        <v>2600</v>
      </c>
      <c r="AJ29" s="53">
        <f t="shared" si="75"/>
        <v>2600</v>
      </c>
      <c r="AK29" s="53">
        <f t="shared" si="75"/>
        <v>2600</v>
      </c>
      <c r="AL29" s="53">
        <f t="shared" si="75"/>
        <v>2600</v>
      </c>
      <c r="AM29" s="53">
        <f t="shared" si="75"/>
        <v>2600</v>
      </c>
      <c r="AN29" s="53"/>
      <c r="AO29" s="46"/>
      <c r="AP29" s="3"/>
    </row>
    <row r="30" spans="1:42" ht="12.6" customHeight="1" x14ac:dyDescent="0.15">
      <c r="A30" s="52" t="s">
        <v>281</v>
      </c>
      <c r="B30" s="76"/>
      <c r="C30" s="54">
        <f>+C26/C29</f>
        <v>0.53987765192307702</v>
      </c>
      <c r="D30" s="54">
        <f t="shared" ref="D30:I30" si="76">+D26/D29</f>
        <v>0.61703149807692315</v>
      </c>
      <c r="E30" s="54">
        <f t="shared" si="76"/>
        <v>0.32422380576923077</v>
      </c>
      <c r="F30" s="54">
        <f t="shared" si="76"/>
        <v>0.39556995961538466</v>
      </c>
      <c r="G30" s="54">
        <f t="shared" si="76"/>
        <v>0.32933919038461534</v>
      </c>
      <c r="H30" s="54"/>
      <c r="I30" s="54">
        <f t="shared" si="76"/>
        <v>0.26710842115384614</v>
      </c>
      <c r="J30" s="54">
        <f t="shared" ref="J30:O30" si="77">+J26/J29</f>
        <v>0.51819637899999993</v>
      </c>
      <c r="K30" s="54">
        <f t="shared" si="77"/>
        <v>0.55285637900000006</v>
      </c>
      <c r="L30" s="54">
        <f t="shared" si="77"/>
        <v>0.36533637900000004</v>
      </c>
      <c r="M30" s="54">
        <f t="shared" si="77"/>
        <v>0.46916163749999995</v>
      </c>
      <c r="N30" s="54">
        <f t="shared" si="77"/>
        <v>0.49545457500000006</v>
      </c>
      <c r="O30" s="54">
        <f t="shared" si="77"/>
        <v>0.21460842115384615</v>
      </c>
      <c r="P30" s="54"/>
      <c r="Q30" s="54">
        <f t="shared" ref="Q30:W30" si="78">+Q26/Q29</f>
        <v>0.51245457500000002</v>
      </c>
      <c r="R30" s="54">
        <f t="shared" si="78"/>
        <v>0.53663113365384618</v>
      </c>
      <c r="S30" s="54">
        <f t="shared" si="78"/>
        <v>0.55424651826923077</v>
      </c>
      <c r="T30" s="54">
        <f t="shared" si="78"/>
        <v>0.54159637900000002</v>
      </c>
      <c r="U30" s="54">
        <f t="shared" si="78"/>
        <v>0.59046719305555562</v>
      </c>
      <c r="V30" s="54">
        <f t="shared" si="78"/>
        <v>0.48599497083333343</v>
      </c>
      <c r="W30" s="54">
        <f t="shared" si="78"/>
        <v>0.71552254615384614</v>
      </c>
      <c r="X30" s="54"/>
      <c r="Y30" s="54">
        <f t="shared" ref="Y30:AE30" si="79">+Y26/Y29</f>
        <v>0.49656995961538469</v>
      </c>
      <c r="Z30" s="54">
        <f t="shared" si="79"/>
        <v>0.44685637900000003</v>
      </c>
      <c r="AA30" s="54">
        <f t="shared" si="79"/>
        <v>0.48881637899999997</v>
      </c>
      <c r="AB30" s="54">
        <f t="shared" si="79"/>
        <v>0.50903637899999998</v>
      </c>
      <c r="AC30" s="54">
        <f t="shared" si="79"/>
        <v>0.43525637900000003</v>
      </c>
      <c r="AD30" s="54">
        <f t="shared" si="79"/>
        <v>0.51738385972222234</v>
      </c>
      <c r="AE30" s="54">
        <f t="shared" si="79"/>
        <v>0.74091611346153841</v>
      </c>
      <c r="AF30" s="54"/>
      <c r="AG30" s="54">
        <f t="shared" ref="AG30:AM30" si="80">+AG26/AG29</f>
        <v>0.36756995961538463</v>
      </c>
      <c r="AH30" s="54">
        <f t="shared" si="80"/>
        <v>0.41196719305555557</v>
      </c>
      <c r="AI30" s="54">
        <f t="shared" si="80"/>
        <v>0.48080072884615388</v>
      </c>
      <c r="AJ30" s="54">
        <f t="shared" si="80"/>
        <v>0.48249303653846159</v>
      </c>
      <c r="AK30" s="54">
        <f t="shared" si="80"/>
        <v>0.38599303653846156</v>
      </c>
      <c r="AL30" s="54">
        <f t="shared" si="80"/>
        <v>0.34280072884615381</v>
      </c>
      <c r="AM30" s="54">
        <f t="shared" si="80"/>
        <v>0.21660842115384613</v>
      </c>
      <c r="AN30" s="54"/>
      <c r="AO30" s="46"/>
      <c r="AP30" s="3"/>
    </row>
    <row r="31" spans="1:42" ht="12.6" customHeight="1" x14ac:dyDescent="0.15">
      <c r="A31" s="52" t="s">
        <v>258</v>
      </c>
      <c r="B31" s="7"/>
      <c r="C31" s="6" t="str">
        <f>IF(C30&lt;1,"OK","ＮＧ")</f>
        <v>OK</v>
      </c>
      <c r="D31" s="6" t="str">
        <f t="shared" ref="D31:I31" si="81">IF(D30&lt;1,"OK","ＮＧ")</f>
        <v>OK</v>
      </c>
      <c r="E31" s="6" t="str">
        <f t="shared" si="81"/>
        <v>OK</v>
      </c>
      <c r="F31" s="6" t="str">
        <f t="shared" si="81"/>
        <v>OK</v>
      </c>
      <c r="G31" s="6" t="str">
        <f t="shared" si="81"/>
        <v>OK</v>
      </c>
      <c r="H31" s="6"/>
      <c r="I31" s="6" t="str">
        <f t="shared" si="81"/>
        <v>OK</v>
      </c>
      <c r="J31" s="6" t="str">
        <f t="shared" ref="J31:O31" si="82">IF(J30&lt;1,"OK","ＮＧ")</f>
        <v>OK</v>
      </c>
      <c r="K31" s="6" t="str">
        <f t="shared" si="82"/>
        <v>OK</v>
      </c>
      <c r="L31" s="6" t="str">
        <f t="shared" si="82"/>
        <v>OK</v>
      </c>
      <c r="M31" s="6" t="str">
        <f t="shared" si="82"/>
        <v>OK</v>
      </c>
      <c r="N31" s="6" t="str">
        <f t="shared" si="82"/>
        <v>OK</v>
      </c>
      <c r="O31" s="6" t="str">
        <f t="shared" si="82"/>
        <v>OK</v>
      </c>
      <c r="P31" s="6"/>
      <c r="Q31" s="6" t="str">
        <f t="shared" ref="Q31:W31" si="83">IF(Q30&lt;1,"OK","ＮＧ")</f>
        <v>OK</v>
      </c>
      <c r="R31" s="6" t="str">
        <f t="shared" si="83"/>
        <v>OK</v>
      </c>
      <c r="S31" s="6" t="str">
        <f t="shared" si="83"/>
        <v>OK</v>
      </c>
      <c r="T31" s="6" t="str">
        <f t="shared" si="83"/>
        <v>OK</v>
      </c>
      <c r="U31" s="6" t="str">
        <f t="shared" si="83"/>
        <v>OK</v>
      </c>
      <c r="V31" s="6" t="str">
        <f t="shared" si="83"/>
        <v>OK</v>
      </c>
      <c r="W31" s="6" t="str">
        <f t="shared" si="83"/>
        <v>OK</v>
      </c>
      <c r="X31" s="6"/>
      <c r="Y31" s="6" t="str">
        <f t="shared" ref="Y31:AE31" si="84">IF(Y30&lt;1,"OK","ＮＧ")</f>
        <v>OK</v>
      </c>
      <c r="Z31" s="6" t="str">
        <f t="shared" si="84"/>
        <v>OK</v>
      </c>
      <c r="AA31" s="6" t="str">
        <f t="shared" si="84"/>
        <v>OK</v>
      </c>
      <c r="AB31" s="6" t="str">
        <f t="shared" si="84"/>
        <v>OK</v>
      </c>
      <c r="AC31" s="6" t="str">
        <f t="shared" si="84"/>
        <v>OK</v>
      </c>
      <c r="AD31" s="6" t="str">
        <f t="shared" si="84"/>
        <v>OK</v>
      </c>
      <c r="AE31" s="6" t="str">
        <f t="shared" si="84"/>
        <v>OK</v>
      </c>
      <c r="AF31" s="6"/>
      <c r="AG31" s="6" t="str">
        <f t="shared" ref="AG31:AM31" si="85">IF(AG30&lt;1,"OK","ＮＧ")</f>
        <v>OK</v>
      </c>
      <c r="AH31" s="6" t="str">
        <f t="shared" si="85"/>
        <v>OK</v>
      </c>
      <c r="AI31" s="6" t="str">
        <f t="shared" si="85"/>
        <v>OK</v>
      </c>
      <c r="AJ31" s="6" t="str">
        <f t="shared" si="85"/>
        <v>OK</v>
      </c>
      <c r="AK31" s="6" t="str">
        <f t="shared" si="85"/>
        <v>OK</v>
      </c>
      <c r="AL31" s="6" t="str">
        <f t="shared" si="85"/>
        <v>OK</v>
      </c>
      <c r="AM31" s="6" t="str">
        <f t="shared" si="85"/>
        <v>OK</v>
      </c>
      <c r="AN31" s="6"/>
      <c r="AO31" s="46"/>
      <c r="AP31" s="3"/>
    </row>
    <row r="32" spans="1:42" ht="12.6" customHeight="1" x14ac:dyDescent="0.15">
      <c r="A32" s="80" t="s">
        <v>259</v>
      </c>
      <c r="B32" s="8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46"/>
      <c r="AP32" s="3"/>
    </row>
    <row r="33" spans="1:42" ht="12.6" customHeight="1" x14ac:dyDescent="0.15">
      <c r="A33" s="82" t="s">
        <v>208</v>
      </c>
      <c r="B33" s="62"/>
      <c r="C33" s="63">
        <f>+C18+C21+C25</f>
        <v>1403.6818950000002</v>
      </c>
      <c r="D33" s="63">
        <f>+D18+D21+D25</f>
        <v>1604.2818950000001</v>
      </c>
      <c r="E33" s="63">
        <f>+E18+E21+E25</f>
        <v>842.98189500000001</v>
      </c>
      <c r="F33" s="63">
        <f>+F18+F21+F25</f>
        <v>1028.4818950000001</v>
      </c>
      <c r="G33" s="63">
        <f>+G18+G21+G25</f>
        <v>856.28189499999996</v>
      </c>
      <c r="H33" s="63"/>
      <c r="I33" s="63">
        <f t="shared" ref="I33:O33" si="86">+I18+I21+I25</f>
        <v>694.48189500000001</v>
      </c>
      <c r="J33" s="63">
        <f t="shared" si="86"/>
        <v>2590.9818949999999</v>
      </c>
      <c r="K33" s="63">
        <f t="shared" si="86"/>
        <v>2764.2818950000001</v>
      </c>
      <c r="L33" s="63">
        <f t="shared" si="86"/>
        <v>1826.6818950000002</v>
      </c>
      <c r="M33" s="63">
        <f t="shared" si="86"/>
        <v>1688.9818949999999</v>
      </c>
      <c r="N33" s="63">
        <f t="shared" si="86"/>
        <v>1288.1818950000002</v>
      </c>
      <c r="O33" s="63">
        <f t="shared" si="86"/>
        <v>557.98189500000001</v>
      </c>
      <c r="P33" s="63"/>
      <c r="Q33" s="63">
        <f>+Q18+Q21+Q25</f>
        <v>1332.381895</v>
      </c>
      <c r="R33" s="63">
        <f t="shared" ref="R33:W33" si="87">+R18+R21+R25</f>
        <v>2790.4818949999999</v>
      </c>
      <c r="S33" s="63">
        <f t="shared" si="87"/>
        <v>2882.0818949999998</v>
      </c>
      <c r="T33" s="63">
        <f t="shared" si="87"/>
        <v>2707.9818950000003</v>
      </c>
      <c r="U33" s="63">
        <f t="shared" si="87"/>
        <v>2125.6818950000002</v>
      </c>
      <c r="V33" s="63">
        <f t="shared" si="87"/>
        <v>1749.5818950000003</v>
      </c>
      <c r="W33" s="63">
        <f t="shared" si="87"/>
        <v>1860.35862</v>
      </c>
      <c r="X33" s="63"/>
      <c r="Y33" s="63">
        <f>+Y18+Y21+Y25</f>
        <v>1291.0818950000003</v>
      </c>
      <c r="Z33" s="63">
        <f t="shared" ref="Z33:AE33" si="88">+Z18+Z21+Z25</f>
        <v>2234.2818950000001</v>
      </c>
      <c r="AA33" s="63">
        <f t="shared" si="88"/>
        <v>2444.0818949999998</v>
      </c>
      <c r="AB33" s="63">
        <f t="shared" si="88"/>
        <v>2545.1818949999997</v>
      </c>
      <c r="AC33" s="63">
        <f t="shared" si="88"/>
        <v>2176.2818950000001</v>
      </c>
      <c r="AD33" s="63">
        <f t="shared" si="88"/>
        <v>1862.5818950000003</v>
      </c>
      <c r="AE33" s="63">
        <f t="shared" si="88"/>
        <v>1926.381895</v>
      </c>
      <c r="AF33" s="63"/>
      <c r="AG33" s="63">
        <f>+AG18+AG21+AG25</f>
        <v>955.68189500000005</v>
      </c>
      <c r="AH33" s="63">
        <f t="shared" ref="AH33:AM33" si="89">+AH18+AH21+AH25</f>
        <v>1483.081895</v>
      </c>
      <c r="AI33" s="63">
        <f t="shared" si="89"/>
        <v>1250.081895</v>
      </c>
      <c r="AJ33" s="63">
        <f t="shared" si="89"/>
        <v>1254.4818950000001</v>
      </c>
      <c r="AK33" s="63">
        <f t="shared" si="89"/>
        <v>1003.581895</v>
      </c>
      <c r="AL33" s="63">
        <f t="shared" si="89"/>
        <v>891.28189499999996</v>
      </c>
      <c r="AM33" s="63">
        <f t="shared" si="89"/>
        <v>563.18189499999994</v>
      </c>
      <c r="AN33" s="63"/>
      <c r="AO33" s="83" t="s">
        <v>92</v>
      </c>
      <c r="AP33" s="3"/>
    </row>
    <row r="34" spans="1:42" ht="12.6" customHeight="1" x14ac:dyDescent="0.15">
      <c r="A34" s="82" t="s">
        <v>209</v>
      </c>
      <c r="B34" s="73"/>
      <c r="C34" s="53">
        <f>+C18-C21+C25</f>
        <v>1.6818949999999688</v>
      </c>
      <c r="D34" s="53">
        <f>+D18-D21+D25</f>
        <v>546.08189499999992</v>
      </c>
      <c r="E34" s="53">
        <f>+E18-E21+E25</f>
        <v>837.98189500000001</v>
      </c>
      <c r="F34" s="53">
        <f>+F18-F21+F25</f>
        <v>736.48189500000001</v>
      </c>
      <c r="G34" s="53">
        <f>+G18-G21+G25</f>
        <v>400.68189500000005</v>
      </c>
      <c r="H34" s="53"/>
      <c r="I34" s="53">
        <f t="shared" ref="I34:O34" si="90">+I18-I21+I25</f>
        <v>345.48189500000001</v>
      </c>
      <c r="J34" s="53">
        <f t="shared" si="90"/>
        <v>1225.7818950000001</v>
      </c>
      <c r="K34" s="53">
        <f t="shared" si="90"/>
        <v>1720.4818949999999</v>
      </c>
      <c r="L34" s="53">
        <f t="shared" si="90"/>
        <v>1822.881895</v>
      </c>
      <c r="M34" s="53">
        <f t="shared" si="90"/>
        <v>1680.7818950000001</v>
      </c>
      <c r="N34" s="53">
        <f t="shared" si="90"/>
        <v>1286.1818950000002</v>
      </c>
      <c r="O34" s="53">
        <f t="shared" si="90"/>
        <v>349.98189500000001</v>
      </c>
      <c r="P34" s="53"/>
      <c r="Q34" s="53">
        <f>+Q18-Q21+Q25</f>
        <v>774.58189500000003</v>
      </c>
      <c r="R34" s="53">
        <f t="shared" ref="R34:W34" si="91">+R18-R21+R25</f>
        <v>2223.0818950000003</v>
      </c>
      <c r="S34" s="53">
        <f t="shared" si="91"/>
        <v>2256.881895</v>
      </c>
      <c r="T34" s="53">
        <f t="shared" si="91"/>
        <v>1995.1818950000002</v>
      </c>
      <c r="U34" s="53">
        <f t="shared" si="91"/>
        <v>1359.881895</v>
      </c>
      <c r="V34" s="53">
        <f t="shared" si="91"/>
        <v>1058.381895</v>
      </c>
      <c r="W34" s="53">
        <f t="shared" si="91"/>
        <v>-136.84138000000007</v>
      </c>
      <c r="X34" s="53"/>
      <c r="Y34" s="53">
        <f>+Y18-Y21+Y25</f>
        <v>743.88189499999999</v>
      </c>
      <c r="Z34" s="53">
        <f t="shared" ref="Z34:AE34" si="92">+Z18-Z21+Z25</f>
        <v>1637.881895</v>
      </c>
      <c r="AA34" s="53">
        <f t="shared" si="92"/>
        <v>1790.6818949999999</v>
      </c>
      <c r="AB34" s="53">
        <f t="shared" si="92"/>
        <v>1818.7818949999998</v>
      </c>
      <c r="AC34" s="53">
        <f t="shared" si="92"/>
        <v>1414.6818950000002</v>
      </c>
      <c r="AD34" s="53">
        <f t="shared" si="92"/>
        <v>1173.381895</v>
      </c>
      <c r="AE34" s="53">
        <f t="shared" si="92"/>
        <v>-70.818105000000031</v>
      </c>
      <c r="AF34" s="53"/>
      <c r="AG34" s="53">
        <f>+AG18-AG21+AG25</f>
        <v>574.08189499999992</v>
      </c>
      <c r="AH34" s="53">
        <f t="shared" ref="AH34:AM34" si="93">+AH18-AH21+AH25</f>
        <v>1290.6818949999999</v>
      </c>
      <c r="AI34" s="53">
        <f t="shared" si="93"/>
        <v>1228.081895</v>
      </c>
      <c r="AJ34" s="53">
        <f t="shared" si="93"/>
        <v>1213.4818950000001</v>
      </c>
      <c r="AK34" s="53">
        <f t="shared" si="93"/>
        <v>905.38189499999999</v>
      </c>
      <c r="AL34" s="53">
        <f t="shared" si="93"/>
        <v>844.28189499999996</v>
      </c>
      <c r="AM34" s="53">
        <f t="shared" si="93"/>
        <v>358.98189500000001</v>
      </c>
      <c r="AN34" s="53"/>
      <c r="AO34" s="55" t="s">
        <v>93</v>
      </c>
      <c r="AP34" s="3"/>
    </row>
    <row r="35" spans="1:42" ht="12.6" customHeight="1" x14ac:dyDescent="0.15">
      <c r="A35" s="82" t="s">
        <v>94</v>
      </c>
      <c r="B35" s="73"/>
      <c r="C35" s="53">
        <f>+C26/C28</f>
        <v>1403.6818950000002</v>
      </c>
      <c r="D35" s="53">
        <f>+D26/D28</f>
        <v>1604.2818950000001</v>
      </c>
      <c r="E35" s="53">
        <f>+E26/E28</f>
        <v>842.98189500000001</v>
      </c>
      <c r="F35" s="53">
        <f>+F26/F28</f>
        <v>1028.4818950000001</v>
      </c>
      <c r="G35" s="53">
        <f>+G26/G28</f>
        <v>856.28189499999996</v>
      </c>
      <c r="H35" s="53"/>
      <c r="I35" s="53">
        <f t="shared" ref="I35:O35" si="94">+I26/I28</f>
        <v>694.48189500000001</v>
      </c>
      <c r="J35" s="53">
        <f t="shared" si="94"/>
        <v>2590.9818949999999</v>
      </c>
      <c r="K35" s="53">
        <f t="shared" si="94"/>
        <v>2764.2818950000001</v>
      </c>
      <c r="L35" s="53">
        <f t="shared" si="94"/>
        <v>1826.6818950000002</v>
      </c>
      <c r="M35" s="53">
        <f t="shared" si="94"/>
        <v>1688.9818949999999</v>
      </c>
      <c r="N35" s="53">
        <f t="shared" si="94"/>
        <v>1288.1818950000002</v>
      </c>
      <c r="O35" s="53">
        <f t="shared" si="94"/>
        <v>557.98189500000001</v>
      </c>
      <c r="P35" s="53"/>
      <c r="Q35" s="53">
        <f>+Q26/Q28</f>
        <v>1332.381895</v>
      </c>
      <c r="R35" s="53">
        <f t="shared" ref="R35:W35" si="95">+R26/R28</f>
        <v>2790.4818949999999</v>
      </c>
      <c r="S35" s="53">
        <f t="shared" si="95"/>
        <v>2882.0818949999998</v>
      </c>
      <c r="T35" s="53">
        <f t="shared" si="95"/>
        <v>2707.9818950000003</v>
      </c>
      <c r="U35" s="53">
        <f t="shared" si="95"/>
        <v>2125.6818950000002</v>
      </c>
      <c r="V35" s="53">
        <f t="shared" si="95"/>
        <v>1749.5818950000003</v>
      </c>
      <c r="W35" s="53">
        <f t="shared" si="95"/>
        <v>1860.35862</v>
      </c>
      <c r="X35" s="53"/>
      <c r="Y35" s="53">
        <f>+Y26/Y28</f>
        <v>1291.0818950000003</v>
      </c>
      <c r="Z35" s="53">
        <f t="shared" ref="Z35:AE35" si="96">+Z26/Z28</f>
        <v>2234.2818950000001</v>
      </c>
      <c r="AA35" s="53">
        <f t="shared" si="96"/>
        <v>2444.0818949999998</v>
      </c>
      <c r="AB35" s="53">
        <f t="shared" si="96"/>
        <v>2545.1818949999997</v>
      </c>
      <c r="AC35" s="53">
        <f t="shared" si="96"/>
        <v>2176.2818950000001</v>
      </c>
      <c r="AD35" s="53">
        <f t="shared" si="96"/>
        <v>1862.5818950000003</v>
      </c>
      <c r="AE35" s="53">
        <f t="shared" si="96"/>
        <v>1926.381895</v>
      </c>
      <c r="AF35" s="53"/>
      <c r="AG35" s="53">
        <f>+AG26/AG28</f>
        <v>955.68189500000005</v>
      </c>
      <c r="AH35" s="53">
        <f t="shared" ref="AH35:AM35" si="97">+AH26/AH28</f>
        <v>1483.081895</v>
      </c>
      <c r="AI35" s="53">
        <f t="shared" si="97"/>
        <v>1250.081895</v>
      </c>
      <c r="AJ35" s="53">
        <f t="shared" si="97"/>
        <v>1254.4818950000001</v>
      </c>
      <c r="AK35" s="53">
        <f t="shared" si="97"/>
        <v>1003.581895</v>
      </c>
      <c r="AL35" s="53">
        <f t="shared" si="97"/>
        <v>891.28189499999996</v>
      </c>
      <c r="AM35" s="53">
        <f t="shared" si="97"/>
        <v>563.18189499999994</v>
      </c>
      <c r="AN35" s="53"/>
      <c r="AO35" s="84">
        <f>MAX(B35:AN35)</f>
        <v>2882.0818949999998</v>
      </c>
      <c r="AP35" s="3"/>
    </row>
    <row r="36" spans="1:42" ht="12.6" customHeight="1" x14ac:dyDescent="0.15">
      <c r="A36" s="80" t="s">
        <v>95</v>
      </c>
      <c r="B36" s="85"/>
      <c r="C36" s="86">
        <f>+C34/C28</f>
        <v>1.6818949999999688</v>
      </c>
      <c r="D36" s="86">
        <f>+D34/D28</f>
        <v>546.08189499999992</v>
      </c>
      <c r="E36" s="86">
        <f>+E34/E28</f>
        <v>837.98189500000001</v>
      </c>
      <c r="F36" s="86">
        <f>+F34/F28</f>
        <v>736.48189500000001</v>
      </c>
      <c r="G36" s="86">
        <f>+G34/G28</f>
        <v>400.68189500000005</v>
      </c>
      <c r="H36" s="86"/>
      <c r="I36" s="86">
        <f t="shared" ref="I36:O36" si="98">+I34/I28</f>
        <v>345.48189500000001</v>
      </c>
      <c r="J36" s="86">
        <f t="shared" si="98"/>
        <v>1225.7818950000001</v>
      </c>
      <c r="K36" s="86">
        <f t="shared" si="98"/>
        <v>1720.4818949999999</v>
      </c>
      <c r="L36" s="86">
        <f t="shared" si="98"/>
        <v>1822.881895</v>
      </c>
      <c r="M36" s="86">
        <f t="shared" si="98"/>
        <v>1680.7818950000001</v>
      </c>
      <c r="N36" s="86">
        <f t="shared" si="98"/>
        <v>1286.1818950000002</v>
      </c>
      <c r="O36" s="86">
        <f t="shared" si="98"/>
        <v>349.98189500000001</v>
      </c>
      <c r="P36" s="86"/>
      <c r="Q36" s="86">
        <f>+Q34/Q28</f>
        <v>774.58189500000003</v>
      </c>
      <c r="R36" s="86">
        <f t="shared" ref="R36:W36" si="99">+R34/R28</f>
        <v>2223.0818950000003</v>
      </c>
      <c r="S36" s="86">
        <f t="shared" si="99"/>
        <v>2256.881895</v>
      </c>
      <c r="T36" s="86">
        <f t="shared" si="99"/>
        <v>1995.1818950000002</v>
      </c>
      <c r="U36" s="86">
        <f t="shared" si="99"/>
        <v>1359.881895</v>
      </c>
      <c r="V36" s="86">
        <f t="shared" si="99"/>
        <v>1058.381895</v>
      </c>
      <c r="W36" s="86">
        <f t="shared" si="99"/>
        <v>-136.84138000000007</v>
      </c>
      <c r="X36" s="86"/>
      <c r="Y36" s="86">
        <f>+Y34/Y28</f>
        <v>743.88189499999999</v>
      </c>
      <c r="Z36" s="86">
        <f t="shared" ref="Z36:AE36" si="100">+Z34/Z28</f>
        <v>1637.881895</v>
      </c>
      <c r="AA36" s="86">
        <f t="shared" si="100"/>
        <v>1790.6818949999999</v>
      </c>
      <c r="AB36" s="86">
        <f t="shared" si="100"/>
        <v>1818.7818949999998</v>
      </c>
      <c r="AC36" s="86">
        <f t="shared" si="100"/>
        <v>1414.6818950000002</v>
      </c>
      <c r="AD36" s="86">
        <f t="shared" si="100"/>
        <v>1173.381895</v>
      </c>
      <c r="AE36" s="86">
        <f t="shared" si="100"/>
        <v>-70.818105000000031</v>
      </c>
      <c r="AF36" s="86"/>
      <c r="AG36" s="86">
        <f>+AG34/AG28</f>
        <v>574.08189499999992</v>
      </c>
      <c r="AH36" s="86">
        <f t="shared" ref="AH36:AM36" si="101">+AH34/AH28</f>
        <v>1290.6818949999999</v>
      </c>
      <c r="AI36" s="86">
        <f t="shared" si="101"/>
        <v>1228.081895</v>
      </c>
      <c r="AJ36" s="86">
        <f t="shared" si="101"/>
        <v>1213.4818950000001</v>
      </c>
      <c r="AK36" s="86">
        <f t="shared" si="101"/>
        <v>905.38189499999999</v>
      </c>
      <c r="AL36" s="86">
        <f t="shared" si="101"/>
        <v>844.28189499999996</v>
      </c>
      <c r="AM36" s="86">
        <f t="shared" si="101"/>
        <v>358.98189500000001</v>
      </c>
      <c r="AN36" s="86"/>
      <c r="AO36" s="87">
        <f>MIN(B36:AN36)</f>
        <v>-136.84138000000007</v>
      </c>
      <c r="AP36" s="3"/>
    </row>
    <row r="37" spans="1:42" ht="12.6" customHeight="1" x14ac:dyDescent="0.15">
      <c r="A37" s="19" t="s">
        <v>282</v>
      </c>
      <c r="B37" s="3" t="s">
        <v>261</v>
      </c>
      <c r="F37" s="19" t="s">
        <v>210</v>
      </c>
      <c r="G37" s="3" t="s">
        <v>262</v>
      </c>
      <c r="J37" s="19" t="s">
        <v>96</v>
      </c>
      <c r="K37" s="3" t="s">
        <v>263</v>
      </c>
      <c r="M37" s="5"/>
      <c r="N37" s="5"/>
      <c r="O37" s="88" t="s">
        <v>211</v>
      </c>
      <c r="P37" s="89" t="s">
        <v>264</v>
      </c>
      <c r="Q37" s="9"/>
    </row>
    <row r="38" spans="1:42" ht="12.6" customHeight="1" x14ac:dyDescent="0.15">
      <c r="A38" s="19" t="s">
        <v>265</v>
      </c>
      <c r="B38" s="3" t="s">
        <v>266</v>
      </c>
      <c r="F38" s="19" t="s">
        <v>212</v>
      </c>
      <c r="G38" s="3" t="s">
        <v>267</v>
      </c>
      <c r="J38" s="19" t="s">
        <v>97</v>
      </c>
      <c r="K38" s="3" t="s">
        <v>268</v>
      </c>
      <c r="O38" s="88" t="s">
        <v>213</v>
      </c>
      <c r="P38" s="89" t="s">
        <v>269</v>
      </c>
    </row>
    <row r="39" spans="1:42" ht="12.6" customHeight="1" x14ac:dyDescent="0.15">
      <c r="A39" s="19" t="s">
        <v>270</v>
      </c>
      <c r="B39" s="3" t="s">
        <v>271</v>
      </c>
      <c r="F39" s="19"/>
      <c r="J39" s="90" t="s">
        <v>98</v>
      </c>
      <c r="K39" s="3" t="s">
        <v>272</v>
      </c>
      <c r="N39" s="19"/>
    </row>
  </sheetData>
  <phoneticPr fontId="2"/>
  <pageMargins left="0.98425196850393704" right="0.39370078740157483" top="0.98425196850393704" bottom="0.78740157480314965" header="0.51181102362204722" footer="0.51181102362204722"/>
  <pageSetup paperSize="8" orientation="landscape" horizontalDpi="400" verticalDpi="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W97"/>
  <sheetViews>
    <sheetView topLeftCell="A10" workbookViewId="0">
      <selection activeCell="G25" sqref="G25"/>
    </sheetView>
  </sheetViews>
  <sheetFormatPr defaultRowHeight="12" x14ac:dyDescent="0.15"/>
  <cols>
    <col min="1" max="18" width="7.625" style="3" customWidth="1"/>
    <col min="19" max="16384" width="9" style="3"/>
  </cols>
  <sheetData>
    <row r="1" spans="1:23" x14ac:dyDescent="0.15">
      <c r="A1" s="3" t="s">
        <v>283</v>
      </c>
    </row>
    <row r="2" spans="1:23" ht="6" customHeight="1" x14ac:dyDescent="0.15"/>
    <row r="3" spans="1:23" x14ac:dyDescent="0.15">
      <c r="A3" s="3" t="s">
        <v>284</v>
      </c>
    </row>
    <row r="4" spans="1:23" ht="6" customHeight="1" x14ac:dyDescent="0.15"/>
    <row r="5" spans="1:23" x14ac:dyDescent="0.15">
      <c r="A5" s="4" t="s">
        <v>217</v>
      </c>
      <c r="B5" s="4" t="s">
        <v>99</v>
      </c>
      <c r="C5" s="4" t="s">
        <v>100</v>
      </c>
      <c r="D5" s="4" t="s">
        <v>101</v>
      </c>
      <c r="E5" s="4" t="s">
        <v>102</v>
      </c>
      <c r="F5" s="4" t="s">
        <v>103</v>
      </c>
      <c r="G5" s="4" t="s">
        <v>104</v>
      </c>
      <c r="H5" s="4" t="s">
        <v>105</v>
      </c>
      <c r="I5" s="4" t="s">
        <v>106</v>
      </c>
      <c r="J5" s="4" t="s">
        <v>107</v>
      </c>
      <c r="K5" s="4" t="s">
        <v>108</v>
      </c>
      <c r="L5" s="4" t="s">
        <v>109</v>
      </c>
      <c r="M5" s="4" t="s">
        <v>110</v>
      </c>
      <c r="N5" s="4" t="s">
        <v>111</v>
      </c>
    </row>
    <row r="6" spans="1:23" x14ac:dyDescent="0.15">
      <c r="A6" s="91" t="s">
        <v>627</v>
      </c>
      <c r="B6" s="92">
        <v>1619</v>
      </c>
      <c r="C6" s="92">
        <v>0</v>
      </c>
      <c r="D6" s="93">
        <v>31545.7</v>
      </c>
      <c r="E6" s="18">
        <v>0.8</v>
      </c>
      <c r="F6" s="18">
        <v>0.2</v>
      </c>
      <c r="G6" s="22">
        <f>+F6*E6*D6</f>
        <v>5047.3120000000008</v>
      </c>
      <c r="H6" s="92">
        <f>44433+8039.5</f>
        <v>52472.5</v>
      </c>
      <c r="I6" s="18">
        <v>1.2</v>
      </c>
      <c r="J6" s="34">
        <f>0.1*(1-I6/40)*E6</f>
        <v>7.7600000000000002E-2</v>
      </c>
      <c r="K6" s="20">
        <f>H6*J6</f>
        <v>4071.866</v>
      </c>
      <c r="L6" s="20">
        <f>G6+K6</f>
        <v>9119.1779999999999</v>
      </c>
      <c r="M6" s="18">
        <v>60</v>
      </c>
      <c r="N6" s="20">
        <f>L6/M6</f>
        <v>151.9863</v>
      </c>
    </row>
    <row r="7" spans="1:23" x14ac:dyDescent="0.15">
      <c r="A7" s="91" t="s">
        <v>628</v>
      </c>
      <c r="B7" s="92">
        <v>1619</v>
      </c>
      <c r="C7" s="92">
        <v>0</v>
      </c>
      <c r="D7" s="93">
        <v>31545.7</v>
      </c>
      <c r="E7" s="18">
        <v>0.8</v>
      </c>
      <c r="F7" s="18">
        <v>0.2</v>
      </c>
      <c r="G7" s="22">
        <f>+F7*E7*D7</f>
        <v>5047.3120000000008</v>
      </c>
      <c r="H7" s="92">
        <f>44433+8039.5</f>
        <v>52472.5</v>
      </c>
      <c r="I7" s="18">
        <v>1.2</v>
      </c>
      <c r="J7" s="34">
        <f>0.1*(1-I7/40)*E7</f>
        <v>7.7600000000000002E-2</v>
      </c>
      <c r="K7" s="20">
        <f>H7*J7</f>
        <v>4071.866</v>
      </c>
      <c r="L7" s="20">
        <f>G7+K7</f>
        <v>9119.1779999999999</v>
      </c>
      <c r="M7" s="18">
        <v>60</v>
      </c>
      <c r="N7" s="20">
        <f>L7/M7</f>
        <v>151.9863</v>
      </c>
      <c r="U7" s="25"/>
    </row>
    <row r="8" spans="1:23" x14ac:dyDescent="0.15">
      <c r="A8" s="91" t="s">
        <v>629</v>
      </c>
      <c r="B8" s="92">
        <v>1619</v>
      </c>
      <c r="C8" s="92">
        <v>0</v>
      </c>
      <c r="D8" s="93">
        <v>31545.7</v>
      </c>
      <c r="E8" s="18">
        <v>0.8</v>
      </c>
      <c r="F8" s="18">
        <v>0.2</v>
      </c>
      <c r="G8" s="22">
        <f>+F8*E8*D8</f>
        <v>5047.3120000000008</v>
      </c>
      <c r="H8" s="92">
        <f>44433+8039.5</f>
        <v>52472.5</v>
      </c>
      <c r="I8" s="18">
        <v>2.2000000000000002</v>
      </c>
      <c r="J8" s="34">
        <f>0.1*(1-I8/40)*E8</f>
        <v>7.5600000000000001E-2</v>
      </c>
      <c r="K8" s="20">
        <f>H8*J8</f>
        <v>3966.9209999999998</v>
      </c>
      <c r="L8" s="20">
        <f>G8+K8</f>
        <v>9014.2330000000002</v>
      </c>
      <c r="M8" s="18">
        <v>61</v>
      </c>
      <c r="N8" s="20">
        <f>L8/M8</f>
        <v>147.77431147540983</v>
      </c>
      <c r="U8" s="4"/>
    </row>
    <row r="9" spans="1:23" ht="6" customHeight="1" x14ac:dyDescent="0.15"/>
    <row r="10" spans="1:23" x14ac:dyDescent="0.15">
      <c r="A10" s="19" t="s">
        <v>285</v>
      </c>
      <c r="B10" s="3" t="s">
        <v>286</v>
      </c>
      <c r="F10" s="3" t="s">
        <v>112</v>
      </c>
      <c r="G10" s="4" t="s">
        <v>113</v>
      </c>
      <c r="H10" s="3" t="s">
        <v>287</v>
      </c>
      <c r="J10" s="19"/>
      <c r="K10" s="3" t="s">
        <v>114</v>
      </c>
      <c r="L10" s="19" t="s">
        <v>23</v>
      </c>
      <c r="M10" s="3" t="s">
        <v>288</v>
      </c>
      <c r="P10" s="3" t="s">
        <v>112</v>
      </c>
    </row>
    <row r="11" spans="1:23" x14ac:dyDescent="0.15">
      <c r="A11" s="19" t="s">
        <v>115</v>
      </c>
      <c r="B11" s="3" t="s">
        <v>289</v>
      </c>
      <c r="F11" s="3" t="s">
        <v>112</v>
      </c>
      <c r="G11" s="19" t="s">
        <v>116</v>
      </c>
      <c r="H11" s="3" t="s">
        <v>290</v>
      </c>
      <c r="J11" s="3" t="s">
        <v>24</v>
      </c>
      <c r="M11" s="3" t="s">
        <v>25</v>
      </c>
      <c r="W11" s="25"/>
    </row>
    <row r="12" spans="1:23" x14ac:dyDescent="0.15">
      <c r="A12" s="19" t="s">
        <v>117</v>
      </c>
      <c r="B12" s="3" t="s">
        <v>291</v>
      </c>
      <c r="G12" s="19" t="s">
        <v>118</v>
      </c>
      <c r="H12" s="3" t="s">
        <v>292</v>
      </c>
      <c r="L12" s="19" t="s">
        <v>26</v>
      </c>
      <c r="M12" s="3" t="s">
        <v>293</v>
      </c>
      <c r="O12" s="3" t="s">
        <v>294</v>
      </c>
      <c r="W12" s="25"/>
    </row>
    <row r="13" spans="1:23" x14ac:dyDescent="0.15">
      <c r="A13" s="19" t="s">
        <v>119</v>
      </c>
      <c r="B13" s="3" t="s">
        <v>295</v>
      </c>
      <c r="G13" s="19"/>
      <c r="H13" s="3" t="s">
        <v>27</v>
      </c>
      <c r="L13" s="4" t="s">
        <v>28</v>
      </c>
      <c r="M13" s="3" t="s">
        <v>296</v>
      </c>
      <c r="Q13" s="3" t="s">
        <v>112</v>
      </c>
      <c r="R13" s="4"/>
      <c r="S13" s="4"/>
    </row>
    <row r="14" spans="1:23" x14ac:dyDescent="0.15">
      <c r="A14" s="19" t="s">
        <v>120</v>
      </c>
      <c r="B14" s="3" t="s">
        <v>297</v>
      </c>
      <c r="G14" s="19" t="s">
        <v>121</v>
      </c>
      <c r="H14" s="3" t="s">
        <v>298</v>
      </c>
      <c r="K14" s="3" t="s">
        <v>122</v>
      </c>
    </row>
    <row r="15" spans="1:23" x14ac:dyDescent="0.15">
      <c r="A15" s="19" t="s">
        <v>123</v>
      </c>
      <c r="B15" s="3" t="s">
        <v>299</v>
      </c>
      <c r="E15" s="3" t="s">
        <v>122</v>
      </c>
      <c r="H15" s="3" t="s">
        <v>124</v>
      </c>
    </row>
    <row r="16" spans="1:23" x14ac:dyDescent="0.15">
      <c r="B16" s="3" t="s">
        <v>125</v>
      </c>
      <c r="E16" s="3" t="s">
        <v>122</v>
      </c>
    </row>
    <row r="17" spans="1:17" ht="6" customHeight="1" x14ac:dyDescent="0.15"/>
    <row r="18" spans="1:17" x14ac:dyDescent="0.15">
      <c r="A18" s="3" t="s">
        <v>300</v>
      </c>
    </row>
    <row r="19" spans="1:17" ht="6" customHeight="1" x14ac:dyDescent="0.15"/>
    <row r="20" spans="1:17" x14ac:dyDescent="0.15">
      <c r="B20" s="25" t="s">
        <v>301</v>
      </c>
    </row>
    <row r="21" spans="1:17" x14ac:dyDescent="0.15">
      <c r="B21" s="10" t="s">
        <v>302</v>
      </c>
    </row>
    <row r="22" spans="1:17" x14ac:dyDescent="0.15">
      <c r="B22" s="3" t="s">
        <v>303</v>
      </c>
    </row>
    <row r="23" spans="1:17" ht="6" customHeight="1" x14ac:dyDescent="0.15"/>
    <row r="24" spans="1:17" x14ac:dyDescent="0.15">
      <c r="A24" s="4" t="s">
        <v>217</v>
      </c>
      <c r="B24" s="4" t="s">
        <v>8</v>
      </c>
      <c r="C24" s="4" t="s">
        <v>4</v>
      </c>
      <c r="D24" s="4" t="s">
        <v>12</v>
      </c>
      <c r="E24" s="4" t="s">
        <v>6</v>
      </c>
      <c r="F24" s="4" t="s">
        <v>126</v>
      </c>
      <c r="G24" s="4" t="s">
        <v>9</v>
      </c>
      <c r="H24" s="4" t="s">
        <v>22</v>
      </c>
      <c r="I24" s="4" t="s">
        <v>10</v>
      </c>
      <c r="J24" s="4" t="s">
        <v>11</v>
      </c>
      <c r="K24" s="4" t="s">
        <v>13</v>
      </c>
      <c r="L24" s="4" t="s">
        <v>14</v>
      </c>
      <c r="M24" s="4" t="s">
        <v>17</v>
      </c>
      <c r="N24" s="4" t="s">
        <v>15</v>
      </c>
      <c r="O24" s="4" t="s">
        <v>16</v>
      </c>
      <c r="P24" s="4" t="s">
        <v>18</v>
      </c>
      <c r="Q24" s="4" t="s">
        <v>19</v>
      </c>
    </row>
    <row r="25" spans="1:17" x14ac:dyDescent="0.15">
      <c r="A25" s="91" t="str">
        <f>A6</f>
        <v>PHC60A</v>
      </c>
      <c r="B25" s="4">
        <v>600</v>
      </c>
      <c r="C25" s="4">
        <v>11</v>
      </c>
      <c r="D25" s="94">
        <f>400000*9.80665/100</f>
        <v>39226.6</v>
      </c>
      <c r="E25" s="19" t="e">
        <f ca="1">[1]!Pile(A25, 22)*10000</f>
        <v>#NAME?</v>
      </c>
      <c r="F25" s="18">
        <v>1</v>
      </c>
      <c r="G25" s="18">
        <v>5</v>
      </c>
      <c r="H25" s="20">
        <f>N6</f>
        <v>151.9863</v>
      </c>
      <c r="I25" s="21">
        <f>+G25*7*9.80665/100</f>
        <v>3.4323274999999995</v>
      </c>
      <c r="J25" s="34" t="e">
        <f ca="1">[1]!PileKh(B25/10, I25*100/9.80665)*9.80665/1000</f>
        <v>#NAME?</v>
      </c>
      <c r="K25" s="95" t="e">
        <f ca="1">[1]!PileBeta(B25/10, J25*1000/9.80665, D25*100/9.80665)*10</f>
        <v>#NAME?</v>
      </c>
      <c r="L25" s="4" t="e">
        <f ca="1">IF(30&gt;C25*1000*K25,"短い杭","長い杭")</f>
        <v>#NAME?</v>
      </c>
      <c r="M25" s="28" t="e">
        <f ca="1">[1]!Chang1(E25/10000, K25/10, D25*100/9.80665, H25/9.80665, F25,0 )*10</f>
        <v>#NAME?</v>
      </c>
      <c r="N25" s="20" t="e">
        <f ca="1">[1]!Chang1(E25*100/9.80665, K25/10, D25/10000, H25/9.80665, 3, F25, )*9.80665</f>
        <v>#NAME?</v>
      </c>
      <c r="O25" s="20" t="e">
        <f ca="1">[1]!Chang1(E25/10000, K25/10, D25*100/9.80665, H25/9.80665, 4, F25, )*9.80665</f>
        <v>#NAME?</v>
      </c>
      <c r="P25" s="21" t="e">
        <f ca="1">[1]!Chang1(E25/10000, K25/10, D25*100/9.80665, H25/9.80665, 5, F25, )</f>
        <v>#NAME?</v>
      </c>
      <c r="Q25" s="21" t="e">
        <f ca="1">[1]!Chang1(E25/10000, K25/10, D25*100/9.80665, H25/9.80665, 6, F25, )</f>
        <v>#NAME?</v>
      </c>
    </row>
    <row r="26" spans="1:17" x14ac:dyDescent="0.15">
      <c r="A26" s="91" t="str">
        <f>A7</f>
        <v>PHC60B</v>
      </c>
      <c r="B26" s="4">
        <v>600</v>
      </c>
      <c r="C26" s="4">
        <v>11</v>
      </c>
      <c r="D26" s="94">
        <f>400000*9.80665/100</f>
        <v>39226.6</v>
      </c>
      <c r="E26" s="19" t="e">
        <f ca="1">[1]!Pile(A26, 22)*10000</f>
        <v>#NAME?</v>
      </c>
      <c r="F26" s="18">
        <v>1</v>
      </c>
      <c r="G26" s="18">
        <v>5</v>
      </c>
      <c r="H26" s="20">
        <f>N7</f>
        <v>151.9863</v>
      </c>
      <c r="I26" s="21">
        <f>+G26*7*9.80665/100</f>
        <v>3.4323274999999995</v>
      </c>
      <c r="J26" s="34" t="e">
        <f ca="1">[1]!PileKh(B26/10, I26*100/9.80665)*9.80665/1000</f>
        <v>#NAME?</v>
      </c>
      <c r="K26" s="95" t="e">
        <f ca="1">[1]!PileBeta(B26/10, J26*1000/9.80665, D26*100/9.80665)*10</f>
        <v>#NAME?</v>
      </c>
      <c r="L26" s="4" t="e">
        <f ca="1">IF(30&gt;C26*1000*K26,"短い杭","長い杭")</f>
        <v>#NAME?</v>
      </c>
      <c r="M26" s="28" t="e">
        <f ca="1">[1]!Chang1(E26/10000, K26/10, D26*100/9.80665, H26/9.80665, F26,0 )*10</f>
        <v>#NAME?</v>
      </c>
      <c r="N26" s="20" t="e">
        <f ca="1">[1]!Chang1(E26*100/9.80665, K26/10, D26/10000, H26/9.80665, 3, F26, )*9.80665</f>
        <v>#NAME?</v>
      </c>
      <c r="O26" s="20" t="e">
        <f ca="1">[1]!Chang1(E26/10000, K26/10, D26*100/9.80665, H26/9.80665, 4, F26, )*9.80665</f>
        <v>#NAME?</v>
      </c>
      <c r="P26" s="21" t="e">
        <f ca="1">[1]!Chang1(E26/10000, K26/10, D26*100/9.80665, H26/9.80665, 5, F26, )</f>
        <v>#NAME?</v>
      </c>
      <c r="Q26" s="21" t="e">
        <f ca="1">[1]!Chang1(E26/10000, K26/10, D26*100/9.80665, H26/9.80665, 6, F26, )</f>
        <v>#NAME?</v>
      </c>
    </row>
    <row r="27" spans="1:17" x14ac:dyDescent="0.15">
      <c r="A27" s="91" t="str">
        <f>A8</f>
        <v>PHC60C</v>
      </c>
      <c r="B27" s="4">
        <v>600</v>
      </c>
      <c r="C27" s="4">
        <v>11</v>
      </c>
      <c r="D27" s="94">
        <f>400000*9.80665/100</f>
        <v>39226.6</v>
      </c>
      <c r="E27" s="19" t="e">
        <f ca="1">[1]!Pile(A27, 22)*10000</f>
        <v>#NAME?</v>
      </c>
      <c r="F27" s="18">
        <v>1</v>
      </c>
      <c r="G27" s="18">
        <v>5</v>
      </c>
      <c r="H27" s="20">
        <f>N8</f>
        <v>147.77431147540983</v>
      </c>
      <c r="I27" s="21">
        <f>+G27*7*9.80665/100</f>
        <v>3.4323274999999995</v>
      </c>
      <c r="J27" s="34" t="e">
        <f ca="1">[1]!PileKh(B27/10, I27*100/9.80665)*9.80665/1000</f>
        <v>#NAME?</v>
      </c>
      <c r="K27" s="95" t="e">
        <f ca="1">[1]!PileBeta(B27/10, J27*1000/9.80665, D27*100/9.80665)*10</f>
        <v>#NAME?</v>
      </c>
      <c r="L27" s="4" t="e">
        <f ca="1">IF(30&gt;C27*1000*K27,"短い杭","長い杭")</f>
        <v>#NAME?</v>
      </c>
      <c r="M27" s="28" t="e">
        <f ca="1">[1]!Chang1(E27/10000, K27/10, D27*100/9.80665, H27/9.80665, F27,0 )*10</f>
        <v>#NAME?</v>
      </c>
      <c r="N27" s="20" t="e">
        <f ca="1">[1]!Chang1(E27*100/9.80665, K27/10, D27/10000, H27/9.80665, 3, F27, )*9.80665</f>
        <v>#NAME?</v>
      </c>
      <c r="O27" s="20" t="e">
        <f ca="1">[1]!Chang1(E27/10000, K27/10, D27*100/9.80665, H27/9.80665, 4, F27, )*9.80665</f>
        <v>#NAME?</v>
      </c>
      <c r="P27" s="21" t="e">
        <f ca="1">[1]!Chang1(E27/10000, K27/10, D27*100/9.80665, H27/9.80665, 5, F27, )</f>
        <v>#NAME?</v>
      </c>
      <c r="Q27" s="21" t="e">
        <f ca="1">[1]!Chang1(E27/10000, K27/10, D27*100/9.80665, H27/9.80665, 6, F27, )</f>
        <v>#NAME?</v>
      </c>
    </row>
    <row r="28" spans="1:17" ht="6" customHeight="1" x14ac:dyDescent="0.15"/>
    <row r="29" spans="1:17" x14ac:dyDescent="0.15">
      <c r="A29" s="19" t="s">
        <v>127</v>
      </c>
      <c r="B29" s="3" t="s">
        <v>304</v>
      </c>
      <c r="C29" s="3" t="s">
        <v>128</v>
      </c>
      <c r="J29" s="19" t="s">
        <v>129</v>
      </c>
      <c r="K29" s="25" t="s">
        <v>305</v>
      </c>
      <c r="L29" s="25"/>
      <c r="N29" s="3" t="s">
        <v>130</v>
      </c>
      <c r="O29" s="25" t="s">
        <v>131</v>
      </c>
    </row>
    <row r="30" spans="1:17" x14ac:dyDescent="0.15">
      <c r="A30" s="19" t="s">
        <v>132</v>
      </c>
      <c r="B30" s="3" t="s">
        <v>236</v>
      </c>
      <c r="C30" s="3" t="s">
        <v>133</v>
      </c>
    </row>
    <row r="31" spans="1:17" ht="14.25" x14ac:dyDescent="0.15">
      <c r="A31" s="19" t="s">
        <v>134</v>
      </c>
      <c r="B31" s="3" t="s">
        <v>306</v>
      </c>
      <c r="E31" s="25" t="s">
        <v>335</v>
      </c>
      <c r="F31" s="3" t="s">
        <v>339</v>
      </c>
      <c r="J31" s="19" t="s">
        <v>135</v>
      </c>
      <c r="K31" s="3" t="s">
        <v>307</v>
      </c>
    </row>
    <row r="32" spans="1:17" ht="14.25" x14ac:dyDescent="0.15">
      <c r="A32" s="19" t="s">
        <v>136</v>
      </c>
      <c r="B32" s="25" t="s">
        <v>225</v>
      </c>
      <c r="E32" s="4" t="s">
        <v>333</v>
      </c>
      <c r="K32" s="3" t="s">
        <v>308</v>
      </c>
      <c r="N32" s="3" t="s">
        <v>309</v>
      </c>
      <c r="Q32" s="3" t="s">
        <v>137</v>
      </c>
    </row>
    <row r="33" spans="1:17" x14ac:dyDescent="0.15">
      <c r="A33" s="19" t="s">
        <v>138</v>
      </c>
      <c r="B33" s="3" t="s">
        <v>310</v>
      </c>
      <c r="J33" s="19" t="s">
        <v>139</v>
      </c>
      <c r="K33" s="3" t="s">
        <v>311</v>
      </c>
      <c r="N33" s="3" t="s">
        <v>128</v>
      </c>
      <c r="O33" s="3" t="s">
        <v>140</v>
      </c>
    </row>
    <row r="34" spans="1:17" x14ac:dyDescent="0.15">
      <c r="A34" s="19" t="s">
        <v>141</v>
      </c>
      <c r="B34" s="3" t="s">
        <v>312</v>
      </c>
      <c r="J34" s="19" t="s">
        <v>142</v>
      </c>
      <c r="K34" s="3" t="s">
        <v>313</v>
      </c>
      <c r="N34" s="3" t="s">
        <v>143</v>
      </c>
      <c r="O34" s="3" t="s">
        <v>144</v>
      </c>
    </row>
    <row r="35" spans="1:17" x14ac:dyDescent="0.15">
      <c r="A35" s="19" t="s">
        <v>145</v>
      </c>
      <c r="B35" s="3" t="s">
        <v>314</v>
      </c>
      <c r="C35" s="3" t="s">
        <v>146</v>
      </c>
      <c r="J35" s="19" t="s">
        <v>147</v>
      </c>
      <c r="K35" s="3" t="s">
        <v>315</v>
      </c>
      <c r="N35" s="3" t="s">
        <v>148</v>
      </c>
      <c r="O35" s="3" t="s">
        <v>149</v>
      </c>
    </row>
    <row r="36" spans="1:17" ht="14.25" x14ac:dyDescent="0.15">
      <c r="A36" s="19" t="s">
        <v>150</v>
      </c>
      <c r="B36" s="204" t="s">
        <v>338</v>
      </c>
      <c r="C36" s="205"/>
      <c r="D36" s="205"/>
      <c r="E36" s="25" t="s">
        <v>335</v>
      </c>
      <c r="G36" s="25" t="s">
        <v>151</v>
      </c>
      <c r="J36" s="19" t="s">
        <v>152</v>
      </c>
      <c r="K36" s="3" t="s">
        <v>316</v>
      </c>
      <c r="N36" s="3" t="s">
        <v>153</v>
      </c>
      <c r="O36" s="3" t="s">
        <v>154</v>
      </c>
    </row>
    <row r="37" spans="1:17" ht="14.25" x14ac:dyDescent="0.15">
      <c r="A37" s="19" t="s">
        <v>155</v>
      </c>
      <c r="B37" s="3" t="s">
        <v>340</v>
      </c>
      <c r="E37" s="25" t="s">
        <v>341</v>
      </c>
      <c r="F37" s="25" t="s">
        <v>156</v>
      </c>
      <c r="J37" s="19" t="s">
        <v>157</v>
      </c>
      <c r="K37" s="3" t="s">
        <v>317</v>
      </c>
      <c r="N37" s="3" t="s">
        <v>158</v>
      </c>
      <c r="O37" s="3" t="s">
        <v>159</v>
      </c>
    </row>
    <row r="38" spans="1:17" ht="6" customHeight="1" x14ac:dyDescent="0.15"/>
    <row r="39" spans="1:17" x14ac:dyDescent="0.15">
      <c r="A39" s="3" t="s">
        <v>318</v>
      </c>
    </row>
    <row r="40" spans="1:17" ht="6" customHeight="1" x14ac:dyDescent="0.15"/>
    <row r="41" spans="1:17" x14ac:dyDescent="0.15">
      <c r="A41" s="5"/>
      <c r="B41" s="5" t="s">
        <v>319</v>
      </c>
      <c r="E41" s="5"/>
      <c r="F41" s="5"/>
      <c r="G41" s="5"/>
      <c r="H41" s="5"/>
      <c r="I41" s="5" t="s">
        <v>320</v>
      </c>
      <c r="J41" s="5"/>
      <c r="K41" s="5"/>
      <c r="L41" s="5"/>
      <c r="M41" s="5"/>
      <c r="N41" s="5"/>
      <c r="O41" s="5"/>
      <c r="Q41" s="5"/>
    </row>
    <row r="42" spans="1:17" x14ac:dyDescent="0.15">
      <c r="A42" s="5"/>
      <c r="B42" s="6" t="s">
        <v>160</v>
      </c>
      <c r="C42" s="6" t="s">
        <v>161</v>
      </c>
      <c r="D42" s="6" t="s">
        <v>162</v>
      </c>
      <c r="E42" s="6" t="s">
        <v>258</v>
      </c>
      <c r="F42" s="6" t="s">
        <v>20</v>
      </c>
      <c r="G42" s="6" t="s">
        <v>21</v>
      </c>
      <c r="H42" s="6" t="s">
        <v>258</v>
      </c>
      <c r="I42" s="6" t="s">
        <v>163</v>
      </c>
      <c r="J42" s="6" t="s">
        <v>29</v>
      </c>
      <c r="K42" s="6" t="s">
        <v>30</v>
      </c>
      <c r="L42" s="6" t="s">
        <v>258</v>
      </c>
      <c r="M42" s="6" t="s">
        <v>20</v>
      </c>
      <c r="N42" s="6" t="s">
        <v>21</v>
      </c>
      <c r="O42" s="6" t="s">
        <v>258</v>
      </c>
      <c r="Q42" s="5"/>
    </row>
    <row r="43" spans="1:17" x14ac:dyDescent="0.15">
      <c r="A43" s="1" t="str">
        <f>+A25</f>
        <v>PHC60A</v>
      </c>
      <c r="B43" s="79">
        <f>B6</f>
        <v>1619</v>
      </c>
      <c r="C43" s="79" t="e">
        <f ca="1">N25</f>
        <v>#NAME?</v>
      </c>
      <c r="D43" s="79" t="e">
        <f ca="1">[1]!PilePcMa(A43, B43/9.80665, 2)*9.80665</f>
        <v>#NAME?</v>
      </c>
      <c r="E43" s="79" t="e">
        <f ca="1">IF(C43&lt;D43,"OK","NG")</f>
        <v>#NAME?</v>
      </c>
      <c r="F43" s="79">
        <f>N6</f>
        <v>151.9863</v>
      </c>
      <c r="G43" s="79" t="e">
        <f ca="1">[1]!PilePcQa(A43, B43/9.80665,2)*9.80665</f>
        <v>#NAME?</v>
      </c>
      <c r="H43" s="79" t="e">
        <f ca="1">IF(F43&lt;G43,"OK","NG")</f>
        <v>#NAME?</v>
      </c>
      <c r="I43" s="79">
        <f>C6</f>
        <v>0</v>
      </c>
      <c r="J43" s="79" t="e">
        <f ca="1">N25</f>
        <v>#NAME?</v>
      </c>
      <c r="K43" s="79" t="e">
        <f ca="1">[1]!PilePcMa(A43, I43/9.80665, 2)*9.80665</f>
        <v>#NAME?</v>
      </c>
      <c r="L43" s="79" t="e">
        <f ca="1">IF(J43&lt;K43,"OK","NG")</f>
        <v>#NAME?</v>
      </c>
      <c r="M43" s="79">
        <f>H25</f>
        <v>151.9863</v>
      </c>
      <c r="N43" s="79" t="e">
        <f ca="1">[1]!PilePcQa(A43, I43/9.80665,2)*9.80665</f>
        <v>#NAME?</v>
      </c>
      <c r="O43" s="30" t="e">
        <f ca="1">IF(M43&lt;N43,"OK","NG")</f>
        <v>#NAME?</v>
      </c>
      <c r="Q43" s="5"/>
    </row>
    <row r="44" spans="1:17" x14ac:dyDescent="0.15">
      <c r="A44" s="1" t="str">
        <f>+A26</f>
        <v>PHC60B</v>
      </c>
      <c r="B44" s="79">
        <f>B7</f>
        <v>1619</v>
      </c>
      <c r="C44" s="79" t="e">
        <f ca="1">N26</f>
        <v>#NAME?</v>
      </c>
      <c r="D44" s="79" t="e">
        <f ca="1">[1]!PilePcMa(A44, B44/9.80665, 2)*9.80665</f>
        <v>#NAME?</v>
      </c>
      <c r="E44" s="79" t="e">
        <f ca="1">IF(C44&lt;D44,"OK","NG")</f>
        <v>#NAME?</v>
      </c>
      <c r="F44" s="79">
        <f>N7</f>
        <v>151.9863</v>
      </c>
      <c r="G44" s="79" t="e">
        <f ca="1">[1]!PilePcQa(A44, B44/9.80665,2)*9.80665</f>
        <v>#NAME?</v>
      </c>
      <c r="H44" s="79" t="e">
        <f ca="1">IF(F44&lt;G44,"OK","NG")</f>
        <v>#NAME?</v>
      </c>
      <c r="I44" s="79">
        <f>C7</f>
        <v>0</v>
      </c>
      <c r="J44" s="79" t="e">
        <f ca="1">N26</f>
        <v>#NAME?</v>
      </c>
      <c r="K44" s="79" t="e">
        <f ca="1">[1]!PilePcMa(A44, I44/9.80665, 2)*9.80665</f>
        <v>#NAME?</v>
      </c>
      <c r="L44" s="79" t="e">
        <f ca="1">IF(J44&lt;K44,"OK","NG")</f>
        <v>#NAME?</v>
      </c>
      <c r="M44" s="79">
        <f>H26</f>
        <v>151.9863</v>
      </c>
      <c r="N44" s="79" t="e">
        <f ca="1">[1]!PilePcQa(A44, I44/9.80665,2)*9.80665</f>
        <v>#NAME?</v>
      </c>
      <c r="O44" s="30" t="e">
        <f ca="1">IF(M44&lt;N44,"OK","NG")</f>
        <v>#NAME?</v>
      </c>
      <c r="Q44" s="5"/>
    </row>
    <row r="45" spans="1:17" x14ac:dyDescent="0.15">
      <c r="A45" s="1" t="str">
        <f>+A27</f>
        <v>PHC60C</v>
      </c>
      <c r="B45" s="79">
        <f>B8</f>
        <v>1619</v>
      </c>
      <c r="C45" s="79" t="e">
        <f ca="1">N27</f>
        <v>#NAME?</v>
      </c>
      <c r="D45" s="79" t="e">
        <f ca="1">[1]!PilePcMa(A45, B45/9.80665, 2)*9.80665</f>
        <v>#NAME?</v>
      </c>
      <c r="E45" s="79" t="e">
        <f ca="1">IF(C45&lt;D45,"OK","NG")</f>
        <v>#NAME?</v>
      </c>
      <c r="F45" s="79">
        <f>N8</f>
        <v>147.77431147540983</v>
      </c>
      <c r="G45" s="79" t="e">
        <f ca="1">[1]!PilePcQa(A45, B45/9.80665,2)*9.80665</f>
        <v>#NAME?</v>
      </c>
      <c r="H45" s="79" t="e">
        <f ca="1">IF(F45&lt;G45,"OK","NG")</f>
        <v>#NAME?</v>
      </c>
      <c r="I45" s="79">
        <f>C8</f>
        <v>0</v>
      </c>
      <c r="J45" s="79" t="e">
        <f ca="1">N27</f>
        <v>#NAME?</v>
      </c>
      <c r="K45" s="79" t="e">
        <f ca="1">[1]!PilePcMa(A45, I45/9.80665, 2)*9.80665</f>
        <v>#NAME?</v>
      </c>
      <c r="L45" s="79" t="e">
        <f ca="1">IF(J45&lt;K45,"OK","NG")</f>
        <v>#NAME?</v>
      </c>
      <c r="M45" s="79">
        <f>H27</f>
        <v>147.77431147540983</v>
      </c>
      <c r="N45" s="79" t="e">
        <f ca="1">[1]!PilePcQa(A45, I45/9.80665,2)*9.80665</f>
        <v>#NAME?</v>
      </c>
      <c r="O45" s="30" t="e">
        <f ca="1">IF(M45&lt;N45,"OK","NG")</f>
        <v>#NAME?</v>
      </c>
      <c r="P45" s="3" t="s">
        <v>561</v>
      </c>
      <c r="Q45" s="5"/>
    </row>
    <row r="46" spans="1:17" ht="6" customHeight="1" x14ac:dyDescent="0.15">
      <c r="A46" s="91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30"/>
      <c r="Q46" s="5"/>
    </row>
    <row r="47" spans="1:17" x14ac:dyDescent="0.15">
      <c r="A47" s="88" t="s">
        <v>164</v>
      </c>
      <c r="B47" s="5" t="s">
        <v>321</v>
      </c>
      <c r="C47" s="5"/>
      <c r="D47" s="5"/>
      <c r="E47" s="3" t="s">
        <v>112</v>
      </c>
      <c r="F47" s="88" t="s">
        <v>142</v>
      </c>
      <c r="G47" s="5" t="s">
        <v>322</v>
      </c>
      <c r="H47" s="5"/>
      <c r="I47" s="5"/>
      <c r="J47" s="3" t="s">
        <v>323</v>
      </c>
      <c r="K47" s="5"/>
      <c r="L47" s="88" t="s">
        <v>165</v>
      </c>
      <c r="M47" s="5" t="s">
        <v>324</v>
      </c>
      <c r="N47" s="5"/>
      <c r="O47" s="3" t="s">
        <v>166</v>
      </c>
      <c r="Q47" s="5"/>
    </row>
    <row r="48" spans="1:17" x14ac:dyDescent="0.15">
      <c r="A48" s="88" t="s">
        <v>167</v>
      </c>
      <c r="B48" s="5" t="s">
        <v>325</v>
      </c>
      <c r="C48" s="5"/>
      <c r="D48" s="5"/>
      <c r="E48" s="3" t="s">
        <v>112</v>
      </c>
      <c r="F48" s="88" t="s">
        <v>168</v>
      </c>
      <c r="G48" s="5" t="s">
        <v>326</v>
      </c>
      <c r="H48" s="5"/>
      <c r="I48" s="5"/>
      <c r="J48" s="3" t="s">
        <v>327</v>
      </c>
      <c r="K48" s="5"/>
      <c r="L48" s="88" t="s">
        <v>170</v>
      </c>
      <c r="M48" s="5" t="s">
        <v>328</v>
      </c>
      <c r="N48" s="5"/>
      <c r="O48" s="3" t="s">
        <v>169</v>
      </c>
      <c r="Q48" s="5"/>
    </row>
    <row r="49" spans="1:17" x14ac:dyDescent="0.15">
      <c r="A49" s="5"/>
      <c r="O49" s="30"/>
      <c r="P49" s="5"/>
      <c r="Q49" s="5"/>
    </row>
    <row r="50" spans="1:17" x14ac:dyDescent="0.15">
      <c r="O50" s="30"/>
      <c r="P50" s="5"/>
      <c r="Q50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8" spans="1:15" ht="13.5" x14ac:dyDescent="0.15">
      <c r="A78" s="96"/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1:15" ht="13.5" x14ac:dyDescent="0.15">
      <c r="A79" s="96"/>
      <c r="B79" s="97"/>
      <c r="C79" s="97"/>
      <c r="H79" s="97"/>
      <c r="I79" s="97"/>
      <c r="J79" s="97"/>
      <c r="K79" s="97"/>
    </row>
    <row r="80" spans="1:15" ht="13.5" x14ac:dyDescent="0.15">
      <c r="A80" s="96"/>
      <c r="B80" s="97"/>
      <c r="C80" s="97"/>
      <c r="H80" s="97"/>
      <c r="I80" s="97"/>
      <c r="J80" s="97"/>
      <c r="K80" s="97"/>
    </row>
    <row r="81" spans="1:13" ht="13.5" x14ac:dyDescent="0.15">
      <c r="A81" s="96"/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1:13" ht="13.5" x14ac:dyDescent="0.15">
      <c r="A82" s="96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4"/>
      <c r="M82" s="4"/>
    </row>
    <row r="83" spans="1:13" ht="13.5" x14ac:dyDescent="0.15">
      <c r="B83" s="98"/>
      <c r="C83" s="98"/>
      <c r="D83" s="98"/>
      <c r="E83" s="98"/>
      <c r="F83" s="98"/>
      <c r="G83" s="98"/>
      <c r="H83" s="98"/>
      <c r="I83" s="98"/>
      <c r="J83" s="98"/>
      <c r="K83" s="98"/>
      <c r="M83" s="4"/>
    </row>
    <row r="84" spans="1:13" ht="13.5" x14ac:dyDescent="0.15">
      <c r="A84" s="96"/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1:13" ht="13.5" x14ac:dyDescent="0.15">
      <c r="A85" s="96"/>
      <c r="C85" s="99"/>
      <c r="D85" s="99"/>
      <c r="E85" s="99"/>
      <c r="H85" s="99"/>
      <c r="I85" s="99"/>
    </row>
    <row r="86" spans="1:13" ht="13.5" x14ac:dyDescent="0.15">
      <c r="A86" s="100"/>
      <c r="C86" s="100"/>
      <c r="D86" s="100"/>
      <c r="E86" s="96"/>
      <c r="H86" s="101"/>
      <c r="I86" s="102"/>
    </row>
    <row r="87" spans="1:13" x14ac:dyDescent="0.15">
      <c r="E87" s="33"/>
    </row>
    <row r="88" spans="1:13" x14ac:dyDescent="0.15">
      <c r="E88" s="33"/>
    </row>
    <row r="90" spans="1:13" x14ac:dyDescent="0.15">
      <c r="H90" s="4"/>
    </row>
    <row r="91" spans="1:13" x14ac:dyDescent="0.15">
      <c r="H91" s="4"/>
    </row>
    <row r="92" spans="1:13" x14ac:dyDescent="0.15">
      <c r="H92" s="4"/>
    </row>
    <row r="93" spans="1:13" x14ac:dyDescent="0.15">
      <c r="H93" s="4"/>
    </row>
    <row r="94" spans="1:13" x14ac:dyDescent="0.15">
      <c r="H94" s="4"/>
    </row>
    <row r="96" spans="1:13" x14ac:dyDescent="0.15">
      <c r="H96" s="4"/>
    </row>
    <row r="97" spans="8:8" x14ac:dyDescent="0.15">
      <c r="H97" s="4"/>
    </row>
  </sheetData>
  <mergeCells count="1">
    <mergeCell ref="B36:D36"/>
  </mergeCells>
  <phoneticPr fontId="2"/>
  <pageMargins left="0.59055118110236227" right="0.59055118110236227" top="0.98425196850393704" bottom="0.59055118110236227" header="0.51181102362204722" footer="0.51181102362204722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M104"/>
  <sheetViews>
    <sheetView topLeftCell="A19" workbookViewId="0">
      <selection activeCell="F21" sqref="F21"/>
    </sheetView>
  </sheetViews>
  <sheetFormatPr defaultRowHeight="14.1" customHeight="1" x14ac:dyDescent="0.15"/>
  <cols>
    <col min="1" max="1" width="2.625" style="3" customWidth="1"/>
    <col min="2" max="2" width="25.125" style="3" customWidth="1"/>
    <col min="3" max="3" width="12.875" style="4" customWidth="1"/>
    <col min="4" max="4" width="9.375" style="3" customWidth="1"/>
    <col min="5" max="16384" width="9" style="3"/>
  </cols>
  <sheetData>
    <row r="1" spans="2:13" ht="14.1" customHeight="1" x14ac:dyDescent="0.15">
      <c r="B1" s="3" t="s">
        <v>630</v>
      </c>
    </row>
    <row r="3" spans="2:13" ht="14.1" customHeight="1" x14ac:dyDescent="0.15">
      <c r="B3" s="224" t="s">
        <v>562</v>
      </c>
      <c r="C3" s="219"/>
      <c r="D3" s="219"/>
      <c r="E3" s="218" t="s">
        <v>202</v>
      </c>
      <c r="F3" s="219"/>
      <c r="G3" s="219"/>
      <c r="H3" s="219"/>
      <c r="I3" s="15"/>
      <c r="J3" s="15"/>
      <c r="K3" s="15"/>
      <c r="L3" s="15"/>
      <c r="M3" s="16"/>
    </row>
    <row r="4" spans="2:13" ht="14.1" customHeight="1" x14ac:dyDescent="0.15">
      <c r="B4" s="82" t="s">
        <v>563</v>
      </c>
      <c r="C4" s="6" t="s">
        <v>178</v>
      </c>
      <c r="D4" s="9" t="s">
        <v>564</v>
      </c>
      <c r="E4" s="8"/>
      <c r="F4" s="88" t="s">
        <v>179</v>
      </c>
      <c r="G4" s="166">
        <v>21</v>
      </c>
      <c r="H4" s="9"/>
      <c r="I4" s="5"/>
      <c r="J4" s="5"/>
      <c r="K4" s="5"/>
      <c r="L4" s="5"/>
      <c r="M4" s="9"/>
    </row>
    <row r="5" spans="2:13" ht="14.1" customHeight="1" x14ac:dyDescent="0.15">
      <c r="B5" s="82" t="s">
        <v>565</v>
      </c>
      <c r="C5" s="6" t="s">
        <v>180</v>
      </c>
      <c r="D5" s="9"/>
      <c r="E5" s="214" t="s">
        <v>181</v>
      </c>
      <c r="F5" s="216"/>
      <c r="G5" s="216"/>
      <c r="H5" s="217"/>
      <c r="I5" s="5"/>
      <c r="J5" s="5"/>
      <c r="K5" s="6"/>
      <c r="L5" s="5"/>
      <c r="M5" s="9"/>
    </row>
    <row r="6" spans="2:13" ht="14.1" customHeight="1" x14ac:dyDescent="0.15">
      <c r="B6" s="80"/>
      <c r="C6" s="57" t="s">
        <v>566</v>
      </c>
      <c r="D6" s="13"/>
      <c r="E6" s="220" t="s">
        <v>182</v>
      </c>
      <c r="F6" s="212"/>
      <c r="G6" s="212"/>
      <c r="H6" s="213"/>
      <c r="I6" s="5"/>
      <c r="J6" s="5"/>
      <c r="K6" s="6"/>
      <c r="L6" s="5"/>
      <c r="M6" s="9"/>
    </row>
    <row r="7" spans="2:13" ht="14.1" customHeight="1" x14ac:dyDescent="0.15">
      <c r="B7" s="11"/>
      <c r="C7" s="57"/>
      <c r="D7" s="13"/>
      <c r="E7" s="214" t="s">
        <v>197</v>
      </c>
      <c r="F7" s="215"/>
      <c r="G7" s="216" t="s">
        <v>198</v>
      </c>
      <c r="H7" s="215"/>
      <c r="I7" s="8"/>
      <c r="J7" s="5"/>
      <c r="K7" s="5"/>
      <c r="L7" s="5"/>
      <c r="M7" s="9"/>
    </row>
    <row r="8" spans="2:13" ht="14.1" customHeight="1" x14ac:dyDescent="0.15">
      <c r="B8" s="167" t="s">
        <v>567</v>
      </c>
      <c r="C8" s="168" t="s">
        <v>173</v>
      </c>
      <c r="D8" s="169" t="s">
        <v>568</v>
      </c>
      <c r="E8" s="221">
        <f>G4/3</f>
        <v>7</v>
      </c>
      <c r="F8" s="222"/>
      <c r="G8" s="223">
        <f>E8*2</f>
        <v>14</v>
      </c>
      <c r="H8" s="222"/>
      <c r="I8" s="8"/>
      <c r="J8" s="5"/>
      <c r="K8" s="5"/>
      <c r="L8" s="5"/>
      <c r="M8" s="9"/>
    </row>
    <row r="9" spans="2:13" ht="14.1" customHeight="1" x14ac:dyDescent="0.15">
      <c r="B9" s="82" t="s">
        <v>569</v>
      </c>
      <c r="C9" s="6" t="s">
        <v>173</v>
      </c>
      <c r="D9" s="9" t="s">
        <v>568</v>
      </c>
      <c r="E9" s="214">
        <f>G4/30</f>
        <v>0.7</v>
      </c>
      <c r="F9" s="217"/>
      <c r="G9" s="216">
        <f>E9*1.5</f>
        <v>1.0499999999999998</v>
      </c>
      <c r="H9" s="217"/>
      <c r="I9" s="8"/>
      <c r="J9" s="5"/>
      <c r="K9" s="5"/>
      <c r="L9" s="5"/>
      <c r="M9" s="9"/>
    </row>
    <row r="10" spans="2:13" ht="14.1" customHeight="1" x14ac:dyDescent="0.15">
      <c r="B10" s="82" t="s">
        <v>570</v>
      </c>
      <c r="C10" s="6" t="s">
        <v>571</v>
      </c>
      <c r="D10" s="9" t="s">
        <v>169</v>
      </c>
      <c r="E10" s="206">
        <v>1503</v>
      </c>
      <c r="F10" s="207"/>
      <c r="G10" s="208">
        <v>1933</v>
      </c>
      <c r="H10" s="209"/>
      <c r="I10" s="8"/>
      <c r="J10" s="5"/>
      <c r="K10" s="5"/>
      <c r="L10" s="5"/>
      <c r="M10" s="9"/>
    </row>
    <row r="11" spans="2:13" ht="14.1" customHeight="1" x14ac:dyDescent="0.15">
      <c r="B11" s="80" t="s">
        <v>572</v>
      </c>
      <c r="C11" s="57" t="s">
        <v>573</v>
      </c>
      <c r="D11" s="13"/>
      <c r="E11" s="210">
        <v>1</v>
      </c>
      <c r="F11" s="211"/>
      <c r="G11" s="212">
        <v>1</v>
      </c>
      <c r="H11" s="213"/>
      <c r="I11" s="8"/>
      <c r="J11" s="5"/>
      <c r="K11" s="5"/>
      <c r="L11" s="5"/>
      <c r="M11" s="9"/>
    </row>
    <row r="12" spans="2:13" ht="14.1" customHeight="1" x14ac:dyDescent="0.15">
      <c r="B12" s="224" t="s">
        <v>171</v>
      </c>
      <c r="C12" s="219"/>
      <c r="D12" s="228"/>
      <c r="E12" s="7" t="s">
        <v>574</v>
      </c>
      <c r="F12" s="171" t="s">
        <v>575</v>
      </c>
      <c r="G12" s="6" t="s">
        <v>574</v>
      </c>
      <c r="H12" s="171" t="s">
        <v>575</v>
      </c>
      <c r="I12" s="8"/>
      <c r="J12" s="5"/>
      <c r="K12" s="5"/>
      <c r="L12" s="5"/>
      <c r="M12" s="9"/>
    </row>
    <row r="13" spans="2:13" ht="14.1" customHeight="1" x14ac:dyDescent="0.15">
      <c r="B13" s="167" t="s">
        <v>576</v>
      </c>
      <c r="C13" s="168" t="s">
        <v>183</v>
      </c>
      <c r="D13" s="169" t="s">
        <v>184</v>
      </c>
      <c r="E13" s="172">
        <v>1300</v>
      </c>
      <c r="F13" s="173">
        <v>1300</v>
      </c>
      <c r="G13" s="174">
        <f>E13</f>
        <v>1300</v>
      </c>
      <c r="H13" s="175">
        <f>F13</f>
        <v>1300</v>
      </c>
      <c r="I13" s="8"/>
      <c r="J13" s="5"/>
      <c r="K13" s="5"/>
      <c r="L13" s="5"/>
      <c r="M13" s="9"/>
    </row>
    <row r="14" spans="2:13" ht="14.1" customHeight="1" x14ac:dyDescent="0.15">
      <c r="B14" s="82" t="s">
        <v>203</v>
      </c>
      <c r="C14" s="6" t="s">
        <v>185</v>
      </c>
      <c r="D14" s="9" t="s">
        <v>184</v>
      </c>
      <c r="E14" s="176">
        <v>900</v>
      </c>
      <c r="F14" s="79">
        <f>E14</f>
        <v>900</v>
      </c>
      <c r="G14" s="177">
        <f>F14</f>
        <v>900</v>
      </c>
      <c r="H14" s="178">
        <f>G14</f>
        <v>900</v>
      </c>
      <c r="I14" s="8"/>
      <c r="J14" s="5"/>
      <c r="K14" s="5"/>
      <c r="L14" s="5"/>
      <c r="M14" s="9"/>
    </row>
    <row r="15" spans="2:13" ht="14.1" customHeight="1" x14ac:dyDescent="0.15">
      <c r="B15" s="8"/>
      <c r="C15" s="6" t="s">
        <v>186</v>
      </c>
      <c r="D15" s="9" t="s">
        <v>184</v>
      </c>
      <c r="E15" s="177">
        <f>E14-180</f>
        <v>720</v>
      </c>
      <c r="F15" s="79">
        <f>F14-180</f>
        <v>720</v>
      </c>
      <c r="G15" s="177">
        <f>G14-180</f>
        <v>720</v>
      </c>
      <c r="H15" s="178">
        <f>H14-180</f>
        <v>720</v>
      </c>
      <c r="I15" s="8"/>
      <c r="J15" s="5"/>
      <c r="K15" s="5"/>
      <c r="L15" s="5"/>
      <c r="M15" s="9"/>
    </row>
    <row r="16" spans="2:13" ht="14.1" customHeight="1" x14ac:dyDescent="0.15">
      <c r="B16" s="8"/>
      <c r="C16" s="6" t="s">
        <v>187</v>
      </c>
      <c r="D16" s="9" t="s">
        <v>184</v>
      </c>
      <c r="E16" s="177">
        <f>E15*7/8</f>
        <v>630</v>
      </c>
      <c r="F16" s="79">
        <f>F15*7/8</f>
        <v>630</v>
      </c>
      <c r="G16" s="177">
        <f>G15*7/8</f>
        <v>630</v>
      </c>
      <c r="H16" s="178">
        <f>H15*7/8</f>
        <v>630</v>
      </c>
      <c r="I16" s="8"/>
      <c r="J16" s="5"/>
      <c r="K16" s="5"/>
      <c r="L16" s="5"/>
      <c r="M16" s="9"/>
    </row>
    <row r="17" spans="2:13" ht="14.1" customHeight="1" x14ac:dyDescent="0.15">
      <c r="B17" s="80" t="s">
        <v>188</v>
      </c>
      <c r="C17" s="57" t="s">
        <v>189</v>
      </c>
      <c r="D17" s="13"/>
      <c r="E17" s="179">
        <v>0.2</v>
      </c>
      <c r="F17" s="180">
        <v>0.2</v>
      </c>
      <c r="G17" s="181">
        <f>E17</f>
        <v>0.2</v>
      </c>
      <c r="H17" s="160">
        <f>F17</f>
        <v>0.2</v>
      </c>
      <c r="I17" s="8"/>
      <c r="J17" s="5"/>
      <c r="K17" s="5"/>
      <c r="L17" s="5"/>
      <c r="M17" s="9"/>
    </row>
    <row r="18" spans="2:13" ht="14.1" customHeight="1" x14ac:dyDescent="0.15">
      <c r="B18" s="82" t="s">
        <v>190</v>
      </c>
      <c r="C18" s="6" t="s">
        <v>175</v>
      </c>
      <c r="D18" s="9" t="s">
        <v>172</v>
      </c>
      <c r="E18" s="78">
        <f>E10/E11*E17</f>
        <v>300.60000000000002</v>
      </c>
      <c r="F18" s="177">
        <f>E10/E11*F17</f>
        <v>300.60000000000002</v>
      </c>
      <c r="G18" s="79">
        <f>G10/G11*G17</f>
        <v>386.6</v>
      </c>
      <c r="H18" s="177">
        <f>G10/G11*H17</f>
        <v>386.6</v>
      </c>
      <c r="I18" s="8"/>
      <c r="J18" s="5"/>
      <c r="K18" s="5"/>
      <c r="L18" s="5"/>
      <c r="M18" s="9"/>
    </row>
    <row r="19" spans="2:13" ht="14.1" customHeight="1" x14ac:dyDescent="0.15">
      <c r="B19" s="82" t="s">
        <v>199</v>
      </c>
      <c r="C19" s="6" t="s">
        <v>177</v>
      </c>
      <c r="D19" s="9" t="s">
        <v>577</v>
      </c>
      <c r="E19" s="182">
        <f>E18*1000/(F13*E16)</f>
        <v>0.36703296703296701</v>
      </c>
      <c r="F19" s="183">
        <f>F18*1000/(E13*F16)</f>
        <v>0.36703296703296701</v>
      </c>
      <c r="G19" s="182">
        <f>G18*1000/(H13*G16)</f>
        <v>0.47203907203907203</v>
      </c>
      <c r="H19" s="183">
        <f>H18*1000/(G13*H16)</f>
        <v>0.47203907203907203</v>
      </c>
      <c r="I19" s="8"/>
      <c r="J19" s="5"/>
      <c r="K19" s="5"/>
      <c r="L19" s="5"/>
      <c r="M19" s="9"/>
    </row>
    <row r="20" spans="2:13" ht="14.1" customHeight="1" x14ac:dyDescent="0.15">
      <c r="B20" s="214" t="s">
        <v>200</v>
      </c>
      <c r="C20" s="216"/>
      <c r="D20" s="217"/>
      <c r="E20" s="182">
        <f>+E19/E9</f>
        <v>0.52433281004709575</v>
      </c>
      <c r="F20" s="183">
        <f>F19/E9</f>
        <v>0.52433281004709575</v>
      </c>
      <c r="G20" s="37">
        <f>+G19/G9</f>
        <v>0.4495610209895925</v>
      </c>
      <c r="H20" s="183">
        <f>+H19/G9</f>
        <v>0.4495610209895925</v>
      </c>
      <c r="I20" s="8"/>
      <c r="J20" s="5"/>
      <c r="K20" s="5"/>
      <c r="L20" s="5"/>
      <c r="M20" s="9"/>
    </row>
    <row r="21" spans="2:13" ht="14.1" customHeight="1" x14ac:dyDescent="0.15">
      <c r="B21" s="220" t="s">
        <v>258</v>
      </c>
      <c r="C21" s="212"/>
      <c r="D21" s="213"/>
      <c r="E21" s="184" t="str">
        <f>IF(E20&lt;1,"OK","NG")</f>
        <v>OK</v>
      </c>
      <c r="F21" s="185" t="str">
        <f>IF(F20&lt;1,"OK","NG")</f>
        <v>OK</v>
      </c>
      <c r="G21" s="186" t="str">
        <f>IF(G20&lt;1,"OK","NG")</f>
        <v>OK</v>
      </c>
      <c r="H21" s="185" t="str">
        <f>IF(H20&lt;1,"OK","NG")</f>
        <v>OK</v>
      </c>
      <c r="I21" s="8"/>
      <c r="J21" s="5"/>
      <c r="K21" s="5"/>
      <c r="L21" s="5"/>
      <c r="M21" s="9"/>
    </row>
    <row r="22" spans="2:13" ht="14.1" customHeight="1" x14ac:dyDescent="0.15">
      <c r="B22" s="82" t="s">
        <v>578</v>
      </c>
      <c r="C22" s="6" t="s">
        <v>191</v>
      </c>
      <c r="D22" s="9" t="s">
        <v>184</v>
      </c>
      <c r="E22" s="187">
        <v>100</v>
      </c>
      <c r="F22" s="172">
        <v>100</v>
      </c>
      <c r="G22" s="79">
        <f>E22</f>
        <v>100</v>
      </c>
      <c r="H22" s="177">
        <f>F22</f>
        <v>100</v>
      </c>
      <c r="I22" s="8"/>
      <c r="J22" s="5"/>
      <c r="K22" s="5"/>
      <c r="L22" s="5"/>
      <c r="M22" s="9"/>
    </row>
    <row r="23" spans="2:13" ht="14.1" customHeight="1" x14ac:dyDescent="0.15">
      <c r="B23" s="82" t="s">
        <v>204</v>
      </c>
      <c r="C23" s="6" t="s">
        <v>192</v>
      </c>
      <c r="D23" s="9" t="s">
        <v>201</v>
      </c>
      <c r="E23" s="78">
        <f>E18*E22/1000</f>
        <v>30.060000000000002</v>
      </c>
      <c r="F23" s="177">
        <f>F18*F22/1000</f>
        <v>30.060000000000002</v>
      </c>
      <c r="G23" s="79">
        <f>G18*G22/1000</f>
        <v>38.659999999999997</v>
      </c>
      <c r="H23" s="78">
        <f>H18*H22/1000</f>
        <v>38.659999999999997</v>
      </c>
      <c r="I23" s="8"/>
      <c r="J23" s="5"/>
      <c r="K23" s="5"/>
      <c r="L23" s="5"/>
      <c r="M23" s="9"/>
    </row>
    <row r="24" spans="2:13" ht="14.1" customHeight="1" x14ac:dyDescent="0.15">
      <c r="B24" s="214" t="s">
        <v>205</v>
      </c>
      <c r="C24" s="229"/>
      <c r="D24" s="215"/>
      <c r="E24" s="170" t="s">
        <v>593</v>
      </c>
      <c r="F24" s="188" t="s">
        <v>593</v>
      </c>
      <c r="G24" s="6" t="str">
        <f>+E24</f>
        <v>7-D13</v>
      </c>
      <c r="H24" s="171" t="str">
        <f>+F24</f>
        <v>7-D13</v>
      </c>
      <c r="I24" s="8"/>
      <c r="J24" s="5"/>
      <c r="K24" s="5"/>
      <c r="L24" s="5"/>
      <c r="M24" s="9"/>
    </row>
    <row r="25" spans="2:13" ht="14.1" customHeight="1" x14ac:dyDescent="0.15">
      <c r="B25" s="82" t="s">
        <v>579</v>
      </c>
      <c r="C25" s="6" t="s">
        <v>174</v>
      </c>
      <c r="D25" s="9" t="s">
        <v>568</v>
      </c>
      <c r="E25" s="7" t="e">
        <f ca="1">IF([3]!Bar(E24, 1)*10&lt;16,[3]!BarFt(E24, 1, $E5)/10,[3]!BarFt(E24, 1, $E6)/10)</f>
        <v>#NAME?</v>
      </c>
      <c r="F25" s="171" t="e">
        <f ca="1">IF([3]!Bar(F24, 1)*10&lt;16,[3]!BarFt(F24, 1, $E5)/10,[3]!BarFt(F24, 1, $E6)/10)</f>
        <v>#NAME?</v>
      </c>
      <c r="G25" s="6" t="e">
        <f ca="1">IF([3]!Bar(G24, 1)*10&lt;16,[3]!BarFt(G24, 2, $E5)/10,[3]!BarFt(G24, 2, $E6)/10)</f>
        <v>#NAME?</v>
      </c>
      <c r="H25" s="7" t="e">
        <f ca="1">IF([3]!Bar(H24, 1)*10&lt;16,[3]!BarFt(H24, 2, $E5)/10,[3]!BarFt(H24, 2, $E6)/10)</f>
        <v>#NAME?</v>
      </c>
      <c r="I25" s="8"/>
      <c r="J25" s="5"/>
      <c r="K25" s="5"/>
      <c r="L25" s="5"/>
      <c r="M25" s="9"/>
    </row>
    <row r="26" spans="2:13" ht="14.1" customHeight="1" x14ac:dyDescent="0.15">
      <c r="B26" s="82" t="s">
        <v>193</v>
      </c>
      <c r="C26" s="6" t="s">
        <v>176</v>
      </c>
      <c r="D26" s="9" t="s">
        <v>580</v>
      </c>
      <c r="E26" s="78" t="e">
        <f ca="1">[3]!Bar(E24, 11)*100</f>
        <v>#NAME?</v>
      </c>
      <c r="F26" s="177" t="e">
        <f ca="1">[3]!Bar(F24, 11)*100</f>
        <v>#NAME?</v>
      </c>
      <c r="G26" s="79" t="e">
        <f ca="1">[3]!Bar(G24, 11)*100</f>
        <v>#NAME?</v>
      </c>
      <c r="H26" s="78" t="e">
        <f ca="1">[3]!Bar(H24, 11)*100</f>
        <v>#NAME?</v>
      </c>
      <c r="I26" s="8"/>
      <c r="J26" s="5"/>
      <c r="K26" s="5"/>
      <c r="L26" s="5"/>
      <c r="M26" s="9"/>
    </row>
    <row r="27" spans="2:13" ht="14.1" customHeight="1" x14ac:dyDescent="0.15">
      <c r="B27" s="82" t="s">
        <v>194</v>
      </c>
      <c r="C27" s="6" t="s">
        <v>195</v>
      </c>
      <c r="D27" s="9" t="s">
        <v>568</v>
      </c>
      <c r="E27" s="189" t="e">
        <f ca="1">+E23*1000000/(E26*E16)</f>
        <v>#NAME?</v>
      </c>
      <c r="F27" s="190" t="e">
        <f ca="1">+F23*1000000/(F26*F16)</f>
        <v>#NAME?</v>
      </c>
      <c r="G27" s="164" t="e">
        <f ca="1">+G23*1000000/(G26*G16)</f>
        <v>#NAME?</v>
      </c>
      <c r="H27" s="190" t="e">
        <f ca="1">+H23*1000000/(H26*H16)</f>
        <v>#NAME?</v>
      </c>
      <c r="I27" s="8"/>
      <c r="J27" s="5"/>
      <c r="K27" s="5"/>
      <c r="L27" s="5"/>
      <c r="M27" s="9"/>
    </row>
    <row r="28" spans="2:13" ht="14.1" customHeight="1" x14ac:dyDescent="0.15">
      <c r="B28" s="214" t="s">
        <v>196</v>
      </c>
      <c r="C28" s="229"/>
      <c r="D28" s="215"/>
      <c r="E28" s="191" t="e">
        <f ca="1">E27/E25</f>
        <v>#NAME?</v>
      </c>
      <c r="F28" s="192" t="e">
        <f ca="1">F27/F25</f>
        <v>#NAME?</v>
      </c>
      <c r="G28" s="156" t="e">
        <f ca="1">G27/G25</f>
        <v>#NAME?</v>
      </c>
      <c r="H28" s="191" t="e">
        <f ca="1">H27/H25</f>
        <v>#NAME?</v>
      </c>
      <c r="I28" s="8"/>
      <c r="J28" s="5"/>
      <c r="K28" s="5"/>
      <c r="L28" s="5"/>
      <c r="M28" s="9"/>
    </row>
    <row r="29" spans="2:13" ht="14.1" customHeight="1" x14ac:dyDescent="0.15">
      <c r="B29" s="225" t="s">
        <v>258</v>
      </c>
      <c r="C29" s="226"/>
      <c r="D29" s="227"/>
      <c r="E29" s="193" t="e">
        <f ca="1">IF(E28&lt;1,"OK","NG")</f>
        <v>#NAME?</v>
      </c>
      <c r="F29" s="185" t="e">
        <f ca="1">IF(F28&lt;1,"OK","NG")</f>
        <v>#NAME?</v>
      </c>
      <c r="G29" s="194" t="e">
        <f ca="1">IF(G28&lt;1,"OK","NG")</f>
        <v>#NAME?</v>
      </c>
      <c r="H29" s="195" t="e">
        <f ca="1">IF(H28&lt;1,"OK","NG")</f>
        <v>#NAME?</v>
      </c>
      <c r="I29" s="8"/>
      <c r="J29" s="5"/>
      <c r="K29" s="5"/>
      <c r="L29" s="5"/>
      <c r="M29" s="9"/>
    </row>
    <row r="30" spans="2:13" ht="14.1" customHeight="1" x14ac:dyDescent="0.15">
      <c r="B30" s="2" t="s">
        <v>581</v>
      </c>
      <c r="C30" s="168" t="s">
        <v>582</v>
      </c>
      <c r="D30" s="169" t="s">
        <v>577</v>
      </c>
      <c r="E30" s="196" t="e">
        <f ca="1">E27*2/3</f>
        <v>#NAME?</v>
      </c>
      <c r="F30" s="196" t="e">
        <f ca="1">F27*2/3</f>
        <v>#NAME?</v>
      </c>
      <c r="G30" s="196" t="e">
        <f ca="1">G27*2/3</f>
        <v>#NAME?</v>
      </c>
      <c r="H30" s="196" t="e">
        <f ca="1">H27*2/3</f>
        <v>#NAME?</v>
      </c>
      <c r="I30" s="8"/>
      <c r="J30" s="5"/>
      <c r="K30" s="5"/>
      <c r="L30" s="5"/>
      <c r="M30" s="9"/>
    </row>
    <row r="31" spans="2:13" ht="14.1" customHeight="1" x14ac:dyDescent="0.15">
      <c r="B31" s="82"/>
      <c r="C31" s="6" t="s">
        <v>583</v>
      </c>
      <c r="D31" s="9"/>
      <c r="E31" s="189" t="e">
        <f ca="1">MIN((E13-80*2-[3]!Bar(E24,12)*10/PI())/(([3]!Bar(E24,2)-1)),80*3,[3]!Bar(E24,1)*5*10)</f>
        <v>#NAME?</v>
      </c>
      <c r="F31" s="189" t="e">
        <f ca="1">MIN((F13-80*2-[3]!Bar(F24,12)*10/PI())/(([3]!Bar(F24,2)-1)),80*3,[3]!Bar(F24,1)*5*10)</f>
        <v>#NAME?</v>
      </c>
      <c r="G31" s="189" t="e">
        <f ca="1">MIN((G13-80*2-[3]!Bar(G24,12)*10/PI())/(([3]!Bar(G24,2)-1)),80*3,[3]!Bar(G24,1)*5*10)</f>
        <v>#NAME?</v>
      </c>
      <c r="H31" s="189" t="e">
        <f ca="1">MIN((H13-80*2-[3]!Bar(H24,12)*10/PI())/(([3]!Bar(H24,2)-1)),80*3,[3]!Bar(H24,1)*5*10)</f>
        <v>#NAME?</v>
      </c>
      <c r="I31" s="8"/>
      <c r="J31" s="5"/>
      <c r="K31" s="5"/>
      <c r="L31" s="5"/>
      <c r="M31" s="9"/>
    </row>
    <row r="32" spans="2:13" ht="14.1" customHeight="1" x14ac:dyDescent="0.15">
      <c r="B32" s="7"/>
      <c r="C32" s="6" t="s">
        <v>584</v>
      </c>
      <c r="D32" s="9"/>
      <c r="E32" s="182" t="e">
        <f ca="1">0.3*E31/([3]!Bar(E24,1)*10)+0.4</f>
        <v>#NAME?</v>
      </c>
      <c r="F32" s="183" t="e">
        <f ca="1">0.3*F31/([3]!Bar(F24,1)*10)+0.4</f>
        <v>#NAME?</v>
      </c>
      <c r="G32" s="37" t="e">
        <f ca="1">0.3*G31/([3]!Bar(G24,1)*10)+0.4</f>
        <v>#NAME?</v>
      </c>
      <c r="H32" s="183" t="e">
        <f ca="1">0.3*H31/([3]!Bar(H24,1)*10)+0.4</f>
        <v>#NAME?</v>
      </c>
      <c r="I32" s="8"/>
      <c r="J32" s="5"/>
      <c r="K32" s="5"/>
      <c r="L32" s="5"/>
      <c r="M32" s="9"/>
    </row>
    <row r="33" spans="2:13" ht="14.1" customHeight="1" x14ac:dyDescent="0.15">
      <c r="B33" s="7" t="s">
        <v>585</v>
      </c>
      <c r="C33" s="6" t="s">
        <v>206</v>
      </c>
      <c r="D33" s="9"/>
      <c r="E33" s="191">
        <f>G4/60+0.6</f>
        <v>0.95</v>
      </c>
      <c r="F33" s="192">
        <f>G4/60+0.6</f>
        <v>0.95</v>
      </c>
      <c r="G33" s="156">
        <f>E33*1.5</f>
        <v>1.4249999999999998</v>
      </c>
      <c r="H33" s="192">
        <f>F33*1.5</f>
        <v>1.4249999999999998</v>
      </c>
      <c r="I33" s="8"/>
      <c r="J33" s="5"/>
      <c r="K33" s="5"/>
      <c r="L33" s="5"/>
      <c r="M33" s="9"/>
    </row>
    <row r="34" spans="2:13" ht="14.1" customHeight="1" x14ac:dyDescent="0.15">
      <c r="B34" s="8"/>
      <c r="C34" s="6" t="s">
        <v>207</v>
      </c>
      <c r="D34" s="9" t="s">
        <v>586</v>
      </c>
      <c r="E34" s="189" t="e">
        <f ca="1">[3]!Bar(E24,1)*10/4</f>
        <v>#NAME?</v>
      </c>
      <c r="F34" s="190" t="e">
        <f ca="1">[3]!Bar(F24,1)*10/4</f>
        <v>#NAME?</v>
      </c>
      <c r="G34" s="164" t="e">
        <f ca="1">[3]!Bar(G24,1)*10/4</f>
        <v>#NAME?</v>
      </c>
      <c r="H34" s="190" t="e">
        <f ca="1">[3]!Bar(H24,1)*10/4</f>
        <v>#NAME?</v>
      </c>
      <c r="I34" s="8"/>
      <c r="J34" s="5"/>
      <c r="K34" s="5"/>
      <c r="L34" s="5"/>
      <c r="M34" s="9"/>
    </row>
    <row r="35" spans="2:13" ht="14.1" customHeight="1" x14ac:dyDescent="0.15">
      <c r="B35" s="81" t="s">
        <v>587</v>
      </c>
      <c r="C35" s="57" t="s">
        <v>588</v>
      </c>
      <c r="D35" s="13" t="s">
        <v>589</v>
      </c>
      <c r="E35" s="197" t="e">
        <f ca="1">E30*E34/(E32*E33)</f>
        <v>#NAME?</v>
      </c>
      <c r="F35" s="198" t="e">
        <f ca="1">F30*F34/(F32*F33)</f>
        <v>#NAME?</v>
      </c>
      <c r="G35" s="199" t="e">
        <f ca="1">G30*G34/(G32*G33)</f>
        <v>#NAME?</v>
      </c>
      <c r="H35" s="198" t="e">
        <f ca="1">H30*H34/(H32*H33)</f>
        <v>#NAME?</v>
      </c>
      <c r="I35" s="11"/>
      <c r="J35" s="12"/>
      <c r="K35" s="12"/>
      <c r="L35" s="12"/>
      <c r="M35" s="13"/>
    </row>
    <row r="36" spans="2:13" ht="14.1" customHeight="1" x14ac:dyDescent="0.15">
      <c r="B36" s="6"/>
      <c r="C36" s="6"/>
    </row>
    <row r="37" spans="2:13" ht="14.1" customHeight="1" x14ac:dyDescent="0.15">
      <c r="B37" s="224" t="s">
        <v>562</v>
      </c>
      <c r="C37" s="219"/>
      <c r="D37" s="219"/>
      <c r="E37" s="218" t="s">
        <v>590</v>
      </c>
      <c r="F37" s="219"/>
      <c r="G37" s="219"/>
      <c r="H37" s="219"/>
      <c r="I37" s="15"/>
      <c r="J37" s="15"/>
      <c r="K37" s="15"/>
      <c r="L37" s="15"/>
      <c r="M37" s="16"/>
    </row>
    <row r="38" spans="2:13" ht="14.1" customHeight="1" x14ac:dyDescent="0.15">
      <c r="B38" s="82" t="s">
        <v>563</v>
      </c>
      <c r="C38" s="6" t="s">
        <v>178</v>
      </c>
      <c r="D38" s="9" t="s">
        <v>564</v>
      </c>
      <c r="E38" s="8"/>
      <c r="F38" s="88" t="s">
        <v>179</v>
      </c>
      <c r="G38" s="166">
        <v>21</v>
      </c>
      <c r="H38" s="9"/>
      <c r="I38" s="5"/>
      <c r="J38" s="5"/>
      <c r="K38" s="5"/>
      <c r="L38" s="5"/>
      <c r="M38" s="9"/>
    </row>
    <row r="39" spans="2:13" ht="14.1" customHeight="1" x14ac:dyDescent="0.15">
      <c r="B39" s="82" t="s">
        <v>565</v>
      </c>
      <c r="C39" s="6" t="s">
        <v>180</v>
      </c>
      <c r="D39" s="9"/>
      <c r="E39" s="214" t="s">
        <v>181</v>
      </c>
      <c r="F39" s="216"/>
      <c r="G39" s="216"/>
      <c r="H39" s="217"/>
      <c r="I39" s="5"/>
      <c r="J39" s="5"/>
      <c r="K39" s="6"/>
      <c r="L39" s="5"/>
      <c r="M39" s="9"/>
    </row>
    <row r="40" spans="2:13" ht="14.1" customHeight="1" x14ac:dyDescent="0.15">
      <c r="B40" s="80"/>
      <c r="C40" s="57" t="s">
        <v>566</v>
      </c>
      <c r="D40" s="13"/>
      <c r="E40" s="220" t="s">
        <v>182</v>
      </c>
      <c r="F40" s="212"/>
      <c r="G40" s="212"/>
      <c r="H40" s="213"/>
      <c r="I40" s="5"/>
      <c r="J40" s="5"/>
      <c r="K40" s="6"/>
      <c r="L40" s="5"/>
      <c r="M40" s="9"/>
    </row>
    <row r="41" spans="2:13" ht="14.1" customHeight="1" x14ac:dyDescent="0.15">
      <c r="B41" s="11"/>
      <c r="C41" s="57"/>
      <c r="D41" s="13"/>
      <c r="E41" s="214" t="s">
        <v>197</v>
      </c>
      <c r="F41" s="215"/>
      <c r="G41" s="216" t="s">
        <v>198</v>
      </c>
      <c r="H41" s="215"/>
      <c r="I41" s="8"/>
      <c r="J41" s="5"/>
      <c r="K41" s="5"/>
      <c r="L41" s="5"/>
      <c r="M41" s="9"/>
    </row>
    <row r="42" spans="2:13" ht="14.1" customHeight="1" x14ac:dyDescent="0.15">
      <c r="B42" s="167" t="s">
        <v>567</v>
      </c>
      <c r="C42" s="168" t="s">
        <v>173</v>
      </c>
      <c r="D42" s="169" t="s">
        <v>568</v>
      </c>
      <c r="E42" s="221">
        <f>G38/3</f>
        <v>7</v>
      </c>
      <c r="F42" s="222"/>
      <c r="G42" s="223">
        <f>E42*2</f>
        <v>14</v>
      </c>
      <c r="H42" s="222"/>
      <c r="I42" s="8"/>
      <c r="J42" s="5"/>
      <c r="K42" s="5"/>
      <c r="L42" s="5"/>
      <c r="M42" s="9"/>
    </row>
    <row r="43" spans="2:13" ht="14.1" customHeight="1" x14ac:dyDescent="0.15">
      <c r="B43" s="82" t="s">
        <v>569</v>
      </c>
      <c r="C43" s="6" t="s">
        <v>173</v>
      </c>
      <c r="D43" s="9" t="s">
        <v>568</v>
      </c>
      <c r="E43" s="214">
        <f>G38/30</f>
        <v>0.7</v>
      </c>
      <c r="F43" s="217"/>
      <c r="G43" s="216">
        <f>E43*1.5</f>
        <v>1.0499999999999998</v>
      </c>
      <c r="H43" s="217"/>
      <c r="I43" s="8"/>
      <c r="J43" s="5"/>
      <c r="K43" s="5"/>
      <c r="L43" s="5"/>
      <c r="M43" s="9"/>
    </row>
    <row r="44" spans="2:13" ht="14.1" customHeight="1" x14ac:dyDescent="0.15">
      <c r="B44" s="82" t="s">
        <v>570</v>
      </c>
      <c r="C44" s="6" t="s">
        <v>571</v>
      </c>
      <c r="D44" s="9" t="s">
        <v>169</v>
      </c>
      <c r="E44" s="206">
        <v>2056</v>
      </c>
      <c r="F44" s="207"/>
      <c r="G44" s="208">
        <v>2516</v>
      </c>
      <c r="H44" s="209"/>
      <c r="I44" s="8"/>
      <c r="J44" s="5"/>
      <c r="K44" s="5"/>
      <c r="L44" s="5"/>
      <c r="M44" s="9"/>
    </row>
    <row r="45" spans="2:13" ht="14.1" customHeight="1" x14ac:dyDescent="0.15">
      <c r="B45" s="80" t="s">
        <v>572</v>
      </c>
      <c r="C45" s="57" t="s">
        <v>573</v>
      </c>
      <c r="D45" s="13"/>
      <c r="E45" s="210">
        <v>1</v>
      </c>
      <c r="F45" s="211"/>
      <c r="G45" s="212">
        <f>E45</f>
        <v>1</v>
      </c>
      <c r="H45" s="213"/>
      <c r="I45" s="8"/>
      <c r="J45" s="5"/>
      <c r="K45" s="5"/>
      <c r="L45" s="5"/>
      <c r="M45" s="9"/>
    </row>
    <row r="46" spans="2:13" ht="14.1" customHeight="1" x14ac:dyDescent="0.15">
      <c r="B46" s="224" t="s">
        <v>171</v>
      </c>
      <c r="C46" s="219"/>
      <c r="D46" s="228"/>
      <c r="E46" s="7" t="s">
        <v>574</v>
      </c>
      <c r="F46" s="171" t="s">
        <v>575</v>
      </c>
      <c r="G46" s="6" t="s">
        <v>574</v>
      </c>
      <c r="H46" s="171" t="s">
        <v>575</v>
      </c>
      <c r="I46" s="8"/>
      <c r="J46" s="5"/>
      <c r="K46" s="5"/>
      <c r="L46" s="5"/>
      <c r="M46" s="9"/>
    </row>
    <row r="47" spans="2:13" ht="14.1" customHeight="1" x14ac:dyDescent="0.15">
      <c r="B47" s="167" t="s">
        <v>576</v>
      </c>
      <c r="C47" s="168" t="s">
        <v>183</v>
      </c>
      <c r="D47" s="169" t="s">
        <v>184</v>
      </c>
      <c r="E47" s="172">
        <v>1300</v>
      </c>
      <c r="F47" s="173">
        <v>1300</v>
      </c>
      <c r="G47" s="174">
        <f>E47</f>
        <v>1300</v>
      </c>
      <c r="H47" s="175">
        <f>F47</f>
        <v>1300</v>
      </c>
      <c r="I47" s="8"/>
      <c r="J47" s="5"/>
      <c r="K47" s="5"/>
      <c r="L47" s="5"/>
      <c r="M47" s="9"/>
    </row>
    <row r="48" spans="2:13" ht="14.1" customHeight="1" x14ac:dyDescent="0.15">
      <c r="B48" s="82" t="s">
        <v>203</v>
      </c>
      <c r="C48" s="6" t="s">
        <v>185</v>
      </c>
      <c r="D48" s="9" t="s">
        <v>184</v>
      </c>
      <c r="E48" s="176">
        <v>900</v>
      </c>
      <c r="F48" s="79">
        <f>E48</f>
        <v>900</v>
      </c>
      <c r="G48" s="177">
        <f>F48</f>
        <v>900</v>
      </c>
      <c r="H48" s="178">
        <f>G48</f>
        <v>900</v>
      </c>
      <c r="I48" s="8"/>
      <c r="J48" s="5"/>
      <c r="K48" s="5"/>
      <c r="L48" s="5"/>
      <c r="M48" s="9"/>
    </row>
    <row r="49" spans="2:13" ht="14.1" customHeight="1" x14ac:dyDescent="0.15">
      <c r="B49" s="8"/>
      <c r="C49" s="6" t="s">
        <v>186</v>
      </c>
      <c r="D49" s="9" t="s">
        <v>184</v>
      </c>
      <c r="E49" s="177">
        <f>E48-180</f>
        <v>720</v>
      </c>
      <c r="F49" s="79">
        <f>F48-180</f>
        <v>720</v>
      </c>
      <c r="G49" s="177">
        <f>G48-180</f>
        <v>720</v>
      </c>
      <c r="H49" s="178">
        <f>H48-180</f>
        <v>720</v>
      </c>
      <c r="I49" s="8"/>
      <c r="J49" s="5"/>
      <c r="K49" s="5"/>
      <c r="L49" s="5"/>
      <c r="M49" s="9"/>
    </row>
    <row r="50" spans="2:13" ht="14.1" customHeight="1" x14ac:dyDescent="0.15">
      <c r="B50" s="8"/>
      <c r="C50" s="6" t="s">
        <v>187</v>
      </c>
      <c r="D50" s="9" t="s">
        <v>184</v>
      </c>
      <c r="E50" s="177">
        <f>E49*7/8</f>
        <v>630</v>
      </c>
      <c r="F50" s="79">
        <f>F49*7/8</f>
        <v>630</v>
      </c>
      <c r="G50" s="177">
        <f>G49*7/8</f>
        <v>630</v>
      </c>
      <c r="H50" s="178">
        <f>H49*7/8</f>
        <v>630</v>
      </c>
      <c r="I50" s="8"/>
      <c r="J50" s="5"/>
      <c r="K50" s="5"/>
      <c r="L50" s="5"/>
      <c r="M50" s="9"/>
    </row>
    <row r="51" spans="2:13" ht="14.1" customHeight="1" x14ac:dyDescent="0.15">
      <c r="B51" s="80" t="s">
        <v>188</v>
      </c>
      <c r="C51" s="57" t="s">
        <v>189</v>
      </c>
      <c r="D51" s="13"/>
      <c r="E51" s="179">
        <v>0.2</v>
      </c>
      <c r="F51" s="180">
        <v>0.2</v>
      </c>
      <c r="G51" s="181">
        <f>E51</f>
        <v>0.2</v>
      </c>
      <c r="H51" s="160">
        <f>F51</f>
        <v>0.2</v>
      </c>
      <c r="I51" s="8"/>
      <c r="J51" s="5"/>
      <c r="K51" s="5"/>
      <c r="L51" s="5"/>
      <c r="M51" s="9"/>
    </row>
    <row r="52" spans="2:13" ht="14.1" customHeight="1" x14ac:dyDescent="0.15">
      <c r="B52" s="82" t="s">
        <v>190</v>
      </c>
      <c r="C52" s="6" t="s">
        <v>175</v>
      </c>
      <c r="D52" s="9" t="s">
        <v>172</v>
      </c>
      <c r="E52" s="78">
        <f>E44/E45*E51</f>
        <v>411.20000000000005</v>
      </c>
      <c r="F52" s="177">
        <f>E44/E45*F51</f>
        <v>411.20000000000005</v>
      </c>
      <c r="G52" s="79">
        <f>G44/G45*G51</f>
        <v>503.20000000000005</v>
      </c>
      <c r="H52" s="177">
        <f>G44/G45*H51</f>
        <v>503.20000000000005</v>
      </c>
      <c r="I52" s="8"/>
      <c r="J52" s="5"/>
      <c r="K52" s="5"/>
      <c r="L52" s="5"/>
      <c r="M52" s="9"/>
    </row>
    <row r="53" spans="2:13" ht="14.1" customHeight="1" x14ac:dyDescent="0.15">
      <c r="B53" s="82" t="s">
        <v>199</v>
      </c>
      <c r="C53" s="6" t="s">
        <v>177</v>
      </c>
      <c r="D53" s="9" t="s">
        <v>577</v>
      </c>
      <c r="E53" s="182">
        <f>E52*1000/(F47*E50)</f>
        <v>0.50207570207570218</v>
      </c>
      <c r="F53" s="183">
        <f>F52*1000/(E47*F50)</f>
        <v>0.50207570207570218</v>
      </c>
      <c r="G53" s="182">
        <f>G52*1000/(H47*G50)</f>
        <v>0.61440781440781445</v>
      </c>
      <c r="H53" s="183">
        <f>H52*1000/(G47*H50)</f>
        <v>0.61440781440781445</v>
      </c>
      <c r="I53" s="8"/>
      <c r="J53" s="5"/>
      <c r="K53" s="5"/>
      <c r="L53" s="5"/>
      <c r="M53" s="9"/>
    </row>
    <row r="54" spans="2:13" ht="14.1" customHeight="1" x14ac:dyDescent="0.15">
      <c r="B54" s="214" t="s">
        <v>200</v>
      </c>
      <c r="C54" s="216"/>
      <c r="D54" s="217"/>
      <c r="E54" s="182">
        <f>+E53/E43</f>
        <v>0.71725100296528888</v>
      </c>
      <c r="F54" s="183">
        <f>F53/E43</f>
        <v>0.71725100296528888</v>
      </c>
      <c r="G54" s="37">
        <f>+G53/G43</f>
        <v>0.58515029943601382</v>
      </c>
      <c r="H54" s="183">
        <f>+H53/G43</f>
        <v>0.58515029943601382</v>
      </c>
      <c r="I54" s="8"/>
      <c r="J54" s="5"/>
      <c r="K54" s="5"/>
      <c r="L54" s="5"/>
      <c r="M54" s="9"/>
    </row>
    <row r="55" spans="2:13" ht="14.1" customHeight="1" x14ac:dyDescent="0.15">
      <c r="B55" s="220" t="s">
        <v>258</v>
      </c>
      <c r="C55" s="212"/>
      <c r="D55" s="213"/>
      <c r="E55" s="184" t="str">
        <f>IF(E54&lt;1,"OK","NG")</f>
        <v>OK</v>
      </c>
      <c r="F55" s="185" t="str">
        <f>IF(F54&lt;1,"OK","NG")</f>
        <v>OK</v>
      </c>
      <c r="G55" s="186" t="str">
        <f>IF(G54&lt;1,"OK","NG")</f>
        <v>OK</v>
      </c>
      <c r="H55" s="185" t="str">
        <f>IF(H54&lt;1,"OK","NG")</f>
        <v>OK</v>
      </c>
      <c r="I55" s="8"/>
      <c r="J55" s="5"/>
      <c r="K55" s="5"/>
      <c r="L55" s="5"/>
      <c r="M55" s="9"/>
    </row>
    <row r="56" spans="2:13" ht="14.1" customHeight="1" x14ac:dyDescent="0.15">
      <c r="B56" s="82" t="s">
        <v>578</v>
      </c>
      <c r="C56" s="6" t="s">
        <v>191</v>
      </c>
      <c r="D56" s="9" t="s">
        <v>184</v>
      </c>
      <c r="E56" s="187">
        <v>100</v>
      </c>
      <c r="F56" s="172">
        <v>100</v>
      </c>
      <c r="G56" s="79">
        <f>E56</f>
        <v>100</v>
      </c>
      <c r="H56" s="177">
        <f>F56</f>
        <v>100</v>
      </c>
      <c r="I56" s="8"/>
      <c r="J56" s="5"/>
      <c r="K56" s="5"/>
      <c r="L56" s="5"/>
      <c r="M56" s="9"/>
    </row>
    <row r="57" spans="2:13" ht="14.1" customHeight="1" x14ac:dyDescent="0.15">
      <c r="B57" s="82" t="s">
        <v>204</v>
      </c>
      <c r="C57" s="6" t="s">
        <v>192</v>
      </c>
      <c r="D57" s="9" t="s">
        <v>201</v>
      </c>
      <c r="E57" s="78">
        <f>E52*E56/1000</f>
        <v>41.120000000000005</v>
      </c>
      <c r="F57" s="177">
        <f>F56*F52/1000</f>
        <v>41.120000000000005</v>
      </c>
      <c r="G57" s="79">
        <f>G52*G56/1000</f>
        <v>50.320000000000007</v>
      </c>
      <c r="H57" s="78">
        <f>H52*H56/1000</f>
        <v>50.320000000000007</v>
      </c>
      <c r="I57" s="8"/>
      <c r="J57" s="5"/>
      <c r="K57" s="5"/>
      <c r="L57" s="5"/>
      <c r="M57" s="9"/>
    </row>
    <row r="58" spans="2:13" ht="14.1" customHeight="1" x14ac:dyDescent="0.15">
      <c r="B58" s="214" t="s">
        <v>205</v>
      </c>
      <c r="C58" s="229"/>
      <c r="D58" s="215"/>
      <c r="E58" s="170" t="s">
        <v>591</v>
      </c>
      <c r="F58" s="188" t="s">
        <v>593</v>
      </c>
      <c r="G58" s="6" t="str">
        <f>+E58</f>
        <v>7-D13</v>
      </c>
      <c r="H58" s="171" t="str">
        <f>+F58</f>
        <v>7-D13</v>
      </c>
      <c r="I58" s="8"/>
      <c r="J58" s="5"/>
      <c r="K58" s="5"/>
      <c r="L58" s="5"/>
      <c r="M58" s="9"/>
    </row>
    <row r="59" spans="2:13" ht="14.1" customHeight="1" x14ac:dyDescent="0.15">
      <c r="B59" s="82" t="s">
        <v>579</v>
      </c>
      <c r="C59" s="6" t="s">
        <v>174</v>
      </c>
      <c r="D59" s="9" t="s">
        <v>568</v>
      </c>
      <c r="E59" s="7" t="e">
        <f ca="1">IF([3]!Bar(E58, 1)*10&lt;16,[3]!BarFt(E58, 1, $E39)/10,[3]!BarFt(E58, 1, $E40)/10)</f>
        <v>#NAME?</v>
      </c>
      <c r="F59" s="171" t="e">
        <f ca="1">IF([3]!Bar(F58, 1)*10&lt;16,[3]!BarFt(F58, 1, $E39)/10,[3]!BarFt(F58, 1, $E40)/10)</f>
        <v>#NAME?</v>
      </c>
      <c r="G59" s="6" t="e">
        <f ca="1">IF([3]!Bar(G58, 1)*10&lt;16,[3]!BarFt(G58, 2, $E39)/10,[3]!BarFt(G58, 2, $E40)/10)</f>
        <v>#NAME?</v>
      </c>
      <c r="H59" s="7" t="e">
        <f ca="1">IF([3]!Bar(H58, 1)*10&lt;16,[3]!BarFt(H58, 2, $E39)/10,[3]!BarFt(H58, 2, $E40)/10)</f>
        <v>#NAME?</v>
      </c>
      <c r="I59" s="8"/>
      <c r="J59" s="5"/>
      <c r="K59" s="5"/>
      <c r="L59" s="5"/>
      <c r="M59" s="9"/>
    </row>
    <row r="60" spans="2:13" ht="14.1" customHeight="1" x14ac:dyDescent="0.15">
      <c r="B60" s="82" t="s">
        <v>193</v>
      </c>
      <c r="C60" s="6" t="s">
        <v>176</v>
      </c>
      <c r="D60" s="9" t="s">
        <v>580</v>
      </c>
      <c r="E60" s="78" t="e">
        <f ca="1">[3]!Bar(E58, 11)*100</f>
        <v>#NAME?</v>
      </c>
      <c r="F60" s="177" t="e">
        <f ca="1">[3]!Bar(F58, 11)*100</f>
        <v>#NAME?</v>
      </c>
      <c r="G60" s="79" t="e">
        <f ca="1">[3]!Bar(G58, 11)*100</f>
        <v>#NAME?</v>
      </c>
      <c r="H60" s="78" t="e">
        <f ca="1">[3]!Bar(H58, 11)*100</f>
        <v>#NAME?</v>
      </c>
      <c r="I60" s="8"/>
      <c r="J60" s="5"/>
      <c r="K60" s="5"/>
      <c r="L60" s="5"/>
      <c r="M60" s="9"/>
    </row>
    <row r="61" spans="2:13" ht="14.1" customHeight="1" x14ac:dyDescent="0.15">
      <c r="B61" s="82" t="s">
        <v>194</v>
      </c>
      <c r="C61" s="6" t="s">
        <v>195</v>
      </c>
      <c r="D61" s="9" t="s">
        <v>568</v>
      </c>
      <c r="E61" s="189" t="e">
        <f ca="1">+E57*1000000/(E60*E50)</f>
        <v>#NAME?</v>
      </c>
      <c r="F61" s="190" t="e">
        <f ca="1">+F57*1000000/(F60*F50)</f>
        <v>#NAME?</v>
      </c>
      <c r="G61" s="164" t="e">
        <f ca="1">+G57*1000000/(G60*G50)</f>
        <v>#NAME?</v>
      </c>
      <c r="H61" s="190" t="e">
        <f ca="1">+H57*1000000/(H60*H50)</f>
        <v>#NAME?</v>
      </c>
      <c r="I61" s="8"/>
      <c r="J61" s="5"/>
      <c r="K61" s="5"/>
      <c r="L61" s="5"/>
      <c r="M61" s="9"/>
    </row>
    <row r="62" spans="2:13" ht="14.1" customHeight="1" x14ac:dyDescent="0.15">
      <c r="B62" s="214" t="s">
        <v>196</v>
      </c>
      <c r="C62" s="229"/>
      <c r="D62" s="215"/>
      <c r="E62" s="191" t="e">
        <f ca="1">E61/E59</f>
        <v>#NAME?</v>
      </c>
      <c r="F62" s="192" t="e">
        <f ca="1">F61/F59</f>
        <v>#NAME?</v>
      </c>
      <c r="G62" s="156" t="e">
        <f ca="1">G61/G59</f>
        <v>#NAME?</v>
      </c>
      <c r="H62" s="191" t="e">
        <f ca="1">H61/H59</f>
        <v>#NAME?</v>
      </c>
      <c r="I62" s="8"/>
      <c r="J62" s="5"/>
      <c r="K62" s="5"/>
      <c r="L62" s="5"/>
      <c r="M62" s="9"/>
    </row>
    <row r="63" spans="2:13" ht="14.1" customHeight="1" x14ac:dyDescent="0.15">
      <c r="B63" s="225" t="s">
        <v>258</v>
      </c>
      <c r="C63" s="226"/>
      <c r="D63" s="227"/>
      <c r="E63" s="193" t="e">
        <f ca="1">IF(E62&lt;1,"OK","NG")</f>
        <v>#NAME?</v>
      </c>
      <c r="F63" s="185" t="e">
        <f ca="1">IF(F62&lt;1,"OK","NG")</f>
        <v>#NAME?</v>
      </c>
      <c r="G63" s="194" t="e">
        <f ca="1">IF(G62&lt;1,"OK","NG")</f>
        <v>#NAME?</v>
      </c>
      <c r="H63" s="195" t="e">
        <f ca="1">IF(H62&lt;1,"OK","NG")</f>
        <v>#NAME?</v>
      </c>
      <c r="I63" s="8"/>
      <c r="J63" s="5"/>
      <c r="K63" s="5"/>
      <c r="L63" s="5"/>
      <c r="M63" s="9"/>
    </row>
    <row r="64" spans="2:13" ht="14.1" customHeight="1" x14ac:dyDescent="0.15">
      <c r="B64" s="2" t="s">
        <v>581</v>
      </c>
      <c r="C64" s="168" t="s">
        <v>582</v>
      </c>
      <c r="D64" s="169" t="s">
        <v>577</v>
      </c>
      <c r="E64" s="196" t="e">
        <f ca="1">E61*2/3</f>
        <v>#NAME?</v>
      </c>
      <c r="F64" s="196" t="e">
        <f ca="1">F61*2/3</f>
        <v>#NAME?</v>
      </c>
      <c r="G64" s="196" t="e">
        <f ca="1">G61*2/3</f>
        <v>#NAME?</v>
      </c>
      <c r="H64" s="196" t="e">
        <f ca="1">H61*2/3</f>
        <v>#NAME?</v>
      </c>
      <c r="I64" s="8"/>
      <c r="J64" s="5"/>
      <c r="K64" s="5"/>
      <c r="L64" s="5"/>
      <c r="M64" s="9"/>
    </row>
    <row r="65" spans="2:13" ht="14.1" customHeight="1" x14ac:dyDescent="0.15">
      <c r="B65" s="82"/>
      <c r="C65" s="6" t="s">
        <v>583</v>
      </c>
      <c r="D65" s="9"/>
      <c r="E65" s="189" t="e">
        <f ca="1">MIN((E47-80*2-[3]!Bar(E58,12)*10/PI())/(([3]!Bar(E58,2)-1)),80*3,[3]!Bar(E58,1)*5*10)</f>
        <v>#NAME?</v>
      </c>
      <c r="F65" s="189" t="e">
        <f ca="1">MIN((F47-80*2-[3]!Bar(F58,12)*10/PI())/(([3]!Bar(F58,2)-1)),80*3,[3]!Bar(F58,1)*5*10)</f>
        <v>#NAME?</v>
      </c>
      <c r="G65" s="189" t="e">
        <f ca="1">MIN((G47-80*2-[3]!Bar(G58,12)*10/PI())/(([3]!Bar(G58,2)-1)),80*3,[3]!Bar(G58,1)*5*10)</f>
        <v>#NAME?</v>
      </c>
      <c r="H65" s="189" t="e">
        <f ca="1">MIN((H47-80*2-[3]!Bar(H58,12)*10/PI())/(([3]!Bar(H58,2)-1)),80*3,[3]!Bar(H58,1)*5*10)</f>
        <v>#NAME?</v>
      </c>
      <c r="I65" s="8"/>
      <c r="J65" s="5"/>
      <c r="K65" s="5"/>
      <c r="L65" s="5"/>
      <c r="M65" s="9"/>
    </row>
    <row r="66" spans="2:13" ht="14.1" customHeight="1" x14ac:dyDescent="0.15">
      <c r="B66" s="7"/>
      <c r="C66" s="6" t="s">
        <v>584</v>
      </c>
      <c r="D66" s="9"/>
      <c r="E66" s="182" t="e">
        <f ca="1">0.3*E65/([3]!Bar(E58,1)*10)+0.4</f>
        <v>#NAME?</v>
      </c>
      <c r="F66" s="183" t="e">
        <f ca="1">0.3*F65/([3]!Bar(F58,1)*10)+0.4</f>
        <v>#NAME?</v>
      </c>
      <c r="G66" s="37" t="e">
        <f ca="1">0.3*G65/([3]!Bar(G58,1)*10)+0.4</f>
        <v>#NAME?</v>
      </c>
      <c r="H66" s="183" t="e">
        <f ca="1">0.3*H65/([3]!Bar(H58,1)*10)+0.4</f>
        <v>#NAME?</v>
      </c>
      <c r="I66" s="8"/>
      <c r="J66" s="5"/>
      <c r="K66" s="5"/>
      <c r="L66" s="5"/>
      <c r="M66" s="9"/>
    </row>
    <row r="67" spans="2:13" ht="14.1" customHeight="1" x14ac:dyDescent="0.15">
      <c r="B67" s="7" t="s">
        <v>585</v>
      </c>
      <c r="C67" s="6" t="s">
        <v>206</v>
      </c>
      <c r="D67" s="9"/>
      <c r="E67" s="191">
        <f>G38/60+0.6</f>
        <v>0.95</v>
      </c>
      <c r="F67" s="192">
        <f>G38/60+0.6</f>
        <v>0.95</v>
      </c>
      <c r="G67" s="156">
        <f>E67*1.5</f>
        <v>1.4249999999999998</v>
      </c>
      <c r="H67" s="192">
        <f>F67*1.5</f>
        <v>1.4249999999999998</v>
      </c>
      <c r="I67" s="8"/>
      <c r="J67" s="5"/>
      <c r="K67" s="5"/>
      <c r="L67" s="5"/>
      <c r="M67" s="9"/>
    </row>
    <row r="68" spans="2:13" ht="14.1" customHeight="1" x14ac:dyDescent="0.15">
      <c r="B68" s="8"/>
      <c r="C68" s="6" t="s">
        <v>207</v>
      </c>
      <c r="D68" s="9" t="s">
        <v>586</v>
      </c>
      <c r="E68" s="189" t="e">
        <f ca="1">[3]!Bar(E58,1)*10/4</f>
        <v>#NAME?</v>
      </c>
      <c r="F68" s="190" t="e">
        <f ca="1">[3]!Bar(F58,1)*10/4</f>
        <v>#NAME?</v>
      </c>
      <c r="G68" s="164" t="e">
        <f ca="1">[3]!Bar(G58,1)*10/4</f>
        <v>#NAME?</v>
      </c>
      <c r="H68" s="190" t="e">
        <f ca="1">[3]!Bar(H58,1)*10/4</f>
        <v>#NAME?</v>
      </c>
      <c r="I68" s="8"/>
      <c r="J68" s="5"/>
      <c r="K68" s="5"/>
      <c r="L68" s="5"/>
      <c r="M68" s="9"/>
    </row>
    <row r="69" spans="2:13" ht="14.1" customHeight="1" x14ac:dyDescent="0.15">
      <c r="B69" s="81" t="s">
        <v>587</v>
      </c>
      <c r="C69" s="57" t="s">
        <v>588</v>
      </c>
      <c r="D69" s="13" t="s">
        <v>589</v>
      </c>
      <c r="E69" s="197" t="e">
        <f ca="1">E64*E68/(E66*E67)</f>
        <v>#NAME?</v>
      </c>
      <c r="F69" s="198" t="e">
        <f ca="1">F64*F68/(F66*F67)</f>
        <v>#NAME?</v>
      </c>
      <c r="G69" s="199" t="e">
        <f ca="1">G64*G68/(G66*G67)</f>
        <v>#NAME?</v>
      </c>
      <c r="H69" s="198" t="e">
        <f ca="1">H64*H68/(H66*H67)</f>
        <v>#NAME?</v>
      </c>
      <c r="I69" s="11"/>
      <c r="J69" s="12"/>
      <c r="K69" s="12"/>
      <c r="L69" s="12"/>
      <c r="M69" s="13"/>
    </row>
    <row r="72" spans="2:13" ht="14.1" customHeight="1" x14ac:dyDescent="0.15">
      <c r="B72" s="224" t="s">
        <v>562</v>
      </c>
      <c r="C72" s="219"/>
      <c r="D72" s="219"/>
      <c r="E72" s="218" t="s">
        <v>592</v>
      </c>
      <c r="F72" s="219"/>
      <c r="G72" s="219"/>
      <c r="H72" s="219"/>
      <c r="I72" s="15"/>
      <c r="J72" s="15"/>
      <c r="K72" s="15"/>
      <c r="L72" s="15"/>
      <c r="M72" s="16"/>
    </row>
    <row r="73" spans="2:13" ht="14.1" customHeight="1" x14ac:dyDescent="0.15">
      <c r="B73" s="82" t="s">
        <v>563</v>
      </c>
      <c r="C73" s="6" t="s">
        <v>178</v>
      </c>
      <c r="D73" s="9" t="s">
        <v>564</v>
      </c>
      <c r="E73" s="8"/>
      <c r="F73" s="88" t="s">
        <v>179</v>
      </c>
      <c r="G73" s="166">
        <v>21</v>
      </c>
      <c r="H73" s="9"/>
      <c r="I73" s="5"/>
      <c r="J73" s="5"/>
      <c r="K73" s="5"/>
      <c r="L73" s="5"/>
      <c r="M73" s="9"/>
    </row>
    <row r="74" spans="2:13" ht="14.1" customHeight="1" x14ac:dyDescent="0.15">
      <c r="B74" s="82" t="s">
        <v>565</v>
      </c>
      <c r="C74" s="6" t="s">
        <v>180</v>
      </c>
      <c r="D74" s="9"/>
      <c r="E74" s="214" t="s">
        <v>181</v>
      </c>
      <c r="F74" s="216"/>
      <c r="G74" s="216"/>
      <c r="H74" s="217"/>
      <c r="I74" s="5"/>
      <c r="J74" s="5"/>
      <c r="K74" s="6"/>
      <c r="L74" s="5"/>
      <c r="M74" s="9"/>
    </row>
    <row r="75" spans="2:13" ht="14.1" customHeight="1" x14ac:dyDescent="0.15">
      <c r="B75" s="80"/>
      <c r="C75" s="57" t="s">
        <v>566</v>
      </c>
      <c r="D75" s="13"/>
      <c r="E75" s="220" t="s">
        <v>182</v>
      </c>
      <c r="F75" s="212"/>
      <c r="G75" s="212"/>
      <c r="H75" s="213"/>
      <c r="I75" s="5"/>
      <c r="J75" s="5"/>
      <c r="K75" s="6"/>
      <c r="L75" s="5"/>
      <c r="M75" s="9"/>
    </row>
    <row r="76" spans="2:13" ht="14.1" customHeight="1" x14ac:dyDescent="0.15">
      <c r="B76" s="11"/>
      <c r="C76" s="57"/>
      <c r="D76" s="13"/>
      <c r="E76" s="214" t="s">
        <v>197</v>
      </c>
      <c r="F76" s="215"/>
      <c r="G76" s="216" t="s">
        <v>198</v>
      </c>
      <c r="H76" s="215"/>
      <c r="I76" s="8"/>
      <c r="J76" s="5"/>
      <c r="K76" s="5"/>
      <c r="L76" s="5"/>
      <c r="M76" s="9"/>
    </row>
    <row r="77" spans="2:13" ht="14.1" customHeight="1" x14ac:dyDescent="0.15">
      <c r="B77" s="167" t="s">
        <v>567</v>
      </c>
      <c r="C77" s="168" t="s">
        <v>173</v>
      </c>
      <c r="D77" s="169" t="s">
        <v>568</v>
      </c>
      <c r="E77" s="221">
        <f>G73/3</f>
        <v>7</v>
      </c>
      <c r="F77" s="222"/>
      <c r="G77" s="223">
        <f>E77*2</f>
        <v>14</v>
      </c>
      <c r="H77" s="222"/>
      <c r="I77" s="8"/>
      <c r="J77" s="5"/>
      <c r="K77" s="5"/>
      <c r="L77" s="5"/>
      <c r="M77" s="9"/>
    </row>
    <row r="78" spans="2:13" ht="14.1" customHeight="1" x14ac:dyDescent="0.15">
      <c r="B78" s="82" t="s">
        <v>569</v>
      </c>
      <c r="C78" s="6" t="s">
        <v>173</v>
      </c>
      <c r="D78" s="9" t="s">
        <v>568</v>
      </c>
      <c r="E78" s="214">
        <f>G73/30</f>
        <v>0.7</v>
      </c>
      <c r="F78" s="217"/>
      <c r="G78" s="216">
        <f>E78*1.5</f>
        <v>1.0499999999999998</v>
      </c>
      <c r="H78" s="217"/>
      <c r="I78" s="8"/>
      <c r="J78" s="5"/>
      <c r="K78" s="5"/>
      <c r="L78" s="5"/>
      <c r="M78" s="9"/>
    </row>
    <row r="79" spans="2:13" ht="14.1" customHeight="1" x14ac:dyDescent="0.15">
      <c r="B79" s="82" t="s">
        <v>570</v>
      </c>
      <c r="C79" s="6" t="s">
        <v>571</v>
      </c>
      <c r="D79" s="9" t="s">
        <v>169</v>
      </c>
      <c r="E79" s="206">
        <v>2508</v>
      </c>
      <c r="F79" s="207"/>
      <c r="G79" s="208">
        <v>2886</v>
      </c>
      <c r="H79" s="209"/>
      <c r="I79" s="8"/>
      <c r="J79" s="5"/>
      <c r="K79" s="5"/>
      <c r="L79" s="5"/>
      <c r="M79" s="9"/>
    </row>
    <row r="80" spans="2:13" ht="14.1" customHeight="1" x14ac:dyDescent="0.15">
      <c r="B80" s="80" t="s">
        <v>572</v>
      </c>
      <c r="C80" s="57" t="s">
        <v>573</v>
      </c>
      <c r="D80" s="13"/>
      <c r="E80" s="210">
        <v>1</v>
      </c>
      <c r="F80" s="211"/>
      <c r="G80" s="212">
        <f>E80</f>
        <v>1</v>
      </c>
      <c r="H80" s="213"/>
      <c r="I80" s="8"/>
      <c r="J80" s="5"/>
      <c r="K80" s="5"/>
      <c r="L80" s="5"/>
      <c r="M80" s="9"/>
    </row>
    <row r="81" spans="2:13" ht="14.1" customHeight="1" x14ac:dyDescent="0.15">
      <c r="B81" s="224" t="s">
        <v>171</v>
      </c>
      <c r="C81" s="219"/>
      <c r="D81" s="228"/>
      <c r="E81" s="7" t="s">
        <v>574</v>
      </c>
      <c r="F81" s="171" t="s">
        <v>575</v>
      </c>
      <c r="G81" s="6" t="s">
        <v>574</v>
      </c>
      <c r="H81" s="171" t="s">
        <v>575</v>
      </c>
      <c r="I81" s="8"/>
      <c r="J81" s="5"/>
      <c r="K81" s="5"/>
      <c r="L81" s="5"/>
      <c r="M81" s="9"/>
    </row>
    <row r="82" spans="2:13" ht="14.1" customHeight="1" x14ac:dyDescent="0.15">
      <c r="B82" s="167" t="s">
        <v>576</v>
      </c>
      <c r="C82" s="168" t="s">
        <v>183</v>
      </c>
      <c r="D82" s="169" t="s">
        <v>184</v>
      </c>
      <c r="E82" s="172">
        <v>1500</v>
      </c>
      <c r="F82" s="173">
        <v>1500</v>
      </c>
      <c r="G82" s="174">
        <f>E82</f>
        <v>1500</v>
      </c>
      <c r="H82" s="175">
        <f>F82</f>
        <v>1500</v>
      </c>
      <c r="I82" s="8"/>
      <c r="J82" s="5"/>
      <c r="K82" s="5"/>
      <c r="L82" s="5"/>
      <c r="M82" s="9"/>
    </row>
    <row r="83" spans="2:13" ht="14.1" customHeight="1" x14ac:dyDescent="0.15">
      <c r="B83" s="82" t="s">
        <v>203</v>
      </c>
      <c r="C83" s="6" t="s">
        <v>185</v>
      </c>
      <c r="D83" s="9" t="s">
        <v>184</v>
      </c>
      <c r="E83" s="176">
        <v>900</v>
      </c>
      <c r="F83" s="79">
        <f>E83</f>
        <v>900</v>
      </c>
      <c r="G83" s="177">
        <f>F83</f>
        <v>900</v>
      </c>
      <c r="H83" s="178">
        <f>G83</f>
        <v>900</v>
      </c>
      <c r="I83" s="8"/>
      <c r="J83" s="5"/>
      <c r="K83" s="5"/>
      <c r="L83" s="5"/>
      <c r="M83" s="9"/>
    </row>
    <row r="84" spans="2:13" ht="14.1" customHeight="1" x14ac:dyDescent="0.15">
      <c r="B84" s="8"/>
      <c r="C84" s="6" t="s">
        <v>186</v>
      </c>
      <c r="D84" s="9" t="s">
        <v>184</v>
      </c>
      <c r="E84" s="177">
        <f>E83-180</f>
        <v>720</v>
      </c>
      <c r="F84" s="79">
        <f>F83-180</f>
        <v>720</v>
      </c>
      <c r="G84" s="177">
        <f>G83-180</f>
        <v>720</v>
      </c>
      <c r="H84" s="178">
        <f>H83-180</f>
        <v>720</v>
      </c>
      <c r="I84" s="8"/>
      <c r="J84" s="5"/>
      <c r="K84" s="5"/>
      <c r="L84" s="5"/>
      <c r="M84" s="9"/>
    </row>
    <row r="85" spans="2:13" ht="14.1" customHeight="1" x14ac:dyDescent="0.15">
      <c r="B85" s="8"/>
      <c r="C85" s="6" t="s">
        <v>187</v>
      </c>
      <c r="D85" s="9" t="s">
        <v>184</v>
      </c>
      <c r="E85" s="177">
        <f>E84*7/8</f>
        <v>630</v>
      </c>
      <c r="F85" s="79">
        <f>F84*7/8</f>
        <v>630</v>
      </c>
      <c r="G85" s="177">
        <f>G84*7/8</f>
        <v>630</v>
      </c>
      <c r="H85" s="178">
        <f>H84*7/8</f>
        <v>630</v>
      </c>
      <c r="I85" s="8"/>
      <c r="J85" s="5"/>
      <c r="K85" s="5"/>
      <c r="L85" s="5"/>
      <c r="M85" s="9"/>
    </row>
    <row r="86" spans="2:13" ht="14.1" customHeight="1" x14ac:dyDescent="0.15">
      <c r="B86" s="80" t="s">
        <v>188</v>
      </c>
      <c r="C86" s="57" t="s">
        <v>189</v>
      </c>
      <c r="D86" s="13"/>
      <c r="E86" s="179">
        <v>0.2</v>
      </c>
      <c r="F86" s="180">
        <v>0.2</v>
      </c>
      <c r="G86" s="181">
        <f>E86</f>
        <v>0.2</v>
      </c>
      <c r="H86" s="160">
        <f>F86</f>
        <v>0.2</v>
      </c>
      <c r="I86" s="8"/>
      <c r="J86" s="5"/>
      <c r="K86" s="5"/>
      <c r="L86" s="5"/>
      <c r="M86" s="9"/>
    </row>
    <row r="87" spans="2:13" ht="14.1" customHeight="1" x14ac:dyDescent="0.15">
      <c r="B87" s="82" t="s">
        <v>190</v>
      </c>
      <c r="C87" s="6" t="s">
        <v>175</v>
      </c>
      <c r="D87" s="9" t="s">
        <v>172</v>
      </c>
      <c r="E87" s="78">
        <f>E79/E80*E86</f>
        <v>501.6</v>
      </c>
      <c r="F87" s="177">
        <f>E79/E80*F86</f>
        <v>501.6</v>
      </c>
      <c r="G87" s="79">
        <f>G79/G80*G86</f>
        <v>577.20000000000005</v>
      </c>
      <c r="H87" s="177">
        <f>G79/G80*H86</f>
        <v>577.20000000000005</v>
      </c>
      <c r="I87" s="8"/>
      <c r="J87" s="5"/>
      <c r="K87" s="5"/>
      <c r="L87" s="5"/>
      <c r="M87" s="9"/>
    </row>
    <row r="88" spans="2:13" ht="14.1" customHeight="1" x14ac:dyDescent="0.15">
      <c r="B88" s="82" t="s">
        <v>199</v>
      </c>
      <c r="C88" s="6" t="s">
        <v>177</v>
      </c>
      <c r="D88" s="9" t="s">
        <v>577</v>
      </c>
      <c r="E88" s="182">
        <f>E87*1000/(F82*E85)</f>
        <v>0.53079365079365082</v>
      </c>
      <c r="F88" s="183">
        <f>F87*1000/(E82*F85)</f>
        <v>0.53079365079365082</v>
      </c>
      <c r="G88" s="182">
        <f>G87*1000/(H82*G85)</f>
        <v>0.61079365079365078</v>
      </c>
      <c r="H88" s="183">
        <f>H87*1000/(G82*H85)</f>
        <v>0.61079365079365078</v>
      </c>
      <c r="I88" s="8"/>
      <c r="J88" s="5"/>
      <c r="K88" s="5"/>
      <c r="L88" s="5"/>
      <c r="M88" s="9"/>
    </row>
    <row r="89" spans="2:13" ht="14.1" customHeight="1" x14ac:dyDescent="0.15">
      <c r="B89" s="214" t="s">
        <v>200</v>
      </c>
      <c r="C89" s="216"/>
      <c r="D89" s="217"/>
      <c r="E89" s="182">
        <f>+E88/E78</f>
        <v>0.75827664399092976</v>
      </c>
      <c r="F89" s="183">
        <f>F88/E78</f>
        <v>0.75827664399092976</v>
      </c>
      <c r="G89" s="37">
        <f>+G88/G78</f>
        <v>0.58170823885109613</v>
      </c>
      <c r="H89" s="183">
        <f>+H88/G78</f>
        <v>0.58170823885109613</v>
      </c>
      <c r="I89" s="8"/>
      <c r="J89" s="5"/>
      <c r="K89" s="5"/>
      <c r="L89" s="5"/>
      <c r="M89" s="9"/>
    </row>
    <row r="90" spans="2:13" ht="14.1" customHeight="1" x14ac:dyDescent="0.15">
      <c r="B90" s="220" t="s">
        <v>258</v>
      </c>
      <c r="C90" s="212"/>
      <c r="D90" s="213"/>
      <c r="E90" s="184" t="str">
        <f>IF(E89&lt;1,"OK","NG")</f>
        <v>OK</v>
      </c>
      <c r="F90" s="185" t="str">
        <f>IF(F89&lt;1,"OK","NG")</f>
        <v>OK</v>
      </c>
      <c r="G90" s="186" t="str">
        <f>IF(G89&lt;1,"OK","NG")</f>
        <v>OK</v>
      </c>
      <c r="H90" s="185" t="str">
        <f>IF(H89&lt;1,"OK","NG")</f>
        <v>OK</v>
      </c>
      <c r="I90" s="8"/>
      <c r="J90" s="5"/>
      <c r="K90" s="5"/>
      <c r="L90" s="5"/>
      <c r="M90" s="9"/>
    </row>
    <row r="91" spans="2:13" ht="14.1" customHeight="1" x14ac:dyDescent="0.15">
      <c r="B91" s="82" t="s">
        <v>578</v>
      </c>
      <c r="C91" s="6" t="s">
        <v>191</v>
      </c>
      <c r="D91" s="9" t="s">
        <v>184</v>
      </c>
      <c r="E91" s="187">
        <v>100</v>
      </c>
      <c r="F91" s="172">
        <v>100</v>
      </c>
      <c r="G91" s="79">
        <f>E91</f>
        <v>100</v>
      </c>
      <c r="H91" s="177">
        <f>F91</f>
        <v>100</v>
      </c>
      <c r="I91" s="8"/>
      <c r="J91" s="5"/>
      <c r="K91" s="5"/>
      <c r="L91" s="5"/>
      <c r="M91" s="9"/>
    </row>
    <row r="92" spans="2:13" ht="14.1" customHeight="1" x14ac:dyDescent="0.15">
      <c r="B92" s="82" t="s">
        <v>204</v>
      </c>
      <c r="C92" s="6" t="s">
        <v>192</v>
      </c>
      <c r="D92" s="9" t="s">
        <v>201</v>
      </c>
      <c r="E92" s="78">
        <f>E87*E91/1000</f>
        <v>50.16</v>
      </c>
      <c r="F92" s="78">
        <f>F87*F91/1000</f>
        <v>50.16</v>
      </c>
      <c r="G92" s="177">
        <f>G87*G91/1000</f>
        <v>57.720000000000006</v>
      </c>
      <c r="H92" s="78">
        <f>H87*H91/1000</f>
        <v>57.720000000000006</v>
      </c>
      <c r="I92" s="8"/>
      <c r="J92" s="5"/>
      <c r="K92" s="5"/>
      <c r="L92" s="5"/>
      <c r="M92" s="9"/>
    </row>
    <row r="93" spans="2:13" ht="14.1" customHeight="1" x14ac:dyDescent="0.15">
      <c r="B93" s="214" t="s">
        <v>205</v>
      </c>
      <c r="C93" s="229"/>
      <c r="D93" s="215"/>
      <c r="E93" s="170" t="s">
        <v>593</v>
      </c>
      <c r="F93" s="188" t="s">
        <v>593</v>
      </c>
      <c r="G93" s="6" t="str">
        <f>+E93</f>
        <v>7-D13</v>
      </c>
      <c r="H93" s="171" t="str">
        <f>+F93</f>
        <v>7-D13</v>
      </c>
      <c r="I93" s="8"/>
      <c r="J93" s="5"/>
      <c r="K93" s="5"/>
      <c r="L93" s="5"/>
      <c r="M93" s="9"/>
    </row>
    <row r="94" spans="2:13" ht="14.1" customHeight="1" x14ac:dyDescent="0.15">
      <c r="B94" s="82" t="s">
        <v>579</v>
      </c>
      <c r="C94" s="6" t="s">
        <v>174</v>
      </c>
      <c r="D94" s="9" t="s">
        <v>568</v>
      </c>
      <c r="E94" s="7" t="e">
        <f ca="1">IF([3]!Bar(E93, 1)*10&lt;16,[3]!BarFt(E93, 1, $E74)/10,[3]!BarFt(E93, 1, $E75)/10)</f>
        <v>#NAME?</v>
      </c>
      <c r="F94" s="171" t="e">
        <f ca="1">IF([3]!Bar(F93, 1)*10&lt;16,[3]!BarFt(F93, 1, $E74)/10,[3]!BarFt(F93, 1, $E75)/10)</f>
        <v>#NAME?</v>
      </c>
      <c r="G94" s="6" t="e">
        <f ca="1">IF([3]!Bar(G93, 1)*10&lt;16,[3]!BarFt(G93, 2, $E74)/10,[3]!BarFt(G93, 2, $E75)/10)</f>
        <v>#NAME?</v>
      </c>
      <c r="H94" s="7" t="e">
        <f ca="1">IF([3]!Bar(H93, 1)*10&lt;16,[3]!BarFt(H93, 2, $E74)/10,[3]!BarFt(H93, 2, $E75)/10)</f>
        <v>#NAME?</v>
      </c>
      <c r="I94" s="8"/>
      <c r="J94" s="5"/>
      <c r="K94" s="5"/>
      <c r="L94" s="5"/>
      <c r="M94" s="9"/>
    </row>
    <row r="95" spans="2:13" ht="14.1" customHeight="1" x14ac:dyDescent="0.15">
      <c r="B95" s="82" t="s">
        <v>193</v>
      </c>
      <c r="C95" s="6" t="s">
        <v>176</v>
      </c>
      <c r="D95" s="9" t="s">
        <v>580</v>
      </c>
      <c r="E95" s="78" t="e">
        <f ca="1">[3]!Bar(E93, 11)*100</f>
        <v>#NAME?</v>
      </c>
      <c r="F95" s="177" t="e">
        <f ca="1">[3]!Bar(F93, 11)*100</f>
        <v>#NAME?</v>
      </c>
      <c r="G95" s="79" t="e">
        <f ca="1">[3]!Bar(G93, 11)*100</f>
        <v>#NAME?</v>
      </c>
      <c r="H95" s="78" t="e">
        <f ca="1">[3]!Bar(H93, 11)*100</f>
        <v>#NAME?</v>
      </c>
      <c r="I95" s="8"/>
      <c r="J95" s="5"/>
      <c r="K95" s="5"/>
      <c r="L95" s="5"/>
      <c r="M95" s="9"/>
    </row>
    <row r="96" spans="2:13" ht="14.1" customHeight="1" x14ac:dyDescent="0.15">
      <c r="B96" s="82" t="s">
        <v>194</v>
      </c>
      <c r="C96" s="6" t="s">
        <v>195</v>
      </c>
      <c r="D96" s="9" t="s">
        <v>568</v>
      </c>
      <c r="E96" s="189" t="e">
        <f ca="1">+E92*1000000/(E95*E85)</f>
        <v>#NAME?</v>
      </c>
      <c r="F96" s="190" t="e">
        <f ca="1">+F92*1000000/(F95*F85)</f>
        <v>#NAME?</v>
      </c>
      <c r="G96" s="164" t="e">
        <f ca="1">+G92*1000000/(G95*G85)</f>
        <v>#NAME?</v>
      </c>
      <c r="H96" s="190" t="e">
        <f ca="1">+H92*1000000/(H95*H85)</f>
        <v>#NAME?</v>
      </c>
      <c r="I96" s="8"/>
      <c r="J96" s="5"/>
      <c r="K96" s="5"/>
      <c r="L96" s="5"/>
      <c r="M96" s="9"/>
    </row>
    <row r="97" spans="2:13" ht="14.1" customHeight="1" x14ac:dyDescent="0.15">
      <c r="B97" s="214" t="s">
        <v>196</v>
      </c>
      <c r="C97" s="229"/>
      <c r="D97" s="215"/>
      <c r="E97" s="191" t="e">
        <f ca="1">E96/E94</f>
        <v>#NAME?</v>
      </c>
      <c r="F97" s="192" t="e">
        <f ca="1">F96/F94</f>
        <v>#NAME?</v>
      </c>
      <c r="G97" s="156" t="e">
        <f ca="1">G96/G94</f>
        <v>#NAME?</v>
      </c>
      <c r="H97" s="191" t="e">
        <f ca="1">H96/H94</f>
        <v>#NAME?</v>
      </c>
      <c r="I97" s="8"/>
      <c r="J97" s="5"/>
      <c r="K97" s="5"/>
      <c r="L97" s="5"/>
      <c r="M97" s="9"/>
    </row>
    <row r="98" spans="2:13" ht="14.1" customHeight="1" x14ac:dyDescent="0.15">
      <c r="B98" s="225" t="s">
        <v>258</v>
      </c>
      <c r="C98" s="226"/>
      <c r="D98" s="227"/>
      <c r="E98" s="193" t="e">
        <f ca="1">IF(E97&lt;1,"OK","NG")</f>
        <v>#NAME?</v>
      </c>
      <c r="F98" s="185" t="e">
        <f ca="1">IF(F97&lt;1,"OK","NG")</f>
        <v>#NAME?</v>
      </c>
      <c r="G98" s="194" t="e">
        <f ca="1">IF(G97&lt;1,"OK","NG")</f>
        <v>#NAME?</v>
      </c>
      <c r="H98" s="195" t="e">
        <f ca="1">IF(H97&lt;1,"OK","NG")</f>
        <v>#NAME?</v>
      </c>
      <c r="I98" s="8"/>
      <c r="J98" s="5"/>
      <c r="K98" s="5"/>
      <c r="L98" s="5"/>
      <c r="M98" s="9"/>
    </row>
    <row r="99" spans="2:13" ht="14.1" customHeight="1" x14ac:dyDescent="0.15">
      <c r="B99" s="2" t="s">
        <v>581</v>
      </c>
      <c r="C99" s="168" t="s">
        <v>582</v>
      </c>
      <c r="D99" s="169" t="s">
        <v>577</v>
      </c>
      <c r="E99" s="196" t="e">
        <f ca="1">E96*2/3</f>
        <v>#NAME?</v>
      </c>
      <c r="F99" s="196" t="e">
        <f ca="1">F96*2/3</f>
        <v>#NAME?</v>
      </c>
      <c r="G99" s="196" t="e">
        <f ca="1">G96*2/3</f>
        <v>#NAME?</v>
      </c>
      <c r="H99" s="196" t="e">
        <f ca="1">H96*2/3</f>
        <v>#NAME?</v>
      </c>
      <c r="I99" s="8"/>
      <c r="J99" s="5"/>
      <c r="K99" s="5"/>
      <c r="L99" s="5"/>
      <c r="M99" s="9"/>
    </row>
    <row r="100" spans="2:13" ht="14.1" customHeight="1" x14ac:dyDescent="0.15">
      <c r="B100" s="82"/>
      <c r="C100" s="6" t="s">
        <v>583</v>
      </c>
      <c r="D100" s="9"/>
      <c r="E100" s="189" t="e">
        <f ca="1">MIN((E82-80*2-[3]!Bar(E93,12)*10/PI())/(([3]!Bar(E93,2)-1)),80*3,[3]!Bar(E93,1)*5*10)</f>
        <v>#NAME?</v>
      </c>
      <c r="F100" s="189" t="e">
        <f ca="1">MIN((F82-80*2-[3]!Bar(F93,12)*10/PI())/(([3]!Bar(F93,2)-1)),80*3,[3]!Bar(F93,1)*5*10)</f>
        <v>#NAME?</v>
      </c>
      <c r="G100" s="189" t="e">
        <f ca="1">MIN((G82-80*2-[3]!Bar(G93,12)*10/PI())/(([3]!Bar(G93,2)-1)),80*3,[3]!Bar(G93,1)*5*10)</f>
        <v>#NAME?</v>
      </c>
      <c r="H100" s="189" t="e">
        <f ca="1">MIN((H82-80*2-[3]!Bar(H93,12)*10/PI())/(([3]!Bar(H93,2)-1)),80*3,[3]!Bar(H93,1)*5*10)</f>
        <v>#NAME?</v>
      </c>
      <c r="I100" s="8"/>
      <c r="J100" s="5"/>
      <c r="K100" s="5"/>
      <c r="L100" s="5"/>
      <c r="M100" s="9"/>
    </row>
    <row r="101" spans="2:13" ht="14.1" customHeight="1" x14ac:dyDescent="0.15">
      <c r="B101" s="7"/>
      <c r="C101" s="6" t="s">
        <v>584</v>
      </c>
      <c r="D101" s="9"/>
      <c r="E101" s="182" t="e">
        <f ca="1">0.3*E100/([3]!Bar(E93,1)*10)+0.4</f>
        <v>#NAME?</v>
      </c>
      <c r="F101" s="183" t="e">
        <f ca="1">0.3*F100/([3]!Bar(F93,1)*10)+0.4</f>
        <v>#NAME?</v>
      </c>
      <c r="G101" s="37" t="e">
        <f ca="1">0.3*G100/([3]!Bar(G93,1)*10)+0.4</f>
        <v>#NAME?</v>
      </c>
      <c r="H101" s="183" t="e">
        <f ca="1">0.3*H100/([3]!Bar(H93,1)*10)+0.4</f>
        <v>#NAME?</v>
      </c>
      <c r="I101" s="8"/>
      <c r="J101" s="5"/>
      <c r="K101" s="5"/>
      <c r="L101" s="5"/>
      <c r="M101" s="9"/>
    </row>
    <row r="102" spans="2:13" ht="14.1" customHeight="1" x14ac:dyDescent="0.15">
      <c r="B102" s="7" t="s">
        <v>585</v>
      </c>
      <c r="C102" s="6" t="s">
        <v>206</v>
      </c>
      <c r="D102" s="9"/>
      <c r="E102" s="191">
        <f>G73/60+0.6</f>
        <v>0.95</v>
      </c>
      <c r="F102" s="192">
        <f>G73/60+0.6</f>
        <v>0.95</v>
      </c>
      <c r="G102" s="156">
        <f>E102*1.5</f>
        <v>1.4249999999999998</v>
      </c>
      <c r="H102" s="192">
        <f>F102*1.5</f>
        <v>1.4249999999999998</v>
      </c>
      <c r="I102" s="8"/>
      <c r="J102" s="5"/>
      <c r="K102" s="5"/>
      <c r="L102" s="5"/>
      <c r="M102" s="9"/>
    </row>
    <row r="103" spans="2:13" ht="14.1" customHeight="1" x14ac:dyDescent="0.15">
      <c r="B103" s="8"/>
      <c r="C103" s="6" t="s">
        <v>207</v>
      </c>
      <c r="D103" s="9" t="s">
        <v>586</v>
      </c>
      <c r="E103" s="189" t="e">
        <f ca="1">[3]!Bar(E93,1)*10/4</f>
        <v>#NAME?</v>
      </c>
      <c r="F103" s="190" t="e">
        <f ca="1">[3]!Bar(F93,1)*10/4</f>
        <v>#NAME?</v>
      </c>
      <c r="G103" s="164" t="e">
        <f ca="1">[3]!Bar(G93,1)*10/4</f>
        <v>#NAME?</v>
      </c>
      <c r="H103" s="190" t="e">
        <f ca="1">[3]!Bar(H93,1)*10/4</f>
        <v>#NAME?</v>
      </c>
      <c r="I103" s="8"/>
      <c r="J103" s="5"/>
      <c r="K103" s="5"/>
      <c r="L103" s="5"/>
      <c r="M103" s="9"/>
    </row>
    <row r="104" spans="2:13" ht="14.1" customHeight="1" x14ac:dyDescent="0.15">
      <c r="B104" s="81" t="s">
        <v>587</v>
      </c>
      <c r="C104" s="57" t="s">
        <v>588</v>
      </c>
      <c r="D104" s="13" t="s">
        <v>589</v>
      </c>
      <c r="E104" s="197" t="e">
        <f ca="1">E99*E103/(E101*E102)</f>
        <v>#NAME?</v>
      </c>
      <c r="F104" s="198" t="e">
        <f ca="1">F99*F103/(F101*F102)</f>
        <v>#NAME?</v>
      </c>
      <c r="G104" s="199" t="e">
        <f ca="1">G99*G103/(G101*G102)</f>
        <v>#NAME?</v>
      </c>
      <c r="H104" s="198" t="e">
        <f ca="1">H99*H103/(H101*H102)</f>
        <v>#NAME?</v>
      </c>
      <c r="I104" s="11"/>
      <c r="J104" s="12"/>
      <c r="K104" s="12"/>
      <c r="L104" s="12"/>
      <c r="M104" s="13"/>
    </row>
  </sheetData>
  <mergeCells count="60">
    <mergeCell ref="G80:H80"/>
    <mergeCell ref="B81:D81"/>
    <mergeCell ref="B89:D89"/>
    <mergeCell ref="B90:D90"/>
    <mergeCell ref="B93:D93"/>
    <mergeCell ref="B97:D97"/>
    <mergeCell ref="B98:D98"/>
    <mergeCell ref="E80:F80"/>
    <mergeCell ref="E78:F78"/>
    <mergeCell ref="G78:H78"/>
    <mergeCell ref="E79:F79"/>
    <mergeCell ref="G79:H79"/>
    <mergeCell ref="E76:F76"/>
    <mergeCell ref="G76:H76"/>
    <mergeCell ref="E77:F77"/>
    <mergeCell ref="G77:H77"/>
    <mergeCell ref="B72:D72"/>
    <mergeCell ref="E72:H72"/>
    <mergeCell ref="E74:H74"/>
    <mergeCell ref="E75:H75"/>
    <mergeCell ref="B55:D55"/>
    <mergeCell ref="B58:D58"/>
    <mergeCell ref="B62:D62"/>
    <mergeCell ref="B63:D63"/>
    <mergeCell ref="E45:F45"/>
    <mergeCell ref="G45:H45"/>
    <mergeCell ref="B46:D46"/>
    <mergeCell ref="B54:D54"/>
    <mergeCell ref="E43:F43"/>
    <mergeCell ref="G43:H43"/>
    <mergeCell ref="E44:F44"/>
    <mergeCell ref="G44:H44"/>
    <mergeCell ref="E41:F41"/>
    <mergeCell ref="G41:H41"/>
    <mergeCell ref="E42:F42"/>
    <mergeCell ref="G42:H42"/>
    <mergeCell ref="B37:D37"/>
    <mergeCell ref="E37:H37"/>
    <mergeCell ref="E39:H39"/>
    <mergeCell ref="E40:H40"/>
    <mergeCell ref="B3:D3"/>
    <mergeCell ref="B29:D29"/>
    <mergeCell ref="B12:D12"/>
    <mergeCell ref="B24:D24"/>
    <mergeCell ref="B21:D21"/>
    <mergeCell ref="B20:D20"/>
    <mergeCell ref="B28:D28"/>
    <mergeCell ref="E3:H3"/>
    <mergeCell ref="E5:H5"/>
    <mergeCell ref="E6:H6"/>
    <mergeCell ref="G9:H9"/>
    <mergeCell ref="E8:F8"/>
    <mergeCell ref="G8:H8"/>
    <mergeCell ref="E10:F10"/>
    <mergeCell ref="G10:H10"/>
    <mergeCell ref="E11:F11"/>
    <mergeCell ref="G11:H11"/>
    <mergeCell ref="E7:F7"/>
    <mergeCell ref="G7:H7"/>
    <mergeCell ref="E9:F9"/>
  </mergeCells>
  <phoneticPr fontId="2"/>
  <pageMargins left="0.61" right="0.78740157480314965" top="0.98425196850393704" bottom="0.85" header="0.51181102362204722" footer="0.51181102362204722"/>
  <pageSetup paperSize="9" orientation="landscape" horizontalDpi="4294967294" verticalDpi="400" r:id="rId1"/>
  <headerFooter alignWithMargins="0"/>
  <rowBreaks count="1" manualBreakCount="1">
    <brk id="71" max="16383" man="1"/>
  </rowBreaks>
  <drawing r:id="rId2"/>
  <legacyDrawing r:id="rId3"/>
  <oleObjects>
    <mc:AlternateContent xmlns:mc="http://schemas.openxmlformats.org/markup-compatibility/2006">
      <mc:Choice Requires="x14">
        <oleObject progId="AcroExch.Document.7" shapeId="1030" r:id="rId4">
          <objectPr defaultSize="0" autoPict="0" r:id="rId5">
            <anchor moveWithCells="1">
              <from>
                <xdr:col>8</xdr:col>
                <xdr:colOff>247650</xdr:colOff>
                <xdr:row>6</xdr:row>
                <xdr:rowOff>38100</xdr:rowOff>
              </from>
              <to>
                <xdr:col>12</xdr:col>
                <xdr:colOff>447675</xdr:colOff>
                <xdr:row>30</xdr:row>
                <xdr:rowOff>85725</xdr:rowOff>
              </to>
            </anchor>
          </objectPr>
        </oleObject>
      </mc:Choice>
      <mc:Fallback>
        <oleObject progId="AcroExch.Document.7" shapeId="1030" r:id="rId4"/>
      </mc:Fallback>
    </mc:AlternateContent>
    <mc:AlternateContent xmlns:mc="http://schemas.openxmlformats.org/markup-compatibility/2006">
      <mc:Choice Requires="x14">
        <oleObject progId="AcroExch.Document.7" shapeId="1031" r:id="rId6">
          <objectPr defaultSize="0" autoPict="0" r:id="rId7">
            <anchor moveWithCells="1">
              <from>
                <xdr:col>8</xdr:col>
                <xdr:colOff>219075</xdr:colOff>
                <xdr:row>39</xdr:row>
                <xdr:rowOff>114300</xdr:rowOff>
              </from>
              <to>
                <xdr:col>12</xdr:col>
                <xdr:colOff>523875</xdr:colOff>
                <xdr:row>64</xdr:row>
                <xdr:rowOff>142875</xdr:rowOff>
              </to>
            </anchor>
          </objectPr>
        </oleObject>
      </mc:Choice>
      <mc:Fallback>
        <oleObject progId="AcroExch.Document.7" shapeId="1031" r:id="rId6"/>
      </mc:Fallback>
    </mc:AlternateContent>
    <mc:AlternateContent xmlns:mc="http://schemas.openxmlformats.org/markup-compatibility/2006">
      <mc:Choice Requires="x14">
        <oleObject progId="AcroExch.Document.7" shapeId="1032" r:id="rId8">
          <objectPr defaultSize="0" autoPict="0" r:id="rId9">
            <anchor moveWithCells="1">
              <from>
                <xdr:col>8</xdr:col>
                <xdr:colOff>209550</xdr:colOff>
                <xdr:row>74</xdr:row>
                <xdr:rowOff>114300</xdr:rowOff>
              </from>
              <to>
                <xdr:col>12</xdr:col>
                <xdr:colOff>485775</xdr:colOff>
                <xdr:row>99</xdr:row>
                <xdr:rowOff>95250</xdr:rowOff>
              </to>
            </anchor>
          </objectPr>
        </oleObject>
      </mc:Choice>
      <mc:Fallback>
        <oleObject progId="AcroExch.Document.7" shapeId="103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N</vt:lpstr>
      <vt:lpstr>allowable of pile Sﾆｰﾃﾞｨﾝｸﾞ (2)</vt:lpstr>
      <vt:lpstr>allowable of pile Sﾆｰﾃﾞｨﾝｸﾞ</vt:lpstr>
      <vt:lpstr>allowable of pile</vt:lpstr>
      <vt:lpstr>direct stress 300</vt:lpstr>
      <vt:lpstr>direct stress 350</vt:lpstr>
      <vt:lpstr>direct stress</vt:lpstr>
      <vt:lpstr>horizontal strength</vt:lpstr>
      <vt:lpstr>pile_cap</vt:lpstr>
      <vt:lpstr>N_calc</vt:lpstr>
      <vt:lpstr>Sheet1</vt:lpstr>
      <vt:lpstr>Sheet2</vt:lpstr>
    </vt:vector>
  </TitlesOfParts>
  <Company>ＦＭユーザ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  誠</dc:creator>
  <cp:lastModifiedBy>Matsushita Makoto</cp:lastModifiedBy>
  <cp:lastPrinted>2011-10-26T11:51:54Z</cp:lastPrinted>
  <dcterms:created xsi:type="dcterms:W3CDTF">1997-11-21T02:46:14Z</dcterms:created>
  <dcterms:modified xsi:type="dcterms:W3CDTF">2022-08-06T13:42:25Z</dcterms:modified>
</cp:coreProperties>
</file>